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igogroup.sharepoint.com/sites/aum/Documentos compartidos/18.- LOAN PUT AGREEMENT/3.- AUXILIARES LOAN PUT/"/>
    </mc:Choice>
  </mc:AlternateContent>
  <xr:revisionPtr revIDLastSave="49" documentId="8_{9ABD3BD4-4A18-499E-91DA-A1A34D3FECA7}" xr6:coauthVersionLast="46" xr6:coauthVersionMax="46" xr10:uidLastSave="{0228C7D5-43C5-4F0C-BF09-6729E75EE669}"/>
  <bookViews>
    <workbookView xWindow="-108" yWindow="-108" windowWidth="23256" windowHeight="12576" activeTab="10" xr2:uid="{799A018E-04F8-4136-A551-506615CF2B18}"/>
  </bookViews>
  <sheets>
    <sheet name="ENERO 2020" sheetId="2" r:id="rId1"/>
    <sheet name="MARZO" sheetId="3" r:id="rId2"/>
    <sheet name="ABRIL" sheetId="4" r:id="rId3"/>
    <sheet name="MAYO" sheetId="5" r:id="rId4"/>
    <sheet name="junio" sheetId="6" r:id="rId5"/>
    <sheet name="julio" sheetId="7" r:id="rId6"/>
    <sheet name="Auxiliar AGOSTO" sheetId="8" r:id="rId7"/>
    <sheet name="Auxiliar SEPTIEMBRE (2)" sheetId="1" r:id="rId8"/>
    <sheet name="octubre" sheetId="11" r:id="rId9"/>
    <sheet name="Noviembre" sheetId="10" r:id="rId10"/>
    <sheet name="DICIEMBRE" sheetId="9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6" hidden="1">'Auxiliar AGOSTO'!$A$5:$AM$195</definedName>
    <definedName name="_xlnm._FilterDatabase" localSheetId="7" hidden="1">'Auxiliar SEPTIEMBRE (2)'!$A$5:$AQ$211</definedName>
    <definedName name="_xlnm._FilterDatabase" localSheetId="0" hidden="1">'ENERO 2020'!$A$5:$T$176</definedName>
    <definedName name="_xlnm.Print_Area" localSheetId="6">'Auxiliar AGOSTO'!$A$1:$AM$203</definedName>
    <definedName name="_xlnm.Print_Area" localSheetId="7">'Auxiliar SEPTIEMBRE (2)'!$A$1:$AQ$218</definedName>
    <definedName name="_xlnm.Print_Titles" localSheetId="6">'Auxiliar AGOSTO'!$1:$5</definedName>
    <definedName name="_xlnm.Print_Titles" localSheetId="7">'Auxiliar SEPTIEMBRE (2)'!$1:$5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98" i="8" l="1"/>
  <c r="AC198" i="8"/>
  <c r="AA198" i="8"/>
  <c r="Y198" i="8"/>
  <c r="X198" i="8"/>
  <c r="U198" i="8"/>
  <c r="T198" i="8"/>
  <c r="S198" i="8"/>
  <c r="Q198" i="8"/>
  <c r="P198" i="8"/>
  <c r="O198" i="8"/>
  <c r="M198" i="8"/>
  <c r="L198" i="8"/>
  <c r="K198" i="8"/>
  <c r="J198" i="8"/>
  <c r="E198" i="8"/>
  <c r="Z197" i="8"/>
  <c r="AD197" i="8" s="1"/>
  <c r="AH197" i="8" s="1"/>
  <c r="V197" i="8"/>
  <c r="R197" i="8"/>
  <c r="N197" i="8"/>
  <c r="AL195" i="8"/>
  <c r="AI195" i="8"/>
  <c r="AL194" i="8"/>
  <c r="AI194" i="8"/>
  <c r="AL193" i="8"/>
  <c r="AI193" i="8"/>
  <c r="AH193" i="8"/>
  <c r="AI192" i="8"/>
  <c r="AL192" i="8" s="1"/>
  <c r="AL191" i="8"/>
  <c r="AI191" i="8"/>
  <c r="AI190" i="8"/>
  <c r="AL190" i="8" s="1"/>
  <c r="AL189" i="8"/>
  <c r="AI189" i="8"/>
  <c r="AI188" i="8"/>
  <c r="AL188" i="8" s="1"/>
  <c r="AL187" i="8"/>
  <c r="AI187" i="8"/>
  <c r="AI186" i="8"/>
  <c r="AL186" i="8" s="1"/>
  <c r="AL185" i="8"/>
  <c r="AI185" i="8"/>
  <c r="AH185" i="8"/>
  <c r="AL184" i="8"/>
  <c r="AI184" i="8"/>
  <c r="AH184" i="8"/>
  <c r="AI183" i="8"/>
  <c r="AH183" i="8"/>
  <c r="AL183" i="8" s="1"/>
  <c r="AI182" i="8"/>
  <c r="AH182" i="8"/>
  <c r="AL182" i="8" s="1"/>
  <c r="AL181" i="8"/>
  <c r="AI181" i="8"/>
  <c r="AH181" i="8"/>
  <c r="AL180" i="8"/>
  <c r="AI180" i="8"/>
  <c r="AH180" i="8"/>
  <c r="AI179" i="8"/>
  <c r="AH179" i="8"/>
  <c r="AL179" i="8" s="1"/>
  <c r="AI178" i="8"/>
  <c r="AH178" i="8"/>
  <c r="AL178" i="8" s="1"/>
  <c r="AL177" i="8"/>
  <c r="AI177" i="8"/>
  <c r="AH177" i="8"/>
  <c r="AL176" i="8"/>
  <c r="AI176" i="8"/>
  <c r="AH176" i="8"/>
  <c r="AI175" i="8"/>
  <c r="AH175" i="8"/>
  <c r="AL175" i="8" s="1"/>
  <c r="AI174" i="8"/>
  <c r="AH174" i="8"/>
  <c r="AL174" i="8" s="1"/>
  <c r="AL173" i="8"/>
  <c r="AI173" i="8"/>
  <c r="AH173" i="8"/>
  <c r="AL172" i="8"/>
  <c r="AI172" i="8"/>
  <c r="AH172" i="8"/>
  <c r="AI171" i="8"/>
  <c r="AH171" i="8"/>
  <c r="AL171" i="8" s="1"/>
  <c r="AI170" i="8"/>
  <c r="AH170" i="8"/>
  <c r="AL170" i="8" s="1"/>
  <c r="AL169" i="8"/>
  <c r="AI169" i="8"/>
  <c r="AH169" i="8"/>
  <c r="AL168" i="8"/>
  <c r="AI168" i="8"/>
  <c r="AH168" i="8"/>
  <c r="AI167" i="8"/>
  <c r="AH167" i="8"/>
  <c r="AL167" i="8" s="1"/>
  <c r="AD167" i="8"/>
  <c r="AI166" i="8"/>
  <c r="AH166" i="8"/>
  <c r="AD166" i="8"/>
  <c r="AD165" i="8"/>
  <c r="AH165" i="8" s="1"/>
  <c r="AL165" i="8" s="1"/>
  <c r="AI164" i="8"/>
  <c r="AH164" i="8"/>
  <c r="AL164" i="8" s="1"/>
  <c r="AD164" i="8"/>
  <c r="AI163" i="8"/>
  <c r="AD163" i="8"/>
  <c r="AH163" i="8" s="1"/>
  <c r="AL163" i="8" s="1"/>
  <c r="AI162" i="8"/>
  <c r="AH162" i="8"/>
  <c r="AL162" i="8" s="1"/>
  <c r="AD162" i="8"/>
  <c r="AI161" i="8"/>
  <c r="AD161" i="8"/>
  <c r="AH161" i="8" s="1"/>
  <c r="AL161" i="8" s="1"/>
  <c r="AI160" i="8"/>
  <c r="AH160" i="8"/>
  <c r="AL160" i="8" s="1"/>
  <c r="AD160" i="8"/>
  <c r="AI159" i="8"/>
  <c r="AD159" i="8"/>
  <c r="AH159" i="8" s="1"/>
  <c r="AL159" i="8" s="1"/>
  <c r="AI158" i="8"/>
  <c r="AH158" i="8"/>
  <c r="AL158" i="8" s="1"/>
  <c r="AD158" i="8"/>
  <c r="AI157" i="8"/>
  <c r="AD157" i="8"/>
  <c r="AH157" i="8" s="1"/>
  <c r="AL157" i="8" s="1"/>
  <c r="AI156" i="8"/>
  <c r="AH156" i="8"/>
  <c r="AL156" i="8" s="1"/>
  <c r="AD156" i="8"/>
  <c r="AI155" i="8"/>
  <c r="AD155" i="8"/>
  <c r="AH155" i="8" s="1"/>
  <c r="AL155" i="8" s="1"/>
  <c r="AI154" i="8"/>
  <c r="AH154" i="8"/>
  <c r="AL154" i="8" s="1"/>
  <c r="AD154" i="8"/>
  <c r="Z154" i="8"/>
  <c r="V154" i="8"/>
  <c r="AL153" i="8"/>
  <c r="AI153" i="8"/>
  <c r="Z153" i="8"/>
  <c r="AD153" i="8" s="1"/>
  <c r="AH153" i="8" s="1"/>
  <c r="V153" i="8"/>
  <c r="AI152" i="8"/>
  <c r="AD152" i="8"/>
  <c r="AH152" i="8" s="1"/>
  <c r="AL152" i="8" s="1"/>
  <c r="Z152" i="8"/>
  <c r="V152" i="8"/>
  <c r="AI151" i="8"/>
  <c r="V151" i="8"/>
  <c r="Z151" i="8" s="1"/>
  <c r="AD151" i="8" s="1"/>
  <c r="AH151" i="8" s="1"/>
  <c r="AL151" i="8" s="1"/>
  <c r="AI150" i="8"/>
  <c r="AH150" i="8"/>
  <c r="AL150" i="8" s="1"/>
  <c r="AD150" i="8"/>
  <c r="Z150" i="8"/>
  <c r="V150" i="8"/>
  <c r="AI149" i="8"/>
  <c r="Z149" i="8"/>
  <c r="AD149" i="8" s="1"/>
  <c r="AH149" i="8" s="1"/>
  <c r="AL149" i="8" s="1"/>
  <c r="V149" i="8"/>
  <c r="AI148" i="8"/>
  <c r="AD148" i="8"/>
  <c r="AH148" i="8" s="1"/>
  <c r="AL148" i="8" s="1"/>
  <c r="Z148" i="8"/>
  <c r="V148" i="8"/>
  <c r="AI147" i="8"/>
  <c r="V147" i="8"/>
  <c r="Z147" i="8" s="1"/>
  <c r="AD147" i="8" s="1"/>
  <c r="AH147" i="8" s="1"/>
  <c r="AI146" i="8"/>
  <c r="AH146" i="8"/>
  <c r="AL146" i="8" s="1"/>
  <c r="AD146" i="8"/>
  <c r="Z146" i="8"/>
  <c r="V146" i="8"/>
  <c r="AL145" i="8"/>
  <c r="AI145" i="8"/>
  <c r="Z145" i="8"/>
  <c r="AD145" i="8" s="1"/>
  <c r="AH145" i="8" s="1"/>
  <c r="V145" i="8"/>
  <c r="AI144" i="8"/>
  <c r="AD144" i="8"/>
  <c r="AH144" i="8" s="1"/>
  <c r="AL144" i="8" s="1"/>
  <c r="Z144" i="8"/>
  <c r="V144" i="8"/>
  <c r="AI143" i="8"/>
  <c r="V143" i="8"/>
  <c r="Z143" i="8" s="1"/>
  <c r="AD143" i="8" s="1"/>
  <c r="AH143" i="8" s="1"/>
  <c r="AL143" i="8" s="1"/>
  <c r="AI142" i="8"/>
  <c r="AH142" i="8"/>
  <c r="AL142" i="8" s="1"/>
  <c r="AD142" i="8"/>
  <c r="Z142" i="8"/>
  <c r="V142" i="8"/>
  <c r="AL141" i="8"/>
  <c r="AI141" i="8"/>
  <c r="Z141" i="8"/>
  <c r="AD141" i="8" s="1"/>
  <c r="AH141" i="8" s="1"/>
  <c r="V141" i="8"/>
  <c r="AI140" i="8"/>
  <c r="AD140" i="8"/>
  <c r="AH140" i="8" s="1"/>
  <c r="AL140" i="8" s="1"/>
  <c r="Z140" i="8"/>
  <c r="V140" i="8"/>
  <c r="AI139" i="8"/>
  <c r="V139" i="8"/>
  <c r="Z139" i="8" s="1"/>
  <c r="AD139" i="8" s="1"/>
  <c r="AH139" i="8" s="1"/>
  <c r="AI138" i="8"/>
  <c r="AH138" i="8"/>
  <c r="AL138" i="8" s="1"/>
  <c r="AD138" i="8"/>
  <c r="Z138" i="8"/>
  <c r="V138" i="8"/>
  <c r="AI137" i="8"/>
  <c r="Z137" i="8"/>
  <c r="AD137" i="8" s="1"/>
  <c r="AH137" i="8" s="1"/>
  <c r="AL137" i="8" s="1"/>
  <c r="V137" i="8"/>
  <c r="AI136" i="8"/>
  <c r="AD136" i="8"/>
  <c r="AH136" i="8" s="1"/>
  <c r="AL136" i="8" s="1"/>
  <c r="Z136" i="8"/>
  <c r="V136" i="8"/>
  <c r="AI135" i="8"/>
  <c r="V135" i="8"/>
  <c r="Z135" i="8" s="1"/>
  <c r="AD135" i="8" s="1"/>
  <c r="AH135" i="8" s="1"/>
  <c r="AL135" i="8" s="1"/>
  <c r="AI134" i="8"/>
  <c r="AH134" i="8"/>
  <c r="AL134" i="8" s="1"/>
  <c r="AD134" i="8"/>
  <c r="Z134" i="8"/>
  <c r="V134" i="8"/>
  <c r="AI133" i="8"/>
  <c r="Z133" i="8"/>
  <c r="AD133" i="8" s="1"/>
  <c r="AH133" i="8" s="1"/>
  <c r="AL133" i="8" s="1"/>
  <c r="V133" i="8"/>
  <c r="AI132" i="8"/>
  <c r="AD132" i="8"/>
  <c r="AH132" i="8" s="1"/>
  <c r="AL132" i="8" s="1"/>
  <c r="Z132" i="8"/>
  <c r="V132" i="8"/>
  <c r="AI131" i="8"/>
  <c r="V131" i="8"/>
  <c r="Z131" i="8" s="1"/>
  <c r="AD131" i="8" s="1"/>
  <c r="AH131" i="8" s="1"/>
  <c r="AI130" i="8"/>
  <c r="AH130" i="8"/>
  <c r="AL130" i="8" s="1"/>
  <c r="AD130" i="8"/>
  <c r="Z130" i="8"/>
  <c r="V130" i="8"/>
  <c r="AL129" i="8"/>
  <c r="AI129" i="8"/>
  <c r="Z129" i="8"/>
  <c r="AD129" i="8" s="1"/>
  <c r="AH129" i="8" s="1"/>
  <c r="V129" i="8"/>
  <c r="AI128" i="8"/>
  <c r="AD128" i="8"/>
  <c r="AH128" i="8" s="1"/>
  <c r="AL128" i="8" s="1"/>
  <c r="Z128" i="8"/>
  <c r="V128" i="8"/>
  <c r="AI127" i="8"/>
  <c r="V127" i="8"/>
  <c r="Z127" i="8" s="1"/>
  <c r="AD127" i="8" s="1"/>
  <c r="AH127" i="8" s="1"/>
  <c r="AL127" i="8" s="1"/>
  <c r="AI126" i="8"/>
  <c r="AH126" i="8"/>
  <c r="AL126" i="8" s="1"/>
  <c r="AD126" i="8"/>
  <c r="Z126" i="8"/>
  <c r="V126" i="8"/>
  <c r="AL125" i="8"/>
  <c r="AI125" i="8"/>
  <c r="Z125" i="8"/>
  <c r="AD125" i="8" s="1"/>
  <c r="AH125" i="8" s="1"/>
  <c r="V125" i="8"/>
  <c r="AI124" i="8"/>
  <c r="AD124" i="8"/>
  <c r="AH124" i="8" s="1"/>
  <c r="AL124" i="8" s="1"/>
  <c r="Z124" i="8"/>
  <c r="V124" i="8"/>
  <c r="AI123" i="8"/>
  <c r="V123" i="8"/>
  <c r="Z123" i="8" s="1"/>
  <c r="AD123" i="8" s="1"/>
  <c r="AH123" i="8" s="1"/>
  <c r="R123" i="8"/>
  <c r="AI122" i="8"/>
  <c r="V122" i="8"/>
  <c r="Z122" i="8" s="1"/>
  <c r="AD122" i="8" s="1"/>
  <c r="AH122" i="8" s="1"/>
  <c r="AL122" i="8" s="1"/>
  <c r="R122" i="8"/>
  <c r="AD121" i="8"/>
  <c r="AH121" i="8" s="1"/>
  <c r="AL121" i="8" s="1"/>
  <c r="Z121" i="8"/>
  <c r="V121" i="8"/>
  <c r="R121" i="8"/>
  <c r="AI120" i="8"/>
  <c r="Z120" i="8"/>
  <c r="AD120" i="8" s="1"/>
  <c r="AH120" i="8" s="1"/>
  <c r="AL120" i="8" s="1"/>
  <c r="V120" i="8"/>
  <c r="R120" i="8"/>
  <c r="AI119" i="8"/>
  <c r="AH119" i="8"/>
  <c r="AL119" i="8" s="1"/>
  <c r="R119" i="8"/>
  <c r="V119" i="8" s="1"/>
  <c r="Z119" i="8" s="1"/>
  <c r="AD119" i="8" s="1"/>
  <c r="AD118" i="8"/>
  <c r="AH118" i="8" s="1"/>
  <c r="R118" i="8"/>
  <c r="V118" i="8" s="1"/>
  <c r="Z118" i="8" s="1"/>
  <c r="I118" i="8"/>
  <c r="AI118" i="8" s="1"/>
  <c r="AD117" i="8"/>
  <c r="AH117" i="8" s="1"/>
  <c r="R117" i="8"/>
  <c r="V117" i="8" s="1"/>
  <c r="Z117" i="8" s="1"/>
  <c r="I117" i="8"/>
  <c r="AI117" i="8" s="1"/>
  <c r="AD116" i="8"/>
  <c r="AH116" i="8" s="1"/>
  <c r="AL116" i="8" s="1"/>
  <c r="R116" i="8"/>
  <c r="V116" i="8" s="1"/>
  <c r="Z116" i="8" s="1"/>
  <c r="I116" i="8"/>
  <c r="AI116" i="8" s="1"/>
  <c r="AD115" i="8"/>
  <c r="AH115" i="8" s="1"/>
  <c r="AL115" i="8" s="1"/>
  <c r="R115" i="8"/>
  <c r="V115" i="8" s="1"/>
  <c r="Z115" i="8" s="1"/>
  <c r="I115" i="8"/>
  <c r="AI115" i="8" s="1"/>
  <c r="AD114" i="8"/>
  <c r="AH114" i="8" s="1"/>
  <c r="R114" i="8"/>
  <c r="V114" i="8" s="1"/>
  <c r="Z114" i="8" s="1"/>
  <c r="I114" i="8"/>
  <c r="AI114" i="8" s="1"/>
  <c r="AD113" i="8"/>
  <c r="AH113" i="8" s="1"/>
  <c r="R113" i="8"/>
  <c r="V113" i="8" s="1"/>
  <c r="Z113" i="8" s="1"/>
  <c r="I113" i="8"/>
  <c r="AI113" i="8" s="1"/>
  <c r="AD112" i="8"/>
  <c r="AH112" i="8" s="1"/>
  <c r="AL112" i="8" s="1"/>
  <c r="R112" i="8"/>
  <c r="V112" i="8" s="1"/>
  <c r="Z112" i="8" s="1"/>
  <c r="I112" i="8"/>
  <c r="AI112" i="8" s="1"/>
  <c r="AD111" i="8"/>
  <c r="AH111" i="8" s="1"/>
  <c r="AL111" i="8" s="1"/>
  <c r="R111" i="8"/>
  <c r="V111" i="8" s="1"/>
  <c r="Z111" i="8" s="1"/>
  <c r="I111" i="8"/>
  <c r="AI111" i="8" s="1"/>
  <c r="AD110" i="8"/>
  <c r="AH110" i="8" s="1"/>
  <c r="R110" i="8"/>
  <c r="V110" i="8" s="1"/>
  <c r="Z110" i="8" s="1"/>
  <c r="I110" i="8"/>
  <c r="AI110" i="8" s="1"/>
  <c r="AD109" i="8"/>
  <c r="AH109" i="8" s="1"/>
  <c r="R109" i="8"/>
  <c r="V109" i="8" s="1"/>
  <c r="Z109" i="8" s="1"/>
  <c r="I109" i="8"/>
  <c r="AI109" i="8" s="1"/>
  <c r="AD108" i="8"/>
  <c r="AH108" i="8" s="1"/>
  <c r="AL108" i="8" s="1"/>
  <c r="R108" i="8"/>
  <c r="V108" i="8" s="1"/>
  <c r="Z108" i="8" s="1"/>
  <c r="I108" i="8"/>
  <c r="AI108" i="8" s="1"/>
  <c r="AD107" i="8"/>
  <c r="AH107" i="8" s="1"/>
  <c r="AL107" i="8" s="1"/>
  <c r="R107" i="8"/>
  <c r="V107" i="8" s="1"/>
  <c r="Z107" i="8" s="1"/>
  <c r="I107" i="8"/>
  <c r="AI107" i="8" s="1"/>
  <c r="AD106" i="8"/>
  <c r="AH106" i="8" s="1"/>
  <c r="R106" i="8"/>
  <c r="V106" i="8" s="1"/>
  <c r="Z106" i="8" s="1"/>
  <c r="I106" i="8"/>
  <c r="AI106" i="8" s="1"/>
  <c r="AD105" i="8"/>
  <c r="AH105" i="8" s="1"/>
  <c r="R105" i="8"/>
  <c r="V105" i="8" s="1"/>
  <c r="Z105" i="8" s="1"/>
  <c r="I105" i="8"/>
  <c r="AI105" i="8" s="1"/>
  <c r="AD104" i="8"/>
  <c r="AH104" i="8" s="1"/>
  <c r="AL104" i="8" s="1"/>
  <c r="R104" i="8"/>
  <c r="V104" i="8" s="1"/>
  <c r="Z104" i="8" s="1"/>
  <c r="I104" i="8"/>
  <c r="AI104" i="8" s="1"/>
  <c r="Z103" i="8"/>
  <c r="AD103" i="8" s="1"/>
  <c r="AH103" i="8" s="1"/>
  <c r="AL103" i="8" s="1"/>
  <c r="R103" i="8"/>
  <c r="V103" i="8" s="1"/>
  <c r="I103" i="8"/>
  <c r="AI103" i="8" s="1"/>
  <c r="Z102" i="8"/>
  <c r="AD102" i="8" s="1"/>
  <c r="AH102" i="8" s="1"/>
  <c r="AL102" i="8" s="1"/>
  <c r="R102" i="8"/>
  <c r="V102" i="8" s="1"/>
  <c r="I102" i="8"/>
  <c r="AI102" i="8" s="1"/>
  <c r="Z101" i="8"/>
  <c r="AD101" i="8" s="1"/>
  <c r="AH101" i="8" s="1"/>
  <c r="AL101" i="8" s="1"/>
  <c r="R101" i="8"/>
  <c r="V101" i="8" s="1"/>
  <c r="I101" i="8"/>
  <c r="AI101" i="8" s="1"/>
  <c r="Z100" i="8"/>
  <c r="AD100" i="8" s="1"/>
  <c r="AH100" i="8" s="1"/>
  <c r="AL100" i="8" s="1"/>
  <c r="R100" i="8"/>
  <c r="V100" i="8" s="1"/>
  <c r="I100" i="8"/>
  <c r="AI100" i="8" s="1"/>
  <c r="AI99" i="8"/>
  <c r="AH99" i="8"/>
  <c r="AL99" i="8" s="1"/>
  <c r="R98" i="8"/>
  <c r="V98" i="8" s="1"/>
  <c r="Z98" i="8" s="1"/>
  <c r="AD98" i="8" s="1"/>
  <c r="AH98" i="8" s="1"/>
  <c r="AL98" i="8" s="1"/>
  <c r="I98" i="8"/>
  <c r="R97" i="8"/>
  <c r="V97" i="8" s="1"/>
  <c r="Z97" i="8" s="1"/>
  <c r="AD97" i="8" s="1"/>
  <c r="AH97" i="8" s="1"/>
  <c r="AL97" i="8" s="1"/>
  <c r="I97" i="8"/>
  <c r="AI97" i="8" s="1"/>
  <c r="AD96" i="8"/>
  <c r="AH96" i="8" s="1"/>
  <c r="AL96" i="8" s="1"/>
  <c r="R96" i="8"/>
  <c r="V96" i="8" s="1"/>
  <c r="Z96" i="8" s="1"/>
  <c r="I96" i="8"/>
  <c r="AI96" i="8" s="1"/>
  <c r="R95" i="8"/>
  <c r="V95" i="8" s="1"/>
  <c r="Z95" i="8" s="1"/>
  <c r="AD95" i="8" s="1"/>
  <c r="AH95" i="8" s="1"/>
  <c r="AL95" i="8" s="1"/>
  <c r="I95" i="8"/>
  <c r="AI95" i="8" s="1"/>
  <c r="AI94" i="8"/>
  <c r="R94" i="8"/>
  <c r="V94" i="8" s="1"/>
  <c r="Z94" i="8" s="1"/>
  <c r="AD94" i="8" s="1"/>
  <c r="AH94" i="8" s="1"/>
  <c r="AL94" i="8" s="1"/>
  <c r="N94" i="8"/>
  <c r="AI93" i="8"/>
  <c r="N93" i="8"/>
  <c r="R93" i="8" s="1"/>
  <c r="V93" i="8" s="1"/>
  <c r="Z93" i="8" s="1"/>
  <c r="AD93" i="8" s="1"/>
  <c r="AH93" i="8" s="1"/>
  <c r="AL93" i="8" s="1"/>
  <c r="AI92" i="8"/>
  <c r="N92" i="8"/>
  <c r="R92" i="8" s="1"/>
  <c r="V92" i="8" s="1"/>
  <c r="Z92" i="8" s="1"/>
  <c r="AD92" i="8" s="1"/>
  <c r="AH92" i="8" s="1"/>
  <c r="AL92" i="8" s="1"/>
  <c r="AI91" i="8"/>
  <c r="Z91" i="8"/>
  <c r="AD91" i="8" s="1"/>
  <c r="AH91" i="8" s="1"/>
  <c r="AL91" i="8" s="1"/>
  <c r="R91" i="8"/>
  <c r="V91" i="8" s="1"/>
  <c r="N91" i="8"/>
  <c r="AI90" i="8"/>
  <c r="N90" i="8"/>
  <c r="R90" i="8" s="1"/>
  <c r="V90" i="8" s="1"/>
  <c r="Z90" i="8" s="1"/>
  <c r="AD90" i="8" s="1"/>
  <c r="AH90" i="8" s="1"/>
  <c r="AL90" i="8" s="1"/>
  <c r="AI89" i="8"/>
  <c r="R89" i="8"/>
  <c r="V89" i="8" s="1"/>
  <c r="Z89" i="8" s="1"/>
  <c r="AD89" i="8" s="1"/>
  <c r="AH89" i="8" s="1"/>
  <c r="AL89" i="8" s="1"/>
  <c r="N89" i="8"/>
  <c r="AI88" i="8"/>
  <c r="Z88" i="8"/>
  <c r="AD88" i="8" s="1"/>
  <c r="AH88" i="8" s="1"/>
  <c r="AL88" i="8" s="1"/>
  <c r="N88" i="8"/>
  <c r="R88" i="8" s="1"/>
  <c r="V88" i="8" s="1"/>
  <c r="AI87" i="8"/>
  <c r="R87" i="8"/>
  <c r="V87" i="8" s="1"/>
  <c r="Z87" i="8" s="1"/>
  <c r="AD87" i="8" s="1"/>
  <c r="AH87" i="8" s="1"/>
  <c r="AL87" i="8" s="1"/>
  <c r="N87" i="8"/>
  <c r="AI86" i="8"/>
  <c r="R86" i="8"/>
  <c r="V86" i="8" s="1"/>
  <c r="Z86" i="8" s="1"/>
  <c r="AD86" i="8" s="1"/>
  <c r="AH86" i="8" s="1"/>
  <c r="AL86" i="8" s="1"/>
  <c r="N86" i="8"/>
  <c r="AI85" i="8"/>
  <c r="N85" i="8"/>
  <c r="R85" i="8" s="1"/>
  <c r="V85" i="8" s="1"/>
  <c r="Z85" i="8" s="1"/>
  <c r="AD85" i="8" s="1"/>
  <c r="AH85" i="8" s="1"/>
  <c r="AL85" i="8" s="1"/>
  <c r="AI84" i="8"/>
  <c r="N84" i="8"/>
  <c r="R84" i="8" s="1"/>
  <c r="V84" i="8" s="1"/>
  <c r="Z84" i="8" s="1"/>
  <c r="AD84" i="8" s="1"/>
  <c r="AH84" i="8" s="1"/>
  <c r="AL84" i="8" s="1"/>
  <c r="AI83" i="8"/>
  <c r="Z83" i="8"/>
  <c r="AD83" i="8" s="1"/>
  <c r="AH83" i="8" s="1"/>
  <c r="AL83" i="8" s="1"/>
  <c r="R83" i="8"/>
  <c r="V83" i="8" s="1"/>
  <c r="N83" i="8"/>
  <c r="AI82" i="8"/>
  <c r="N82" i="8"/>
  <c r="R82" i="8" s="1"/>
  <c r="V82" i="8" s="1"/>
  <c r="Z82" i="8" s="1"/>
  <c r="AD82" i="8" s="1"/>
  <c r="AH82" i="8" s="1"/>
  <c r="AL82" i="8" s="1"/>
  <c r="AI81" i="8"/>
  <c r="R81" i="8"/>
  <c r="V81" i="8" s="1"/>
  <c r="Z81" i="8" s="1"/>
  <c r="AD81" i="8" s="1"/>
  <c r="AH81" i="8" s="1"/>
  <c r="AL81" i="8" s="1"/>
  <c r="N81" i="8"/>
  <c r="AI80" i="8"/>
  <c r="Z80" i="8"/>
  <c r="AD80" i="8" s="1"/>
  <c r="AH80" i="8" s="1"/>
  <c r="AL80" i="8" s="1"/>
  <c r="N80" i="8"/>
  <c r="R80" i="8" s="1"/>
  <c r="V80" i="8" s="1"/>
  <c r="AI79" i="8"/>
  <c r="R79" i="8"/>
  <c r="V79" i="8" s="1"/>
  <c r="Z79" i="8" s="1"/>
  <c r="AD79" i="8" s="1"/>
  <c r="AH79" i="8" s="1"/>
  <c r="AL79" i="8" s="1"/>
  <c r="N79" i="8"/>
  <c r="AI78" i="8"/>
  <c r="R78" i="8"/>
  <c r="V78" i="8" s="1"/>
  <c r="Z78" i="8" s="1"/>
  <c r="AD78" i="8" s="1"/>
  <c r="AH78" i="8" s="1"/>
  <c r="AL78" i="8" s="1"/>
  <c r="N78" i="8"/>
  <c r="AI77" i="8"/>
  <c r="N77" i="8"/>
  <c r="R77" i="8" s="1"/>
  <c r="V77" i="8" s="1"/>
  <c r="Z77" i="8" s="1"/>
  <c r="AD77" i="8" s="1"/>
  <c r="AH77" i="8" s="1"/>
  <c r="AL77" i="8" s="1"/>
  <c r="AI76" i="8"/>
  <c r="N76" i="8"/>
  <c r="R76" i="8" s="1"/>
  <c r="V76" i="8" s="1"/>
  <c r="Z76" i="8" s="1"/>
  <c r="AD76" i="8" s="1"/>
  <c r="AH76" i="8" s="1"/>
  <c r="AL76" i="8" s="1"/>
  <c r="AI75" i="8"/>
  <c r="Z75" i="8"/>
  <c r="AD75" i="8" s="1"/>
  <c r="AH75" i="8" s="1"/>
  <c r="AL75" i="8" s="1"/>
  <c r="R75" i="8"/>
  <c r="V75" i="8" s="1"/>
  <c r="N75" i="8"/>
  <c r="AI74" i="8"/>
  <c r="N74" i="8"/>
  <c r="R74" i="8" s="1"/>
  <c r="V74" i="8" s="1"/>
  <c r="Z74" i="8" s="1"/>
  <c r="AD74" i="8" s="1"/>
  <c r="AH74" i="8" s="1"/>
  <c r="AL74" i="8" s="1"/>
  <c r="AI73" i="8"/>
  <c r="R73" i="8"/>
  <c r="V73" i="8" s="1"/>
  <c r="Z73" i="8" s="1"/>
  <c r="AD73" i="8" s="1"/>
  <c r="AH73" i="8" s="1"/>
  <c r="AL73" i="8" s="1"/>
  <c r="N73" i="8"/>
  <c r="AI72" i="8"/>
  <c r="Z72" i="8"/>
  <c r="AD72" i="8" s="1"/>
  <c r="AH72" i="8" s="1"/>
  <c r="AL72" i="8" s="1"/>
  <c r="N72" i="8"/>
  <c r="R72" i="8" s="1"/>
  <c r="V72" i="8" s="1"/>
  <c r="AI71" i="8"/>
  <c r="R71" i="8"/>
  <c r="V71" i="8" s="1"/>
  <c r="Z71" i="8" s="1"/>
  <c r="AD71" i="8" s="1"/>
  <c r="AH71" i="8" s="1"/>
  <c r="AL71" i="8" s="1"/>
  <c r="N71" i="8"/>
  <c r="AI70" i="8"/>
  <c r="R70" i="8"/>
  <c r="V70" i="8" s="1"/>
  <c r="Z70" i="8" s="1"/>
  <c r="AD70" i="8" s="1"/>
  <c r="AH70" i="8" s="1"/>
  <c r="AL70" i="8" s="1"/>
  <c r="N70" i="8"/>
  <c r="AI69" i="8"/>
  <c r="N69" i="8"/>
  <c r="R69" i="8" s="1"/>
  <c r="V69" i="8" s="1"/>
  <c r="Z69" i="8" s="1"/>
  <c r="AD69" i="8" s="1"/>
  <c r="AH69" i="8" s="1"/>
  <c r="AL69" i="8" s="1"/>
  <c r="AI68" i="8"/>
  <c r="N68" i="8"/>
  <c r="R68" i="8" s="1"/>
  <c r="V68" i="8" s="1"/>
  <c r="Z68" i="8" s="1"/>
  <c r="AD68" i="8" s="1"/>
  <c r="AH68" i="8" s="1"/>
  <c r="AL68" i="8" s="1"/>
  <c r="AI67" i="8"/>
  <c r="Z67" i="8"/>
  <c r="AD67" i="8" s="1"/>
  <c r="AH67" i="8" s="1"/>
  <c r="AL67" i="8" s="1"/>
  <c r="R67" i="8"/>
  <c r="V67" i="8" s="1"/>
  <c r="N67" i="8"/>
  <c r="AI66" i="8"/>
  <c r="N66" i="8"/>
  <c r="R66" i="8" s="1"/>
  <c r="V66" i="8" s="1"/>
  <c r="Z66" i="8" s="1"/>
  <c r="AD66" i="8" s="1"/>
  <c r="AH66" i="8" s="1"/>
  <c r="AL66" i="8" s="1"/>
  <c r="AI65" i="8"/>
  <c r="R65" i="8"/>
  <c r="V65" i="8" s="1"/>
  <c r="Z65" i="8" s="1"/>
  <c r="AD65" i="8" s="1"/>
  <c r="AH65" i="8" s="1"/>
  <c r="AL65" i="8" s="1"/>
  <c r="N65" i="8"/>
  <c r="AI64" i="8"/>
  <c r="Z64" i="8"/>
  <c r="AD64" i="8" s="1"/>
  <c r="AH64" i="8" s="1"/>
  <c r="AL64" i="8" s="1"/>
  <c r="N64" i="8"/>
  <c r="R64" i="8" s="1"/>
  <c r="V64" i="8" s="1"/>
  <c r="AI63" i="8"/>
  <c r="R63" i="8"/>
  <c r="V63" i="8" s="1"/>
  <c r="Z63" i="8" s="1"/>
  <c r="AD63" i="8" s="1"/>
  <c r="AH63" i="8" s="1"/>
  <c r="AL63" i="8" s="1"/>
  <c r="N63" i="8"/>
  <c r="AI62" i="8"/>
  <c r="R62" i="8"/>
  <c r="V62" i="8" s="1"/>
  <c r="Z62" i="8" s="1"/>
  <c r="AD62" i="8" s="1"/>
  <c r="AH62" i="8" s="1"/>
  <c r="AL62" i="8" s="1"/>
  <c r="N62" i="8"/>
  <c r="AI61" i="8"/>
  <c r="N61" i="8"/>
  <c r="R61" i="8" s="1"/>
  <c r="V61" i="8" s="1"/>
  <c r="Z61" i="8" s="1"/>
  <c r="AD61" i="8" s="1"/>
  <c r="AH61" i="8" s="1"/>
  <c r="AL61" i="8" s="1"/>
  <c r="AI60" i="8"/>
  <c r="N60" i="8"/>
  <c r="R60" i="8" s="1"/>
  <c r="V60" i="8" s="1"/>
  <c r="Z60" i="8" s="1"/>
  <c r="AD60" i="8" s="1"/>
  <c r="AH60" i="8" s="1"/>
  <c r="AL60" i="8" s="1"/>
  <c r="AI59" i="8"/>
  <c r="Z59" i="8"/>
  <c r="AD59" i="8" s="1"/>
  <c r="AH59" i="8" s="1"/>
  <c r="AL59" i="8" s="1"/>
  <c r="R59" i="8"/>
  <c r="V59" i="8" s="1"/>
  <c r="N59" i="8"/>
  <c r="AI58" i="8"/>
  <c r="N58" i="8"/>
  <c r="R58" i="8" s="1"/>
  <c r="V58" i="8" s="1"/>
  <c r="Z58" i="8" s="1"/>
  <c r="AD58" i="8" s="1"/>
  <c r="AH58" i="8" s="1"/>
  <c r="AL58" i="8" s="1"/>
  <c r="AI57" i="8"/>
  <c r="R57" i="8"/>
  <c r="V57" i="8" s="1"/>
  <c r="Z57" i="8" s="1"/>
  <c r="AD57" i="8" s="1"/>
  <c r="AH57" i="8" s="1"/>
  <c r="AL57" i="8" s="1"/>
  <c r="N57" i="8"/>
  <c r="AI56" i="8"/>
  <c r="Z56" i="8"/>
  <c r="AD56" i="8" s="1"/>
  <c r="AH56" i="8" s="1"/>
  <c r="AL56" i="8" s="1"/>
  <c r="N56" i="8"/>
  <c r="R56" i="8" s="1"/>
  <c r="V56" i="8" s="1"/>
  <c r="AI55" i="8"/>
  <c r="R55" i="8"/>
  <c r="V55" i="8" s="1"/>
  <c r="Z55" i="8" s="1"/>
  <c r="AD55" i="8" s="1"/>
  <c r="AH55" i="8" s="1"/>
  <c r="AL55" i="8" s="1"/>
  <c r="N55" i="8"/>
  <c r="AI54" i="8"/>
  <c r="R54" i="8"/>
  <c r="V54" i="8" s="1"/>
  <c r="Z54" i="8" s="1"/>
  <c r="AD54" i="8" s="1"/>
  <c r="AH54" i="8" s="1"/>
  <c r="AL54" i="8" s="1"/>
  <c r="N54" i="8"/>
  <c r="AI53" i="8"/>
  <c r="N53" i="8"/>
  <c r="R53" i="8" s="1"/>
  <c r="V53" i="8" s="1"/>
  <c r="Z53" i="8" s="1"/>
  <c r="AD53" i="8" s="1"/>
  <c r="AH53" i="8" s="1"/>
  <c r="AL53" i="8" s="1"/>
  <c r="AI52" i="8"/>
  <c r="N52" i="8"/>
  <c r="R52" i="8" s="1"/>
  <c r="V52" i="8" s="1"/>
  <c r="Z52" i="8" s="1"/>
  <c r="AD52" i="8" s="1"/>
  <c r="AH52" i="8" s="1"/>
  <c r="AL52" i="8" s="1"/>
  <c r="AI51" i="8"/>
  <c r="Z51" i="8"/>
  <c r="AD51" i="8" s="1"/>
  <c r="AH51" i="8" s="1"/>
  <c r="AL51" i="8" s="1"/>
  <c r="R51" i="8"/>
  <c r="V51" i="8" s="1"/>
  <c r="N51" i="8"/>
  <c r="AI50" i="8"/>
  <c r="N50" i="8"/>
  <c r="R50" i="8" s="1"/>
  <c r="V50" i="8" s="1"/>
  <c r="Z50" i="8" s="1"/>
  <c r="AD50" i="8" s="1"/>
  <c r="AH50" i="8" s="1"/>
  <c r="AL50" i="8" s="1"/>
  <c r="AI49" i="8"/>
  <c r="R49" i="8"/>
  <c r="V49" i="8" s="1"/>
  <c r="Z49" i="8" s="1"/>
  <c r="AD49" i="8" s="1"/>
  <c r="AH49" i="8" s="1"/>
  <c r="AL49" i="8" s="1"/>
  <c r="N49" i="8"/>
  <c r="AI48" i="8"/>
  <c r="Z48" i="8"/>
  <c r="AD48" i="8" s="1"/>
  <c r="AH48" i="8" s="1"/>
  <c r="AL48" i="8" s="1"/>
  <c r="N48" i="8"/>
  <c r="R48" i="8" s="1"/>
  <c r="V48" i="8" s="1"/>
  <c r="AI47" i="8"/>
  <c r="R47" i="8"/>
  <c r="V47" i="8" s="1"/>
  <c r="Z47" i="8" s="1"/>
  <c r="AD47" i="8" s="1"/>
  <c r="AH47" i="8" s="1"/>
  <c r="AL47" i="8" s="1"/>
  <c r="N47" i="8"/>
  <c r="AI46" i="8"/>
  <c r="R46" i="8"/>
  <c r="V46" i="8" s="1"/>
  <c r="Z46" i="8" s="1"/>
  <c r="AD46" i="8" s="1"/>
  <c r="AH46" i="8" s="1"/>
  <c r="AL46" i="8" s="1"/>
  <c r="N46" i="8"/>
  <c r="AI45" i="8"/>
  <c r="N45" i="8"/>
  <c r="R45" i="8" s="1"/>
  <c r="V45" i="8" s="1"/>
  <c r="Z45" i="8" s="1"/>
  <c r="AD45" i="8" s="1"/>
  <c r="AH45" i="8" s="1"/>
  <c r="AL45" i="8" s="1"/>
  <c r="N44" i="8"/>
  <c r="R44" i="8" s="1"/>
  <c r="V44" i="8" s="1"/>
  <c r="Z44" i="8" s="1"/>
  <c r="AD44" i="8" s="1"/>
  <c r="AH44" i="8" s="1"/>
  <c r="AL44" i="8" s="1"/>
  <c r="AI43" i="8"/>
  <c r="N43" i="8"/>
  <c r="R43" i="8" s="1"/>
  <c r="V43" i="8" s="1"/>
  <c r="Z43" i="8" s="1"/>
  <c r="AD43" i="8" s="1"/>
  <c r="AH43" i="8" s="1"/>
  <c r="AL43" i="8" s="1"/>
  <c r="AI42" i="8"/>
  <c r="V42" i="8"/>
  <c r="Z42" i="8" s="1"/>
  <c r="AD42" i="8" s="1"/>
  <c r="AH42" i="8" s="1"/>
  <c r="AL42" i="8" s="1"/>
  <c r="N42" i="8"/>
  <c r="R42" i="8" s="1"/>
  <c r="AI41" i="8"/>
  <c r="R41" i="8"/>
  <c r="V41" i="8" s="1"/>
  <c r="Z41" i="8" s="1"/>
  <c r="AD41" i="8" s="1"/>
  <c r="AH41" i="8" s="1"/>
  <c r="AL41" i="8" s="1"/>
  <c r="N41" i="8"/>
  <c r="AI40" i="8"/>
  <c r="R40" i="8"/>
  <c r="V40" i="8" s="1"/>
  <c r="Z40" i="8" s="1"/>
  <c r="AD40" i="8" s="1"/>
  <c r="AH40" i="8" s="1"/>
  <c r="AL40" i="8" s="1"/>
  <c r="N40" i="8"/>
  <c r="AI39" i="8"/>
  <c r="R39" i="8"/>
  <c r="V39" i="8" s="1"/>
  <c r="Z39" i="8" s="1"/>
  <c r="AD39" i="8" s="1"/>
  <c r="AH39" i="8" s="1"/>
  <c r="AL39" i="8" s="1"/>
  <c r="N39" i="8"/>
  <c r="AI38" i="8"/>
  <c r="N38" i="8"/>
  <c r="R38" i="8" s="1"/>
  <c r="V38" i="8" s="1"/>
  <c r="Z38" i="8" s="1"/>
  <c r="AD38" i="8" s="1"/>
  <c r="AH38" i="8" s="1"/>
  <c r="AL38" i="8" s="1"/>
  <c r="AJ37" i="8"/>
  <c r="AI37" i="8"/>
  <c r="Z37" i="8"/>
  <c r="AD37" i="8" s="1"/>
  <c r="AH37" i="8" s="1"/>
  <c r="AL37" i="8" s="1"/>
  <c r="V37" i="8"/>
  <c r="AJ36" i="8"/>
  <c r="AI36" i="8"/>
  <c r="N36" i="8"/>
  <c r="R36" i="8" s="1"/>
  <c r="V36" i="8" s="1"/>
  <c r="Z36" i="8" s="1"/>
  <c r="AD36" i="8" s="1"/>
  <c r="AH36" i="8" s="1"/>
  <c r="AL36" i="8" s="1"/>
  <c r="AJ35" i="8"/>
  <c r="AI35" i="8"/>
  <c r="N35" i="8"/>
  <c r="R35" i="8" s="1"/>
  <c r="V35" i="8" s="1"/>
  <c r="Z35" i="8" s="1"/>
  <c r="AD35" i="8" s="1"/>
  <c r="AH35" i="8" s="1"/>
  <c r="AL35" i="8" s="1"/>
  <c r="AJ34" i="8"/>
  <c r="AI34" i="8"/>
  <c r="N34" i="8"/>
  <c r="R34" i="8" s="1"/>
  <c r="V34" i="8" s="1"/>
  <c r="Z34" i="8" s="1"/>
  <c r="AD34" i="8" s="1"/>
  <c r="AH34" i="8" s="1"/>
  <c r="AL34" i="8" s="1"/>
  <c r="AJ33" i="8"/>
  <c r="AI33" i="8"/>
  <c r="R33" i="8"/>
  <c r="V33" i="8" s="1"/>
  <c r="Z33" i="8" s="1"/>
  <c r="AD33" i="8" s="1"/>
  <c r="AH33" i="8" s="1"/>
  <c r="AL33" i="8" s="1"/>
  <c r="N33" i="8"/>
  <c r="AJ32" i="8"/>
  <c r="AI32" i="8"/>
  <c r="N32" i="8"/>
  <c r="R32" i="8" s="1"/>
  <c r="V32" i="8" s="1"/>
  <c r="Z32" i="8" s="1"/>
  <c r="AD32" i="8" s="1"/>
  <c r="AH32" i="8" s="1"/>
  <c r="AL32" i="8" s="1"/>
  <c r="AJ31" i="8"/>
  <c r="AI31" i="8"/>
  <c r="R31" i="8"/>
  <c r="V31" i="8" s="1"/>
  <c r="Z31" i="8" s="1"/>
  <c r="AD31" i="8" s="1"/>
  <c r="AH31" i="8" s="1"/>
  <c r="AL31" i="8" s="1"/>
  <c r="N31" i="8"/>
  <c r="AJ30" i="8"/>
  <c r="AI30" i="8"/>
  <c r="N30" i="8"/>
  <c r="R30" i="8" s="1"/>
  <c r="V30" i="8" s="1"/>
  <c r="Z30" i="8" s="1"/>
  <c r="AD30" i="8" s="1"/>
  <c r="AH30" i="8" s="1"/>
  <c r="AL30" i="8" s="1"/>
  <c r="AJ29" i="8"/>
  <c r="AI29" i="8"/>
  <c r="R29" i="8"/>
  <c r="V29" i="8" s="1"/>
  <c r="Z29" i="8" s="1"/>
  <c r="AD29" i="8" s="1"/>
  <c r="AH29" i="8" s="1"/>
  <c r="AL29" i="8" s="1"/>
  <c r="N29" i="8"/>
  <c r="R28" i="8"/>
  <c r="V28" i="8" s="1"/>
  <c r="Z28" i="8" s="1"/>
  <c r="AD28" i="8" s="1"/>
  <c r="AH28" i="8" s="1"/>
  <c r="N28" i="8"/>
  <c r="I28" i="8"/>
  <c r="N27" i="8"/>
  <c r="R27" i="8" s="1"/>
  <c r="V27" i="8" s="1"/>
  <c r="Z27" i="8" s="1"/>
  <c r="AD27" i="8" s="1"/>
  <c r="AH27" i="8" s="1"/>
  <c r="I27" i="8"/>
  <c r="R26" i="8"/>
  <c r="V26" i="8" s="1"/>
  <c r="Z26" i="8" s="1"/>
  <c r="AD26" i="8" s="1"/>
  <c r="AH26" i="8" s="1"/>
  <c r="N26" i="8"/>
  <c r="I26" i="8"/>
  <c r="N25" i="8"/>
  <c r="R25" i="8" s="1"/>
  <c r="V25" i="8" s="1"/>
  <c r="Z25" i="8" s="1"/>
  <c r="AD25" i="8" s="1"/>
  <c r="AH25" i="8" s="1"/>
  <c r="W24" i="8"/>
  <c r="W198" i="8" s="1"/>
  <c r="N23" i="8"/>
  <c r="R23" i="8" s="1"/>
  <c r="V23" i="8" s="1"/>
  <c r="Z23" i="8" s="1"/>
  <c r="AD23" i="8" s="1"/>
  <c r="AH23" i="8" s="1"/>
  <c r="I23" i="8"/>
  <c r="R22" i="8"/>
  <c r="V22" i="8" s="1"/>
  <c r="Z22" i="8" s="1"/>
  <c r="AD22" i="8" s="1"/>
  <c r="AH22" i="8" s="1"/>
  <c r="N22" i="8"/>
  <c r="I22" i="8"/>
  <c r="N21" i="8"/>
  <c r="R21" i="8" s="1"/>
  <c r="V21" i="8" s="1"/>
  <c r="Z21" i="8" s="1"/>
  <c r="AD21" i="8" s="1"/>
  <c r="AH21" i="8" s="1"/>
  <c r="AB20" i="8"/>
  <c r="AB198" i="8" s="1"/>
  <c r="N20" i="8"/>
  <c r="R20" i="8" s="1"/>
  <c r="V20" i="8" s="1"/>
  <c r="Z20" i="8" s="1"/>
  <c r="AD20" i="8" s="1"/>
  <c r="AH20" i="8" s="1"/>
  <c r="R19" i="8"/>
  <c r="V19" i="8" s="1"/>
  <c r="Z19" i="8" s="1"/>
  <c r="AD19" i="8" s="1"/>
  <c r="AH19" i="8" s="1"/>
  <c r="N19" i="8"/>
  <c r="N18" i="8"/>
  <c r="R18" i="8" s="1"/>
  <c r="V18" i="8" s="1"/>
  <c r="Z18" i="8" s="1"/>
  <c r="AD18" i="8" s="1"/>
  <c r="AH18" i="8" s="1"/>
  <c r="R17" i="8"/>
  <c r="V17" i="8" s="1"/>
  <c r="Z17" i="8" s="1"/>
  <c r="AD17" i="8" s="1"/>
  <c r="AH17" i="8" s="1"/>
  <c r="N17" i="8"/>
  <c r="N16" i="8"/>
  <c r="R16" i="8" s="1"/>
  <c r="V16" i="8" s="1"/>
  <c r="Z16" i="8" s="1"/>
  <c r="AD16" i="8" s="1"/>
  <c r="AH16" i="8" s="1"/>
  <c r="R15" i="8"/>
  <c r="V15" i="8" s="1"/>
  <c r="Z15" i="8" s="1"/>
  <c r="AD15" i="8" s="1"/>
  <c r="AH15" i="8" s="1"/>
  <c r="N15" i="8"/>
  <c r="N14" i="8"/>
  <c r="R14" i="8" s="1"/>
  <c r="V14" i="8" s="1"/>
  <c r="Z14" i="8" s="1"/>
  <c r="AD14" i="8" s="1"/>
  <c r="AH14" i="8" s="1"/>
  <c r="R13" i="8"/>
  <c r="V13" i="8" s="1"/>
  <c r="Z13" i="8" s="1"/>
  <c r="AD13" i="8" s="1"/>
  <c r="AH13" i="8" s="1"/>
  <c r="N13" i="8"/>
  <c r="N12" i="8"/>
  <c r="R12" i="8" s="1"/>
  <c r="V12" i="8" s="1"/>
  <c r="Z12" i="8" s="1"/>
  <c r="AD12" i="8" s="1"/>
  <c r="AH12" i="8" s="1"/>
  <c r="R11" i="8"/>
  <c r="V11" i="8" s="1"/>
  <c r="Z11" i="8" s="1"/>
  <c r="AD11" i="8" s="1"/>
  <c r="AH11" i="8" s="1"/>
  <c r="N11" i="8"/>
  <c r="N10" i="8"/>
  <c r="R10" i="8" s="1"/>
  <c r="V10" i="8" s="1"/>
  <c r="Z10" i="8" s="1"/>
  <c r="AD10" i="8" s="1"/>
  <c r="AH10" i="8" s="1"/>
  <c r="R9" i="8"/>
  <c r="V9" i="8" s="1"/>
  <c r="Z9" i="8" s="1"/>
  <c r="AD9" i="8" s="1"/>
  <c r="AH9" i="8" s="1"/>
  <c r="N9" i="8"/>
  <c r="N8" i="8"/>
  <c r="R8" i="8" s="1"/>
  <c r="V8" i="8" s="1"/>
  <c r="Z8" i="8" s="1"/>
  <c r="AD8" i="8" s="1"/>
  <c r="AH8" i="8" s="1"/>
  <c r="R7" i="8"/>
  <c r="V7" i="8" s="1"/>
  <c r="Z7" i="8" s="1"/>
  <c r="AD7" i="8" s="1"/>
  <c r="AH7" i="8" s="1"/>
  <c r="N7" i="8"/>
  <c r="N6" i="8"/>
  <c r="N198" i="8" s="1"/>
  <c r="I198" i="8" l="1"/>
  <c r="AJ198" i="8"/>
  <c r="R6" i="8"/>
  <c r="Z24" i="8"/>
  <c r="AD24" i="8" s="1"/>
  <c r="AH24" i="8" s="1"/>
  <c r="AI198" i="8"/>
  <c r="AL131" i="8"/>
  <c r="AL147" i="8"/>
  <c r="AL106" i="8"/>
  <c r="AL110" i="8"/>
  <c r="AL114" i="8"/>
  <c r="AL118" i="8"/>
  <c r="AL105" i="8"/>
  <c r="AL198" i="8" s="1"/>
  <c r="AL201" i="8" s="1"/>
  <c r="AL109" i="8"/>
  <c r="AL113" i="8"/>
  <c r="AL117" i="8"/>
  <c r="AL123" i="8"/>
  <c r="AL139" i="8"/>
  <c r="AL166" i="8"/>
  <c r="R198" i="8" l="1"/>
  <c r="R201" i="8" s="1"/>
  <c r="V6" i="8"/>
  <c r="V198" i="8" l="1"/>
  <c r="V201" i="8" s="1"/>
  <c r="Z6" i="8"/>
  <c r="Z198" i="8" l="1"/>
  <c r="Z201" i="8" s="1"/>
  <c r="AD6" i="8"/>
  <c r="AD198" i="8" l="1"/>
  <c r="AD201" i="8" s="1"/>
  <c r="AH6" i="8"/>
  <c r="AH198" i="8" s="1"/>
  <c r="AH201" i="8" s="1"/>
  <c r="J202" i="4" l="1"/>
  <c r="AC194" i="4"/>
  <c r="AB194" i="4"/>
  <c r="Y194" i="4"/>
  <c r="X194" i="4"/>
  <c r="W194" i="4"/>
  <c r="U194" i="4"/>
  <c r="T194" i="4"/>
  <c r="S194" i="4"/>
  <c r="R194" i="4"/>
  <c r="Q194" i="4"/>
  <c r="M194" i="4"/>
  <c r="J194" i="4"/>
  <c r="E194" i="4"/>
  <c r="V193" i="4"/>
  <c r="Z193" i="4" s="1"/>
  <c r="AD193" i="4" s="1"/>
  <c r="N193" i="4"/>
  <c r="AD192" i="4"/>
  <c r="AD191" i="4"/>
  <c r="AD190" i="4"/>
  <c r="AD189" i="4"/>
  <c r="AD188" i="4"/>
  <c r="AD187" i="4"/>
  <c r="AD186" i="4"/>
  <c r="AD185" i="4"/>
  <c r="AD184" i="4"/>
  <c r="AD183" i="4"/>
  <c r="AD182" i="4"/>
  <c r="AD181" i="4"/>
  <c r="AD180" i="4"/>
  <c r="AD179" i="4"/>
  <c r="AD178" i="4"/>
  <c r="AD177" i="4"/>
  <c r="AD176" i="4"/>
  <c r="AD175" i="4"/>
  <c r="AD174" i="4"/>
  <c r="AD173" i="4"/>
  <c r="Z173" i="4"/>
  <c r="Z172" i="4"/>
  <c r="AD172" i="4" s="1"/>
  <c r="AD171" i="4"/>
  <c r="Z171" i="4"/>
  <c r="Z170" i="4"/>
  <c r="AD170" i="4" s="1"/>
  <c r="AD169" i="4"/>
  <c r="Z169" i="4"/>
  <c r="Z168" i="4"/>
  <c r="AD168" i="4" s="1"/>
  <c r="AD167" i="4"/>
  <c r="Z167" i="4"/>
  <c r="I167" i="4"/>
  <c r="AD166" i="4"/>
  <c r="Z166" i="4"/>
  <c r="I166" i="4"/>
  <c r="Z165" i="4"/>
  <c r="AD165" i="4" s="1"/>
  <c r="I165" i="4"/>
  <c r="Z164" i="4"/>
  <c r="AD164" i="4" s="1"/>
  <c r="I164" i="4"/>
  <c r="Z163" i="4"/>
  <c r="AD163" i="4" s="1"/>
  <c r="I163" i="4"/>
  <c r="AD162" i="4"/>
  <c r="Z162" i="4"/>
  <c r="I162" i="4"/>
  <c r="Z161" i="4"/>
  <c r="AD161" i="4" s="1"/>
  <c r="I161" i="4"/>
  <c r="Z160" i="4"/>
  <c r="AD160" i="4" s="1"/>
  <c r="I160" i="4"/>
  <c r="AD159" i="4"/>
  <c r="Z159" i="4"/>
  <c r="I159" i="4"/>
  <c r="AD158" i="4"/>
  <c r="Z158" i="4"/>
  <c r="I158" i="4"/>
  <c r="Z157" i="4"/>
  <c r="AD157" i="4" s="1"/>
  <c r="I157" i="4"/>
  <c r="AD156" i="4"/>
  <c r="Z156" i="4"/>
  <c r="I156" i="4"/>
  <c r="Z155" i="4"/>
  <c r="AD155" i="4" s="1"/>
  <c r="I155" i="4"/>
  <c r="AD154" i="4"/>
  <c r="Z154" i="4"/>
  <c r="I154" i="4"/>
  <c r="Z153" i="4"/>
  <c r="AD153" i="4" s="1"/>
  <c r="I153" i="4"/>
  <c r="Z152" i="4"/>
  <c r="AD152" i="4" s="1"/>
  <c r="I152" i="4"/>
  <c r="Z151" i="4"/>
  <c r="AD151" i="4" s="1"/>
  <c r="I151" i="4"/>
  <c r="AD150" i="4"/>
  <c r="Z150" i="4"/>
  <c r="I150" i="4"/>
  <c r="Z149" i="4"/>
  <c r="AD149" i="4" s="1"/>
  <c r="I149" i="4"/>
  <c r="Z148" i="4"/>
  <c r="AD148" i="4" s="1"/>
  <c r="I148" i="4"/>
  <c r="Z147" i="4"/>
  <c r="AD147" i="4" s="1"/>
  <c r="I147" i="4"/>
  <c r="AD146" i="4"/>
  <c r="Z146" i="4"/>
  <c r="I146" i="4"/>
  <c r="Z145" i="4"/>
  <c r="AD145" i="4" s="1"/>
  <c r="I145" i="4"/>
  <c r="V144" i="4"/>
  <c r="Z144" i="4" s="1"/>
  <c r="AD144" i="4" s="1"/>
  <c r="V143" i="4"/>
  <c r="Z143" i="4" s="1"/>
  <c r="AD143" i="4" s="1"/>
  <c r="O143" i="4"/>
  <c r="V142" i="4"/>
  <c r="Z142" i="4" s="1"/>
  <c r="AD142" i="4" s="1"/>
  <c r="O142" i="4"/>
  <c r="V141" i="4"/>
  <c r="Z141" i="4" s="1"/>
  <c r="AD141" i="4" s="1"/>
  <c r="O141" i="4"/>
  <c r="V140" i="4"/>
  <c r="Z140" i="4" s="1"/>
  <c r="AD140" i="4" s="1"/>
  <c r="O140" i="4"/>
  <c r="V139" i="4"/>
  <c r="Z139" i="4" s="1"/>
  <c r="AD139" i="4" s="1"/>
  <c r="O139" i="4"/>
  <c r="V138" i="4"/>
  <c r="Z138" i="4" s="1"/>
  <c r="AD138" i="4" s="1"/>
  <c r="O138" i="4"/>
  <c r="V137" i="4"/>
  <c r="Z137" i="4" s="1"/>
  <c r="AD137" i="4" s="1"/>
  <c r="O137" i="4"/>
  <c r="V136" i="4"/>
  <c r="Z136" i="4" s="1"/>
  <c r="AD136" i="4" s="1"/>
  <c r="O136" i="4"/>
  <c r="V135" i="4"/>
  <c r="Z135" i="4" s="1"/>
  <c r="AD135" i="4" s="1"/>
  <c r="O135" i="4"/>
  <c r="V134" i="4"/>
  <c r="Z134" i="4" s="1"/>
  <c r="AD134" i="4" s="1"/>
  <c r="O134" i="4"/>
  <c r="V133" i="4"/>
  <c r="Z133" i="4" s="1"/>
  <c r="AD133" i="4" s="1"/>
  <c r="O133" i="4"/>
  <c r="K133" i="4"/>
  <c r="N133" i="4" s="1"/>
  <c r="Z132" i="4"/>
  <c r="AD132" i="4" s="1"/>
  <c r="V132" i="4"/>
  <c r="O132" i="4"/>
  <c r="K132" i="4"/>
  <c r="N132" i="4" s="1"/>
  <c r="V131" i="4"/>
  <c r="Z131" i="4" s="1"/>
  <c r="AD131" i="4" s="1"/>
  <c r="O131" i="4"/>
  <c r="K131" i="4"/>
  <c r="N131" i="4" s="1"/>
  <c r="Z130" i="4"/>
  <c r="AD130" i="4" s="1"/>
  <c r="V130" i="4"/>
  <c r="O130" i="4"/>
  <c r="K130" i="4"/>
  <c r="N130" i="4" s="1"/>
  <c r="V129" i="4"/>
  <c r="Z129" i="4" s="1"/>
  <c r="AD129" i="4" s="1"/>
  <c r="O129" i="4"/>
  <c r="K129" i="4"/>
  <c r="N129" i="4" s="1"/>
  <c r="Z128" i="4"/>
  <c r="AD128" i="4" s="1"/>
  <c r="V128" i="4"/>
  <c r="O128" i="4"/>
  <c r="K128" i="4"/>
  <c r="N128" i="4" s="1"/>
  <c r="V127" i="4"/>
  <c r="Z127" i="4" s="1"/>
  <c r="AD127" i="4" s="1"/>
  <c r="O127" i="4"/>
  <c r="K127" i="4"/>
  <c r="N127" i="4" s="1"/>
  <c r="Z126" i="4"/>
  <c r="AD126" i="4" s="1"/>
  <c r="V126" i="4"/>
  <c r="O126" i="4"/>
  <c r="K126" i="4"/>
  <c r="N126" i="4" s="1"/>
  <c r="V125" i="4"/>
  <c r="Z125" i="4" s="1"/>
  <c r="AD125" i="4" s="1"/>
  <c r="O125" i="4"/>
  <c r="K125" i="4"/>
  <c r="N125" i="4" s="1"/>
  <c r="Z124" i="4"/>
  <c r="AD124" i="4" s="1"/>
  <c r="V124" i="4"/>
  <c r="O124" i="4"/>
  <c r="K124" i="4"/>
  <c r="N124" i="4" s="1"/>
  <c r="V123" i="4"/>
  <c r="Z123" i="4" s="1"/>
  <c r="AD123" i="4" s="1"/>
  <c r="O123" i="4"/>
  <c r="K123" i="4"/>
  <c r="N123" i="4" s="1"/>
  <c r="Z122" i="4"/>
  <c r="AD122" i="4" s="1"/>
  <c r="V122" i="4"/>
  <c r="O122" i="4"/>
  <c r="K122" i="4"/>
  <c r="N122" i="4" s="1"/>
  <c r="V121" i="4"/>
  <c r="Z121" i="4" s="1"/>
  <c r="AD121" i="4" s="1"/>
  <c r="O121" i="4"/>
  <c r="K121" i="4"/>
  <c r="N121" i="4" s="1"/>
  <c r="Z120" i="4"/>
  <c r="AD120" i="4" s="1"/>
  <c r="V120" i="4"/>
  <c r="O120" i="4"/>
  <c r="K120" i="4"/>
  <c r="N120" i="4" s="1"/>
  <c r="V119" i="4"/>
  <c r="Z119" i="4" s="1"/>
  <c r="AD119" i="4" s="1"/>
  <c r="O119" i="4"/>
  <c r="K119" i="4"/>
  <c r="N119" i="4" s="1"/>
  <c r="Z118" i="4"/>
  <c r="AD118" i="4" s="1"/>
  <c r="V118" i="4"/>
  <c r="O118" i="4"/>
  <c r="K118" i="4"/>
  <c r="N118" i="4" s="1"/>
  <c r="V117" i="4"/>
  <c r="Z117" i="4" s="1"/>
  <c r="AD117" i="4" s="1"/>
  <c r="O117" i="4"/>
  <c r="K117" i="4"/>
  <c r="N117" i="4" s="1"/>
  <c r="Z116" i="4"/>
  <c r="AD116" i="4" s="1"/>
  <c r="V116" i="4"/>
  <c r="O116" i="4"/>
  <c r="K116" i="4"/>
  <c r="N116" i="4" s="1"/>
  <c r="V115" i="4"/>
  <c r="Z115" i="4" s="1"/>
  <c r="AD115" i="4" s="1"/>
  <c r="O115" i="4"/>
  <c r="K115" i="4"/>
  <c r="N115" i="4" s="1"/>
  <c r="Z114" i="4"/>
  <c r="AD114" i="4" s="1"/>
  <c r="V114" i="4"/>
  <c r="O114" i="4"/>
  <c r="K114" i="4"/>
  <c r="N114" i="4" s="1"/>
  <c r="V113" i="4"/>
  <c r="Z113" i="4" s="1"/>
  <c r="AD113" i="4" s="1"/>
  <c r="O113" i="4"/>
  <c r="K113" i="4"/>
  <c r="N113" i="4" s="1"/>
  <c r="Z112" i="4"/>
  <c r="AD112" i="4" s="1"/>
  <c r="V112" i="4"/>
  <c r="O112" i="4"/>
  <c r="K112" i="4"/>
  <c r="N112" i="4" s="1"/>
  <c r="V111" i="4"/>
  <c r="Z111" i="4" s="1"/>
  <c r="AD111" i="4" s="1"/>
  <c r="O111" i="4"/>
  <c r="K111" i="4"/>
  <c r="N111" i="4" s="1"/>
  <c r="Z110" i="4"/>
  <c r="AD110" i="4" s="1"/>
  <c r="V110" i="4"/>
  <c r="O110" i="4"/>
  <c r="K110" i="4"/>
  <c r="N110" i="4" s="1"/>
  <c r="V109" i="4"/>
  <c r="Z109" i="4" s="1"/>
  <c r="AD109" i="4" s="1"/>
  <c r="O109" i="4"/>
  <c r="K109" i="4"/>
  <c r="N109" i="4" s="1"/>
  <c r="Z108" i="4"/>
  <c r="AD108" i="4" s="1"/>
  <c r="V108" i="4"/>
  <c r="O108" i="4"/>
  <c r="K108" i="4"/>
  <c r="N108" i="4" s="1"/>
  <c r="V107" i="4"/>
  <c r="Z107" i="4" s="1"/>
  <c r="AD107" i="4" s="1"/>
  <c r="O107" i="4"/>
  <c r="K107" i="4"/>
  <c r="N107" i="4" s="1"/>
  <c r="Z106" i="4"/>
  <c r="AD106" i="4" s="1"/>
  <c r="V106" i="4"/>
  <c r="O106" i="4"/>
  <c r="K106" i="4"/>
  <c r="N106" i="4" s="1"/>
  <c r="V105" i="4"/>
  <c r="Z105" i="4" s="1"/>
  <c r="AD105" i="4" s="1"/>
  <c r="O105" i="4"/>
  <c r="K105" i="4"/>
  <c r="N105" i="4" s="1"/>
  <c r="Z104" i="4"/>
  <c r="AD104" i="4" s="1"/>
  <c r="V104" i="4"/>
  <c r="O104" i="4"/>
  <c r="K104" i="4"/>
  <c r="N104" i="4" s="1"/>
  <c r="V103" i="4"/>
  <c r="Z103" i="4" s="1"/>
  <c r="AD103" i="4" s="1"/>
  <c r="O103" i="4"/>
  <c r="K103" i="4"/>
  <c r="N103" i="4" s="1"/>
  <c r="Z102" i="4"/>
  <c r="AD102" i="4" s="1"/>
  <c r="V102" i="4"/>
  <c r="O102" i="4"/>
  <c r="K102" i="4"/>
  <c r="N102" i="4" s="1"/>
  <c r="V101" i="4"/>
  <c r="Z101" i="4" s="1"/>
  <c r="AD101" i="4" s="1"/>
  <c r="O101" i="4"/>
  <c r="K101" i="4"/>
  <c r="N101" i="4" s="1"/>
  <c r="Z100" i="4"/>
  <c r="AD100" i="4" s="1"/>
  <c r="V100" i="4"/>
  <c r="O100" i="4"/>
  <c r="K100" i="4"/>
  <c r="N100" i="4" s="1"/>
  <c r="V99" i="4"/>
  <c r="Z99" i="4" s="1"/>
  <c r="AD99" i="4" s="1"/>
  <c r="O99" i="4"/>
  <c r="K99" i="4"/>
  <c r="N99" i="4" s="1"/>
  <c r="Z98" i="4"/>
  <c r="AD98" i="4" s="1"/>
  <c r="V98" i="4"/>
  <c r="O98" i="4"/>
  <c r="K98" i="4"/>
  <c r="N98" i="4" s="1"/>
  <c r="V97" i="4"/>
  <c r="Z97" i="4" s="1"/>
  <c r="AD97" i="4" s="1"/>
  <c r="O97" i="4"/>
  <c r="K97" i="4"/>
  <c r="N97" i="4" s="1"/>
  <c r="Z96" i="4"/>
  <c r="AD96" i="4" s="1"/>
  <c r="V96" i="4"/>
  <c r="O96" i="4"/>
  <c r="K96" i="4"/>
  <c r="N96" i="4" s="1"/>
  <c r="V95" i="4"/>
  <c r="Z95" i="4" s="1"/>
  <c r="AD95" i="4" s="1"/>
  <c r="O95" i="4"/>
  <c r="K95" i="4"/>
  <c r="N95" i="4" s="1"/>
  <c r="Z94" i="4"/>
  <c r="AD94" i="4" s="1"/>
  <c r="V94" i="4"/>
  <c r="O94" i="4"/>
  <c r="K94" i="4"/>
  <c r="N94" i="4" s="1"/>
  <c r="V93" i="4"/>
  <c r="Z93" i="4" s="1"/>
  <c r="AD93" i="4" s="1"/>
  <c r="O93" i="4"/>
  <c r="K93" i="4"/>
  <c r="N93" i="4" s="1"/>
  <c r="Z92" i="4"/>
  <c r="AD92" i="4" s="1"/>
  <c r="V92" i="4"/>
  <c r="O92" i="4"/>
  <c r="K92" i="4"/>
  <c r="N92" i="4" s="1"/>
  <c r="V91" i="4"/>
  <c r="Z91" i="4" s="1"/>
  <c r="AD91" i="4" s="1"/>
  <c r="O91" i="4"/>
  <c r="K91" i="4"/>
  <c r="N91" i="4" s="1"/>
  <c r="Z90" i="4"/>
  <c r="AD90" i="4" s="1"/>
  <c r="V90" i="4"/>
  <c r="O90" i="4"/>
  <c r="K90" i="4"/>
  <c r="N90" i="4" s="1"/>
  <c r="V89" i="4"/>
  <c r="Z89" i="4" s="1"/>
  <c r="AD89" i="4" s="1"/>
  <c r="O89" i="4"/>
  <c r="K89" i="4"/>
  <c r="N89" i="4" s="1"/>
  <c r="Z88" i="4"/>
  <c r="AD88" i="4" s="1"/>
  <c r="V88" i="4"/>
  <c r="O88" i="4"/>
  <c r="K88" i="4"/>
  <c r="N88" i="4" s="1"/>
  <c r="V87" i="4"/>
  <c r="Z87" i="4" s="1"/>
  <c r="AD87" i="4" s="1"/>
  <c r="O87" i="4"/>
  <c r="K87" i="4"/>
  <c r="N87" i="4" s="1"/>
  <c r="Z86" i="4"/>
  <c r="AD86" i="4" s="1"/>
  <c r="V86" i="4"/>
  <c r="O86" i="4"/>
  <c r="K86" i="4"/>
  <c r="N86" i="4" s="1"/>
  <c r="V85" i="4"/>
  <c r="Z85" i="4" s="1"/>
  <c r="AD85" i="4" s="1"/>
  <c r="O85" i="4"/>
  <c r="K85" i="4"/>
  <c r="N85" i="4" s="1"/>
  <c r="Z84" i="4"/>
  <c r="AD84" i="4" s="1"/>
  <c r="V84" i="4"/>
  <c r="O84" i="4"/>
  <c r="K84" i="4"/>
  <c r="N84" i="4" s="1"/>
  <c r="V83" i="4"/>
  <c r="Z83" i="4" s="1"/>
  <c r="AD83" i="4" s="1"/>
  <c r="O83" i="4"/>
  <c r="K83" i="4"/>
  <c r="N83" i="4" s="1"/>
  <c r="Z82" i="4"/>
  <c r="AD82" i="4" s="1"/>
  <c r="V82" i="4"/>
  <c r="O82" i="4"/>
  <c r="K82" i="4"/>
  <c r="N82" i="4" s="1"/>
  <c r="AA81" i="4"/>
  <c r="AD81" i="4" s="1"/>
  <c r="AD80" i="4"/>
  <c r="V79" i="4"/>
  <c r="Z79" i="4" s="1"/>
  <c r="AD79" i="4" s="1"/>
  <c r="O79" i="4"/>
  <c r="N79" i="4"/>
  <c r="K79" i="4"/>
  <c r="V78" i="4"/>
  <c r="Z78" i="4" s="1"/>
  <c r="AD78" i="4" s="1"/>
  <c r="O78" i="4"/>
  <c r="K78" i="4"/>
  <c r="N78" i="4" s="1"/>
  <c r="V77" i="4"/>
  <c r="Z77" i="4" s="1"/>
  <c r="AD77" i="4" s="1"/>
  <c r="O77" i="4"/>
  <c r="N77" i="4"/>
  <c r="K77" i="4"/>
  <c r="V76" i="4"/>
  <c r="Z76" i="4" s="1"/>
  <c r="AD76" i="4" s="1"/>
  <c r="O76" i="4"/>
  <c r="K76" i="4"/>
  <c r="N76" i="4" s="1"/>
  <c r="V75" i="4"/>
  <c r="Z75" i="4" s="1"/>
  <c r="AD75" i="4" s="1"/>
  <c r="O75" i="4"/>
  <c r="N75" i="4"/>
  <c r="K75" i="4"/>
  <c r="V74" i="4"/>
  <c r="Z74" i="4" s="1"/>
  <c r="AD74" i="4" s="1"/>
  <c r="O74" i="4"/>
  <c r="K74" i="4"/>
  <c r="N74" i="4" s="1"/>
  <c r="V73" i="4"/>
  <c r="Z73" i="4" s="1"/>
  <c r="AD73" i="4" s="1"/>
  <c r="O73" i="4"/>
  <c r="N73" i="4"/>
  <c r="K73" i="4"/>
  <c r="V72" i="4"/>
  <c r="Z72" i="4" s="1"/>
  <c r="AD72" i="4" s="1"/>
  <c r="O72" i="4"/>
  <c r="K72" i="4"/>
  <c r="N72" i="4" s="1"/>
  <c r="V71" i="4"/>
  <c r="Z71" i="4" s="1"/>
  <c r="AD71" i="4" s="1"/>
  <c r="O71" i="4"/>
  <c r="N71" i="4"/>
  <c r="K71" i="4"/>
  <c r="V70" i="4"/>
  <c r="Z70" i="4" s="1"/>
  <c r="AD70" i="4" s="1"/>
  <c r="O70" i="4"/>
  <c r="K70" i="4"/>
  <c r="N70" i="4" s="1"/>
  <c r="V69" i="4"/>
  <c r="Z69" i="4" s="1"/>
  <c r="AD69" i="4" s="1"/>
  <c r="P69" i="4"/>
  <c r="P194" i="4" s="1"/>
  <c r="O69" i="4"/>
  <c r="L69" i="4"/>
  <c r="L194" i="4" s="1"/>
  <c r="K69" i="4"/>
  <c r="N69" i="4" s="1"/>
  <c r="AD68" i="4"/>
  <c r="V68" i="4"/>
  <c r="Z68" i="4" s="1"/>
  <c r="O68" i="4"/>
  <c r="N68" i="4"/>
  <c r="K68" i="4"/>
  <c r="V67" i="4"/>
  <c r="Z67" i="4" s="1"/>
  <c r="AD67" i="4" s="1"/>
  <c r="O67" i="4"/>
  <c r="K67" i="4"/>
  <c r="N67" i="4" s="1"/>
  <c r="V66" i="4"/>
  <c r="Z66" i="4" s="1"/>
  <c r="AD66" i="4" s="1"/>
  <c r="O66" i="4"/>
  <c r="N66" i="4"/>
  <c r="I66" i="4"/>
  <c r="K66" i="4" s="1"/>
  <c r="Z65" i="4"/>
  <c r="AD65" i="4" s="1"/>
  <c r="V65" i="4"/>
  <c r="O65" i="4"/>
  <c r="K65" i="4"/>
  <c r="N65" i="4" s="1"/>
  <c r="I65" i="4"/>
  <c r="V64" i="4"/>
  <c r="Z64" i="4" s="1"/>
  <c r="AD64" i="4" s="1"/>
  <c r="K64" i="4"/>
  <c r="N64" i="4" s="1"/>
  <c r="I64" i="4"/>
  <c r="O64" i="4" s="1"/>
  <c r="V63" i="4"/>
  <c r="Z63" i="4" s="1"/>
  <c r="AD63" i="4" s="1"/>
  <c r="O63" i="4"/>
  <c r="K63" i="4"/>
  <c r="N63" i="4" s="1"/>
  <c r="I63" i="4"/>
  <c r="V62" i="4"/>
  <c r="Z62" i="4" s="1"/>
  <c r="AD62" i="4" s="1"/>
  <c r="O62" i="4"/>
  <c r="N62" i="4"/>
  <c r="K62" i="4"/>
  <c r="AD61" i="4"/>
  <c r="Z61" i="4"/>
  <c r="V61" i="4"/>
  <c r="K61" i="4"/>
  <c r="N61" i="4" s="1"/>
  <c r="I61" i="4"/>
  <c r="O61" i="4" s="1"/>
  <c r="V60" i="4"/>
  <c r="Z60" i="4" s="1"/>
  <c r="AD60" i="4" s="1"/>
  <c r="O60" i="4"/>
  <c r="N60" i="4"/>
  <c r="K60" i="4"/>
  <c r="Z59" i="4"/>
  <c r="AD59" i="4" s="1"/>
  <c r="V59" i="4"/>
  <c r="K59" i="4"/>
  <c r="N59" i="4" s="1"/>
  <c r="I59" i="4"/>
  <c r="O59" i="4" s="1"/>
  <c r="V58" i="4"/>
  <c r="Z58" i="4" s="1"/>
  <c r="AD58" i="4" s="1"/>
  <c r="I58" i="4"/>
  <c r="O58" i="4" s="1"/>
  <c r="V57" i="4"/>
  <c r="Z57" i="4" s="1"/>
  <c r="AD57" i="4" s="1"/>
  <c r="O57" i="4"/>
  <c r="N57" i="4"/>
  <c r="K57" i="4"/>
  <c r="Z56" i="4"/>
  <c r="AD56" i="4" s="1"/>
  <c r="V56" i="4"/>
  <c r="O56" i="4"/>
  <c r="K56" i="4"/>
  <c r="N56" i="4" s="1"/>
  <c r="V55" i="4"/>
  <c r="Z55" i="4" s="1"/>
  <c r="AD55" i="4" s="1"/>
  <c r="O55" i="4"/>
  <c r="N55" i="4"/>
  <c r="K55" i="4"/>
  <c r="Z54" i="4"/>
  <c r="AD54" i="4" s="1"/>
  <c r="V54" i="4"/>
  <c r="O54" i="4"/>
  <c r="K54" i="4"/>
  <c r="N54" i="4" s="1"/>
  <c r="V53" i="4"/>
  <c r="Z53" i="4" s="1"/>
  <c r="AD53" i="4" s="1"/>
  <c r="O53" i="4"/>
  <c r="N53" i="4"/>
  <c r="K53" i="4"/>
  <c r="Z52" i="4"/>
  <c r="AD52" i="4" s="1"/>
  <c r="V52" i="4"/>
  <c r="O52" i="4"/>
  <c r="K52" i="4"/>
  <c r="N52" i="4" s="1"/>
  <c r="V51" i="4"/>
  <c r="Z51" i="4" s="1"/>
  <c r="AD51" i="4" s="1"/>
  <c r="O51" i="4"/>
  <c r="N51" i="4"/>
  <c r="K51" i="4"/>
  <c r="Z50" i="4"/>
  <c r="AD50" i="4" s="1"/>
  <c r="V50" i="4"/>
  <c r="O50" i="4"/>
  <c r="K50" i="4"/>
  <c r="N50" i="4" s="1"/>
  <c r="V49" i="4"/>
  <c r="Z49" i="4" s="1"/>
  <c r="AD49" i="4" s="1"/>
  <c r="O49" i="4"/>
  <c r="N49" i="4"/>
  <c r="K49" i="4"/>
  <c r="Z48" i="4"/>
  <c r="AD48" i="4" s="1"/>
  <c r="V48" i="4"/>
  <c r="O48" i="4"/>
  <c r="K48" i="4"/>
  <c r="N48" i="4" s="1"/>
  <c r="V47" i="4"/>
  <c r="Z47" i="4" s="1"/>
  <c r="AD47" i="4" s="1"/>
  <c r="O47" i="4"/>
  <c r="N47" i="4"/>
  <c r="K47" i="4"/>
  <c r="Z46" i="4"/>
  <c r="AD46" i="4" s="1"/>
  <c r="V46" i="4"/>
  <c r="O46" i="4"/>
  <c r="K46" i="4"/>
  <c r="N46" i="4" s="1"/>
  <c r="V45" i="4"/>
  <c r="Z45" i="4" s="1"/>
  <c r="AD45" i="4" s="1"/>
  <c r="O45" i="4"/>
  <c r="N45" i="4"/>
  <c r="K45" i="4"/>
  <c r="Z44" i="4"/>
  <c r="AD44" i="4" s="1"/>
  <c r="V44" i="4"/>
  <c r="O44" i="4"/>
  <c r="K44" i="4"/>
  <c r="N44" i="4" s="1"/>
  <c r="V43" i="4"/>
  <c r="Z43" i="4" s="1"/>
  <c r="AD43" i="4" s="1"/>
  <c r="O43" i="4"/>
  <c r="N43" i="4"/>
  <c r="K43" i="4"/>
  <c r="Z42" i="4"/>
  <c r="AD42" i="4" s="1"/>
  <c r="V42" i="4"/>
  <c r="O42" i="4"/>
  <c r="K42" i="4"/>
  <c r="N42" i="4" s="1"/>
  <c r="V41" i="4"/>
  <c r="Z41" i="4" s="1"/>
  <c r="AD41" i="4" s="1"/>
  <c r="O41" i="4"/>
  <c r="N41" i="4"/>
  <c r="K41" i="4"/>
  <c r="Z40" i="4"/>
  <c r="AD40" i="4" s="1"/>
  <c r="V40" i="4"/>
  <c r="O40" i="4"/>
  <c r="K40" i="4"/>
  <c r="N40" i="4" s="1"/>
  <c r="V39" i="4"/>
  <c r="Z39" i="4" s="1"/>
  <c r="AD39" i="4" s="1"/>
  <c r="O39" i="4"/>
  <c r="N39" i="4"/>
  <c r="K39" i="4"/>
  <c r="Z38" i="4"/>
  <c r="AD38" i="4" s="1"/>
  <c r="V38" i="4"/>
  <c r="O38" i="4"/>
  <c r="K38" i="4"/>
  <c r="N38" i="4" s="1"/>
  <c r="V37" i="4"/>
  <c r="Z37" i="4" s="1"/>
  <c r="AD37" i="4" s="1"/>
  <c r="O37" i="4"/>
  <c r="N37" i="4"/>
  <c r="K37" i="4"/>
  <c r="Z36" i="4"/>
  <c r="AD36" i="4" s="1"/>
  <c r="V36" i="4"/>
  <c r="O36" i="4"/>
  <c r="K36" i="4"/>
  <c r="N36" i="4" s="1"/>
  <c r="V35" i="4"/>
  <c r="Z35" i="4" s="1"/>
  <c r="AD35" i="4" s="1"/>
  <c r="O35" i="4"/>
  <c r="N35" i="4"/>
  <c r="K35" i="4"/>
  <c r="Z34" i="4"/>
  <c r="AD34" i="4" s="1"/>
  <c r="V34" i="4"/>
  <c r="O34" i="4"/>
  <c r="K34" i="4"/>
  <c r="N34" i="4" s="1"/>
  <c r="V33" i="4"/>
  <c r="Z33" i="4" s="1"/>
  <c r="AD33" i="4" s="1"/>
  <c r="O33" i="4"/>
  <c r="N33" i="4"/>
  <c r="K33" i="4"/>
  <c r="Z32" i="4"/>
  <c r="AD32" i="4" s="1"/>
  <c r="V32" i="4"/>
  <c r="O32" i="4"/>
  <c r="K32" i="4"/>
  <c r="N32" i="4" s="1"/>
  <c r="V31" i="4"/>
  <c r="Z31" i="4" s="1"/>
  <c r="AD31" i="4" s="1"/>
  <c r="O31" i="4"/>
  <c r="N31" i="4"/>
  <c r="K31" i="4"/>
  <c r="Z30" i="4"/>
  <c r="AD30" i="4" s="1"/>
  <c r="V30" i="4"/>
  <c r="O30" i="4"/>
  <c r="K30" i="4"/>
  <c r="N30" i="4" s="1"/>
  <c r="V29" i="4"/>
  <c r="Z29" i="4" s="1"/>
  <c r="AD29" i="4" s="1"/>
  <c r="O29" i="4"/>
  <c r="N29" i="4"/>
  <c r="K29" i="4"/>
  <c r="Z28" i="4"/>
  <c r="AD28" i="4" s="1"/>
  <c r="V28" i="4"/>
  <c r="O28" i="4"/>
  <c r="K28" i="4"/>
  <c r="N28" i="4" s="1"/>
  <c r="V27" i="4"/>
  <c r="Z27" i="4" s="1"/>
  <c r="AD27" i="4" s="1"/>
  <c r="O27" i="4"/>
  <c r="N27" i="4"/>
  <c r="K27" i="4"/>
  <c r="Z26" i="4"/>
  <c r="AD26" i="4" s="1"/>
  <c r="V26" i="4"/>
  <c r="O26" i="4"/>
  <c r="K26" i="4"/>
  <c r="N26" i="4" s="1"/>
  <c r="V25" i="4"/>
  <c r="Z25" i="4" s="1"/>
  <c r="AD25" i="4" s="1"/>
  <c r="O25" i="4"/>
  <c r="N25" i="4"/>
  <c r="K25" i="4"/>
  <c r="Z24" i="4"/>
  <c r="AD24" i="4" s="1"/>
  <c r="V24" i="4"/>
  <c r="O24" i="4"/>
  <c r="K24" i="4"/>
  <c r="N24" i="4" s="1"/>
  <c r="V23" i="4"/>
  <c r="Z23" i="4" s="1"/>
  <c r="AD23" i="4" s="1"/>
  <c r="O23" i="4"/>
  <c r="N23" i="4"/>
  <c r="K23" i="4"/>
  <c r="Z22" i="4"/>
  <c r="AD22" i="4" s="1"/>
  <c r="V22" i="4"/>
  <c r="O22" i="4"/>
  <c r="K22" i="4"/>
  <c r="N22" i="4" s="1"/>
  <c r="V21" i="4"/>
  <c r="Z21" i="4" s="1"/>
  <c r="AD21" i="4" s="1"/>
  <c r="O21" i="4"/>
  <c r="N21" i="4"/>
  <c r="K21" i="4"/>
  <c r="Z20" i="4"/>
  <c r="AD20" i="4" s="1"/>
  <c r="V20" i="4"/>
  <c r="O20" i="4"/>
  <c r="K20" i="4"/>
  <c r="N20" i="4" s="1"/>
  <c r="V19" i="4"/>
  <c r="Z19" i="4" s="1"/>
  <c r="AD19" i="4" s="1"/>
  <c r="O19" i="4"/>
  <c r="N19" i="4"/>
  <c r="K19" i="4"/>
  <c r="Z18" i="4"/>
  <c r="AD18" i="4" s="1"/>
  <c r="V18" i="4"/>
  <c r="O18" i="4"/>
  <c r="K18" i="4"/>
  <c r="N18" i="4" s="1"/>
  <c r="V17" i="4"/>
  <c r="Z17" i="4" s="1"/>
  <c r="AD17" i="4" s="1"/>
  <c r="O17" i="4"/>
  <c r="N17" i="4"/>
  <c r="K17" i="4"/>
  <c r="Z16" i="4"/>
  <c r="AD16" i="4" s="1"/>
  <c r="V16" i="4"/>
  <c r="O16" i="4"/>
  <c r="K16" i="4"/>
  <c r="N16" i="4" s="1"/>
  <c r="V15" i="4"/>
  <c r="Z15" i="4" s="1"/>
  <c r="AD15" i="4" s="1"/>
  <c r="O15" i="4"/>
  <c r="N15" i="4"/>
  <c r="K15" i="4"/>
  <c r="Z14" i="4"/>
  <c r="AD14" i="4" s="1"/>
  <c r="V14" i="4"/>
  <c r="O14" i="4"/>
  <c r="K14" i="4"/>
  <c r="N14" i="4" s="1"/>
  <c r="V13" i="4"/>
  <c r="Z13" i="4" s="1"/>
  <c r="AD13" i="4" s="1"/>
  <c r="O13" i="4"/>
  <c r="N13" i="4"/>
  <c r="K13" i="4"/>
  <c r="Z12" i="4"/>
  <c r="AD12" i="4" s="1"/>
  <c r="V12" i="4"/>
  <c r="O12" i="4"/>
  <c r="K12" i="4"/>
  <c r="N12" i="4" s="1"/>
  <c r="V11" i="4"/>
  <c r="Z11" i="4" s="1"/>
  <c r="AD11" i="4" s="1"/>
  <c r="O11" i="4"/>
  <c r="N11" i="4"/>
  <c r="K11" i="4"/>
  <c r="Z10" i="4"/>
  <c r="AD10" i="4" s="1"/>
  <c r="V10" i="4"/>
  <c r="O10" i="4"/>
  <c r="K10" i="4"/>
  <c r="N10" i="4" s="1"/>
  <c r="V9" i="4"/>
  <c r="Z9" i="4" s="1"/>
  <c r="AD9" i="4" s="1"/>
  <c r="O9" i="4"/>
  <c r="N9" i="4"/>
  <c r="K9" i="4"/>
  <c r="Z8" i="4"/>
  <c r="AD8" i="4" s="1"/>
  <c r="V8" i="4"/>
  <c r="O8" i="4"/>
  <c r="K8" i="4"/>
  <c r="N8" i="4" s="1"/>
  <c r="V7" i="4"/>
  <c r="Z7" i="4" s="1"/>
  <c r="AD7" i="4" s="1"/>
  <c r="O7" i="4"/>
  <c r="N7" i="4"/>
  <c r="K7" i="4"/>
  <c r="Z6" i="4"/>
  <c r="AD6" i="4" s="1"/>
  <c r="AD194" i="4" s="1"/>
  <c r="V6" i="4"/>
  <c r="O6" i="4"/>
  <c r="O194" i="4" s="1"/>
  <c r="K6" i="4"/>
  <c r="K194" i="4" s="1"/>
  <c r="N6" i="4" l="1"/>
  <c r="N194" i="4" s="1"/>
  <c r="Z194" i="4"/>
  <c r="Z197" i="4" s="1"/>
  <c r="K58" i="4"/>
  <c r="N58" i="4" s="1"/>
  <c r="I194" i="4"/>
  <c r="V194" i="4"/>
  <c r="AA194" i="4"/>
  <c r="J182" i="3" l="1"/>
  <c r="Y174" i="3"/>
  <c r="X174" i="3"/>
  <c r="U174" i="3"/>
  <c r="T174" i="3"/>
  <c r="S174" i="3"/>
  <c r="R174" i="3"/>
  <c r="Q174" i="3"/>
  <c r="M174" i="3"/>
  <c r="L174" i="3"/>
  <c r="J174" i="3"/>
  <c r="E174" i="3"/>
  <c r="V173" i="3"/>
  <c r="Z173" i="3" s="1"/>
  <c r="N173" i="3"/>
  <c r="Z172" i="3"/>
  <c r="Z171" i="3"/>
  <c r="Z170" i="3"/>
  <c r="Z169" i="3"/>
  <c r="Z168" i="3"/>
  <c r="Z167" i="3"/>
  <c r="I166" i="3"/>
  <c r="W166" i="3" s="1"/>
  <c r="Z166" i="3" s="1"/>
  <c r="I165" i="3"/>
  <c r="W165" i="3" s="1"/>
  <c r="Z165" i="3" s="1"/>
  <c r="I164" i="3"/>
  <c r="W164" i="3" s="1"/>
  <c r="Z164" i="3" s="1"/>
  <c r="I163" i="3"/>
  <c r="W163" i="3" s="1"/>
  <c r="Z163" i="3" s="1"/>
  <c r="I162" i="3"/>
  <c r="W162" i="3" s="1"/>
  <c r="Z162" i="3" s="1"/>
  <c r="I161" i="3"/>
  <c r="W161" i="3" s="1"/>
  <c r="Z161" i="3" s="1"/>
  <c r="I160" i="3"/>
  <c r="W160" i="3" s="1"/>
  <c r="Z160" i="3" s="1"/>
  <c r="W159" i="3"/>
  <c r="Z159" i="3" s="1"/>
  <c r="I159" i="3"/>
  <c r="I158" i="3"/>
  <c r="W158" i="3" s="1"/>
  <c r="Z158" i="3" s="1"/>
  <c r="I157" i="3"/>
  <c r="W157" i="3" s="1"/>
  <c r="Z157" i="3" s="1"/>
  <c r="Z156" i="3"/>
  <c r="I156" i="3"/>
  <c r="W156" i="3" s="1"/>
  <c r="I155" i="3"/>
  <c r="W155" i="3" s="1"/>
  <c r="Z155" i="3" s="1"/>
  <c r="I154" i="3"/>
  <c r="W154" i="3" s="1"/>
  <c r="Z154" i="3" s="1"/>
  <c r="I153" i="3"/>
  <c r="W153" i="3" s="1"/>
  <c r="Z153" i="3" s="1"/>
  <c r="I152" i="3"/>
  <c r="W152" i="3" s="1"/>
  <c r="Z152" i="3" s="1"/>
  <c r="W151" i="3"/>
  <c r="Z151" i="3" s="1"/>
  <c r="I151" i="3"/>
  <c r="I150" i="3"/>
  <c r="W150" i="3" s="1"/>
  <c r="Z150" i="3" s="1"/>
  <c r="I149" i="3"/>
  <c r="W149" i="3" s="1"/>
  <c r="Z149" i="3" s="1"/>
  <c r="Z148" i="3"/>
  <c r="I148" i="3"/>
  <c r="W148" i="3" s="1"/>
  <c r="I147" i="3"/>
  <c r="W147" i="3" s="1"/>
  <c r="Z147" i="3" s="1"/>
  <c r="I146" i="3"/>
  <c r="W146" i="3" s="1"/>
  <c r="Z146" i="3" s="1"/>
  <c r="I145" i="3"/>
  <c r="W145" i="3" s="1"/>
  <c r="Z145" i="3" s="1"/>
  <c r="I144" i="3"/>
  <c r="W144" i="3" s="1"/>
  <c r="Z144" i="3" s="1"/>
  <c r="W143" i="3"/>
  <c r="Z143" i="3" s="1"/>
  <c r="V143" i="3"/>
  <c r="W142" i="3"/>
  <c r="V142" i="3"/>
  <c r="Z142" i="3" s="1"/>
  <c r="O142" i="3"/>
  <c r="W141" i="3"/>
  <c r="V141" i="3"/>
  <c r="Z141" i="3" s="1"/>
  <c r="O141" i="3"/>
  <c r="W140" i="3"/>
  <c r="V140" i="3"/>
  <c r="Z140" i="3" s="1"/>
  <c r="O140" i="3"/>
  <c r="W139" i="3"/>
  <c r="V139" i="3"/>
  <c r="Z139" i="3" s="1"/>
  <c r="O139" i="3"/>
  <c r="W138" i="3"/>
  <c r="V138" i="3"/>
  <c r="Z138" i="3" s="1"/>
  <c r="O138" i="3"/>
  <c r="W137" i="3"/>
  <c r="V137" i="3"/>
  <c r="Z137" i="3" s="1"/>
  <c r="O137" i="3"/>
  <c r="W136" i="3"/>
  <c r="V136" i="3"/>
  <c r="Z136" i="3" s="1"/>
  <c r="O136" i="3"/>
  <c r="W135" i="3"/>
  <c r="V135" i="3"/>
  <c r="Z135" i="3" s="1"/>
  <c r="O135" i="3"/>
  <c r="W134" i="3"/>
  <c r="V134" i="3"/>
  <c r="Z134" i="3" s="1"/>
  <c r="O134" i="3"/>
  <c r="W133" i="3"/>
  <c r="V133" i="3"/>
  <c r="Z133" i="3" s="1"/>
  <c r="O133" i="3"/>
  <c r="W132" i="3"/>
  <c r="V132" i="3"/>
  <c r="Z132" i="3" s="1"/>
  <c r="O132" i="3"/>
  <c r="K132" i="3"/>
  <c r="N132" i="3" s="1"/>
  <c r="Z131" i="3"/>
  <c r="W131" i="3"/>
  <c r="V131" i="3"/>
  <c r="O131" i="3"/>
  <c r="N131" i="3"/>
  <c r="K131" i="3"/>
  <c r="W130" i="3"/>
  <c r="V130" i="3"/>
  <c r="Z130" i="3" s="1"/>
  <c r="O130" i="3"/>
  <c r="K130" i="3"/>
  <c r="N130" i="3" s="1"/>
  <c r="Z129" i="3"/>
  <c r="W129" i="3"/>
  <c r="V129" i="3"/>
  <c r="O129" i="3"/>
  <c r="N129" i="3"/>
  <c r="K129" i="3"/>
  <c r="W128" i="3"/>
  <c r="V128" i="3"/>
  <c r="Z128" i="3" s="1"/>
  <c r="O128" i="3"/>
  <c r="K128" i="3"/>
  <c r="N128" i="3" s="1"/>
  <c r="Z127" i="3"/>
  <c r="W127" i="3"/>
  <c r="V127" i="3"/>
  <c r="O127" i="3"/>
  <c r="N127" i="3"/>
  <c r="K127" i="3"/>
  <c r="W126" i="3"/>
  <c r="V126" i="3"/>
  <c r="Z126" i="3" s="1"/>
  <c r="O126" i="3"/>
  <c r="K126" i="3"/>
  <c r="N126" i="3" s="1"/>
  <c r="Z125" i="3"/>
  <c r="W125" i="3"/>
  <c r="V125" i="3"/>
  <c r="O125" i="3"/>
  <c r="N125" i="3"/>
  <c r="K125" i="3"/>
  <c r="W124" i="3"/>
  <c r="V124" i="3"/>
  <c r="Z124" i="3" s="1"/>
  <c r="O124" i="3"/>
  <c r="K124" i="3"/>
  <c r="N124" i="3" s="1"/>
  <c r="Z123" i="3"/>
  <c r="W123" i="3"/>
  <c r="V123" i="3"/>
  <c r="O123" i="3"/>
  <c r="N123" i="3"/>
  <c r="K123" i="3"/>
  <c r="W122" i="3"/>
  <c r="V122" i="3"/>
  <c r="Z122" i="3" s="1"/>
  <c r="O122" i="3"/>
  <c r="K122" i="3"/>
  <c r="N122" i="3" s="1"/>
  <c r="Z121" i="3"/>
  <c r="W121" i="3"/>
  <c r="V121" i="3"/>
  <c r="O121" i="3"/>
  <c r="N121" i="3"/>
  <c r="K121" i="3"/>
  <c r="W120" i="3"/>
  <c r="V120" i="3"/>
  <c r="Z120" i="3" s="1"/>
  <c r="O120" i="3"/>
  <c r="K120" i="3"/>
  <c r="N120" i="3" s="1"/>
  <c r="Z119" i="3"/>
  <c r="V119" i="3"/>
  <c r="O119" i="3"/>
  <c r="K119" i="3"/>
  <c r="N119" i="3" s="1"/>
  <c r="W118" i="3"/>
  <c r="V118" i="3"/>
  <c r="Z118" i="3" s="1"/>
  <c r="O118" i="3"/>
  <c r="K118" i="3"/>
  <c r="N118" i="3" s="1"/>
  <c r="W117" i="3"/>
  <c r="Z117" i="3" s="1"/>
  <c r="V117" i="3"/>
  <c r="O117" i="3"/>
  <c r="K117" i="3"/>
  <c r="N117" i="3" s="1"/>
  <c r="W116" i="3"/>
  <c r="V116" i="3"/>
  <c r="Z116" i="3" s="1"/>
  <c r="O116" i="3"/>
  <c r="K116" i="3"/>
  <c r="N116" i="3" s="1"/>
  <c r="W115" i="3"/>
  <c r="Z115" i="3" s="1"/>
  <c r="V115" i="3"/>
  <c r="O115" i="3"/>
  <c r="K115" i="3"/>
  <c r="N115" i="3" s="1"/>
  <c r="W114" i="3"/>
  <c r="V114" i="3"/>
  <c r="Z114" i="3" s="1"/>
  <c r="O114" i="3"/>
  <c r="K114" i="3"/>
  <c r="N114" i="3" s="1"/>
  <c r="W113" i="3"/>
  <c r="Z113" i="3" s="1"/>
  <c r="V113" i="3"/>
  <c r="O113" i="3"/>
  <c r="K113" i="3"/>
  <c r="N113" i="3" s="1"/>
  <c r="V112" i="3"/>
  <c r="Z112" i="3" s="1"/>
  <c r="O112" i="3"/>
  <c r="N112" i="3"/>
  <c r="K112" i="3"/>
  <c r="V111" i="3"/>
  <c r="Z111" i="3" s="1"/>
  <c r="O111" i="3"/>
  <c r="K111" i="3"/>
  <c r="N111" i="3" s="1"/>
  <c r="W110" i="3"/>
  <c r="Z110" i="3" s="1"/>
  <c r="V110" i="3"/>
  <c r="O110" i="3"/>
  <c r="K110" i="3"/>
  <c r="N110" i="3" s="1"/>
  <c r="V109" i="3"/>
  <c r="Z109" i="3" s="1"/>
  <c r="O109" i="3"/>
  <c r="N109" i="3"/>
  <c r="K109" i="3"/>
  <c r="W108" i="3"/>
  <c r="V108" i="3"/>
  <c r="Z108" i="3" s="1"/>
  <c r="O108" i="3"/>
  <c r="K108" i="3"/>
  <c r="N108" i="3" s="1"/>
  <c r="Z107" i="3"/>
  <c r="W107" i="3"/>
  <c r="V107" i="3"/>
  <c r="O107" i="3"/>
  <c r="N107" i="3"/>
  <c r="K107" i="3"/>
  <c r="W106" i="3"/>
  <c r="V106" i="3"/>
  <c r="Z106" i="3" s="1"/>
  <c r="O106" i="3"/>
  <c r="K106" i="3"/>
  <c r="N106" i="3" s="1"/>
  <c r="Z105" i="3"/>
  <c r="W105" i="3"/>
  <c r="V105" i="3"/>
  <c r="O105" i="3"/>
  <c r="N105" i="3"/>
  <c r="K105" i="3"/>
  <c r="W104" i="3"/>
  <c r="V104" i="3"/>
  <c r="Z104" i="3" s="1"/>
  <c r="O104" i="3"/>
  <c r="K104" i="3"/>
  <c r="N104" i="3" s="1"/>
  <c r="Z103" i="3"/>
  <c r="W103" i="3"/>
  <c r="V103" i="3"/>
  <c r="O103" i="3"/>
  <c r="N103" i="3"/>
  <c r="K103" i="3"/>
  <c r="W102" i="3"/>
  <c r="V102" i="3"/>
  <c r="Z102" i="3" s="1"/>
  <c r="O102" i="3"/>
  <c r="K102" i="3"/>
  <c r="N102" i="3" s="1"/>
  <c r="Z101" i="3"/>
  <c r="W101" i="3"/>
  <c r="V101" i="3"/>
  <c r="O101" i="3"/>
  <c r="N101" i="3"/>
  <c r="K101" i="3"/>
  <c r="W100" i="3"/>
  <c r="V100" i="3"/>
  <c r="Z100" i="3" s="1"/>
  <c r="O100" i="3"/>
  <c r="K100" i="3"/>
  <c r="N100" i="3" s="1"/>
  <c r="Z99" i="3"/>
  <c r="W99" i="3"/>
  <c r="V99" i="3"/>
  <c r="O99" i="3"/>
  <c r="N99" i="3"/>
  <c r="K99" i="3"/>
  <c r="W98" i="3"/>
  <c r="V98" i="3"/>
  <c r="Z98" i="3" s="1"/>
  <c r="O98" i="3"/>
  <c r="K98" i="3"/>
  <c r="N98" i="3" s="1"/>
  <c r="Z97" i="3"/>
  <c r="W97" i="3"/>
  <c r="V97" i="3"/>
  <c r="O97" i="3"/>
  <c r="N97" i="3"/>
  <c r="K97" i="3"/>
  <c r="W96" i="3"/>
  <c r="V96" i="3"/>
  <c r="Z96" i="3" s="1"/>
  <c r="O96" i="3"/>
  <c r="K96" i="3"/>
  <c r="N96" i="3" s="1"/>
  <c r="Z95" i="3"/>
  <c r="W95" i="3"/>
  <c r="V95" i="3"/>
  <c r="O95" i="3"/>
  <c r="N95" i="3"/>
  <c r="K95" i="3"/>
  <c r="W94" i="3"/>
  <c r="V94" i="3"/>
  <c r="Z94" i="3" s="1"/>
  <c r="O94" i="3"/>
  <c r="K94" i="3"/>
  <c r="N94" i="3" s="1"/>
  <c r="Z93" i="3"/>
  <c r="W93" i="3"/>
  <c r="V93" i="3"/>
  <c r="O93" i="3"/>
  <c r="N93" i="3"/>
  <c r="K93" i="3"/>
  <c r="W92" i="3"/>
  <c r="V92" i="3"/>
  <c r="Z92" i="3" s="1"/>
  <c r="O92" i="3"/>
  <c r="K92" i="3"/>
  <c r="N92" i="3" s="1"/>
  <c r="Z91" i="3"/>
  <c r="W91" i="3"/>
  <c r="V91" i="3"/>
  <c r="O91" i="3"/>
  <c r="N91" i="3"/>
  <c r="K91" i="3"/>
  <c r="W90" i="3"/>
  <c r="V90" i="3"/>
  <c r="Z90" i="3" s="1"/>
  <c r="O90" i="3"/>
  <c r="K90" i="3"/>
  <c r="N90" i="3" s="1"/>
  <c r="Z89" i="3"/>
  <c r="W89" i="3"/>
  <c r="V89" i="3"/>
  <c r="O89" i="3"/>
  <c r="N89" i="3"/>
  <c r="K89" i="3"/>
  <c r="W88" i="3"/>
  <c r="V88" i="3"/>
  <c r="Z88" i="3" s="1"/>
  <c r="O88" i="3"/>
  <c r="K88" i="3"/>
  <c r="N88" i="3" s="1"/>
  <c r="Z87" i="3"/>
  <c r="W87" i="3"/>
  <c r="V87" i="3"/>
  <c r="O87" i="3"/>
  <c r="N87" i="3"/>
  <c r="K87" i="3"/>
  <c r="W86" i="3"/>
  <c r="V86" i="3"/>
  <c r="Z86" i="3" s="1"/>
  <c r="O86" i="3"/>
  <c r="K86" i="3"/>
  <c r="N86" i="3" s="1"/>
  <c r="Z85" i="3"/>
  <c r="W85" i="3"/>
  <c r="V85" i="3"/>
  <c r="O85" i="3"/>
  <c r="N85" i="3"/>
  <c r="K85" i="3"/>
  <c r="W84" i="3"/>
  <c r="V84" i="3"/>
  <c r="Z84" i="3" s="1"/>
  <c r="O84" i="3"/>
  <c r="K84" i="3"/>
  <c r="N84" i="3" s="1"/>
  <c r="Z83" i="3"/>
  <c r="W83" i="3"/>
  <c r="V83" i="3"/>
  <c r="O83" i="3"/>
  <c r="N83" i="3"/>
  <c r="K83" i="3"/>
  <c r="W82" i="3"/>
  <c r="V82" i="3"/>
  <c r="Z82" i="3" s="1"/>
  <c r="O82" i="3"/>
  <c r="K82" i="3"/>
  <c r="N82" i="3" s="1"/>
  <c r="Z81" i="3"/>
  <c r="W81" i="3"/>
  <c r="V81" i="3"/>
  <c r="O81" i="3"/>
  <c r="N81" i="3"/>
  <c r="K81" i="3"/>
  <c r="W80" i="3"/>
  <c r="V80" i="3"/>
  <c r="Z80" i="3" s="1"/>
  <c r="O80" i="3"/>
  <c r="K80" i="3"/>
  <c r="N80" i="3" s="1"/>
  <c r="Z79" i="3"/>
  <c r="W79" i="3"/>
  <c r="V79" i="3"/>
  <c r="O79" i="3"/>
  <c r="N79" i="3"/>
  <c r="K79" i="3"/>
  <c r="W78" i="3"/>
  <c r="V78" i="3"/>
  <c r="Z78" i="3" s="1"/>
  <c r="O78" i="3"/>
  <c r="K78" i="3"/>
  <c r="N78" i="3" s="1"/>
  <c r="Z77" i="3"/>
  <c r="W77" i="3"/>
  <c r="V77" i="3"/>
  <c r="O77" i="3"/>
  <c r="N77" i="3"/>
  <c r="K77" i="3"/>
  <c r="V76" i="3"/>
  <c r="Z76" i="3" s="1"/>
  <c r="O76" i="3"/>
  <c r="K76" i="3"/>
  <c r="N76" i="3" s="1"/>
  <c r="W75" i="3"/>
  <c r="Z75" i="3" s="1"/>
  <c r="V75" i="3"/>
  <c r="O75" i="3"/>
  <c r="K75" i="3"/>
  <c r="N75" i="3" s="1"/>
  <c r="W74" i="3"/>
  <c r="V74" i="3"/>
  <c r="Z74" i="3" s="1"/>
  <c r="O74" i="3"/>
  <c r="K74" i="3"/>
  <c r="N74" i="3" s="1"/>
  <c r="W73" i="3"/>
  <c r="Z73" i="3" s="1"/>
  <c r="V73" i="3"/>
  <c r="O73" i="3"/>
  <c r="K73" i="3"/>
  <c r="N73" i="3" s="1"/>
  <c r="W72" i="3"/>
  <c r="V72" i="3"/>
  <c r="Z72" i="3" s="1"/>
  <c r="O72" i="3"/>
  <c r="K72" i="3"/>
  <c r="N72" i="3" s="1"/>
  <c r="V71" i="3"/>
  <c r="Z71" i="3" s="1"/>
  <c r="O71" i="3"/>
  <c r="K71" i="3"/>
  <c r="N71" i="3" s="1"/>
  <c r="Z70" i="3"/>
  <c r="W70" i="3"/>
  <c r="V70" i="3"/>
  <c r="O70" i="3"/>
  <c r="N70" i="3"/>
  <c r="K70" i="3"/>
  <c r="V69" i="3"/>
  <c r="Z69" i="3" s="1"/>
  <c r="P69" i="3"/>
  <c r="P174" i="3" s="1"/>
  <c r="O69" i="3"/>
  <c r="L69" i="3"/>
  <c r="K69" i="3"/>
  <c r="N69" i="3" s="1"/>
  <c r="W68" i="3"/>
  <c r="V68" i="3"/>
  <c r="Z68" i="3" s="1"/>
  <c r="O68" i="3"/>
  <c r="K68" i="3"/>
  <c r="N68" i="3" s="1"/>
  <c r="V67" i="3"/>
  <c r="Z67" i="3" s="1"/>
  <c r="O67" i="3"/>
  <c r="K67" i="3"/>
  <c r="N67" i="3" s="1"/>
  <c r="Z66" i="3"/>
  <c r="V66" i="3"/>
  <c r="I66" i="3"/>
  <c r="O66" i="3" s="1"/>
  <c r="V65" i="3"/>
  <c r="I65" i="3"/>
  <c r="V64" i="3"/>
  <c r="I64" i="3"/>
  <c r="W64" i="3" s="1"/>
  <c r="V63" i="3"/>
  <c r="I63" i="3"/>
  <c r="W63" i="3" s="1"/>
  <c r="Z63" i="3" s="1"/>
  <c r="W62" i="3"/>
  <c r="Z62" i="3" s="1"/>
  <c r="V62" i="3"/>
  <c r="O62" i="3"/>
  <c r="K62" i="3"/>
  <c r="N62" i="3" s="1"/>
  <c r="V61" i="3"/>
  <c r="Z61" i="3" s="1"/>
  <c r="I61" i="3"/>
  <c r="K61" i="3" s="1"/>
  <c r="N61" i="3" s="1"/>
  <c r="W60" i="3"/>
  <c r="Z60" i="3" s="1"/>
  <c r="V60" i="3"/>
  <c r="O60" i="3"/>
  <c r="K60" i="3"/>
  <c r="N60" i="3" s="1"/>
  <c r="V59" i="3"/>
  <c r="I59" i="3"/>
  <c r="W59" i="3" s="1"/>
  <c r="V58" i="3"/>
  <c r="I58" i="3"/>
  <c r="W58" i="3" s="1"/>
  <c r="Z58" i="3" s="1"/>
  <c r="W57" i="3"/>
  <c r="Z57" i="3" s="1"/>
  <c r="V57" i="3"/>
  <c r="O57" i="3"/>
  <c r="K57" i="3"/>
  <c r="N57" i="3" s="1"/>
  <c r="W56" i="3"/>
  <c r="V56" i="3"/>
  <c r="Z56" i="3" s="1"/>
  <c r="O56" i="3"/>
  <c r="K56" i="3"/>
  <c r="N56" i="3" s="1"/>
  <c r="W55" i="3"/>
  <c r="Z55" i="3" s="1"/>
  <c r="V55" i="3"/>
  <c r="O55" i="3"/>
  <c r="K55" i="3"/>
  <c r="N55" i="3" s="1"/>
  <c r="W54" i="3"/>
  <c r="V54" i="3"/>
  <c r="Z54" i="3" s="1"/>
  <c r="O54" i="3"/>
  <c r="K54" i="3"/>
  <c r="N54" i="3" s="1"/>
  <c r="W53" i="3"/>
  <c r="Z53" i="3" s="1"/>
  <c r="V53" i="3"/>
  <c r="O53" i="3"/>
  <c r="K53" i="3"/>
  <c r="N53" i="3" s="1"/>
  <c r="W52" i="3"/>
  <c r="V52" i="3"/>
  <c r="Z52" i="3" s="1"/>
  <c r="O52" i="3"/>
  <c r="K52" i="3"/>
  <c r="N52" i="3" s="1"/>
  <c r="W51" i="3"/>
  <c r="Z51" i="3" s="1"/>
  <c r="V51" i="3"/>
  <c r="O51" i="3"/>
  <c r="K51" i="3"/>
  <c r="N51" i="3" s="1"/>
  <c r="W50" i="3"/>
  <c r="V50" i="3"/>
  <c r="Z50" i="3" s="1"/>
  <c r="O50" i="3"/>
  <c r="K50" i="3"/>
  <c r="N50" i="3" s="1"/>
  <c r="W49" i="3"/>
  <c r="Z49" i="3" s="1"/>
  <c r="V49" i="3"/>
  <c r="O49" i="3"/>
  <c r="K49" i="3"/>
  <c r="N49" i="3" s="1"/>
  <c r="W48" i="3"/>
  <c r="V48" i="3"/>
  <c r="Z48" i="3" s="1"/>
  <c r="O48" i="3"/>
  <c r="K48" i="3"/>
  <c r="N48" i="3" s="1"/>
  <c r="W47" i="3"/>
  <c r="Z47" i="3" s="1"/>
  <c r="V47" i="3"/>
  <c r="O47" i="3"/>
  <c r="K47" i="3"/>
  <c r="N47" i="3" s="1"/>
  <c r="W46" i="3"/>
  <c r="V46" i="3"/>
  <c r="Z46" i="3" s="1"/>
  <c r="O46" i="3"/>
  <c r="K46" i="3"/>
  <c r="N46" i="3" s="1"/>
  <c r="W45" i="3"/>
  <c r="Z45" i="3" s="1"/>
  <c r="V45" i="3"/>
  <c r="O45" i="3"/>
  <c r="K45" i="3"/>
  <c r="N45" i="3" s="1"/>
  <c r="W44" i="3"/>
  <c r="V44" i="3"/>
  <c r="Z44" i="3" s="1"/>
  <c r="O44" i="3"/>
  <c r="K44" i="3"/>
  <c r="N44" i="3" s="1"/>
  <c r="W43" i="3"/>
  <c r="Z43" i="3" s="1"/>
  <c r="V43" i="3"/>
  <c r="O43" i="3"/>
  <c r="K43" i="3"/>
  <c r="N43" i="3" s="1"/>
  <c r="W42" i="3"/>
  <c r="V42" i="3"/>
  <c r="Z42" i="3" s="1"/>
  <c r="O42" i="3"/>
  <c r="K42" i="3"/>
  <c r="N42" i="3" s="1"/>
  <c r="W41" i="3"/>
  <c r="Z41" i="3" s="1"/>
  <c r="V41" i="3"/>
  <c r="O41" i="3"/>
  <c r="K41" i="3"/>
  <c r="N41" i="3" s="1"/>
  <c r="W40" i="3"/>
  <c r="V40" i="3"/>
  <c r="Z40" i="3" s="1"/>
  <c r="O40" i="3"/>
  <c r="K40" i="3"/>
  <c r="N40" i="3" s="1"/>
  <c r="W39" i="3"/>
  <c r="Z39" i="3" s="1"/>
  <c r="V39" i="3"/>
  <c r="O39" i="3"/>
  <c r="K39" i="3"/>
  <c r="N39" i="3" s="1"/>
  <c r="W38" i="3"/>
  <c r="V38" i="3"/>
  <c r="Z38" i="3" s="1"/>
  <c r="O38" i="3"/>
  <c r="K38" i="3"/>
  <c r="N38" i="3" s="1"/>
  <c r="W37" i="3"/>
  <c r="Z37" i="3" s="1"/>
  <c r="V37" i="3"/>
  <c r="O37" i="3"/>
  <c r="K37" i="3"/>
  <c r="N37" i="3" s="1"/>
  <c r="W36" i="3"/>
  <c r="V36" i="3"/>
  <c r="Z36" i="3" s="1"/>
  <c r="O36" i="3"/>
  <c r="K36" i="3"/>
  <c r="N36" i="3" s="1"/>
  <c r="W35" i="3"/>
  <c r="Z35" i="3" s="1"/>
  <c r="V35" i="3"/>
  <c r="O35" i="3"/>
  <c r="K35" i="3"/>
  <c r="N35" i="3" s="1"/>
  <c r="W34" i="3"/>
  <c r="V34" i="3"/>
  <c r="Z34" i="3" s="1"/>
  <c r="O34" i="3"/>
  <c r="K34" i="3"/>
  <c r="N34" i="3" s="1"/>
  <c r="W33" i="3"/>
  <c r="Z33" i="3" s="1"/>
  <c r="V33" i="3"/>
  <c r="O33" i="3"/>
  <c r="K33" i="3"/>
  <c r="N33" i="3" s="1"/>
  <c r="W32" i="3"/>
  <c r="V32" i="3"/>
  <c r="Z32" i="3" s="1"/>
  <c r="O32" i="3"/>
  <c r="K32" i="3"/>
  <c r="N32" i="3" s="1"/>
  <c r="V31" i="3"/>
  <c r="Z31" i="3" s="1"/>
  <c r="O31" i="3"/>
  <c r="K31" i="3"/>
  <c r="N31" i="3" s="1"/>
  <c r="Z30" i="3"/>
  <c r="W30" i="3"/>
  <c r="V30" i="3"/>
  <c r="O30" i="3"/>
  <c r="N30" i="3"/>
  <c r="K30" i="3"/>
  <c r="W29" i="3"/>
  <c r="V29" i="3"/>
  <c r="Z29" i="3" s="1"/>
  <c r="O29" i="3"/>
  <c r="K29" i="3"/>
  <c r="N29" i="3" s="1"/>
  <c r="Z28" i="3"/>
  <c r="W28" i="3"/>
  <c r="V28" i="3"/>
  <c r="O28" i="3"/>
  <c r="N28" i="3"/>
  <c r="K28" i="3"/>
  <c r="W27" i="3"/>
  <c r="V27" i="3"/>
  <c r="Z27" i="3" s="1"/>
  <c r="O27" i="3"/>
  <c r="K27" i="3"/>
  <c r="N27" i="3" s="1"/>
  <c r="Z26" i="3"/>
  <c r="W26" i="3"/>
  <c r="V26" i="3"/>
  <c r="O26" i="3"/>
  <c r="N26" i="3"/>
  <c r="K26" i="3"/>
  <c r="W25" i="3"/>
  <c r="V25" i="3"/>
  <c r="Z25" i="3" s="1"/>
  <c r="O25" i="3"/>
  <c r="K25" i="3"/>
  <c r="N25" i="3" s="1"/>
  <c r="Z24" i="3"/>
  <c r="W24" i="3"/>
  <c r="V24" i="3"/>
  <c r="O24" i="3"/>
  <c r="N24" i="3"/>
  <c r="K24" i="3"/>
  <c r="W23" i="3"/>
  <c r="V23" i="3"/>
  <c r="Z23" i="3" s="1"/>
  <c r="O23" i="3"/>
  <c r="K23" i="3"/>
  <c r="N23" i="3" s="1"/>
  <c r="Z22" i="3"/>
  <c r="W22" i="3"/>
  <c r="V22" i="3"/>
  <c r="O22" i="3"/>
  <c r="N22" i="3"/>
  <c r="K22" i="3"/>
  <c r="W21" i="3"/>
  <c r="V21" i="3"/>
  <c r="Z21" i="3" s="1"/>
  <c r="O21" i="3"/>
  <c r="K21" i="3"/>
  <c r="N21" i="3" s="1"/>
  <c r="Z20" i="3"/>
  <c r="W20" i="3"/>
  <c r="V20" i="3"/>
  <c r="O20" i="3"/>
  <c r="N20" i="3"/>
  <c r="K20" i="3"/>
  <c r="W19" i="3"/>
  <c r="V19" i="3"/>
  <c r="Z19" i="3" s="1"/>
  <c r="O19" i="3"/>
  <c r="N19" i="3"/>
  <c r="K19" i="3"/>
  <c r="W18" i="3"/>
  <c r="V18" i="3"/>
  <c r="Z18" i="3" s="1"/>
  <c r="O18" i="3"/>
  <c r="N18" i="3"/>
  <c r="K18" i="3"/>
  <c r="Z17" i="3"/>
  <c r="W17" i="3"/>
  <c r="V17" i="3"/>
  <c r="O17" i="3"/>
  <c r="N17" i="3"/>
  <c r="K17" i="3"/>
  <c r="W16" i="3"/>
  <c r="V16" i="3"/>
  <c r="Z16" i="3" s="1"/>
  <c r="O16" i="3"/>
  <c r="N16" i="3"/>
  <c r="K16" i="3"/>
  <c r="Z15" i="3"/>
  <c r="W15" i="3"/>
  <c r="V15" i="3"/>
  <c r="O15" i="3"/>
  <c r="N15" i="3"/>
  <c r="K15" i="3"/>
  <c r="W14" i="3"/>
  <c r="V14" i="3"/>
  <c r="Z14" i="3" s="1"/>
  <c r="O14" i="3"/>
  <c r="N14" i="3"/>
  <c r="K14" i="3"/>
  <c r="Z13" i="3"/>
  <c r="V13" i="3"/>
  <c r="O13" i="3"/>
  <c r="K13" i="3"/>
  <c r="N13" i="3" s="1"/>
  <c r="Z12" i="3"/>
  <c r="V12" i="3"/>
  <c r="O12" i="3"/>
  <c r="K12" i="3"/>
  <c r="N12" i="3" s="1"/>
  <c r="Z11" i="3"/>
  <c r="V11" i="3"/>
  <c r="O11" i="3"/>
  <c r="N11" i="3"/>
  <c r="K11" i="3"/>
  <c r="V10" i="3"/>
  <c r="Z10" i="3" s="1"/>
  <c r="O10" i="3"/>
  <c r="N10" i="3"/>
  <c r="K10" i="3"/>
  <c r="Z9" i="3"/>
  <c r="V9" i="3"/>
  <c r="O9" i="3"/>
  <c r="K9" i="3"/>
  <c r="N9" i="3" s="1"/>
  <c r="Z8" i="3"/>
  <c r="V8" i="3"/>
  <c r="O8" i="3"/>
  <c r="K8" i="3"/>
  <c r="N8" i="3" s="1"/>
  <c r="Z7" i="3"/>
  <c r="V7" i="3"/>
  <c r="O7" i="3"/>
  <c r="N7" i="3"/>
  <c r="K7" i="3"/>
  <c r="V6" i="3"/>
  <c r="O6" i="3"/>
  <c r="O174" i="3" s="1"/>
  <c r="N6" i="3"/>
  <c r="N174" i="3" s="1"/>
  <c r="K6" i="3"/>
  <c r="K174" i="3" s="1"/>
  <c r="O64" i="3" l="1"/>
  <c r="O59" i="3"/>
  <c r="O58" i="3"/>
  <c r="Z59" i="3"/>
  <c r="O63" i="3"/>
  <c r="Z64" i="3"/>
  <c r="K66" i="3"/>
  <c r="N66" i="3" s="1"/>
  <c r="Z6" i="3"/>
  <c r="V174" i="3"/>
  <c r="O65" i="3"/>
  <c r="W65" i="3"/>
  <c r="Z65" i="3" s="1"/>
  <c r="K65" i="3"/>
  <c r="N65" i="3" s="1"/>
  <c r="O61" i="3"/>
  <c r="I174" i="3"/>
  <c r="K59" i="3"/>
  <c r="N59" i="3" s="1"/>
  <c r="K64" i="3"/>
  <c r="N64" i="3" s="1"/>
  <c r="K58" i="3"/>
  <c r="N58" i="3" s="1"/>
  <c r="K63" i="3"/>
  <c r="N63" i="3" s="1"/>
  <c r="W174" i="3" l="1"/>
  <c r="Z174" i="3"/>
  <c r="Q180" i="2" l="1"/>
  <c r="M180" i="2"/>
  <c r="J180" i="2"/>
  <c r="E180" i="2"/>
  <c r="R179" i="2"/>
  <c r="N179" i="2"/>
  <c r="R178" i="2"/>
  <c r="O177" i="2"/>
  <c r="R177" i="2" s="1"/>
  <c r="O176" i="2"/>
  <c r="R176" i="2" s="1"/>
  <c r="O175" i="2"/>
  <c r="R175" i="2" s="1"/>
  <c r="O174" i="2"/>
  <c r="R174" i="2" s="1"/>
  <c r="O173" i="2"/>
  <c r="R173" i="2" s="1"/>
  <c r="O172" i="2"/>
  <c r="R172" i="2" s="1"/>
  <c r="O171" i="2"/>
  <c r="R171" i="2" s="1"/>
  <c r="O170" i="2"/>
  <c r="R170" i="2" s="1"/>
  <c r="O169" i="2"/>
  <c r="R169" i="2" s="1"/>
  <c r="O168" i="2"/>
  <c r="R168" i="2" s="1"/>
  <c r="O167" i="2"/>
  <c r="R167" i="2" s="1"/>
  <c r="O166" i="2"/>
  <c r="K166" i="2"/>
  <c r="N166" i="2" s="1"/>
  <c r="R166" i="2" s="1"/>
  <c r="O165" i="2"/>
  <c r="K165" i="2"/>
  <c r="N165" i="2" s="1"/>
  <c r="R165" i="2" s="1"/>
  <c r="O164" i="2"/>
  <c r="K164" i="2"/>
  <c r="N164" i="2" s="1"/>
  <c r="R164" i="2" s="1"/>
  <c r="O163" i="2"/>
  <c r="K163" i="2"/>
  <c r="N163" i="2" s="1"/>
  <c r="R163" i="2" s="1"/>
  <c r="O162" i="2"/>
  <c r="K162" i="2"/>
  <c r="N162" i="2" s="1"/>
  <c r="R162" i="2" s="1"/>
  <c r="O161" i="2"/>
  <c r="K161" i="2"/>
  <c r="N161" i="2" s="1"/>
  <c r="R161" i="2" s="1"/>
  <c r="O160" i="2"/>
  <c r="K160" i="2"/>
  <c r="N160" i="2" s="1"/>
  <c r="R160" i="2" s="1"/>
  <c r="O159" i="2"/>
  <c r="K159" i="2"/>
  <c r="N159" i="2" s="1"/>
  <c r="R159" i="2" s="1"/>
  <c r="O158" i="2"/>
  <c r="K158" i="2"/>
  <c r="N158" i="2" s="1"/>
  <c r="R158" i="2" s="1"/>
  <c r="O157" i="2"/>
  <c r="K157" i="2"/>
  <c r="N157" i="2" s="1"/>
  <c r="R157" i="2" s="1"/>
  <c r="O156" i="2"/>
  <c r="K156" i="2"/>
  <c r="N156" i="2" s="1"/>
  <c r="R156" i="2" s="1"/>
  <c r="O155" i="2"/>
  <c r="K155" i="2"/>
  <c r="N155" i="2" s="1"/>
  <c r="R155" i="2" s="1"/>
  <c r="O154" i="2"/>
  <c r="K154" i="2"/>
  <c r="N154" i="2" s="1"/>
  <c r="R154" i="2" s="1"/>
  <c r="O153" i="2"/>
  <c r="K153" i="2"/>
  <c r="N153" i="2" s="1"/>
  <c r="R153" i="2" s="1"/>
  <c r="O152" i="2"/>
  <c r="K152" i="2"/>
  <c r="N152" i="2" s="1"/>
  <c r="R152" i="2" s="1"/>
  <c r="O151" i="2"/>
  <c r="K151" i="2"/>
  <c r="N151" i="2" s="1"/>
  <c r="R151" i="2" s="1"/>
  <c r="O150" i="2"/>
  <c r="K150" i="2"/>
  <c r="N150" i="2" s="1"/>
  <c r="R150" i="2" s="1"/>
  <c r="O149" i="2"/>
  <c r="K149" i="2"/>
  <c r="N149" i="2" s="1"/>
  <c r="R149" i="2" s="1"/>
  <c r="O148" i="2"/>
  <c r="K148" i="2"/>
  <c r="N148" i="2" s="1"/>
  <c r="R148" i="2" s="1"/>
  <c r="O147" i="2"/>
  <c r="K147" i="2"/>
  <c r="N147" i="2" s="1"/>
  <c r="R147" i="2" s="1"/>
  <c r="O146" i="2"/>
  <c r="K146" i="2"/>
  <c r="N146" i="2" s="1"/>
  <c r="R146" i="2" s="1"/>
  <c r="O145" i="2"/>
  <c r="K145" i="2"/>
  <c r="N145" i="2" s="1"/>
  <c r="R145" i="2" s="1"/>
  <c r="O144" i="2"/>
  <c r="K144" i="2"/>
  <c r="N144" i="2" s="1"/>
  <c r="R144" i="2" s="1"/>
  <c r="O143" i="2"/>
  <c r="K143" i="2"/>
  <c r="N143" i="2" s="1"/>
  <c r="R143" i="2" s="1"/>
  <c r="O142" i="2"/>
  <c r="K142" i="2"/>
  <c r="N142" i="2" s="1"/>
  <c r="R142" i="2" s="1"/>
  <c r="O141" i="2"/>
  <c r="K141" i="2"/>
  <c r="N141" i="2" s="1"/>
  <c r="R141" i="2" s="1"/>
  <c r="O140" i="2"/>
  <c r="K140" i="2"/>
  <c r="N140" i="2" s="1"/>
  <c r="R140" i="2" s="1"/>
  <c r="O139" i="2"/>
  <c r="K139" i="2"/>
  <c r="N139" i="2" s="1"/>
  <c r="R139" i="2" s="1"/>
  <c r="O138" i="2"/>
  <c r="K138" i="2"/>
  <c r="N138" i="2" s="1"/>
  <c r="R138" i="2" s="1"/>
  <c r="O137" i="2"/>
  <c r="K137" i="2"/>
  <c r="N137" i="2" s="1"/>
  <c r="R137" i="2" s="1"/>
  <c r="O136" i="2"/>
  <c r="K136" i="2"/>
  <c r="N136" i="2" s="1"/>
  <c r="R136" i="2" s="1"/>
  <c r="O135" i="2"/>
  <c r="K135" i="2"/>
  <c r="N135" i="2" s="1"/>
  <c r="R135" i="2" s="1"/>
  <c r="O134" i="2"/>
  <c r="K134" i="2"/>
  <c r="N134" i="2" s="1"/>
  <c r="R134" i="2" s="1"/>
  <c r="O133" i="2"/>
  <c r="K133" i="2"/>
  <c r="N133" i="2" s="1"/>
  <c r="R133" i="2" s="1"/>
  <c r="O132" i="2"/>
  <c r="K132" i="2"/>
  <c r="N132" i="2" s="1"/>
  <c r="R132" i="2" s="1"/>
  <c r="O131" i="2"/>
  <c r="K131" i="2"/>
  <c r="N131" i="2" s="1"/>
  <c r="R131" i="2" s="1"/>
  <c r="O130" i="2"/>
  <c r="K130" i="2"/>
  <c r="N130" i="2" s="1"/>
  <c r="R130" i="2" s="1"/>
  <c r="O129" i="2"/>
  <c r="K129" i="2"/>
  <c r="N129" i="2" s="1"/>
  <c r="R129" i="2" s="1"/>
  <c r="O128" i="2"/>
  <c r="K128" i="2"/>
  <c r="N128" i="2" s="1"/>
  <c r="R128" i="2" s="1"/>
  <c r="O127" i="2"/>
  <c r="K127" i="2"/>
  <c r="N127" i="2" s="1"/>
  <c r="R127" i="2" s="1"/>
  <c r="O126" i="2"/>
  <c r="K126" i="2"/>
  <c r="N126" i="2" s="1"/>
  <c r="R126" i="2" s="1"/>
  <c r="O125" i="2"/>
  <c r="K125" i="2"/>
  <c r="N125" i="2" s="1"/>
  <c r="R125" i="2" s="1"/>
  <c r="O124" i="2"/>
  <c r="K124" i="2"/>
  <c r="N124" i="2" s="1"/>
  <c r="R124" i="2" s="1"/>
  <c r="O123" i="2"/>
  <c r="K123" i="2"/>
  <c r="N123" i="2" s="1"/>
  <c r="R123" i="2" s="1"/>
  <c r="O122" i="2"/>
  <c r="K122" i="2"/>
  <c r="N122" i="2" s="1"/>
  <c r="R122" i="2" s="1"/>
  <c r="O121" i="2"/>
  <c r="K121" i="2"/>
  <c r="N121" i="2" s="1"/>
  <c r="R121" i="2" s="1"/>
  <c r="O120" i="2"/>
  <c r="K120" i="2"/>
  <c r="N120" i="2" s="1"/>
  <c r="R120" i="2" s="1"/>
  <c r="O119" i="2"/>
  <c r="K119" i="2"/>
  <c r="N119" i="2" s="1"/>
  <c r="R119" i="2" s="1"/>
  <c r="O118" i="2"/>
  <c r="K118" i="2"/>
  <c r="N118" i="2" s="1"/>
  <c r="R118" i="2" s="1"/>
  <c r="O117" i="2"/>
  <c r="K117" i="2"/>
  <c r="N117" i="2" s="1"/>
  <c r="R117" i="2" s="1"/>
  <c r="O116" i="2"/>
  <c r="K116" i="2"/>
  <c r="N116" i="2" s="1"/>
  <c r="R116" i="2" s="1"/>
  <c r="O115" i="2"/>
  <c r="K115" i="2"/>
  <c r="N115" i="2" s="1"/>
  <c r="R115" i="2" s="1"/>
  <c r="O114" i="2"/>
  <c r="K114" i="2"/>
  <c r="N114" i="2" s="1"/>
  <c r="R114" i="2" s="1"/>
  <c r="O113" i="2"/>
  <c r="K113" i="2"/>
  <c r="N113" i="2" s="1"/>
  <c r="R113" i="2" s="1"/>
  <c r="O112" i="2"/>
  <c r="K112" i="2"/>
  <c r="N112" i="2" s="1"/>
  <c r="R112" i="2" s="1"/>
  <c r="O111" i="2"/>
  <c r="K111" i="2"/>
  <c r="N111" i="2" s="1"/>
  <c r="R111" i="2" s="1"/>
  <c r="O110" i="2"/>
  <c r="K110" i="2"/>
  <c r="N110" i="2" s="1"/>
  <c r="R110" i="2" s="1"/>
  <c r="O109" i="2"/>
  <c r="K109" i="2"/>
  <c r="N109" i="2" s="1"/>
  <c r="R109" i="2" s="1"/>
  <c r="O108" i="2"/>
  <c r="K108" i="2"/>
  <c r="N108" i="2" s="1"/>
  <c r="R108" i="2" s="1"/>
  <c r="O107" i="2"/>
  <c r="K107" i="2"/>
  <c r="N107" i="2" s="1"/>
  <c r="R107" i="2" s="1"/>
  <c r="O106" i="2"/>
  <c r="K106" i="2"/>
  <c r="N106" i="2" s="1"/>
  <c r="R106" i="2" s="1"/>
  <c r="O105" i="2"/>
  <c r="K105" i="2"/>
  <c r="N105" i="2" s="1"/>
  <c r="R105" i="2" s="1"/>
  <c r="O104" i="2"/>
  <c r="K104" i="2"/>
  <c r="N104" i="2" s="1"/>
  <c r="R104" i="2" s="1"/>
  <c r="P103" i="2"/>
  <c r="O103" i="2"/>
  <c r="N103" i="2"/>
  <c r="R103" i="2" s="1"/>
  <c r="L103" i="2"/>
  <c r="K103" i="2"/>
  <c r="O102" i="2"/>
  <c r="K102" i="2"/>
  <c r="N102" i="2" s="1"/>
  <c r="O101" i="2"/>
  <c r="K101" i="2"/>
  <c r="N101" i="2" s="1"/>
  <c r="R101" i="2" s="1"/>
  <c r="I100" i="2"/>
  <c r="K100" i="2" s="1"/>
  <c r="N100" i="2" s="1"/>
  <c r="I99" i="2"/>
  <c r="I98" i="2"/>
  <c r="O98" i="2" s="1"/>
  <c r="I97" i="2"/>
  <c r="K97" i="2" s="1"/>
  <c r="N97" i="2" s="1"/>
  <c r="O96" i="2"/>
  <c r="K96" i="2"/>
  <c r="N96" i="2" s="1"/>
  <c r="I95" i="2"/>
  <c r="K95" i="2" s="1"/>
  <c r="N95" i="2" s="1"/>
  <c r="O94" i="2"/>
  <c r="K94" i="2"/>
  <c r="N94" i="2" s="1"/>
  <c r="R94" i="2" s="1"/>
  <c r="I93" i="2"/>
  <c r="O93" i="2" s="1"/>
  <c r="I92" i="2"/>
  <c r="K92" i="2" s="1"/>
  <c r="N92" i="2" s="1"/>
  <c r="O91" i="2"/>
  <c r="K91" i="2"/>
  <c r="N91" i="2" s="1"/>
  <c r="R91" i="2" s="1"/>
  <c r="O90" i="2"/>
  <c r="N90" i="2"/>
  <c r="R90" i="2" s="1"/>
  <c r="K90" i="2"/>
  <c r="O89" i="2"/>
  <c r="K89" i="2"/>
  <c r="N89" i="2" s="1"/>
  <c r="R89" i="2" s="1"/>
  <c r="O88" i="2"/>
  <c r="N88" i="2"/>
  <c r="R88" i="2" s="1"/>
  <c r="K88" i="2"/>
  <c r="O87" i="2"/>
  <c r="K87" i="2"/>
  <c r="N87" i="2" s="1"/>
  <c r="R87" i="2" s="1"/>
  <c r="O86" i="2"/>
  <c r="N86" i="2"/>
  <c r="R86" i="2" s="1"/>
  <c r="K86" i="2"/>
  <c r="O85" i="2"/>
  <c r="K85" i="2"/>
  <c r="N85" i="2" s="1"/>
  <c r="R85" i="2" s="1"/>
  <c r="O84" i="2"/>
  <c r="N84" i="2"/>
  <c r="R84" i="2" s="1"/>
  <c r="K84" i="2"/>
  <c r="O83" i="2"/>
  <c r="K83" i="2"/>
  <c r="N83" i="2" s="1"/>
  <c r="R83" i="2" s="1"/>
  <c r="O82" i="2"/>
  <c r="N82" i="2"/>
  <c r="R82" i="2" s="1"/>
  <c r="K82" i="2"/>
  <c r="O81" i="2"/>
  <c r="K81" i="2"/>
  <c r="N81" i="2" s="1"/>
  <c r="R81" i="2" s="1"/>
  <c r="O80" i="2"/>
  <c r="N80" i="2"/>
  <c r="R80" i="2" s="1"/>
  <c r="K80" i="2"/>
  <c r="O79" i="2"/>
  <c r="K79" i="2"/>
  <c r="N79" i="2" s="1"/>
  <c r="R79" i="2" s="1"/>
  <c r="O78" i="2"/>
  <c r="N78" i="2"/>
  <c r="R78" i="2" s="1"/>
  <c r="K78" i="2"/>
  <c r="O77" i="2"/>
  <c r="K77" i="2"/>
  <c r="N77" i="2" s="1"/>
  <c r="R77" i="2" s="1"/>
  <c r="O76" i="2"/>
  <c r="N76" i="2"/>
  <c r="R76" i="2" s="1"/>
  <c r="K76" i="2"/>
  <c r="O75" i="2"/>
  <c r="K75" i="2"/>
  <c r="N75" i="2" s="1"/>
  <c r="R75" i="2" s="1"/>
  <c r="O74" i="2"/>
  <c r="N74" i="2"/>
  <c r="R74" i="2" s="1"/>
  <c r="K74" i="2"/>
  <c r="O73" i="2"/>
  <c r="K73" i="2"/>
  <c r="N73" i="2" s="1"/>
  <c r="R73" i="2" s="1"/>
  <c r="O72" i="2"/>
  <c r="N72" i="2"/>
  <c r="R72" i="2" s="1"/>
  <c r="K72" i="2"/>
  <c r="O71" i="2"/>
  <c r="K71" i="2"/>
  <c r="N71" i="2" s="1"/>
  <c r="R71" i="2" s="1"/>
  <c r="O70" i="2"/>
  <c r="N70" i="2"/>
  <c r="R70" i="2" s="1"/>
  <c r="K70" i="2"/>
  <c r="O69" i="2"/>
  <c r="K69" i="2"/>
  <c r="N69" i="2" s="1"/>
  <c r="R69" i="2" s="1"/>
  <c r="O68" i="2"/>
  <c r="N68" i="2"/>
  <c r="R68" i="2" s="1"/>
  <c r="K68" i="2"/>
  <c r="O67" i="2"/>
  <c r="K67" i="2"/>
  <c r="N67" i="2" s="1"/>
  <c r="R67" i="2" s="1"/>
  <c r="O66" i="2"/>
  <c r="N66" i="2"/>
  <c r="R66" i="2" s="1"/>
  <c r="K66" i="2"/>
  <c r="O65" i="2"/>
  <c r="K65" i="2"/>
  <c r="N65" i="2" s="1"/>
  <c r="R65" i="2" s="1"/>
  <c r="O64" i="2"/>
  <c r="N64" i="2"/>
  <c r="R64" i="2" s="1"/>
  <c r="K64" i="2"/>
  <c r="O63" i="2"/>
  <c r="K63" i="2"/>
  <c r="N63" i="2" s="1"/>
  <c r="R63" i="2" s="1"/>
  <c r="O62" i="2"/>
  <c r="N62" i="2"/>
  <c r="R62" i="2" s="1"/>
  <c r="K62" i="2"/>
  <c r="O61" i="2"/>
  <c r="K61" i="2"/>
  <c r="N61" i="2" s="1"/>
  <c r="R61" i="2" s="1"/>
  <c r="O60" i="2"/>
  <c r="N60" i="2"/>
  <c r="R60" i="2" s="1"/>
  <c r="K60" i="2"/>
  <c r="O59" i="2"/>
  <c r="K59" i="2"/>
  <c r="N59" i="2" s="1"/>
  <c r="R59" i="2" s="1"/>
  <c r="O58" i="2"/>
  <c r="N58" i="2"/>
  <c r="R58" i="2" s="1"/>
  <c r="K58" i="2"/>
  <c r="O57" i="2"/>
  <c r="K57" i="2"/>
  <c r="N57" i="2" s="1"/>
  <c r="R57" i="2" s="1"/>
  <c r="O56" i="2"/>
  <c r="N56" i="2"/>
  <c r="R56" i="2" s="1"/>
  <c r="K56" i="2"/>
  <c r="O55" i="2"/>
  <c r="K55" i="2"/>
  <c r="N55" i="2" s="1"/>
  <c r="R55" i="2" s="1"/>
  <c r="O54" i="2"/>
  <c r="N54" i="2"/>
  <c r="R54" i="2" s="1"/>
  <c r="K54" i="2"/>
  <c r="O53" i="2"/>
  <c r="K53" i="2"/>
  <c r="N53" i="2" s="1"/>
  <c r="R53" i="2" s="1"/>
  <c r="O52" i="2"/>
  <c r="N52" i="2"/>
  <c r="R52" i="2" s="1"/>
  <c r="K52" i="2"/>
  <c r="O51" i="2"/>
  <c r="K51" i="2"/>
  <c r="N51" i="2" s="1"/>
  <c r="R51" i="2" s="1"/>
  <c r="O50" i="2"/>
  <c r="N50" i="2"/>
  <c r="R50" i="2" s="1"/>
  <c r="K50" i="2"/>
  <c r="O49" i="2"/>
  <c r="K49" i="2"/>
  <c r="N49" i="2" s="1"/>
  <c r="R49" i="2" s="1"/>
  <c r="O48" i="2"/>
  <c r="N48" i="2"/>
  <c r="R48" i="2" s="1"/>
  <c r="K48" i="2"/>
  <c r="O47" i="2"/>
  <c r="K47" i="2"/>
  <c r="N47" i="2" s="1"/>
  <c r="R47" i="2" s="1"/>
  <c r="O46" i="2"/>
  <c r="N46" i="2"/>
  <c r="R46" i="2" s="1"/>
  <c r="K46" i="2"/>
  <c r="O45" i="2"/>
  <c r="K45" i="2"/>
  <c r="N45" i="2" s="1"/>
  <c r="R45" i="2" s="1"/>
  <c r="O44" i="2"/>
  <c r="N44" i="2"/>
  <c r="R44" i="2" s="1"/>
  <c r="K44" i="2"/>
  <c r="O43" i="2"/>
  <c r="K43" i="2"/>
  <c r="N43" i="2" s="1"/>
  <c r="R43" i="2" s="1"/>
  <c r="O42" i="2"/>
  <c r="N42" i="2"/>
  <c r="R42" i="2" s="1"/>
  <c r="K42" i="2"/>
  <c r="O41" i="2"/>
  <c r="K41" i="2"/>
  <c r="N41" i="2" s="1"/>
  <c r="R41" i="2" s="1"/>
  <c r="O40" i="2"/>
  <c r="N40" i="2"/>
  <c r="R40" i="2" s="1"/>
  <c r="K40" i="2"/>
  <c r="O39" i="2"/>
  <c r="K39" i="2"/>
  <c r="N39" i="2" s="1"/>
  <c r="R39" i="2" s="1"/>
  <c r="O38" i="2"/>
  <c r="N38" i="2"/>
  <c r="R38" i="2" s="1"/>
  <c r="K38" i="2"/>
  <c r="O37" i="2"/>
  <c r="K37" i="2"/>
  <c r="N37" i="2" s="1"/>
  <c r="R37" i="2" s="1"/>
  <c r="O36" i="2"/>
  <c r="N36" i="2"/>
  <c r="R36" i="2" s="1"/>
  <c r="K36" i="2"/>
  <c r="P35" i="2"/>
  <c r="O35" i="2"/>
  <c r="N35" i="2"/>
  <c r="R35" i="2" s="1"/>
  <c r="L35" i="2"/>
  <c r="K35" i="2"/>
  <c r="P34" i="2"/>
  <c r="O34" i="2"/>
  <c r="L34" i="2"/>
  <c r="K34" i="2"/>
  <c r="N34" i="2" s="1"/>
  <c r="R34" i="2" s="1"/>
  <c r="P33" i="2"/>
  <c r="O33" i="2"/>
  <c r="L33" i="2"/>
  <c r="L180" i="2" s="1"/>
  <c r="K33" i="2"/>
  <c r="N33" i="2" s="1"/>
  <c r="R33" i="2" s="1"/>
  <c r="O32" i="2"/>
  <c r="K32" i="2"/>
  <c r="N32" i="2" s="1"/>
  <c r="R32" i="2" s="1"/>
  <c r="O31" i="2"/>
  <c r="K31" i="2"/>
  <c r="N31" i="2" s="1"/>
  <c r="R31" i="2" s="1"/>
  <c r="R30" i="2"/>
  <c r="O30" i="2"/>
  <c r="K30" i="2"/>
  <c r="N30" i="2" s="1"/>
  <c r="O29" i="2"/>
  <c r="K29" i="2"/>
  <c r="N29" i="2" s="1"/>
  <c r="R29" i="2" s="1"/>
  <c r="O28" i="2"/>
  <c r="K28" i="2"/>
  <c r="N28" i="2" s="1"/>
  <c r="R28" i="2" s="1"/>
  <c r="O27" i="2"/>
  <c r="K27" i="2"/>
  <c r="N27" i="2" s="1"/>
  <c r="R27" i="2" s="1"/>
  <c r="R26" i="2"/>
  <c r="O26" i="2"/>
  <c r="K26" i="2"/>
  <c r="N26" i="2" s="1"/>
  <c r="O25" i="2"/>
  <c r="K25" i="2"/>
  <c r="N25" i="2" s="1"/>
  <c r="R25" i="2" s="1"/>
  <c r="O24" i="2"/>
  <c r="K24" i="2"/>
  <c r="N24" i="2" s="1"/>
  <c r="R24" i="2" s="1"/>
  <c r="O23" i="2"/>
  <c r="K23" i="2"/>
  <c r="N23" i="2" s="1"/>
  <c r="R23" i="2" s="1"/>
  <c r="R22" i="2"/>
  <c r="O22" i="2"/>
  <c r="K22" i="2"/>
  <c r="N22" i="2" s="1"/>
  <c r="N21" i="2"/>
  <c r="R21" i="2" s="1"/>
  <c r="K21" i="2"/>
  <c r="K20" i="2"/>
  <c r="N20" i="2" s="1"/>
  <c r="R20" i="2" s="1"/>
  <c r="K19" i="2"/>
  <c r="N19" i="2" s="1"/>
  <c r="R19" i="2" s="1"/>
  <c r="K18" i="2"/>
  <c r="N18" i="2" s="1"/>
  <c r="R18" i="2" s="1"/>
  <c r="N17" i="2"/>
  <c r="R17" i="2" s="1"/>
  <c r="K17" i="2"/>
  <c r="K16" i="2"/>
  <c r="N16" i="2" s="1"/>
  <c r="R16" i="2" s="1"/>
  <c r="K15" i="2"/>
  <c r="N15" i="2" s="1"/>
  <c r="R15" i="2" s="1"/>
  <c r="K14" i="2"/>
  <c r="N14" i="2" s="1"/>
  <c r="R14" i="2" s="1"/>
  <c r="N13" i="2"/>
  <c r="R13" i="2" s="1"/>
  <c r="K13" i="2"/>
  <c r="K12" i="2"/>
  <c r="N12" i="2" s="1"/>
  <c r="R12" i="2" s="1"/>
  <c r="K11" i="2"/>
  <c r="N11" i="2" s="1"/>
  <c r="R11" i="2" s="1"/>
  <c r="K10" i="2"/>
  <c r="N10" i="2" s="1"/>
  <c r="R10" i="2" s="1"/>
  <c r="N9" i="2"/>
  <c r="R9" i="2" s="1"/>
  <c r="K9" i="2"/>
  <c r="K8" i="2"/>
  <c r="N8" i="2" s="1"/>
  <c r="R8" i="2" s="1"/>
  <c r="N7" i="2"/>
  <c r="R7" i="2" s="1"/>
  <c r="K7" i="2"/>
  <c r="K6" i="2"/>
  <c r="O100" i="2" l="1"/>
  <c r="O95" i="2"/>
  <c r="K98" i="2"/>
  <c r="N98" i="2" s="1"/>
  <c r="R98" i="2" s="1"/>
  <c r="R95" i="2"/>
  <c r="O99" i="2"/>
  <c r="K99" i="2"/>
  <c r="N99" i="2" s="1"/>
  <c r="R99" i="2" s="1"/>
  <c r="N6" i="2"/>
  <c r="R96" i="2"/>
  <c r="R100" i="2"/>
  <c r="R102" i="2"/>
  <c r="P180" i="2"/>
  <c r="I180" i="2"/>
  <c r="I188" i="2" s="1"/>
  <c r="J188" i="2" s="1"/>
  <c r="K93" i="2"/>
  <c r="N93" i="2" s="1"/>
  <c r="R93" i="2" s="1"/>
  <c r="O97" i="2"/>
  <c r="R97" i="2" s="1"/>
  <c r="O92" i="2"/>
  <c r="R92" i="2" s="1"/>
  <c r="H190" i="2" l="1"/>
  <c r="I190" i="2" s="1"/>
  <c r="O180" i="2"/>
  <c r="N180" i="2"/>
  <c r="R6" i="2"/>
  <c r="R180" i="2" s="1"/>
  <c r="K180" i="2"/>
  <c r="N6" i="1" l="1"/>
  <c r="R6" i="1" s="1"/>
  <c r="N7" i="1"/>
  <c r="R7" i="1"/>
  <c r="V7" i="1" s="1"/>
  <c r="Z7" i="1" s="1"/>
  <c r="AD7" i="1" s="1"/>
  <c r="AH7" i="1" s="1"/>
  <c r="N8" i="1"/>
  <c r="R8" i="1" s="1"/>
  <c r="V8" i="1" s="1"/>
  <c r="Z8" i="1" s="1"/>
  <c r="AD8" i="1" s="1"/>
  <c r="AH8" i="1" s="1"/>
  <c r="N9" i="1"/>
  <c r="R9" i="1"/>
  <c r="V9" i="1" s="1"/>
  <c r="Z9" i="1" s="1"/>
  <c r="AD9" i="1" s="1"/>
  <c r="AH9" i="1" s="1"/>
  <c r="N10" i="1"/>
  <c r="R10" i="1" s="1"/>
  <c r="V10" i="1" s="1"/>
  <c r="Z10" i="1" s="1"/>
  <c r="AD10" i="1" s="1"/>
  <c r="AH10" i="1" s="1"/>
  <c r="N11" i="1"/>
  <c r="R11" i="1"/>
  <c r="V11" i="1" s="1"/>
  <c r="Z11" i="1" s="1"/>
  <c r="AD11" i="1" s="1"/>
  <c r="AH11" i="1" s="1"/>
  <c r="N12" i="1"/>
  <c r="R12" i="1" s="1"/>
  <c r="V12" i="1" s="1"/>
  <c r="Z12" i="1" s="1"/>
  <c r="AD12" i="1" s="1"/>
  <c r="AH12" i="1" s="1"/>
  <c r="N13" i="1"/>
  <c r="R13" i="1"/>
  <c r="V13" i="1" s="1"/>
  <c r="Z13" i="1" s="1"/>
  <c r="AD13" i="1" s="1"/>
  <c r="AH13" i="1" s="1"/>
  <c r="N14" i="1"/>
  <c r="R14" i="1" s="1"/>
  <c r="V14" i="1" s="1"/>
  <c r="Z14" i="1" s="1"/>
  <c r="AD14" i="1" s="1"/>
  <c r="AH14" i="1" s="1"/>
  <c r="N15" i="1"/>
  <c r="R15" i="1"/>
  <c r="V15" i="1" s="1"/>
  <c r="Z15" i="1" s="1"/>
  <c r="AD15" i="1" s="1"/>
  <c r="AH15" i="1" s="1"/>
  <c r="N16" i="1"/>
  <c r="R16" i="1" s="1"/>
  <c r="V16" i="1" s="1"/>
  <c r="Z16" i="1" s="1"/>
  <c r="AD16" i="1" s="1"/>
  <c r="AH16" i="1" s="1"/>
  <c r="N17" i="1"/>
  <c r="R17" i="1"/>
  <c r="V17" i="1" s="1"/>
  <c r="Z17" i="1" s="1"/>
  <c r="AD17" i="1" s="1"/>
  <c r="AH17" i="1" s="1"/>
  <c r="N18" i="1"/>
  <c r="R18" i="1" s="1"/>
  <c r="V18" i="1" s="1"/>
  <c r="Z18" i="1" s="1"/>
  <c r="AD18" i="1" s="1"/>
  <c r="AH18" i="1" s="1"/>
  <c r="N19" i="1"/>
  <c r="R19" i="1"/>
  <c r="V19" i="1" s="1"/>
  <c r="Z19" i="1" s="1"/>
  <c r="AD19" i="1" s="1"/>
  <c r="AH19" i="1" s="1"/>
  <c r="N20" i="1"/>
  <c r="R20" i="1" s="1"/>
  <c r="V20" i="1" s="1"/>
  <c r="Z20" i="1" s="1"/>
  <c r="AD20" i="1" s="1"/>
  <c r="AH20" i="1" s="1"/>
  <c r="AB20" i="1"/>
  <c r="I22" i="1"/>
  <c r="I23" i="1"/>
  <c r="I26" i="1"/>
  <c r="I27" i="1"/>
  <c r="I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213" i="1" s="1"/>
  <c r="AP216" i="1" s="1"/>
  <c r="AP89" i="1"/>
  <c r="AP90" i="1"/>
  <c r="AP91" i="1"/>
  <c r="AP92" i="1"/>
  <c r="AP93" i="1"/>
  <c r="AP94" i="1"/>
  <c r="I95" i="1"/>
  <c r="AP95" i="1"/>
  <c r="I96" i="1"/>
  <c r="AP96" i="1"/>
  <c r="I97" i="1"/>
  <c r="AP97" i="1"/>
  <c r="I98" i="1"/>
  <c r="AP98" i="1"/>
  <c r="AP99" i="1"/>
  <c r="I100" i="1"/>
  <c r="AP100" i="1"/>
  <c r="I101" i="1"/>
  <c r="AP101" i="1"/>
  <c r="I102" i="1"/>
  <c r="AP102" i="1"/>
  <c r="I103" i="1"/>
  <c r="AP103" i="1"/>
  <c r="I104" i="1"/>
  <c r="AP104" i="1"/>
  <c r="I105" i="1"/>
  <c r="AP105" i="1"/>
  <c r="I106" i="1"/>
  <c r="AP106" i="1"/>
  <c r="I107" i="1"/>
  <c r="AP107" i="1"/>
  <c r="I108" i="1"/>
  <c r="AP108" i="1"/>
  <c r="I109" i="1"/>
  <c r="AP109" i="1"/>
  <c r="I110" i="1"/>
  <c r="AP110" i="1"/>
  <c r="I111" i="1"/>
  <c r="AP111" i="1"/>
  <c r="I112" i="1"/>
  <c r="AP112" i="1"/>
  <c r="I113" i="1"/>
  <c r="AP113" i="1"/>
  <c r="I114" i="1"/>
  <c r="AP114" i="1"/>
  <c r="I115" i="1"/>
  <c r="AP115" i="1"/>
  <c r="I116" i="1"/>
  <c r="AP116" i="1"/>
  <c r="I117" i="1"/>
  <c r="AP117" i="1"/>
  <c r="I118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E213" i="1"/>
  <c r="I213" i="1"/>
  <c r="J213" i="1"/>
  <c r="K213" i="1"/>
  <c r="L213" i="1"/>
  <c r="M213" i="1"/>
  <c r="N213" i="1"/>
  <c r="O213" i="1"/>
  <c r="P213" i="1"/>
  <c r="Q213" i="1"/>
  <c r="S213" i="1"/>
  <c r="T213" i="1"/>
  <c r="U213" i="1"/>
  <c r="W213" i="1"/>
  <c r="X213" i="1"/>
  <c r="Y213" i="1"/>
  <c r="AA213" i="1"/>
  <c r="AB213" i="1"/>
  <c r="AC213" i="1"/>
  <c r="AI213" i="1"/>
  <c r="AJ213" i="1"/>
  <c r="AK213" i="1"/>
  <c r="AL213" i="1"/>
  <c r="AM213" i="1"/>
  <c r="AN213" i="1"/>
  <c r="AO213" i="1"/>
  <c r="AL216" i="1"/>
  <c r="R213" i="1" l="1"/>
  <c r="R216" i="1" s="1"/>
  <c r="V6" i="1"/>
  <c r="V213" i="1" l="1"/>
  <c r="V216" i="1" s="1"/>
  <c r="Z6" i="1"/>
  <c r="AD6" i="1" l="1"/>
  <c r="Z213" i="1"/>
  <c r="Z216" i="1" s="1"/>
  <c r="AD213" i="1" l="1"/>
  <c r="AD216" i="1" s="1"/>
  <c r="AH6" i="1"/>
  <c r="AH213" i="1" s="1"/>
  <c r="AH2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tc={F14D29AB-20AA-43BC-AB02-C9BD76B4A8E3}</author>
  </authors>
  <commentList>
    <comment ref="E18" authorId="0" shapeId="0" xr:uid="{F14D29AB-20AA-43BC-AB02-C9BD76B4A8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1MM hasta sept. Saldo nominal 249387.92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tc={72E5F9A2-A462-4E23-BEA4-094EB868F906}</author>
  </authors>
  <commentList>
    <comment ref="B40" authorId="0" shapeId="0" xr:uid="{72E5F9A2-A462-4E23-BEA4-094EB868F9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viene del 103266-1 EN MARZO 2020 Transfer entre portafolios</t>
      </text>
    </comment>
  </commentList>
</comments>
</file>

<file path=xl/sharedStrings.xml><?xml version="1.0" encoding="utf-8"?>
<sst xmlns="http://schemas.openxmlformats.org/spreadsheetml/2006/main" count="6414" uniqueCount="828">
  <si>
    <t>Diferencia</t>
  </si>
  <si>
    <t>M/G</t>
  </si>
  <si>
    <t>MG</t>
  </si>
  <si>
    <t>** Booking date</t>
  </si>
  <si>
    <t>Saldo  USD1755300090001</t>
  </si>
  <si>
    <t>SHORT PUT LPA 12107 501K 25SEP21</t>
  </si>
  <si>
    <t>000402-877</t>
  </si>
  <si>
    <t>12107-1</t>
  </si>
  <si>
    <t>SHORT PUT LPA 12810 25SEP21 1M</t>
  </si>
  <si>
    <t>000402-876</t>
  </si>
  <si>
    <t>12810-3</t>
  </si>
  <si>
    <t>SHORT PUT LPA 12010 27SEP21 200K</t>
  </si>
  <si>
    <t>000402-875</t>
  </si>
  <si>
    <t>12010-1</t>
  </si>
  <si>
    <t>SHORT PUT LPA100303 25SEP21 330K</t>
  </si>
  <si>
    <t>000402-873</t>
  </si>
  <si>
    <t>100303-1</t>
  </si>
  <si>
    <t>SHORT PUT LPA101289 24SEP21 330K</t>
  </si>
  <si>
    <t>000402-870</t>
  </si>
  <si>
    <t>101289-1</t>
  </si>
  <si>
    <t>SHORT PUT LPA101188 20SEP21 600K</t>
  </si>
  <si>
    <t>000402-866</t>
  </si>
  <si>
    <t>101188-1</t>
  </si>
  <si>
    <t>SHORT PUT LPA11794 01SEP21 173K</t>
  </si>
  <si>
    <t>000402-840</t>
  </si>
  <si>
    <t>11794-1</t>
  </si>
  <si>
    <t>SHORT PUT LPA104262 09SEP21 100K</t>
  </si>
  <si>
    <t>000402-839</t>
  </si>
  <si>
    <t>104262-1</t>
  </si>
  <si>
    <t>SHORT PUT LPA11975 03SEP21 220K</t>
  </si>
  <si>
    <t>000402-794</t>
  </si>
  <si>
    <t>11975-1</t>
  </si>
  <si>
    <t>SHORT PUT LPA11999 03SEP21 300K</t>
  </si>
  <si>
    <t>000402-793</t>
  </si>
  <si>
    <t>11999-1</t>
  </si>
  <si>
    <t>SHORT PUT LPA101521 01SEP21 500K</t>
  </si>
  <si>
    <t>000402-782</t>
  </si>
  <si>
    <t>101521-1</t>
  </si>
  <si>
    <t>SHORT PUT LPA13508 01SEP21 500K</t>
  </si>
  <si>
    <t>000402-781</t>
  </si>
  <si>
    <t>13508-1</t>
  </si>
  <si>
    <t>SHORT PUT LPA13508 01SEP21 285K</t>
  </si>
  <si>
    <t>000402-780</t>
  </si>
  <si>
    <t>SHORT PUT LPA13508 01SEP21 615K</t>
  </si>
  <si>
    <t>000402-779</t>
  </si>
  <si>
    <t>SHORT PUT LPA101300 01SEP21 160K</t>
  </si>
  <si>
    <t>000402-771</t>
  </si>
  <si>
    <t>101300-1</t>
  </si>
  <si>
    <t>SHORT PUT LPA13986 23AGO21 150K</t>
  </si>
  <si>
    <t>000402-769</t>
  </si>
  <si>
    <t>13986-1</t>
  </si>
  <si>
    <t>SHORT PUT LPA103275 12AGO21 60.250K</t>
  </si>
  <si>
    <t>000402-768</t>
  </si>
  <si>
    <t>103275-1</t>
  </si>
  <si>
    <t>SHORT PUT LPA103266 12AGO21 60.250K</t>
  </si>
  <si>
    <t>000402-767</t>
  </si>
  <si>
    <t>103266-1</t>
  </si>
  <si>
    <t>SHORT PUT LPA12515 27AGO21 100K</t>
  </si>
  <si>
    <t>000402-763</t>
  </si>
  <si>
    <t>12515-1</t>
  </si>
  <si>
    <t>SHORT PUT LPA12107 26AGO21 325K</t>
  </si>
  <si>
    <t>000402-761</t>
  </si>
  <si>
    <t>SHORT PUT LPA13202 25AGO21 250K</t>
  </si>
  <si>
    <t>000402-757</t>
  </si>
  <si>
    <t>13202-1</t>
  </si>
  <si>
    <t>SHORT PUT LPA13508 15AGO21 2.1M</t>
  </si>
  <si>
    <t>000402-704</t>
  </si>
  <si>
    <t>SHORT PUT LPA11794 01AGO21 100K</t>
  </si>
  <si>
    <t>000402-662</t>
  </si>
  <si>
    <t>SHORT PUT LPA12900 01AGO21 100K</t>
  </si>
  <si>
    <t>000402-661</t>
  </si>
  <si>
    <t>12900-1</t>
  </si>
  <si>
    <t>SHORT PUT LPA11474 30JUL21 139K</t>
  </si>
  <si>
    <t>000402-659</t>
  </si>
  <si>
    <t>11474-1</t>
  </si>
  <si>
    <t>SHORT PUT LPA 10054-1 22JUL21 240K</t>
  </si>
  <si>
    <t>000402-660</t>
  </si>
  <si>
    <t>10054-1</t>
  </si>
  <si>
    <t>SHORT PUT LPA 12107 25JUL21 541K</t>
  </si>
  <si>
    <t>000402-650</t>
  </si>
  <si>
    <t>SHORT PUT LPA12011 26JUL 21 53K</t>
  </si>
  <si>
    <t>000402-645</t>
  </si>
  <si>
    <t>12011-1</t>
  </si>
  <si>
    <t>SHORT PUT LPA11591 24JUL21 220K</t>
  </si>
  <si>
    <t>000402-641</t>
  </si>
  <si>
    <t>11591-1</t>
  </si>
  <si>
    <t>SHORT PUT LPA11591 24JUL21 75K</t>
  </si>
  <si>
    <t>000402-640</t>
  </si>
  <si>
    <t>SHORT PUT LPA12010 16JUL21 13K</t>
  </si>
  <si>
    <t>000402-634</t>
  </si>
  <si>
    <t>SHORT PUT LPA12010 16JUL21 10K</t>
  </si>
  <si>
    <t>000402-633</t>
  </si>
  <si>
    <t>000402-632</t>
  </si>
  <si>
    <t>000402-631</t>
  </si>
  <si>
    <t>SHORT PUT LPA101289 20JUL21 60K</t>
  </si>
  <si>
    <t>000402-610</t>
  </si>
  <si>
    <t>CANCELADO.</t>
  </si>
  <si>
    <t>SHORT PUT LPA13508 19JUL21 1.1MM</t>
  </si>
  <si>
    <t>000402-608</t>
  </si>
  <si>
    <t>SHORT PUT LPA100303 15JUL21 50K</t>
  </si>
  <si>
    <t>000402-605</t>
  </si>
  <si>
    <t>SHORT PUT LPA10539 13JUL21 462K</t>
  </si>
  <si>
    <t>000402-596</t>
  </si>
  <si>
    <t>10539-1</t>
  </si>
  <si>
    <t>SHORT PUT LPA12290 13JUL21 462K</t>
  </si>
  <si>
    <t>000402-595</t>
  </si>
  <si>
    <t>12290-1</t>
  </si>
  <si>
    <t>SHORT PUT LPA13508 12JUL21 1.1MM</t>
  </si>
  <si>
    <t>000402-593</t>
  </si>
  <si>
    <t>SHORT PUT LPA11794 01JUL21 85K</t>
  </si>
  <si>
    <t>000402-560</t>
  </si>
  <si>
    <t>SHORT PUT LPA12010 24JUN21 200K</t>
  </si>
  <si>
    <t>000402-558</t>
  </si>
  <si>
    <t>SHORT PUT LPA13508 30JUN21 330K</t>
  </si>
  <si>
    <t>000402-555</t>
  </si>
  <si>
    <t>SHORT PUT LPA11252 28JUN21 100K</t>
  </si>
  <si>
    <t>000402-549</t>
  </si>
  <si>
    <t>11252-1</t>
  </si>
  <si>
    <t>SHORT PUT LPA11252 28JUN21 60K</t>
  </si>
  <si>
    <t>000402-547</t>
  </si>
  <si>
    <t>SHORT PUT LPA11474 17JUN21 139K</t>
  </si>
  <si>
    <t>000402-526</t>
  </si>
  <si>
    <t>SHORT PUT LPA10332 17JUN21 158K</t>
  </si>
  <si>
    <t>000402-525</t>
  </si>
  <si>
    <t>10332-1</t>
  </si>
  <si>
    <t>SHORT PUT LPA14654 17JUN21 140K</t>
  </si>
  <si>
    <t>000402-524</t>
  </si>
  <si>
    <t>14654-1</t>
  </si>
  <si>
    <t>SHORT PUT LPA14654 17JUN21 400K</t>
  </si>
  <si>
    <t>000402-523</t>
  </si>
  <si>
    <t>SHORT PUT LPA12010 11JUN21 437.5K</t>
  </si>
  <si>
    <t>000402-500</t>
  </si>
  <si>
    <t>SHORT PUT LPA13508 10JUN21 955K</t>
  </si>
  <si>
    <t>000402-490</t>
  </si>
  <si>
    <t>SHORT PUT LPA13508 10JUN21 350K</t>
  </si>
  <si>
    <t>000402-489</t>
  </si>
  <si>
    <t>SHORT PUT LPA102990 07JUN21 150K</t>
  </si>
  <si>
    <t>000402-480</t>
  </si>
  <si>
    <t>102990-1</t>
  </si>
  <si>
    <t>SHORT PUT LPA10054 06JUN21 240K</t>
  </si>
  <si>
    <t>000402-467</t>
  </si>
  <si>
    <t>SHORT PUT LPA13651 03JUN21 1.4MM</t>
  </si>
  <si>
    <t>000402-450</t>
  </si>
  <si>
    <t>13651-1</t>
  </si>
  <si>
    <t>SHORT PUT LPA101188 01JUN21 1.1MM</t>
  </si>
  <si>
    <t>000402-449</t>
  </si>
  <si>
    <t>SHORT PUT LPA10892 29MAY21 150K</t>
  </si>
  <si>
    <t>000402-434</t>
  </si>
  <si>
    <t>10892-1</t>
  </si>
  <si>
    <t>SHORT PUT LPA14654 27MAY21 110K</t>
  </si>
  <si>
    <t>000402-419</t>
  </si>
  <si>
    <t>SHORT PUT LPA 12107 200K 16MAY21</t>
  </si>
  <si>
    <t>000402-413</t>
  </si>
  <si>
    <t>SHORT PUT LPA 12107 103K 16MAY21</t>
  </si>
  <si>
    <t>000402-412</t>
  </si>
  <si>
    <t>SHORT PUT LPA103275 15MAY21 500K</t>
  </si>
  <si>
    <t>000402-380</t>
  </si>
  <si>
    <t>SHORT PUT LPA103266 15MAY21 500K</t>
  </si>
  <si>
    <t>000402-379</t>
  </si>
  <si>
    <t>103266-2</t>
  </si>
  <si>
    <t>SHORT PUT LPA11474 14MAY21 75K</t>
  </si>
  <si>
    <t>000402-373</t>
  </si>
  <si>
    <t>SHORT PUT LPA11591 08MAY21 145K</t>
  </si>
  <si>
    <t>000402-368</t>
  </si>
  <si>
    <t>SHORT PUT LPA11591 08MAY21 200K</t>
  </si>
  <si>
    <t>000402-367</t>
  </si>
  <si>
    <t>SHORT PUT LPA12011 03MAY21 41K</t>
  </si>
  <si>
    <t>000402-331</t>
  </si>
  <si>
    <t>SHORT PUT LPA11794 02MAY21 150K</t>
  </si>
  <si>
    <t>000402-330</t>
  </si>
  <si>
    <t>SHORT PUT LPA12010 02MAY21 100K</t>
  </si>
  <si>
    <t>000402-329</t>
  </si>
  <si>
    <t>SHORT PUT LPA13159 29ABR21 985K</t>
  </si>
  <si>
    <t>000402-309</t>
  </si>
  <si>
    <t>13159-1</t>
  </si>
  <si>
    <t>SHORT PUT LPA12091 25ABR21 50K</t>
  </si>
  <si>
    <t>000402-305</t>
  </si>
  <si>
    <t>12091-1</t>
  </si>
  <si>
    <t>SHORT PUT LPA12091 25APR21 50K</t>
  </si>
  <si>
    <t>000402-304</t>
  </si>
  <si>
    <t>SHORT PUT LPA12091 25ABR21 100K</t>
  </si>
  <si>
    <t>000402-303</t>
  </si>
  <si>
    <t>SHORT PUT LPA12091 25ABR21 48K</t>
  </si>
  <si>
    <t>000402-302</t>
  </si>
  <si>
    <t>SHORT PUT LPA12091 25ABR21 17K</t>
  </si>
  <si>
    <t>000402-301</t>
  </si>
  <si>
    <t>SHORT PUT LPA12091 25ABR21 87K</t>
  </si>
  <si>
    <t>000402-300</t>
  </si>
  <si>
    <t>SHORT PUT LPA12091 25ABR21 60K</t>
  </si>
  <si>
    <t>000402-299</t>
  </si>
  <si>
    <t>SHORT PUT LPA12091 25ABR21 20K</t>
  </si>
  <si>
    <t>000402-298</t>
  </si>
  <si>
    <t>SHORT PUT LPA10054 26ABR21 191K</t>
  </si>
  <si>
    <t>000402-297</t>
  </si>
  <si>
    <t>SHORT PUT LPA11474 25ABR21 100K</t>
  </si>
  <si>
    <t>000402-296</t>
  </si>
  <si>
    <t>SHORT PUT LPA13159 22ABRIL21 631K</t>
  </si>
  <si>
    <t>000402-283</t>
  </si>
  <si>
    <t>AMORTIZADO</t>
  </si>
  <si>
    <t>SHORT PUT LPA13159 22ABRIL21 1.05M</t>
  </si>
  <si>
    <t>SHORT PUT LPA12091 21ABR21 33K</t>
  </si>
  <si>
    <t>000402-281</t>
  </si>
  <si>
    <t>SHORT PUT LPA13772 16ABR21 330K</t>
  </si>
  <si>
    <t>000402-267</t>
  </si>
  <si>
    <t>13772-1</t>
  </si>
  <si>
    <t>SHORT PUT LPA13159 15ABR21 810K</t>
  </si>
  <si>
    <t>000402-256</t>
  </si>
  <si>
    <t>SHORT PUT LPA11474 9ABR21 120K</t>
  </si>
  <si>
    <t>000402-246</t>
  </si>
  <si>
    <t>SHORT PUT LPA14439 6ABR21 1.1M</t>
  </si>
  <si>
    <t>000402-226</t>
  </si>
  <si>
    <t>14439-1</t>
  </si>
  <si>
    <t>SHORT PUT LPA100303 4ABR21 90K</t>
  </si>
  <si>
    <t>000402-223</t>
  </si>
  <si>
    <t>SHORT PUT LPA11794 01ABR21 122.5K</t>
  </si>
  <si>
    <t>000402-208</t>
  </si>
  <si>
    <t>SHORT PUT LPA103275 30DIC20 800K</t>
  </si>
  <si>
    <t>000401-951</t>
  </si>
  <si>
    <t>VENCIDO</t>
  </si>
  <si>
    <t>SHORT PUT LPA12107 25SEP20 465K</t>
  </si>
  <si>
    <t>000401-678</t>
  </si>
  <si>
    <t>SHORT PUT LPA13508 19JUL20 1.1MM</t>
  </si>
  <si>
    <t>000401-676</t>
  </si>
  <si>
    <t>SHORT PUT LPA100303 25SEP20 330K</t>
  </si>
  <si>
    <t>000401-674</t>
  </si>
  <si>
    <t>SHORT PUT LPA11591 01AGO20 315,230</t>
  </si>
  <si>
    <t>000401-545</t>
  </si>
  <si>
    <t>SHORT PUT LPA11474 20MAR21 100K</t>
  </si>
  <si>
    <t>000402-157</t>
  </si>
  <si>
    <t>SHORT PUT LPA12010 14MAR21 100K</t>
  </si>
  <si>
    <t>000402-135</t>
  </si>
  <si>
    <t>SHORT PUT LPA12574 13MAR21 80K</t>
  </si>
  <si>
    <t>000402-134</t>
  </si>
  <si>
    <t>12574-1</t>
  </si>
  <si>
    <t>SHORT PUT LPA100303 13MAR21 72.5K</t>
  </si>
  <si>
    <t>000402-133</t>
  </si>
  <si>
    <t>SHORT PUT LPA10332 12MAR21 50K</t>
  </si>
  <si>
    <t>000402-132</t>
  </si>
  <si>
    <t>SHORT PUT LPA12011 04MAR21 22.6K</t>
  </si>
  <si>
    <t>000402-118</t>
  </si>
  <si>
    <t>SHORT PUT LPA10332 02MAR21 200K</t>
  </si>
  <si>
    <t>000402-096</t>
  </si>
  <si>
    <t>SHORT PUT LPA11794 01MAR21 122.5K</t>
  </si>
  <si>
    <t>000402-095</t>
  </si>
  <si>
    <t>SHORT PUT LPA12010 20FEB21 100K</t>
  </si>
  <si>
    <t>000402-074</t>
  </si>
  <si>
    <t>SHORT PUT LPA101289 19FEB21 87.5K</t>
  </si>
  <si>
    <t>000402-068</t>
  </si>
  <si>
    <t>SHORT PUT LPA100303 19FEB21 87.5K</t>
  </si>
  <si>
    <t>000402-067</t>
  </si>
  <si>
    <t>SHORT PUT LPA10054 19FEB21 23K</t>
  </si>
  <si>
    <t>000402-066</t>
  </si>
  <si>
    <t>SHORT PUT LPA13904 18FEB21 1.5M</t>
  </si>
  <si>
    <t>000402-061</t>
  </si>
  <si>
    <t>SHORT PUT LPA103266 17FEB21 1M</t>
  </si>
  <si>
    <t>000402-059</t>
  </si>
  <si>
    <t>SHORT PUT LPA101289 03FEB21 90K</t>
  </si>
  <si>
    <t>000402-052</t>
  </si>
  <si>
    <t>SHORT PUT LPA101289 03FEB21 72.5K</t>
  </si>
  <si>
    <t>000402-051</t>
  </si>
  <si>
    <t>SHORT PUT LPA10033 04FEB21 300K</t>
  </si>
  <si>
    <t>000402-050</t>
  </si>
  <si>
    <t>10033-1</t>
  </si>
  <si>
    <t>SHORT PUT LPA11415 06FEB21 188K</t>
  </si>
  <si>
    <t>000402-046</t>
  </si>
  <si>
    <t>11415-1</t>
  </si>
  <si>
    <t>SHORT PUT LPA13487 05FEB21 500K</t>
  </si>
  <si>
    <t>000402-041</t>
  </si>
  <si>
    <t>13487-1</t>
  </si>
  <si>
    <t>SHORT PUT LPA101521 05FEB21 2K</t>
  </si>
  <si>
    <t>000402-034</t>
  </si>
  <si>
    <t>SHORT PUT LPA101521 05FEB21 130K</t>
  </si>
  <si>
    <t>SHORT PUT LPA10032 04FEB21 1.4M</t>
  </si>
  <si>
    <t>000402-033</t>
  </si>
  <si>
    <t>10032-1</t>
  </si>
  <si>
    <t>SHORT PUT LPA11415 04FEB21 15K</t>
  </si>
  <si>
    <t>000402-032</t>
  </si>
  <si>
    <t>SHORT PUT LPA11794 01FEB21 175K</t>
  </si>
  <si>
    <t>000402-030</t>
  </si>
  <si>
    <t>SHORT PUT LPA103266 18JAN21 2.2M</t>
  </si>
  <si>
    <t>000402-023</t>
  </si>
  <si>
    <t>SHORT PUT LPA100303 22JAN21 60K</t>
  </si>
  <si>
    <t>000402-006</t>
  </si>
  <si>
    <t>SHORT PUT LPA103266 22JAN21 220K</t>
  </si>
  <si>
    <t>000402-005</t>
  </si>
  <si>
    <t>SHORT PUT LPA103266 14JAN21 50K</t>
  </si>
  <si>
    <t>000402-004</t>
  </si>
  <si>
    <t>SHORT PUT LPA103266 10JAN21 746K</t>
  </si>
  <si>
    <t>000402-003</t>
  </si>
  <si>
    <t>SHORT PUT LPA101289 16JAN21 50K</t>
  </si>
  <si>
    <t>000401-999</t>
  </si>
  <si>
    <t>SHORT PUT LPA12574 16JAN21 59K</t>
  </si>
  <si>
    <t>000401-998</t>
  </si>
  <si>
    <t>SHORT PUT LPA100303 08JAN21 60K</t>
  </si>
  <si>
    <t>000401-976</t>
  </si>
  <si>
    <t>SHORT PUT LPA101289 07JAN21 60K</t>
  </si>
  <si>
    <t>000401-960</t>
  </si>
  <si>
    <t>SHORT PUT LPA11794 02ENE21 160K</t>
  </si>
  <si>
    <t>000401-956</t>
  </si>
  <si>
    <t>SHORT PUT LPA12574 21DIC20 200K</t>
  </si>
  <si>
    <t>000401-941</t>
  </si>
  <si>
    <t>SHORT PUT LPA12574 21DIC20 51K</t>
  </si>
  <si>
    <t>000401-940</t>
  </si>
  <si>
    <t>SHORT PUT LPA12574 21DIC20 130K</t>
  </si>
  <si>
    <t>000401-939</t>
  </si>
  <si>
    <t>SHORT PUT LPA12574 21DIC20 206K</t>
  </si>
  <si>
    <t>000401-938</t>
  </si>
  <si>
    <t>SHORT PUT LPA12574 21DIC20 275K</t>
  </si>
  <si>
    <t>000401-937</t>
  </si>
  <si>
    <t>SHORT PUT LPA12574 21DIC20 126K</t>
  </si>
  <si>
    <t>000401-936</t>
  </si>
  <si>
    <t>SHORT PUT LPA12574 21DIC20 254K</t>
  </si>
  <si>
    <t>000401-935</t>
  </si>
  <si>
    <t>SHORT PUT LPA12574 21DIC20 170K</t>
  </si>
  <si>
    <t>000401-934</t>
  </si>
  <si>
    <t>SHORT PUT LPA12977 17DIC20 200K</t>
  </si>
  <si>
    <t>000401-926</t>
  </si>
  <si>
    <t>12977-1</t>
  </si>
  <si>
    <t>SHORT PUT LPA11415 16DIC20 30K</t>
  </si>
  <si>
    <t>000401-922</t>
  </si>
  <si>
    <t>SHORT PUT LPA102073 12DIC20 33K</t>
  </si>
  <si>
    <t>000401-915</t>
  </si>
  <si>
    <t>102073-1</t>
  </si>
  <si>
    <t>SHORT PUT LPA12810 04DIC20 1400M</t>
  </si>
  <si>
    <t>000401-902</t>
  </si>
  <si>
    <t>SHORT PUT LPA11794 01DIC20 138K</t>
  </si>
  <si>
    <t>000401-891</t>
  </si>
  <si>
    <t>SHORT PUT LPA101277 01DIC20 249.3K</t>
  </si>
  <si>
    <t>000401-890</t>
  </si>
  <si>
    <t>101277-1</t>
  </si>
  <si>
    <t>SHORT PUT LPA 11252 24NOV20 150K</t>
  </si>
  <si>
    <t>000401-829</t>
  </si>
  <si>
    <t>SHORT PUT LPA 11252 23NOV20 100K</t>
  </si>
  <si>
    <t>000401-828</t>
  </si>
  <si>
    <t>SHORT PUT LPA13176 23NOV20 94K</t>
  </si>
  <si>
    <t>000401-827</t>
  </si>
  <si>
    <t>13176-1</t>
  </si>
  <si>
    <t>SHORT PUT LPA13176 23NOV20 100K</t>
  </si>
  <si>
    <t>000401-826</t>
  </si>
  <si>
    <t>SHORT PUT LPA13508 15NOV20 727K</t>
  </si>
  <si>
    <t>000401-780</t>
  </si>
  <si>
    <t>SHORT PUT LPA11794 01NOV20 138K</t>
  </si>
  <si>
    <t>000401-761</t>
  </si>
  <si>
    <t>SHORT PUT LPA101289 02NOV20 78K</t>
  </si>
  <si>
    <t>000401-759</t>
  </si>
  <si>
    <t>SHORT PUT LPA10054 03NOV20 80K</t>
  </si>
  <si>
    <t>000401-757</t>
  </si>
  <si>
    <t>SHORT PUT LPA13176 05NOV20 38K</t>
  </si>
  <si>
    <t>000401-755</t>
  </si>
  <si>
    <t>SHORT PUT LPA12810 25SEP20 1.030MM</t>
  </si>
  <si>
    <t>000401-677</t>
  </si>
  <si>
    <t>SHORT PUT LPA10054 30OCT20 120K</t>
  </si>
  <si>
    <t>000401-751</t>
  </si>
  <si>
    <t>SHORT PUT LPA11474 30OCT20 118K</t>
  </si>
  <si>
    <t>000401-750</t>
  </si>
  <si>
    <t>SHORT PUT LPA11474 25OCT20 134K</t>
  </si>
  <si>
    <t>000401-742</t>
  </si>
  <si>
    <t>SHORT PUT LPA11058 12OCT20 200K</t>
  </si>
  <si>
    <t>000401-707</t>
  </si>
  <si>
    <t>11058-1</t>
  </si>
  <si>
    <t>SHORT PUT LPA 101277 10OCT20 750K</t>
  </si>
  <si>
    <t>000401-706</t>
  </si>
  <si>
    <t>SHORT PUT LPA 101289 10OCT20 25K</t>
  </si>
  <si>
    <t>000401-705</t>
  </si>
  <si>
    <t>SHORT PUT LPA 100303 10OCT20 25K</t>
  </si>
  <si>
    <t>000401-704</t>
  </si>
  <si>
    <t>SHORT PUT LPA10054 07OCT20 50K</t>
  </si>
  <si>
    <t>000401-693</t>
  </si>
  <si>
    <t>SHORT PUT LPA12810 01OCT20 300K</t>
  </si>
  <si>
    <t>000401-684</t>
  </si>
  <si>
    <t>SHORT PUT LPA11794 01OCT20 188K</t>
  </si>
  <si>
    <t>000401-683</t>
  </si>
  <si>
    <t>SHORT PUT LPA11474 01OCT20 170K</t>
  </si>
  <si>
    <t>000401-681</t>
  </si>
  <si>
    <t>SHORT PUT LPA 12010 27SEP20 200K</t>
  </si>
  <si>
    <t>000401-664</t>
  </si>
  <si>
    <t>SHORT PUT LPA 12010 25SEP20 50K</t>
  </si>
  <si>
    <t>000401-663</t>
  </si>
  <si>
    <t>SHORT PUT LPA101289 24SEP20 330K</t>
  </si>
  <si>
    <t>000401-660</t>
  </si>
  <si>
    <t>SHORT PUT LPA 101521 02-SEP-20 650K</t>
  </si>
  <si>
    <t>000401-654</t>
  </si>
  <si>
    <t>SHORT PUT LPA101188 20SEP20 600K</t>
  </si>
  <si>
    <t>000401-653</t>
  </si>
  <si>
    <t>SHORT PUT LPA 10054 22JUL20 240K</t>
  </si>
  <si>
    <t>000401-644</t>
  </si>
  <si>
    <t>SHORT PUT LPA101300 01SEP20 160K</t>
  </si>
  <si>
    <t>000401-627</t>
  </si>
  <si>
    <t>SHORT PUT LPA10617 01SEP20 950K</t>
  </si>
  <si>
    <t>000401-626</t>
  </si>
  <si>
    <t>10617-1</t>
  </si>
  <si>
    <t>SHORT PUT LPA10617 01SEP20 100K</t>
  </si>
  <si>
    <t>000401-625</t>
  </si>
  <si>
    <t>SHORT PUT LPA11999 03SEP20 300K</t>
  </si>
  <si>
    <t>000401-620</t>
  </si>
  <si>
    <t>SHORT PUT LPA11975 03SEP20 220K</t>
  </si>
  <si>
    <t>000401-618</t>
  </si>
  <si>
    <t>SHORT PUT LPA11794 01SEP20 173K</t>
  </si>
  <si>
    <t>000401-609</t>
  </si>
  <si>
    <t>SHORT PUT LPA12515 27AGO20 385K</t>
  </si>
  <si>
    <t>000401-584</t>
  </si>
  <si>
    <t>SHORT PUT LPA12107 26AGO20 300K</t>
  </si>
  <si>
    <t>000401-583</t>
  </si>
  <si>
    <t>12 AUG 2020</t>
  </si>
  <si>
    <t>12 AUG 2019</t>
  </si>
  <si>
    <t>SHORT PUT LPA103275 12AGO20 200K</t>
  </si>
  <si>
    <t>000401-561</t>
  </si>
  <si>
    <t>ROCIO DEL SOLAR</t>
  </si>
  <si>
    <t>SHORT PUT LPA103266 12AGO20 200K</t>
  </si>
  <si>
    <t>000401-559</t>
  </si>
  <si>
    <t>23 AUG 2020</t>
  </si>
  <si>
    <t>23 AUG 2019</t>
  </si>
  <si>
    <t>SHORT PUT LPA13986 23AGO20 150K</t>
  </si>
  <si>
    <t>000401-576</t>
  </si>
  <si>
    <t>VERONICA LABARTHE</t>
  </si>
  <si>
    <t>15 AUG 2020</t>
  </si>
  <si>
    <t>15 AUG 2019</t>
  </si>
  <si>
    <t>SHORT PUT LPA13508 15AGO20 2.170M</t>
  </si>
  <si>
    <t>000401-568</t>
  </si>
  <si>
    <t>ENRIQUE SANTA CRUZ</t>
  </si>
  <si>
    <t>25 AUG 2020</t>
  </si>
  <si>
    <t>25 AUG 2019</t>
  </si>
  <si>
    <t>SHORT PUT LPA13202 25AGO20 250K</t>
  </si>
  <si>
    <t>000401-577</t>
  </si>
  <si>
    <t>URSULA VERME</t>
  </si>
  <si>
    <t>01 AUG 2020</t>
  </si>
  <si>
    <t>01 AUG 2019</t>
  </si>
  <si>
    <t>SHORT PUT LPA12900 01AGO20 100K</t>
  </si>
  <si>
    <t>000401-552</t>
  </si>
  <si>
    <t>ERNESTO JAVIER FERRAND SALAVERRY</t>
  </si>
  <si>
    <t>SHORT PUT LPA11794 01AGO20 100K</t>
  </si>
  <si>
    <t>000401-548</t>
  </si>
  <si>
    <t>JOSE ANTONIO DE LA FUENTE</t>
  </si>
  <si>
    <t>SHORT PUT LPA13508 12JUL20 1.1MM</t>
  </si>
  <si>
    <t>000401-526</t>
  </si>
  <si>
    <t>SHORT PUT LPA12290 13JUL20 537K</t>
  </si>
  <si>
    <t>000401-528</t>
  </si>
  <si>
    <t>ABSALON AGUILAR</t>
  </si>
  <si>
    <t>SHORT PUT LPA 12107 25JUL20 500K</t>
  </si>
  <si>
    <t>000401-531</t>
  </si>
  <si>
    <t>EDUARDO TAGLE</t>
  </si>
  <si>
    <t>SHORT PUT LPA12011 26JUL 20 53.9K</t>
  </si>
  <si>
    <t>000401-535</t>
  </si>
  <si>
    <t>VANESSA MORENO</t>
  </si>
  <si>
    <t xml:space="preserve">SHORT PUT LPA 11794 </t>
  </si>
  <si>
    <t>000401-532</t>
  </si>
  <si>
    <t>SHORT PUT LPA11591 24JUL20 220K</t>
  </si>
  <si>
    <t>000401-534</t>
  </si>
  <si>
    <t>SHORT PUT LPA11591 01JUL20 75.139K</t>
  </si>
  <si>
    <t>000401-533</t>
  </si>
  <si>
    <t>SHORT PUT LPA10539 13JUL20 537K</t>
  </si>
  <si>
    <t>000401-529</t>
  </si>
  <si>
    <t>FERNANDO CARRERA PERBULLI</t>
  </si>
  <si>
    <t>SHORT PUT LPA102990 07JUN20 300K</t>
  </si>
  <si>
    <t>000401-387</t>
  </si>
  <si>
    <t>SHORT PUT LPA101188 01JUN20 1.1MM</t>
  </si>
  <si>
    <t>000401-378</t>
  </si>
  <si>
    <t>SHORT PUT LPA14654 17JUN20 140K</t>
  </si>
  <si>
    <t>000401-431</t>
  </si>
  <si>
    <t>SHORT PUT LPA14654 17JUN20 400K</t>
  </si>
  <si>
    <t>000401-430</t>
  </si>
  <si>
    <t>SHORT PUT LPA13651 03JUN20 1.4MM</t>
  </si>
  <si>
    <t>000401-379</t>
  </si>
  <si>
    <t>SHORT PUT LPA13508 26JUN20 320K</t>
  </si>
  <si>
    <t>000401-429</t>
  </si>
  <si>
    <t>SHORT PUT LPA13508 26JUN20 1.200K</t>
  </si>
  <si>
    <t>000401-428</t>
  </si>
  <si>
    <t>SHORT PUT LPA12010 24JUN20 200K</t>
  </si>
  <si>
    <t>000401-436</t>
  </si>
  <si>
    <t>SHORT PUT LPA12010 11JUN20 437.5K</t>
  </si>
  <si>
    <t>000401-388</t>
  </si>
  <si>
    <t>SHORT PUT LPA11794 01JUN20 150K</t>
  </si>
  <si>
    <t>000401-377</t>
  </si>
  <si>
    <t>SHORT PUT LPA11252 28JUN20 100K</t>
  </si>
  <si>
    <t>000401-435</t>
  </si>
  <si>
    <t>SHORT PUT LPA11252 28JUN20 60K</t>
  </si>
  <si>
    <t>000401-434</t>
  </si>
  <si>
    <t>SHORT PUT LPA11252 28JUN20 40K</t>
  </si>
  <si>
    <t>000401-433</t>
  </si>
  <si>
    <t>SHORT PUT LPA10332 17JUN20 158K</t>
  </si>
  <si>
    <t>000401-427</t>
  </si>
  <si>
    <t>SHORT PUT LPA10054 06JUN20 240K</t>
  </si>
  <si>
    <t>000401-432</t>
  </si>
  <si>
    <t>OBSERVACIONES</t>
  </si>
  <si>
    <t>SALDO</t>
  </si>
  <si>
    <t>AJUSTES</t>
  </si>
  <si>
    <t>DISMINUCION</t>
  </si>
  <si>
    <t>AUMENTO</t>
  </si>
  <si>
    <t>AJUSTES (- Disminuir )</t>
  </si>
  <si>
    <t>AJUSTESR (- Disminuir )</t>
  </si>
  <si>
    <t>TASA PUT</t>
  </si>
  <si>
    <t>VCTO</t>
  </si>
  <si>
    <t>INICIO</t>
  </si>
  <si>
    <t>NOMINAL</t>
  </si>
  <si>
    <t>NOMBRE</t>
  </si>
  <si>
    <t>Sec No</t>
  </si>
  <si>
    <t>Portfolio</t>
  </si>
  <si>
    <t>Account Officer</t>
  </si>
  <si>
    <t>AL 30 DE SEPTIEMBRE 2020</t>
  </si>
  <si>
    <t>AUXILIAR LOAN PUT</t>
  </si>
  <si>
    <t>INTELIGO BANK LTD.</t>
  </si>
  <si>
    <t>AL 31 DE ENERO 2020</t>
  </si>
  <si>
    <t>FECHA DE CANCELACIÓN</t>
  </si>
  <si>
    <t>CONSTANZA VARGAS CORBACHO</t>
  </si>
  <si>
    <t>000401-061</t>
  </si>
  <si>
    <t>SHORT PUT LPA11794 01DIC19 138K</t>
  </si>
  <si>
    <t>17 DEC 2018</t>
  </si>
  <si>
    <t>01 DEC 2019</t>
  </si>
  <si>
    <t>12549-1</t>
  </si>
  <si>
    <t>000401-024</t>
  </si>
  <si>
    <t>SHORT PUT LPA12549 01DIC19 236K</t>
  </si>
  <si>
    <t>01 DEC 2018</t>
  </si>
  <si>
    <t>ROSA AUGUSTA CORTES RUBIO</t>
  </si>
  <si>
    <t>000401-046</t>
  </si>
  <si>
    <t>SHORT PUT LPA12574 21DIC19 275K</t>
  </si>
  <si>
    <t>21 DEC 2019</t>
  </si>
  <si>
    <t>000401-047</t>
  </si>
  <si>
    <t>SHORT PUT LPA12574 21DIC19 200K</t>
  </si>
  <si>
    <t>000401-048</t>
  </si>
  <si>
    <t>SHORT PUT LPA12574 21DIC19 170K</t>
  </si>
  <si>
    <t>000401-049</t>
  </si>
  <si>
    <t>SHORT PUT LPA12574 21DIC19 130K</t>
  </si>
  <si>
    <t>000401-050</t>
  </si>
  <si>
    <t>SHORT PUT LPA12574 21DIC19 126K</t>
  </si>
  <si>
    <t>000401-051</t>
  </si>
  <si>
    <t>SHORT PUT LPA12574 21DIC19 51K</t>
  </si>
  <si>
    <t>000401-052</t>
  </si>
  <si>
    <t>SHORT PUT LPA12574 21DIC19 254K</t>
  </si>
  <si>
    <t>000401-053</t>
  </si>
  <si>
    <t>SHORT PUT LPA12574 21DIC19 206K</t>
  </si>
  <si>
    <t>TATIANA TAKAMOTO</t>
  </si>
  <si>
    <t>12810-1</t>
  </si>
  <si>
    <t>000401-025</t>
  </si>
  <si>
    <t>SHORT PUT LPA12810 04DIC19 1400M</t>
  </si>
  <si>
    <t>04 DEC 2019</t>
  </si>
  <si>
    <t>000401-042</t>
  </si>
  <si>
    <t>SHORT PUT LPA12977 17DIC19 200K</t>
  </si>
  <si>
    <t>17 DEC 2019</t>
  </si>
  <si>
    <t>000401-026</t>
  </si>
  <si>
    <t>SHORT PUT LPA101277 01DIC19 249.3K</t>
  </si>
  <si>
    <t>000401-045</t>
  </si>
  <si>
    <t>SHORT PUT LPA101277 20DIC19 500K</t>
  </si>
  <si>
    <t>20 DEC 2019</t>
  </si>
  <si>
    <t>000401-038</t>
  </si>
  <si>
    <t>SHORT PUT LPA102073 10DIC19 33K</t>
  </si>
  <si>
    <t>10 DEC 2018</t>
  </si>
  <si>
    <t>10 DEC 2019</t>
  </si>
  <si>
    <t>000401-063</t>
  </si>
  <si>
    <t>SHORT PUT LPA103275 30DIC19 800K</t>
  </si>
  <si>
    <t>30 DEC 2019</t>
  </si>
  <si>
    <t>000401-085</t>
  </si>
  <si>
    <t>SHORT PUT LPA100303 08JAN20 60K</t>
  </si>
  <si>
    <t>08 JAN 2019</t>
  </si>
  <si>
    <t>08 JAN 2020</t>
  </si>
  <si>
    <t>000401-066</t>
  </si>
  <si>
    <t>SHORT PUT LPA101289 07JAN20 60K</t>
  </si>
  <si>
    <t>07 JAN 2019</t>
  </si>
  <si>
    <t>07 JAN 2020</t>
  </si>
  <si>
    <t>000401-086</t>
  </si>
  <si>
    <t>SHORT PUT LPA103266 14JAN20 50K</t>
  </si>
  <si>
    <t>14 JAN 2019</t>
  </si>
  <si>
    <t>14 JAN 2020</t>
  </si>
  <si>
    <t>000401-088</t>
  </si>
  <si>
    <t>SHORT PUT LPA103266 18JAN20 2.2M</t>
  </si>
  <si>
    <t>18 JAN 2019</t>
  </si>
  <si>
    <t>18 JAN 2020</t>
  </si>
  <si>
    <t>000401-089</t>
  </si>
  <si>
    <t>SHORT PUT LPA103266 10JAN20 746K</t>
  </si>
  <si>
    <t>10 JAN 2019</t>
  </si>
  <si>
    <t>10 JAN 2020</t>
  </si>
  <si>
    <t>000401-104</t>
  </si>
  <si>
    <t>SHORT PUT LPA103266 22JAN20 220K</t>
  </si>
  <si>
    <t>22 JAN 2019</t>
  </si>
  <si>
    <t>22 JAN 2020</t>
  </si>
  <si>
    <t>000401-142</t>
  </si>
  <si>
    <t>SHORT PUT LPA10054 19FEB20 23K</t>
  </si>
  <si>
    <t>000401-129</t>
  </si>
  <si>
    <t>SHORT PUT LPA11415 06FEB20 188K</t>
  </si>
  <si>
    <t>000401-146</t>
  </si>
  <si>
    <t>SHORT PUT LPA11794 01FEB20 175K</t>
  </si>
  <si>
    <t>000401-147</t>
  </si>
  <si>
    <t>SHORT PUT LPA11794 02ENE20 160K</t>
  </si>
  <si>
    <t>02 JAN 2019</t>
  </si>
  <si>
    <t>02 JAN 2020</t>
  </si>
  <si>
    <t>000401-158</t>
  </si>
  <si>
    <t>SHORT PUT LPA12010 20FEB20 100K</t>
  </si>
  <si>
    <t>CLAUDIA BACIGALUPO</t>
  </si>
  <si>
    <t>000401-124</t>
  </si>
  <si>
    <t>SHORT PUT LPA13176 23NOV19 94K</t>
  </si>
  <si>
    <t>000401-125</t>
  </si>
  <si>
    <t>SHORT PUT LPA13176 05NOV19 38K</t>
  </si>
  <si>
    <t>000401-126</t>
  </si>
  <si>
    <t>SHORT PUT LPA13176 23NOV19 100K</t>
  </si>
  <si>
    <t>000401-119</t>
  </si>
  <si>
    <t>SHORT PUT LPA13487 05FEB20 500K</t>
  </si>
  <si>
    <t>13904-1</t>
  </si>
  <si>
    <t>000401-139</t>
  </si>
  <si>
    <t>SHORT PUT LPA13904 18FEB20 1.5 MM</t>
  </si>
  <si>
    <t>000401-143</t>
  </si>
  <si>
    <t>SHORT PUT LPA101289 19FEB20 87.5K</t>
  </si>
  <si>
    <t>000401-133</t>
  </si>
  <si>
    <t>SHORT PUT LPA101300 08AGO19 160K</t>
  </si>
  <si>
    <t>08 AUG 2019</t>
  </si>
  <si>
    <t>Ajustar está cancelado</t>
  </si>
  <si>
    <t>000401-170</t>
  </si>
  <si>
    <t>SHORT PUT LPA11794 01MAR20 122.5K</t>
  </si>
  <si>
    <t>000401-177</t>
  </si>
  <si>
    <t>SHORT PUT LPA12549 08MAR20 213.5K</t>
  </si>
  <si>
    <t>000401-183</t>
  </si>
  <si>
    <t>SHORT PUT LPA10332 12MAR20 50K</t>
  </si>
  <si>
    <t>000401-185</t>
  </si>
  <si>
    <t>SHORT PUT LPA100303 13MAR20 72.5K</t>
  </si>
  <si>
    <t>000401-186</t>
  </si>
  <si>
    <t>SHORT PUT LPA12574 12MAR20 80K</t>
  </si>
  <si>
    <t>000401-187</t>
  </si>
  <si>
    <t>SHORT PUT LPA12010 14MAR20 100K</t>
  </si>
  <si>
    <t>000401-204</t>
  </si>
  <si>
    <t>SHORT PUT LPA11474 20MAR20 100K</t>
  </si>
  <si>
    <t>000401-144</t>
  </si>
  <si>
    <t>SHORT PUT LPA100303 19FEB20 87.5K</t>
  </si>
  <si>
    <t>000401-253</t>
  </si>
  <si>
    <t>SHORT PUT LPA11474 9ABR20 120K</t>
  </si>
  <si>
    <t>09 APR 2019</t>
  </si>
  <si>
    <t>09 APR 2020</t>
  </si>
  <si>
    <t>000401-277</t>
  </si>
  <si>
    <t>SHORT PUT LPA11474 25ABR20 100K</t>
  </si>
  <si>
    <t>25 APR 2019</t>
  </si>
  <si>
    <t>25 APR 2020</t>
  </si>
  <si>
    <t>000401-226</t>
  </si>
  <si>
    <t>SHORT PUT LPA11794 01ABR20 122.5K</t>
  </si>
  <si>
    <t>01 APR 2019</t>
  </si>
  <si>
    <t>01 APR 2020</t>
  </si>
  <si>
    <t>000401-276</t>
  </si>
  <si>
    <t>SHORT PUT LPA12091 25ABR20 100K</t>
  </si>
  <si>
    <t>000401-281</t>
  </si>
  <si>
    <t>SSHORT PUT LPA12091 25ABR20 48.5K</t>
  </si>
  <si>
    <t>000401-285</t>
  </si>
  <si>
    <t>SHORT PUT LPA12091 25ABR20 60K</t>
  </si>
  <si>
    <t>000401-291</t>
  </si>
  <si>
    <t>SHORT PUT LPA12091 25ABR20 17.5K</t>
  </si>
  <si>
    <t>30 APR 2019</t>
  </si>
  <si>
    <t>000401-293</t>
  </si>
  <si>
    <t>SHORT PUT LPA12091 25APR20 50K</t>
  </si>
  <si>
    <t>000401-295</t>
  </si>
  <si>
    <t>SHORT PUT LPA12091 25ABR20 50K</t>
  </si>
  <si>
    <t>000401-297</t>
  </si>
  <si>
    <t>SHORT PUT LPA12091 25ABR20 20K</t>
  </si>
  <si>
    <t>000401-298</t>
  </si>
  <si>
    <t>SHORT PUT LPA12091 25ABR20 87.995K</t>
  </si>
  <si>
    <t>000401-262</t>
  </si>
  <si>
    <t>SHORT PUT LPA13159 12ABR20 810K</t>
  </si>
  <si>
    <t>17 APR 2019</t>
  </si>
  <si>
    <t>12 APR 2020</t>
  </si>
  <si>
    <t>000401-265</t>
  </si>
  <si>
    <t>SHORT PUT LPA13159 22ABRIL20 1.05M</t>
  </si>
  <si>
    <t>22 APR 2019</t>
  </si>
  <si>
    <t>22 APR 2020</t>
  </si>
  <si>
    <t>000401-303</t>
  </si>
  <si>
    <t>SHORT PUT LPA13159 29ABR20 985K</t>
  </si>
  <si>
    <t>29 APR 2020</t>
  </si>
  <si>
    <t>000401-266</t>
  </si>
  <si>
    <t>SHORT PUT LPA13772 08ABR20 330K</t>
  </si>
  <si>
    <t>23 APR 2019</t>
  </si>
  <si>
    <t>16 APR 2020</t>
  </si>
  <si>
    <t>000401-250</t>
  </si>
  <si>
    <t>SHORT PUT LPA14439 6ABR20 1.1M</t>
  </si>
  <si>
    <t>06 APR 2019</t>
  </si>
  <si>
    <t>06 APR 2020</t>
  </si>
  <si>
    <t>000401-249</t>
  </si>
  <si>
    <t>SHORT PUT LPA100303 4ABR20 90K</t>
  </si>
  <si>
    <t>04 APR 2019</t>
  </si>
  <si>
    <t>04 APR 2020</t>
  </si>
  <si>
    <t>000401-248</t>
  </si>
  <si>
    <t>SHORT PUT LPA101521 9ABR20 500K</t>
  </si>
  <si>
    <t>000401-308</t>
  </si>
  <si>
    <t>SHORT PUT LPA10054 26ABR20 191200K</t>
  </si>
  <si>
    <t>26 APR 2020</t>
  </si>
  <si>
    <t>000401-333</t>
  </si>
  <si>
    <t>SHORT PUT LPA11474 14MAY20 75K</t>
  </si>
  <si>
    <t>000401-312</t>
  </si>
  <si>
    <t>SHORT PUT LPA11794 01MAY20 150K</t>
  </si>
  <si>
    <t>000401-310</t>
  </si>
  <si>
    <t>SHORT PUT LPA12010 27ABR20 100K</t>
  </si>
  <si>
    <t>000401-309</t>
  </si>
  <si>
    <t>SHORT PUT LPA12011 05MAY20 41K</t>
  </si>
  <si>
    <t>000401-335</t>
  </si>
  <si>
    <t>SHORT PUT LPA12107 16MAY20 95K</t>
  </si>
  <si>
    <t>000401-337</t>
  </si>
  <si>
    <t>SHORT PUT LPA12107 16MAY20 185K</t>
  </si>
  <si>
    <t>000401-350</t>
  </si>
  <si>
    <t>SHORT PUT LPA14654 27MAY20 110K</t>
  </si>
  <si>
    <t>000401-339</t>
  </si>
  <si>
    <t>SHORT PUT LPA103266 15MAY20 500K</t>
  </si>
  <si>
    <t>000401-338</t>
  </si>
  <si>
    <t>SHORT PUT LPA103275 15MAY20 500K</t>
  </si>
  <si>
    <t>SHORT PUT LPA11794 01JUL20 150K</t>
  </si>
  <si>
    <t>000401-171</t>
  </si>
  <si>
    <t>SHORT PUT LPA12011 04MAR20 42.6K</t>
  </si>
  <si>
    <t>000401-530</t>
  </si>
  <si>
    <t>SHORT PUT LPA 13508 12JUL20 2.170MM</t>
  </si>
  <si>
    <t>000800-921</t>
  </si>
  <si>
    <t>SHORT PUT LPA11474 25OCT19 134K</t>
  </si>
  <si>
    <t>000401-544</t>
  </si>
  <si>
    <t>SHORT PUT LPA11591 01AGO20 200K</t>
  </si>
  <si>
    <t>SHORT PUT LPA11591 01AGO20 415,230 / 315K</t>
  </si>
  <si>
    <t>AMORTIZACION $100k el 26/nov</t>
  </si>
  <si>
    <t>000401-564</t>
  </si>
  <si>
    <t>SHORT PUT LPA12091 15AGO20 50K</t>
  </si>
  <si>
    <t>CANCELADO SEPT</t>
  </si>
  <si>
    <t>000401-566</t>
  </si>
  <si>
    <t>SHORT PUT LPA 101521 15AGO20 650K</t>
  </si>
  <si>
    <t>SHORT PUT LPA12515 27AGO20 440K</t>
  </si>
  <si>
    <t>103981-1</t>
  </si>
  <si>
    <t>000401-777</t>
  </si>
  <si>
    <t>SHORT PUT LPA103981 14NOV20 250K</t>
  </si>
  <si>
    <t>103980-1</t>
  </si>
  <si>
    <t>000401-798</t>
  </si>
  <si>
    <t>SHORT PUT LPA103980 20NOV20 5M</t>
  </si>
  <si>
    <t>103979-1</t>
  </si>
  <si>
    <t>000401-799</t>
  </si>
  <si>
    <t>SHORT PUT LPA103979 20NOV20 5M</t>
  </si>
  <si>
    <t>000401-897</t>
  </si>
  <si>
    <t>SHORT PUT LPA12549 01DIC20 236K</t>
  </si>
  <si>
    <t>000401-930</t>
  </si>
  <si>
    <t>SHORT PUT LPA101277 20DIC20 500K</t>
  </si>
  <si>
    <t>1.6MM SHORT PUT 10398-1 VCTO 20NOV 20</t>
  </si>
  <si>
    <t>Ajustar</t>
  </si>
  <si>
    <t>AL 31 de marzo de  2020</t>
  </si>
  <si>
    <t>OBSERVACIONES Marzo 2020</t>
  </si>
  <si>
    <t>cancelado y pagado el 6/8/2019</t>
  </si>
  <si>
    <t>corregido al 401-676  30/9/2019</t>
  </si>
  <si>
    <t>401-879</t>
  </si>
  <si>
    <t>Regularización del 16/ene/2020</t>
  </si>
  <si>
    <t>000401-369</t>
  </si>
  <si>
    <t>SHORT PUT LPA10892 29MAY20 150K</t>
  </si>
  <si>
    <t>Actualizado en el auxiliar marzo 2020</t>
  </si>
  <si>
    <t>AL 30 de abril 2020</t>
  </si>
  <si>
    <t>SHORT PUT LPA12515 27AGO20 440K /401-584</t>
  </si>
  <si>
    <t>Amortización antes nominal 440K. Hasta abril 22 2020.</t>
  </si>
  <si>
    <t>AL 31 de mayo de 2020</t>
  </si>
  <si>
    <t>Actualizado en el auxiliar marzo 2020.   Revisar pago de ints. mayo 2020</t>
  </si>
  <si>
    <t>AL 30 DE JUNIO 2020</t>
  </si>
  <si>
    <t>AL 31 DE JULIO 2020</t>
  </si>
  <si>
    <t>AL 31 DE AGOSTO 2020</t>
  </si>
  <si>
    <t>CANCELADO 30/NOV/2020</t>
  </si>
  <si>
    <t xml:space="preserve">
</t>
  </si>
  <si>
    <t>000402-910</t>
  </si>
  <si>
    <t>SHORT PUT LPA11058 12OCT21 197K</t>
  </si>
  <si>
    <t>000402-911</t>
  </si>
  <si>
    <t>SHORT PUT LPA 100303 10OCT21 25K</t>
  </si>
  <si>
    <t>000402-904</t>
  </si>
  <si>
    <t>SHORT PUT LPA10054 07OCT21 50K</t>
  </si>
  <si>
    <t>000402-912</t>
  </si>
  <si>
    <t>SHORT PUT LPA 101289 10OCT21 25K</t>
  </si>
  <si>
    <t>000402-930</t>
  </si>
  <si>
    <t>SHORT PUT LPA12107 20OCT21 300K</t>
  </si>
  <si>
    <t>000402-892</t>
  </si>
  <si>
    <t>SHORT PUT LPA12810 01OCT21 300K</t>
  </si>
  <si>
    <t>000402-889</t>
  </si>
  <si>
    <t>SHORT PUT LPA11794 01OCT21 188K</t>
  </si>
  <si>
    <t>000402-932</t>
  </si>
  <si>
    <t>SHORT PUT LPA104262 23OCT21 100K</t>
  </si>
  <si>
    <t>000402-944</t>
  </si>
  <si>
    <t>SHORT PUT LPA10054 30OCT21 120K</t>
  </si>
  <si>
    <t>000402-943</t>
  </si>
  <si>
    <t>SHORT PUT LPA11474 30OCT21 118K</t>
  </si>
  <si>
    <t>SHORT PUT LPA13508 15AGO21 1.6M</t>
  </si>
  <si>
    <t>000402-952</t>
  </si>
  <si>
    <t>SHORT PUT LPA101289 02NOV21 78K</t>
  </si>
  <si>
    <t>000402-953</t>
  </si>
  <si>
    <t>SHORT PUT LPA10054 03NOV21 80K</t>
  </si>
  <si>
    <t>000402-954</t>
  </si>
  <si>
    <t>SHORT PUT LPA13508 04NOV21 250K</t>
  </si>
  <si>
    <t>000402-957</t>
  </si>
  <si>
    <t>SHORT PUT LPA13508 05NOV21 320K</t>
  </si>
  <si>
    <t>000402-967</t>
  </si>
  <si>
    <t>SHORT PUT LPA13508 15NOV21 727K</t>
  </si>
  <si>
    <t>000402-956</t>
  </si>
  <si>
    <t>SHORT PUT LPA13176 05NOV21 38K</t>
  </si>
  <si>
    <t>000402-987</t>
  </si>
  <si>
    <t>SHORT PUT LPA13176 23NOV21 100K</t>
  </si>
  <si>
    <t>000402-988</t>
  </si>
  <si>
    <t>SHORT PUT LPA13176 23NOV21 94K</t>
  </si>
  <si>
    <t>000402-951</t>
  </si>
  <si>
    <t>SHORT PUT LPA11794 01NOV21 138K</t>
  </si>
  <si>
    <t>000402-973</t>
  </si>
  <si>
    <t>SHORT PUT LPA12010 01NOV21 50K</t>
  </si>
  <si>
    <t>000402-960</t>
  </si>
  <si>
    <t>SHORT PUT LPA103266 06NOV21 687K</t>
  </si>
  <si>
    <t>000402-993</t>
  </si>
  <si>
    <t>SHORT PUT LPA104262 23NOV21 100K</t>
  </si>
  <si>
    <t>SHORT PUT LPA103266 10JAN21 58K</t>
  </si>
  <si>
    <t>000403-014</t>
  </si>
  <si>
    <t>SHORT PUT LPA11794 01DIC21 138K</t>
  </si>
  <si>
    <t>000403-033</t>
  </si>
  <si>
    <t>SHORT PUT LPA12810 04DIC21 1.4M</t>
  </si>
  <si>
    <t>000403-046</t>
  </si>
  <si>
    <t>SHORT PUT LPA13508 11DIC21 440K</t>
  </si>
  <si>
    <t>000403-047</t>
  </si>
  <si>
    <t>SHORT PUT LPA102073 12DIC21 33K</t>
  </si>
  <si>
    <t>000403-077</t>
  </si>
  <si>
    <t>SHORT PUT LPA12977 17DIC21 200K</t>
  </si>
  <si>
    <t>000403-092</t>
  </si>
  <si>
    <t>SHORT PUT LPA12107 21DIC21 400K</t>
  </si>
  <si>
    <t>000403-093</t>
  </si>
  <si>
    <t>SHORT PUT LPA13508 21DIC21 380K</t>
  </si>
  <si>
    <t>000403-106</t>
  </si>
  <si>
    <t>SHORT PUT LPA12574 21DIC21 206K</t>
  </si>
  <si>
    <t>000403-107</t>
  </si>
  <si>
    <t>SHORT PUT LPA12574 21DIC21 170K</t>
  </si>
  <si>
    <t>000403-108</t>
  </si>
  <si>
    <t>SHORT PUT LPA12574 21DIC21 130K</t>
  </si>
  <si>
    <t>000403-109</t>
  </si>
  <si>
    <t>SHORT PUT LPA12574 21DIC21 126K</t>
  </si>
  <si>
    <t>000403-110</t>
  </si>
  <si>
    <t>SHORT PUT LPA12574 21DIC21 51K</t>
  </si>
  <si>
    <t>000403-111</t>
  </si>
  <si>
    <t>SHORT PUT LPA12574 21DIC21 275K</t>
  </si>
  <si>
    <t>000403-112</t>
  </si>
  <si>
    <t>SHORT PUT LPA12574 21DIC21 254K</t>
  </si>
  <si>
    <t>000403-113</t>
  </si>
  <si>
    <t>SHORT PUT LPA12574 21DIC21 200K</t>
  </si>
  <si>
    <t>SHORT PUT LPA11415 06FEB21 102K</t>
  </si>
  <si>
    <t>SHORT PUT LPA13508 12JUL21 385K</t>
  </si>
  <si>
    <t>DIFERENCIA</t>
  </si>
  <si>
    <t>AMORTIZADO 6/11</t>
  </si>
  <si>
    <t>amortizado 10/30/2020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</si>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</sst>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540A]m/d/yy;@"/>
    <numFmt numFmtId="165" formatCode="[$-1540A]dd\-mmm\-yy;@"/>
    <numFmt numFmtId="169" formatCode="_-* #,##0.00_-;\-* #,##0.00_-;_-* &quot;-&quot;??_-;_-@_-"/>
    <numFmt numFmtId="170" formatCode="mm/d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.75"/>
      <color theme="1"/>
      <name val="Trebuchet MS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169" fontId="19" fillId="0" borderId="0" applyFont="0" applyFill="0" applyBorder="0" applyAlignment="0" applyProtection="0"/>
  </cellStyleXfs>
  <cellXfs count="545">
    <xf numFmtId="0" fontId="0" fillId="0" borderId="0" xfId="0"/>
    <xf numFmtId="0" fontId="0" fillId="0" borderId="0" xfId="0" applyProtection="1">
      <protection locked="0"/>
    </xf>
    <xf numFmtId="43" fontId="0" fillId="0" borderId="0" xfId="1" applyFont="1" applyFill="1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0" applyNumberFormat="1" applyProtection="1">
      <protection locked="0"/>
    </xf>
    <xf numFmtId="43" fontId="0" fillId="0" borderId="0" xfId="0" applyNumberFormat="1"/>
    <xf numFmtId="9" fontId="0" fillId="0" borderId="0" xfId="0" applyNumberFormat="1"/>
    <xf numFmtId="43" fontId="0" fillId="0" borderId="0" xfId="1" applyFont="1" applyFill="1" applyProtection="1"/>
    <xf numFmtId="43" fontId="0" fillId="0" borderId="0" xfId="1" applyFont="1" applyProtection="1"/>
    <xf numFmtId="2" fontId="0" fillId="0" borderId="0" xfId="0" applyNumberFormat="1"/>
    <xf numFmtId="43" fontId="16" fillId="0" borderId="0" xfId="0" applyNumberFormat="1" applyFont="1"/>
    <xf numFmtId="43" fontId="16" fillId="0" borderId="10" xfId="0" applyNumberFormat="1" applyFont="1" applyBorder="1"/>
    <xf numFmtId="43" fontId="16" fillId="0" borderId="0" xfId="1" applyFont="1" applyFill="1" applyProtection="1"/>
    <xf numFmtId="43" fontId="16" fillId="0" borderId="0" xfId="1" applyFont="1" applyProtection="1"/>
    <xf numFmtId="14" fontId="0" fillId="0" borderId="0" xfId="0" applyNumberFormat="1"/>
    <xf numFmtId="43" fontId="16" fillId="0" borderId="11" xfId="0" applyNumberFormat="1" applyFont="1" applyBorder="1"/>
    <xf numFmtId="43" fontId="16" fillId="0" borderId="11" xfId="1" applyFont="1" applyFill="1" applyBorder="1" applyProtection="1"/>
    <xf numFmtId="43" fontId="16" fillId="0" borderId="11" xfId="1" applyFont="1" applyBorder="1" applyProtection="1"/>
    <xf numFmtId="43" fontId="16" fillId="33" borderId="11" xfId="0" applyNumberFormat="1" applyFont="1" applyFill="1" applyBorder="1"/>
    <xf numFmtId="43" fontId="16" fillId="0" borderId="12" xfId="0" applyNumberFormat="1" applyFont="1" applyBorder="1"/>
    <xf numFmtId="164" fontId="16" fillId="0" borderId="12" xfId="0" applyNumberFormat="1" applyFont="1" applyBorder="1"/>
    <xf numFmtId="43" fontId="16" fillId="0" borderId="13" xfId="0" applyNumberFormat="1" applyFont="1" applyBorder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0" fillId="0" borderId="12" xfId="0" applyBorder="1"/>
    <xf numFmtId="43" fontId="0" fillId="0" borderId="12" xfId="0" applyNumberFormat="1" applyBorder="1"/>
    <xf numFmtId="43" fontId="0" fillId="0" borderId="14" xfId="0" applyNumberFormat="1" applyBorder="1"/>
    <xf numFmtId="43" fontId="0" fillId="0" borderId="14" xfId="1" applyFont="1" applyFill="1" applyBorder="1" applyProtection="1"/>
    <xf numFmtId="43" fontId="0" fillId="0" borderId="14" xfId="1" applyFont="1" applyBorder="1" applyProtection="1"/>
    <xf numFmtId="43" fontId="0" fillId="0" borderId="15" xfId="0" applyNumberFormat="1" applyBorder="1"/>
    <xf numFmtId="165" fontId="0" fillId="0" borderId="12" xfId="0" applyNumberFormat="1" applyBorder="1"/>
    <xf numFmtId="43" fontId="0" fillId="0" borderId="12" xfId="1" applyFont="1" applyFill="1" applyBorder="1" applyAlignment="1" applyProtection="1">
      <alignment horizontal="left" vertical="top" wrapText="1" readingOrder="1"/>
    </xf>
    <xf numFmtId="0" fontId="0" fillId="0" borderId="12" xfId="0" applyBorder="1" applyAlignment="1">
      <alignment horizontal="left" vertical="top" wrapText="1" readingOrder="1"/>
    </xf>
    <xf numFmtId="0" fontId="0" fillId="0" borderId="12" xfId="0" applyBorder="1" applyAlignment="1">
      <alignment horizontal="center" vertical="top" wrapText="1" readingOrder="1"/>
    </xf>
    <xf numFmtId="43" fontId="0" fillId="0" borderId="12" xfId="1" applyFont="1" applyFill="1" applyBorder="1" applyProtection="1"/>
    <xf numFmtId="0" fontId="18" fillId="0" borderId="16" xfId="0" applyFont="1" applyBorder="1" applyAlignment="1">
      <alignment horizontal="left" vertical="top" wrapText="1" readingOrder="1"/>
    </xf>
    <xf numFmtId="0" fontId="0" fillId="0" borderId="12" xfId="0" applyBorder="1" applyAlignment="1">
      <alignment horizontal="center"/>
    </xf>
    <xf numFmtId="43" fontId="0" fillId="0" borderId="17" xfId="1" applyFont="1" applyFill="1" applyBorder="1" applyProtection="1"/>
    <xf numFmtId="43" fontId="19" fillId="0" borderId="12" xfId="1" applyFont="1" applyFill="1" applyBorder="1" applyAlignment="1" applyProtection="1">
      <alignment horizontal="left" vertical="top" wrapText="1" readingOrder="1"/>
    </xf>
    <xf numFmtId="0" fontId="19" fillId="0" borderId="12" xfId="0" applyFont="1" applyBorder="1" applyAlignment="1">
      <alignment horizontal="left" vertical="top" wrapText="1" readingOrder="1"/>
    </xf>
    <xf numFmtId="0" fontId="19" fillId="0" borderId="12" xfId="0" applyFont="1" applyBorder="1" applyAlignment="1">
      <alignment horizontal="center" vertical="top" wrapText="1" readingOrder="1"/>
    </xf>
    <xf numFmtId="4" fontId="0" fillId="0" borderId="12" xfId="0" applyNumberFormat="1" applyBorder="1"/>
    <xf numFmtId="0" fontId="0" fillId="0" borderId="17" xfId="0" applyBorder="1"/>
    <xf numFmtId="43" fontId="0" fillId="0" borderId="17" xfId="0" applyNumberFormat="1" applyBorder="1"/>
    <xf numFmtId="165" fontId="0" fillId="0" borderId="17" xfId="0" applyNumberFormat="1" applyBorder="1"/>
    <xf numFmtId="0" fontId="0" fillId="0" borderId="17" xfId="0" applyBorder="1" applyAlignment="1">
      <alignment horizontal="center"/>
    </xf>
    <xf numFmtId="164" fontId="0" fillId="0" borderId="12" xfId="0" applyNumberFormat="1" applyBorder="1"/>
    <xf numFmtId="0" fontId="16" fillId="34" borderId="12" xfId="0" applyFont="1" applyFill="1" applyBorder="1" applyAlignment="1">
      <alignment wrapText="1"/>
    </xf>
    <xf numFmtId="0" fontId="16" fillId="34" borderId="0" xfId="0" applyFont="1" applyFill="1"/>
    <xf numFmtId="0" fontId="16" fillId="35" borderId="0" xfId="0" applyFont="1" applyFill="1"/>
    <xf numFmtId="43" fontId="16" fillId="34" borderId="12" xfId="1" applyFont="1" applyFill="1" applyBorder="1" applyAlignment="1" applyProtection="1">
      <alignment wrapText="1"/>
    </xf>
    <xf numFmtId="0" fontId="16" fillId="36" borderId="12" xfId="0" applyFont="1" applyFill="1" applyBorder="1" applyAlignment="1">
      <alignment wrapText="1"/>
    </xf>
    <xf numFmtId="43" fontId="16" fillId="36" borderId="12" xfId="1" applyFont="1" applyFill="1" applyBorder="1" applyAlignment="1" applyProtection="1">
      <alignment wrapText="1"/>
    </xf>
    <xf numFmtId="0" fontId="16" fillId="37" borderId="12" xfId="0" applyFont="1" applyFill="1" applyBorder="1" applyAlignment="1">
      <alignment wrapText="1"/>
    </xf>
    <xf numFmtId="0" fontId="16" fillId="38" borderId="12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35" borderId="18" xfId="0" applyFont="1" applyFill="1" applyBorder="1" applyAlignment="1">
      <alignment wrapText="1"/>
    </xf>
    <xf numFmtId="0" fontId="16" fillId="34" borderId="18" xfId="0" applyFont="1" applyFill="1" applyBorder="1" applyAlignment="1">
      <alignment wrapText="1"/>
    </xf>
    <xf numFmtId="0" fontId="16" fillId="34" borderId="18" xfId="0" applyFont="1" applyFill="1" applyBorder="1"/>
    <xf numFmtId="164" fontId="16" fillId="34" borderId="18" xfId="0" applyNumberFormat="1" applyFont="1" applyFill="1" applyBorder="1"/>
    <xf numFmtId="0" fontId="16" fillId="39" borderId="19" xfId="0" applyFont="1" applyFill="1" applyBorder="1"/>
    <xf numFmtId="0" fontId="16" fillId="39" borderId="20" xfId="0" applyFont="1" applyFill="1" applyBorder="1" applyAlignment="1">
      <alignment horizontal="center"/>
    </xf>
    <xf numFmtId="1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6" fillId="39" borderId="20" xfId="0" applyFont="1" applyFill="1" applyBorder="1"/>
    <xf numFmtId="0" fontId="16" fillId="40" borderId="18" xfId="0" applyFont="1" applyFill="1" applyBorder="1"/>
    <xf numFmtId="164" fontId="16" fillId="40" borderId="18" xfId="0" applyNumberFormat="1" applyFont="1" applyFill="1" applyBorder="1"/>
    <xf numFmtId="0" fontId="16" fillId="39" borderId="18" xfId="0" applyFont="1" applyFill="1" applyBorder="1"/>
    <xf numFmtId="0" fontId="16" fillId="36" borderId="18" xfId="0" applyFont="1" applyFill="1" applyBorder="1" applyAlignment="1">
      <alignment wrapText="1"/>
    </xf>
    <xf numFmtId="0" fontId="16" fillId="40" borderId="18" xfId="0" applyFont="1" applyFill="1" applyBorder="1" applyAlignment="1">
      <alignment wrapText="1"/>
    </xf>
    <xf numFmtId="0" fontId="16" fillId="38" borderId="18" xfId="0" applyFont="1" applyFill="1" applyBorder="1" applyAlignment="1">
      <alignment wrapText="1"/>
    </xf>
    <xf numFmtId="0" fontId="16" fillId="39" borderId="18" xfId="0" applyFont="1" applyFill="1" applyBorder="1" applyAlignment="1">
      <alignment wrapText="1"/>
    </xf>
    <xf numFmtId="0" fontId="20" fillId="0" borderId="12" xfId="0" applyFont="1" applyBorder="1"/>
    <xf numFmtId="14" fontId="0" fillId="0" borderId="12" xfId="0" applyNumberFormat="1" applyBorder="1"/>
    <xf numFmtId="0" fontId="21" fillId="0" borderId="12" xfId="0" applyFont="1" applyBorder="1" applyAlignment="1">
      <alignment horizontal="left" vertical="top" wrapText="1" readingOrder="1"/>
    </xf>
    <xf numFmtId="43" fontId="21" fillId="0" borderId="12" xfId="1" applyFont="1" applyFill="1" applyBorder="1" applyAlignment="1">
      <alignment horizontal="left" vertical="top" wrapText="1" readingOrder="1"/>
    </xf>
    <xf numFmtId="0" fontId="18" fillId="0" borderId="12" xfId="0" applyFont="1" applyBorder="1" applyAlignment="1">
      <alignment horizontal="left" vertical="top" wrapText="1" readingOrder="1"/>
    </xf>
    <xf numFmtId="43" fontId="18" fillId="0" borderId="12" xfId="1" applyFont="1" applyFill="1" applyBorder="1" applyAlignment="1">
      <alignment horizontal="left" vertical="top" wrapText="1" readingOrder="1"/>
    </xf>
    <xf numFmtId="43" fontId="0" fillId="0" borderId="12" xfId="1" applyFont="1" applyFill="1" applyBorder="1"/>
    <xf numFmtId="0" fontId="21" fillId="0" borderId="14" xfId="0" applyFont="1" applyBorder="1" applyAlignment="1">
      <alignment horizontal="left" vertical="top" wrapText="1" readingOrder="1"/>
    </xf>
    <xf numFmtId="43" fontId="21" fillId="0" borderId="21" xfId="1" applyFont="1" applyFill="1" applyBorder="1" applyAlignment="1">
      <alignment horizontal="left" vertical="top" wrapText="1" readingOrder="1"/>
    </xf>
    <xf numFmtId="165" fontId="0" fillId="0" borderId="14" xfId="0" applyNumberFormat="1" applyBorder="1"/>
    <xf numFmtId="43" fontId="14" fillId="0" borderId="14" xfId="0" applyNumberFormat="1" applyFont="1" applyBorder="1"/>
    <xf numFmtId="0" fontId="0" fillId="0" borderId="14" xfId="0" applyBorder="1"/>
    <xf numFmtId="0" fontId="16" fillId="0" borderId="11" xfId="0" applyFont="1" applyBorder="1"/>
    <xf numFmtId="164" fontId="16" fillId="0" borderId="11" xfId="0" applyNumberFormat="1" applyFont="1" applyBorder="1"/>
    <xf numFmtId="43" fontId="0" fillId="0" borderId="22" xfId="0" applyNumberFormat="1" applyBorder="1"/>
    <xf numFmtId="164" fontId="0" fillId="0" borderId="23" xfId="0" applyNumberFormat="1" applyBorder="1"/>
    <xf numFmtId="0" fontId="23" fillId="0" borderId="12" xfId="0" applyFont="1" applyBorder="1" applyAlignment="1">
      <alignment horizontal="left" vertical="top" wrapText="1" readingOrder="1"/>
    </xf>
    <xf numFmtId="43" fontId="23" fillId="0" borderId="12" xfId="1" applyFont="1" applyFill="1" applyBorder="1" applyAlignment="1">
      <alignment horizontal="left" vertical="top" wrapText="1" readingOrder="1"/>
    </xf>
    <xf numFmtId="43" fontId="1" fillId="0" borderId="12" xfId="1" applyFont="1" applyFill="1" applyBorder="1"/>
    <xf numFmtId="43" fontId="0" fillId="0" borderId="23" xfId="0" applyNumberFormat="1" applyBorder="1"/>
    <xf numFmtId="43" fontId="1" fillId="0" borderId="0" xfId="1" applyFont="1" applyFill="1"/>
    <xf numFmtId="43" fontId="1" fillId="0" borderId="15" xfId="1" applyFont="1" applyFill="1" applyBorder="1"/>
    <xf numFmtId="43" fontId="16" fillId="36" borderId="12" xfId="1" applyFont="1" applyFill="1" applyBorder="1" applyAlignment="1">
      <alignment wrapText="1"/>
    </xf>
    <xf numFmtId="0" fontId="0" fillId="0" borderId="0" xfId="0"/>
    <xf numFmtId="164" fontId="0" fillId="0" borderId="0" xfId="0" applyNumberFormat="1"/>
    <xf numFmtId="169" fontId="0" fillId="0" borderId="0" xfId="43" applyFont="1" applyFill="1"/>
    <xf numFmtId="14" fontId="0" fillId="0" borderId="0" xfId="0" applyNumberFormat="1"/>
    <xf numFmtId="0" fontId="16" fillId="39" borderId="20" xfId="0" applyFont="1" applyFill="1" applyBorder="1"/>
    <xf numFmtId="0" fontId="16" fillId="39" borderId="19" xfId="0" applyFont="1" applyFill="1" applyBorder="1"/>
    <xf numFmtId="0" fontId="16" fillId="40" borderId="18" xfId="0" applyFont="1" applyFill="1" applyBorder="1"/>
    <xf numFmtId="164" fontId="16" fillId="40" borderId="18" xfId="0" applyNumberFormat="1" applyFont="1" applyFill="1" applyBorder="1"/>
    <xf numFmtId="0" fontId="16" fillId="39" borderId="18" xfId="0" applyFont="1" applyFill="1" applyBorder="1"/>
    <xf numFmtId="0" fontId="16" fillId="36" borderId="18" xfId="0" applyFont="1" applyFill="1" applyBorder="1" applyAlignment="1">
      <alignment wrapText="1"/>
    </xf>
    <xf numFmtId="0" fontId="16" fillId="35" borderId="18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38" borderId="12" xfId="0" applyFont="1" applyFill="1" applyBorder="1" applyAlignment="1">
      <alignment wrapText="1"/>
    </xf>
    <xf numFmtId="0" fontId="16" fillId="37" borderId="12" xfId="0" applyFont="1" applyFill="1" applyBorder="1" applyAlignment="1">
      <alignment wrapText="1"/>
    </xf>
    <xf numFmtId="0" fontId="0" fillId="0" borderId="12" xfId="0" applyBorder="1"/>
    <xf numFmtId="164" fontId="0" fillId="0" borderId="12" xfId="0" applyNumberFormat="1" applyBorder="1"/>
    <xf numFmtId="169" fontId="0" fillId="0" borderId="12" xfId="0" applyNumberFormat="1" applyBorder="1"/>
    <xf numFmtId="169" fontId="0" fillId="0" borderId="14" xfId="0" applyNumberFormat="1" applyBorder="1"/>
    <xf numFmtId="0" fontId="23" fillId="0" borderId="12" xfId="0" applyFont="1" applyBorder="1" applyAlignment="1">
      <alignment horizontal="left" vertical="top" wrapText="1" readingOrder="1"/>
    </xf>
    <xf numFmtId="169" fontId="23" fillId="0" borderId="12" xfId="43" applyFont="1" applyFill="1" applyBorder="1" applyAlignment="1">
      <alignment horizontal="left" vertical="top" wrapText="1" readingOrder="1"/>
    </xf>
    <xf numFmtId="165" fontId="0" fillId="0" borderId="12" xfId="0" applyNumberFormat="1" applyBorder="1"/>
    <xf numFmtId="169" fontId="1" fillId="0" borderId="12" xfId="43" applyFont="1" applyFill="1" applyBorder="1"/>
    <xf numFmtId="169" fontId="0" fillId="0" borderId="15" xfId="0" applyNumberFormat="1" applyBorder="1"/>
    <xf numFmtId="169" fontId="1" fillId="0" borderId="15" xfId="43" applyFont="1" applyFill="1" applyBorder="1"/>
    <xf numFmtId="0" fontId="18" fillId="0" borderId="12" xfId="0" applyFont="1" applyBorder="1" applyAlignment="1">
      <alignment horizontal="left" vertical="top" wrapText="1" readingOrder="1"/>
    </xf>
    <xf numFmtId="169" fontId="18" fillId="0" borderId="12" xfId="43" applyFont="1" applyFill="1" applyBorder="1" applyAlignment="1">
      <alignment horizontal="left" vertical="top" wrapText="1" readingOrder="1"/>
    </xf>
    <xf numFmtId="0" fontId="16" fillId="0" borderId="12" xfId="0" applyFont="1" applyBorder="1"/>
    <xf numFmtId="169" fontId="16" fillId="0" borderId="12" xfId="0" applyNumberFormat="1" applyFont="1" applyBorder="1"/>
    <xf numFmtId="169" fontId="16" fillId="0" borderId="13" xfId="0" applyNumberFormat="1" applyFont="1" applyBorder="1"/>
    <xf numFmtId="164" fontId="16" fillId="0" borderId="12" xfId="0" applyNumberFormat="1" applyFont="1" applyBorder="1"/>
    <xf numFmtId="169" fontId="16" fillId="0" borderId="11" xfId="0" applyNumberFormat="1" applyFont="1" applyBorder="1"/>
    <xf numFmtId="169" fontId="16" fillId="33" borderId="11" xfId="0" applyNumberFormat="1" applyFont="1" applyFill="1" applyBorder="1"/>
    <xf numFmtId="169" fontId="0" fillId="0" borderId="0" xfId="43" applyFont="1"/>
    <xf numFmtId="169" fontId="0" fillId="0" borderId="0" xfId="0" applyNumberFormat="1"/>
    <xf numFmtId="169" fontId="16" fillId="0" borderId="0" xfId="0" applyNumberFormat="1" applyFont="1"/>
    <xf numFmtId="169" fontId="16" fillId="0" borderId="10" xfId="0" applyNumberFormat="1" applyFont="1" applyBorder="1"/>
    <xf numFmtId="9" fontId="0" fillId="0" borderId="0" xfId="0" applyNumberFormat="1"/>
    <xf numFmtId="164" fontId="0" fillId="42" borderId="12" xfId="0" applyNumberFormat="1" applyFill="1" applyBorder="1"/>
    <xf numFmtId="169" fontId="0" fillId="42" borderId="12" xfId="0" applyNumberFormat="1" applyFill="1" applyBorder="1"/>
    <xf numFmtId="0" fontId="0" fillId="42" borderId="12" xfId="0" applyFill="1" applyBorder="1"/>
    <xf numFmtId="0" fontId="16" fillId="36" borderId="12" xfId="0" applyFont="1" applyFill="1" applyBorder="1" applyAlignment="1">
      <alignment wrapText="1"/>
    </xf>
    <xf numFmtId="169" fontId="16" fillId="36" borderId="12" xfId="43" applyFont="1" applyFill="1" applyBorder="1" applyAlignment="1">
      <alignment wrapText="1"/>
    </xf>
    <xf numFmtId="169" fontId="0" fillId="0" borderId="12" xfId="43" applyFont="1" applyBorder="1"/>
    <xf numFmtId="169" fontId="0" fillId="42" borderId="12" xfId="43" applyFont="1" applyFill="1" applyBorder="1"/>
    <xf numFmtId="169" fontId="16" fillId="0" borderId="11" xfId="43" applyFont="1" applyBorder="1"/>
    <xf numFmtId="169" fontId="16" fillId="0" borderId="0" xfId="43" applyFont="1"/>
    <xf numFmtId="169" fontId="1" fillId="42" borderId="12" xfId="43" applyFont="1" applyFill="1" applyBorder="1"/>
    <xf numFmtId="165" fontId="0" fillId="42" borderId="12" xfId="0" applyNumberFormat="1" applyFill="1" applyBorder="1"/>
    <xf numFmtId="169" fontId="0" fillId="42" borderId="14" xfId="0" applyNumberFormat="1" applyFill="1" applyBorder="1"/>
    <xf numFmtId="4" fontId="0" fillId="42" borderId="12" xfId="0" applyNumberFormat="1" applyFill="1" applyBorder="1"/>
    <xf numFmtId="2" fontId="0" fillId="0" borderId="0" xfId="0" applyNumberFormat="1"/>
    <xf numFmtId="0" fontId="16" fillId="34" borderId="0" xfId="0" applyFont="1" applyFill="1" applyProtection="1">
      <protection locked="0"/>
    </xf>
    <xf numFmtId="0" fontId="0" fillId="0" borderId="0" xfId="0"/>
    <xf numFmtId="164" fontId="0" fillId="0" borderId="0" xfId="0" applyNumberFormat="1"/>
    <xf numFmtId="169" fontId="0" fillId="0" borderId="0" xfId="43" applyFont="1" applyFill="1"/>
    <xf numFmtId="14" fontId="0" fillId="0" borderId="0" xfId="0" applyNumberFormat="1"/>
    <xf numFmtId="0" fontId="16" fillId="39" borderId="19" xfId="0" applyFont="1" applyFill="1" applyBorder="1"/>
    <xf numFmtId="0" fontId="16" fillId="35" borderId="18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38" borderId="12" xfId="0" applyFont="1" applyFill="1" applyBorder="1" applyAlignment="1">
      <alignment wrapText="1"/>
    </xf>
    <xf numFmtId="0" fontId="16" fillId="37" borderId="12" xfId="0" applyFont="1" applyFill="1" applyBorder="1" applyAlignment="1">
      <alignment wrapText="1"/>
    </xf>
    <xf numFmtId="0" fontId="16" fillId="0" borderId="12" xfId="0" applyFont="1" applyBorder="1"/>
    <xf numFmtId="169" fontId="16" fillId="0" borderId="12" xfId="0" applyNumberFormat="1" applyFont="1" applyBorder="1"/>
    <xf numFmtId="169" fontId="16" fillId="0" borderId="13" xfId="0" applyNumberFormat="1" applyFont="1" applyBorder="1"/>
    <xf numFmtId="164" fontId="16" fillId="0" borderId="12" xfId="0" applyNumberFormat="1" applyFont="1" applyBorder="1"/>
    <xf numFmtId="169" fontId="16" fillId="0" borderId="11" xfId="0" applyNumberFormat="1" applyFont="1" applyBorder="1"/>
    <xf numFmtId="169" fontId="16" fillId="33" borderId="11" xfId="0" applyNumberFormat="1" applyFont="1" applyFill="1" applyBorder="1"/>
    <xf numFmtId="169" fontId="0" fillId="0" borderId="0" xfId="43" applyFont="1"/>
    <xf numFmtId="169" fontId="0" fillId="0" borderId="0" xfId="0" applyNumberFormat="1"/>
    <xf numFmtId="169" fontId="16" fillId="0" borderId="0" xfId="0" applyNumberFormat="1" applyFont="1"/>
    <xf numFmtId="169" fontId="16" fillId="0" borderId="10" xfId="0" applyNumberFormat="1" applyFont="1" applyBorder="1"/>
    <xf numFmtId="9" fontId="0" fillId="0" borderId="0" xfId="0" applyNumberFormat="1"/>
    <xf numFmtId="0" fontId="16" fillId="36" borderId="12" xfId="0" applyFont="1" applyFill="1" applyBorder="1" applyAlignment="1">
      <alignment wrapText="1"/>
    </xf>
    <xf numFmtId="169" fontId="16" fillId="36" borderId="12" xfId="43" applyFont="1" applyFill="1" applyBorder="1" applyAlignment="1">
      <alignment wrapText="1"/>
    </xf>
    <xf numFmtId="169" fontId="0" fillId="0" borderId="12" xfId="43" applyFont="1" applyBorder="1"/>
    <xf numFmtId="169" fontId="16" fillId="0" borderId="11" xfId="43" applyFont="1" applyBorder="1"/>
    <xf numFmtId="169" fontId="16" fillId="0" borderId="0" xfId="43" applyFont="1"/>
    <xf numFmtId="2" fontId="0" fillId="0" borderId="0" xfId="0" applyNumberFormat="1"/>
    <xf numFmtId="0" fontId="0" fillId="0" borderId="12" xfId="0" applyFill="1" applyBorder="1"/>
    <xf numFmtId="0" fontId="0" fillId="0" borderId="0" xfId="0" applyFill="1"/>
    <xf numFmtId="14" fontId="0" fillId="0" borderId="0" xfId="0" applyNumberFormat="1" applyFill="1"/>
    <xf numFmtId="169" fontId="0" fillId="0" borderId="12" xfId="0" applyNumberFormat="1" applyFill="1" applyBorder="1"/>
    <xf numFmtId="169" fontId="0" fillId="0" borderId="12" xfId="43" applyFont="1" applyFill="1" applyBorder="1"/>
    <xf numFmtId="169" fontId="16" fillId="0" borderId="11" xfId="0" applyNumberFormat="1" applyFont="1" applyFill="1" applyBorder="1"/>
    <xf numFmtId="169" fontId="16" fillId="0" borderId="11" xfId="43" applyFont="1" applyFill="1" applyBorder="1"/>
    <xf numFmtId="169" fontId="16" fillId="0" borderId="0" xfId="0" applyNumberFormat="1" applyFont="1" applyFill="1"/>
    <xf numFmtId="169" fontId="16" fillId="0" borderId="0" xfId="43" applyFont="1" applyFill="1"/>
    <xf numFmtId="169" fontId="0" fillId="0" borderId="0" xfId="0" applyNumberFormat="1" applyFill="1"/>
    <xf numFmtId="0" fontId="0" fillId="0" borderId="12" xfId="0" applyFill="1" applyBorder="1" applyAlignment="1">
      <alignment horizontal="center"/>
    </xf>
    <xf numFmtId="164" fontId="0" fillId="0" borderId="12" xfId="0" applyNumberFormat="1" applyFill="1" applyBorder="1"/>
    <xf numFmtId="169" fontId="0" fillId="0" borderId="0" xfId="0" applyNumberFormat="1" applyFill="1" applyBorder="1"/>
    <xf numFmtId="169" fontId="0" fillId="0" borderId="17" xfId="43" applyFont="1" applyFill="1" applyBorder="1"/>
    <xf numFmtId="0" fontId="0" fillId="0" borderId="12" xfId="0" applyFont="1" applyFill="1" applyBorder="1"/>
    <xf numFmtId="169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0" fillId="0" borderId="12" xfId="0" applyNumberFormat="1" applyFont="1" applyFill="1" applyBorder="1"/>
    <xf numFmtId="165" fontId="0" fillId="0" borderId="12" xfId="0" applyNumberFormat="1" applyFont="1" applyFill="1" applyBorder="1"/>
    <xf numFmtId="169" fontId="0" fillId="0" borderId="14" xfId="0" applyNumberFormat="1" applyFont="1" applyFill="1" applyBorder="1"/>
    <xf numFmtId="169" fontId="0" fillId="0" borderId="15" xfId="0" applyNumberFormat="1" applyFont="1" applyFill="1" applyBorder="1"/>
    <xf numFmtId="0" fontId="0" fillId="0" borderId="17" xfId="0" applyFont="1" applyFill="1" applyBorder="1"/>
    <xf numFmtId="165" fontId="0" fillId="0" borderId="17" xfId="0" applyNumberFormat="1" applyFont="1" applyFill="1" applyBorder="1"/>
    <xf numFmtId="169" fontId="0" fillId="0" borderId="17" xfId="0" applyNumberFormat="1" applyFont="1" applyFill="1" applyBorder="1"/>
    <xf numFmtId="169" fontId="0" fillId="0" borderId="26" xfId="0" applyNumberFormat="1" applyFont="1" applyFill="1" applyBorder="1"/>
    <xf numFmtId="0" fontId="0" fillId="0" borderId="12" xfId="0" applyFont="1" applyBorder="1"/>
    <xf numFmtId="165" fontId="0" fillId="0" borderId="12" xfId="0" applyNumberFormat="1" applyFont="1" applyBorder="1"/>
    <xf numFmtId="169" fontId="0" fillId="0" borderId="12" xfId="0" applyNumberFormat="1" applyFont="1" applyBorder="1"/>
    <xf numFmtId="169" fontId="0" fillId="0" borderId="15" xfId="0" applyNumberFormat="1" applyFont="1" applyBorder="1"/>
    <xf numFmtId="169" fontId="0" fillId="0" borderId="14" xfId="0" applyNumberFormat="1" applyFont="1" applyBorder="1"/>
    <xf numFmtId="0" fontId="0" fillId="0" borderId="0" xfId="0" applyFont="1"/>
    <xf numFmtId="0" fontId="0" fillId="0" borderId="12" xfId="0" applyFont="1" applyFill="1" applyBorder="1" applyAlignment="1">
      <alignment horizontal="left" vertical="top" wrapText="1" readingOrder="1"/>
    </xf>
    <xf numFmtId="169" fontId="0" fillId="0" borderId="12" xfId="43" applyFont="1" applyFill="1" applyBorder="1" applyAlignment="1">
      <alignment horizontal="left" vertical="top" wrapText="1" readingOrder="1"/>
    </xf>
    <xf numFmtId="0" fontId="19" fillId="0" borderId="12" xfId="0" applyFont="1" applyFill="1" applyBorder="1" applyAlignment="1">
      <alignment horizontal="left" vertical="top" wrapText="1" readingOrder="1"/>
    </xf>
    <xf numFmtId="169" fontId="19" fillId="0" borderId="12" xfId="43" applyFont="1" applyFill="1" applyBorder="1" applyAlignment="1">
      <alignment horizontal="left" vertical="top" wrapText="1" readingOrder="1"/>
    </xf>
    <xf numFmtId="0" fontId="0" fillId="0" borderId="12" xfId="0" applyFont="1" applyBorder="1" applyAlignment="1">
      <alignment horizontal="left" vertical="top" wrapText="1" readingOrder="1"/>
    </xf>
    <xf numFmtId="0" fontId="16" fillId="39" borderId="2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top" wrapText="1" readingOrder="1"/>
    </xf>
    <xf numFmtId="0" fontId="0" fillId="0" borderId="17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 vertical="top" wrapText="1" readingOrder="1"/>
    </xf>
    <xf numFmtId="0" fontId="0" fillId="0" borderId="12" xfId="0" applyFont="1" applyBorder="1" applyAlignment="1">
      <alignment horizontal="center" vertical="top" wrapText="1" readingOrder="1"/>
    </xf>
    <xf numFmtId="0" fontId="16" fillId="0" borderId="12" xfId="0" applyFont="1" applyBorder="1" applyAlignment="1">
      <alignment horizontal="center"/>
    </xf>
    <xf numFmtId="169" fontId="0" fillId="0" borderId="25" xfId="0" applyNumberFormat="1" applyFont="1" applyFill="1" applyBorder="1"/>
    <xf numFmtId="0" fontId="0" fillId="0" borderId="0" xfId="0" applyAlignment="1">
      <alignment horizontal="left"/>
    </xf>
    <xf numFmtId="0" fontId="16" fillId="34" borderId="12" xfId="0" applyFont="1" applyFill="1" applyBorder="1" applyAlignment="1">
      <alignment wrapText="1"/>
    </xf>
    <xf numFmtId="169" fontId="16" fillId="34" borderId="12" xfId="43" applyFont="1" applyFill="1" applyBorder="1" applyAlignment="1">
      <alignment wrapText="1"/>
    </xf>
    <xf numFmtId="0" fontId="16" fillId="34" borderId="18" xfId="0" applyFont="1" applyFill="1" applyBorder="1"/>
    <xf numFmtId="164" fontId="16" fillId="34" borderId="18" xfId="0" applyNumberFormat="1" applyFont="1" applyFill="1" applyBorder="1"/>
    <xf numFmtId="0" fontId="16" fillId="34" borderId="18" xfId="0" applyFont="1" applyFill="1" applyBorder="1" applyAlignment="1">
      <alignment wrapText="1"/>
    </xf>
    <xf numFmtId="14" fontId="16" fillId="0" borderId="0" xfId="0" applyNumberFormat="1" applyFont="1"/>
    <xf numFmtId="43" fontId="16" fillId="34" borderId="12" xfId="1" applyFont="1" applyFill="1" applyBorder="1" applyAlignment="1">
      <alignment wrapText="1"/>
    </xf>
    <xf numFmtId="0" fontId="0" fillId="0" borderId="0" xfId="0"/>
    <xf numFmtId="164" fontId="0" fillId="0" borderId="0" xfId="0" applyNumberFormat="1"/>
    <xf numFmtId="169" fontId="0" fillId="0" borderId="0" xfId="43" applyFont="1" applyFill="1"/>
    <xf numFmtId="14" fontId="0" fillId="0" borderId="0" xfId="0" applyNumberFormat="1"/>
    <xf numFmtId="0" fontId="16" fillId="39" borderId="19" xfId="0" applyFont="1" applyFill="1" applyBorder="1"/>
    <xf numFmtId="0" fontId="16" fillId="35" borderId="18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38" borderId="12" xfId="0" applyFont="1" applyFill="1" applyBorder="1" applyAlignment="1">
      <alignment wrapText="1"/>
    </xf>
    <xf numFmtId="0" fontId="16" fillId="37" borderId="12" xfId="0" applyFont="1" applyFill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/>
    <xf numFmtId="4" fontId="0" fillId="0" borderId="12" xfId="0" applyNumberFormat="1" applyBorder="1"/>
    <xf numFmtId="165" fontId="0" fillId="0" borderId="12" xfId="0" applyNumberFormat="1" applyBorder="1"/>
    <xf numFmtId="0" fontId="0" fillId="0" borderId="17" xfId="0" applyBorder="1"/>
    <xf numFmtId="165" fontId="0" fillId="0" borderId="17" xfId="0" applyNumberFormat="1" applyBorder="1"/>
    <xf numFmtId="0" fontId="16" fillId="0" borderId="12" xfId="0" applyFont="1" applyBorder="1"/>
    <xf numFmtId="169" fontId="16" fillId="0" borderId="12" xfId="0" applyNumberFormat="1" applyFont="1" applyBorder="1"/>
    <xf numFmtId="169" fontId="16" fillId="0" borderId="13" xfId="0" applyNumberFormat="1" applyFont="1" applyBorder="1"/>
    <xf numFmtId="164" fontId="16" fillId="0" borderId="12" xfId="0" applyNumberFormat="1" applyFont="1" applyBorder="1"/>
    <xf numFmtId="169" fontId="16" fillId="0" borderId="11" xfId="0" applyNumberFormat="1" applyFont="1" applyBorder="1"/>
    <xf numFmtId="169" fontId="16" fillId="33" borderId="11" xfId="0" applyNumberFormat="1" applyFont="1" applyFill="1" applyBorder="1"/>
    <xf numFmtId="169" fontId="0" fillId="0" borderId="0" xfId="43" applyFont="1"/>
    <xf numFmtId="169" fontId="0" fillId="0" borderId="0" xfId="0" applyNumberFormat="1"/>
    <xf numFmtId="169" fontId="16" fillId="0" borderId="0" xfId="0" applyNumberFormat="1" applyFont="1"/>
    <xf numFmtId="169" fontId="16" fillId="0" borderId="10" xfId="0" applyNumberFormat="1" applyFont="1" applyBorder="1"/>
    <xf numFmtId="9" fontId="0" fillId="0" borderId="0" xfId="0" applyNumberFormat="1"/>
    <xf numFmtId="0" fontId="0" fillId="42" borderId="0" xfId="0" applyFill="1"/>
    <xf numFmtId="0" fontId="16" fillId="36" borderId="12" xfId="0" applyFont="1" applyFill="1" applyBorder="1" applyAlignment="1">
      <alignment wrapText="1"/>
    </xf>
    <xf numFmtId="169" fontId="16" fillId="36" borderId="12" xfId="43" applyFont="1" applyFill="1" applyBorder="1" applyAlignment="1">
      <alignment wrapText="1"/>
    </xf>
    <xf numFmtId="169" fontId="0" fillId="0" borderId="12" xfId="43" applyFont="1" applyBorder="1"/>
    <xf numFmtId="169" fontId="16" fillId="0" borderId="11" xfId="43" applyFont="1" applyBorder="1"/>
    <xf numFmtId="169" fontId="16" fillId="0" borderId="0" xfId="43" applyFont="1"/>
    <xf numFmtId="165" fontId="0" fillId="42" borderId="12" xfId="0" applyNumberFormat="1" applyFill="1" applyBorder="1"/>
    <xf numFmtId="2" fontId="0" fillId="0" borderId="0" xfId="0" applyNumberFormat="1"/>
    <xf numFmtId="0" fontId="0" fillId="0" borderId="12" xfId="0" applyFill="1" applyBorder="1"/>
    <xf numFmtId="0" fontId="0" fillId="0" borderId="0" xfId="0" applyFill="1"/>
    <xf numFmtId="14" fontId="0" fillId="0" borderId="0" xfId="0" applyNumberFormat="1" applyFill="1"/>
    <xf numFmtId="169" fontId="0" fillId="0" borderId="12" xfId="0" applyNumberFormat="1" applyFill="1" applyBorder="1"/>
    <xf numFmtId="169" fontId="0" fillId="0" borderId="12" xfId="43" applyFont="1" applyFill="1" applyBorder="1"/>
    <xf numFmtId="169" fontId="16" fillId="0" borderId="11" xfId="0" applyNumberFormat="1" applyFont="1" applyFill="1" applyBorder="1"/>
    <xf numFmtId="169" fontId="16" fillId="0" borderId="11" xfId="43" applyFont="1" applyFill="1" applyBorder="1"/>
    <xf numFmtId="169" fontId="16" fillId="0" borderId="0" xfId="0" applyNumberFormat="1" applyFont="1" applyFill="1"/>
    <xf numFmtId="169" fontId="16" fillId="0" borderId="0" xfId="43" applyFont="1" applyFill="1"/>
    <xf numFmtId="169" fontId="0" fillId="0" borderId="0" xfId="0" applyNumberFormat="1" applyFill="1"/>
    <xf numFmtId="0" fontId="0" fillId="0" borderId="12" xfId="0" applyFill="1" applyBorder="1" applyAlignment="1">
      <alignment horizontal="center"/>
    </xf>
    <xf numFmtId="164" fontId="0" fillId="0" borderId="12" xfId="0" applyNumberFormat="1" applyFill="1" applyBorder="1"/>
    <xf numFmtId="169" fontId="0" fillId="0" borderId="17" xfId="43" applyFont="1" applyFill="1" applyBorder="1"/>
    <xf numFmtId="0" fontId="0" fillId="0" borderId="12" xfId="0" applyFont="1" applyFill="1" applyBorder="1"/>
    <xf numFmtId="169" fontId="0" fillId="0" borderId="12" xfId="0" applyNumberFormat="1" applyFont="1" applyFill="1" applyBorder="1"/>
    <xf numFmtId="4" fontId="0" fillId="0" borderId="12" xfId="0" applyNumberFormat="1" applyFont="1" applyFill="1" applyBorder="1"/>
    <xf numFmtId="165" fontId="0" fillId="0" borderId="12" xfId="0" applyNumberFormat="1" applyFont="1" applyFill="1" applyBorder="1"/>
    <xf numFmtId="169" fontId="0" fillId="0" borderId="14" xfId="0" applyNumberFormat="1" applyFont="1" applyFill="1" applyBorder="1"/>
    <xf numFmtId="169" fontId="0" fillId="0" borderId="15" xfId="0" applyNumberFormat="1" applyFont="1" applyFill="1" applyBorder="1"/>
    <xf numFmtId="0" fontId="0" fillId="0" borderId="17" xfId="0" applyFont="1" applyFill="1" applyBorder="1"/>
    <xf numFmtId="165" fontId="0" fillId="0" borderId="17" xfId="0" applyNumberFormat="1" applyFont="1" applyFill="1" applyBorder="1"/>
    <xf numFmtId="169" fontId="0" fillId="0" borderId="17" xfId="0" applyNumberFormat="1" applyFont="1" applyFill="1" applyBorder="1"/>
    <xf numFmtId="169" fontId="0" fillId="0" borderId="26" xfId="0" applyNumberFormat="1" applyFont="1" applyFill="1" applyBorder="1"/>
    <xf numFmtId="165" fontId="0" fillId="0" borderId="12" xfId="0" applyNumberFormat="1" applyFont="1" applyBorder="1"/>
    <xf numFmtId="169" fontId="0" fillId="0" borderId="12" xfId="0" applyNumberFormat="1" applyFont="1" applyBorder="1"/>
    <xf numFmtId="169" fontId="0" fillId="0" borderId="15" xfId="0" applyNumberFormat="1" applyFont="1" applyBorder="1"/>
    <xf numFmtId="169" fontId="0" fillId="0" borderId="14" xfId="0" applyNumberFormat="1" applyFont="1" applyBorder="1"/>
    <xf numFmtId="0" fontId="0" fillId="0" borderId="12" xfId="0" applyFont="1" applyFill="1" applyBorder="1" applyAlignment="1">
      <alignment horizontal="left" vertical="top" wrapText="1" readingOrder="1"/>
    </xf>
    <xf numFmtId="169" fontId="0" fillId="0" borderId="12" xfId="43" applyFont="1" applyFill="1" applyBorder="1" applyAlignment="1">
      <alignment horizontal="left" vertical="top" wrapText="1" readingOrder="1"/>
    </xf>
    <xf numFmtId="0" fontId="19" fillId="0" borderId="12" xfId="0" applyFont="1" applyFill="1" applyBorder="1" applyAlignment="1">
      <alignment horizontal="left" vertical="top" wrapText="1" readingOrder="1"/>
    </xf>
    <xf numFmtId="169" fontId="19" fillId="0" borderId="12" xfId="43" applyFont="1" applyFill="1" applyBorder="1" applyAlignment="1">
      <alignment horizontal="left" vertical="top" wrapText="1" readingOrder="1"/>
    </xf>
    <xf numFmtId="0" fontId="0" fillId="0" borderId="12" xfId="0" applyFont="1" applyBorder="1" applyAlignment="1">
      <alignment horizontal="left" vertical="top" wrapText="1" readingOrder="1"/>
    </xf>
    <xf numFmtId="0" fontId="0" fillId="0" borderId="0" xfId="0" applyAlignment="1">
      <alignment horizontal="center"/>
    </xf>
    <xf numFmtId="0" fontId="16" fillId="39" borderId="2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top" wrapText="1" readingOrder="1"/>
    </xf>
    <xf numFmtId="0" fontId="0" fillId="0" borderId="17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 vertical="top" wrapText="1" readingOrder="1"/>
    </xf>
    <xf numFmtId="0" fontId="0" fillId="0" borderId="12" xfId="0" applyFont="1" applyBorder="1" applyAlignment="1">
      <alignment horizontal="center" vertical="top" wrapText="1" readingOrder="1"/>
    </xf>
    <xf numFmtId="0" fontId="16" fillId="0" borderId="12" xfId="0" applyFont="1" applyBorder="1" applyAlignment="1">
      <alignment horizontal="center"/>
    </xf>
    <xf numFmtId="169" fontId="0" fillId="0" borderId="25" xfId="0" applyNumberFormat="1" applyFont="1" applyFill="1" applyBorder="1"/>
    <xf numFmtId="0" fontId="0" fillId="0" borderId="0" xfId="0" applyAlignment="1">
      <alignment horizontal="left"/>
    </xf>
    <xf numFmtId="0" fontId="16" fillId="34" borderId="12" xfId="0" applyFont="1" applyFill="1" applyBorder="1" applyAlignment="1">
      <alignment wrapText="1"/>
    </xf>
    <xf numFmtId="169" fontId="16" fillId="34" borderId="12" xfId="43" applyFont="1" applyFill="1" applyBorder="1" applyAlignment="1">
      <alignment wrapText="1"/>
    </xf>
    <xf numFmtId="0" fontId="16" fillId="34" borderId="18" xfId="0" applyFont="1" applyFill="1" applyBorder="1"/>
    <xf numFmtId="164" fontId="16" fillId="34" borderId="18" xfId="0" applyNumberFormat="1" applyFont="1" applyFill="1" applyBorder="1"/>
    <xf numFmtId="0" fontId="16" fillId="34" borderId="18" xfId="0" applyFont="1" applyFill="1" applyBorder="1" applyAlignment="1">
      <alignment wrapText="1"/>
    </xf>
    <xf numFmtId="14" fontId="16" fillId="0" borderId="0" xfId="0" applyNumberFormat="1" applyFont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4" fontId="16" fillId="0" borderId="0" xfId="0" applyNumberFormat="1" applyFont="1" applyProtection="1">
      <protection locked="0"/>
    </xf>
    <xf numFmtId="0" fontId="16" fillId="34" borderId="12" xfId="0" applyFont="1" applyFill="1" applyBorder="1" applyAlignment="1" applyProtection="1">
      <alignment wrapText="1"/>
      <protection locked="0"/>
    </xf>
    <xf numFmtId="169" fontId="0" fillId="0" borderId="12" xfId="0" applyNumberFormat="1" applyFill="1" applyBorder="1" applyProtection="1">
      <protection locked="0"/>
    </xf>
    <xf numFmtId="169" fontId="16" fillId="0" borderId="11" xfId="0" applyNumberFormat="1" applyFont="1" applyFill="1" applyBorder="1" applyProtection="1">
      <protection locked="0"/>
    </xf>
    <xf numFmtId="169" fontId="0" fillId="0" borderId="0" xfId="43" applyFont="1" applyProtection="1">
      <protection locked="0"/>
    </xf>
    <xf numFmtId="169" fontId="0" fillId="0" borderId="0" xfId="0" applyNumberFormat="1" applyProtection="1">
      <protection locked="0"/>
    </xf>
    <xf numFmtId="0" fontId="0" fillId="0" borderId="12" xfId="0" applyFill="1" applyBorder="1" applyProtection="1">
      <protection locked="0"/>
    </xf>
    <xf numFmtId="0" fontId="0" fillId="0" borderId="12" xfId="0" applyFont="1" applyFill="1" applyBorder="1" applyProtection="1">
      <protection locked="0"/>
    </xf>
    <xf numFmtId="0" fontId="0" fillId="0" borderId="17" xfId="0" applyFont="1" applyFill="1" applyBorder="1" applyProtection="1">
      <protection locked="0"/>
    </xf>
    <xf numFmtId="0" fontId="0" fillId="0" borderId="12" xfId="0" applyFont="1" applyBorder="1" applyProtection="1">
      <protection locked="0"/>
    </xf>
    <xf numFmtId="0" fontId="0" fillId="0" borderId="0" xfId="0" applyFont="1" applyProtection="1">
      <protection locked="0"/>
    </xf>
    <xf numFmtId="0" fontId="16" fillId="35" borderId="0" xfId="0" applyFont="1" applyFill="1" applyProtection="1">
      <protection locked="0"/>
    </xf>
    <xf numFmtId="4" fontId="0" fillId="0" borderId="0" xfId="0" applyNumberFormat="1"/>
    <xf numFmtId="0" fontId="0" fillId="33" borderId="12" xfId="0" applyFont="1" applyFill="1" applyBorder="1"/>
    <xf numFmtId="169" fontId="0" fillId="33" borderId="12" xfId="0" applyNumberFormat="1" applyFont="1" applyFill="1" applyBorder="1"/>
    <xf numFmtId="164" fontId="0" fillId="33" borderId="12" xfId="0" applyNumberFormat="1" applyFont="1" applyFill="1" applyBorder="1"/>
    <xf numFmtId="169" fontId="0" fillId="33" borderId="12" xfId="43" applyFont="1" applyFill="1" applyBorder="1"/>
    <xf numFmtId="169" fontId="0" fillId="33" borderId="12" xfId="0" applyNumberFormat="1" applyFill="1" applyBorder="1" applyProtection="1">
      <protection locked="0"/>
    </xf>
    <xf numFmtId="0" fontId="0" fillId="33" borderId="12" xfId="0" applyFont="1" applyFill="1" applyBorder="1" applyProtection="1">
      <protection locked="0"/>
    </xf>
    <xf numFmtId="0" fontId="0" fillId="33" borderId="12" xfId="0" applyFill="1" applyBorder="1"/>
    <xf numFmtId="169" fontId="0" fillId="33" borderId="12" xfId="0" applyNumberFormat="1" applyFill="1" applyBorder="1"/>
    <xf numFmtId="164" fontId="0" fillId="33" borderId="12" xfId="0" applyNumberFormat="1" applyFill="1" applyBorder="1"/>
    <xf numFmtId="0" fontId="0" fillId="33" borderId="12" xfId="0" applyFill="1" applyBorder="1" applyProtection="1">
      <protection locked="0"/>
    </xf>
    <xf numFmtId="169" fontId="0" fillId="33" borderId="0" xfId="0" applyNumberFormat="1" applyFill="1" applyBorder="1"/>
    <xf numFmtId="169" fontId="0" fillId="33" borderId="12" xfId="43" applyFont="1" applyFill="1" applyBorder="1" applyAlignment="1">
      <alignment horizontal="left" vertical="top" wrapText="1" readingOrder="1"/>
    </xf>
    <xf numFmtId="0" fontId="0" fillId="33" borderId="12" xfId="0" applyFont="1" applyFill="1" applyBorder="1" applyAlignment="1">
      <alignment horizontal="center"/>
    </xf>
    <xf numFmtId="165" fontId="0" fillId="33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33" borderId="12" xfId="0" applyFont="1" applyFill="1" applyBorder="1" applyAlignment="1">
      <alignment horizontal="center" vertical="top" wrapText="1" readingOrder="1"/>
    </xf>
    <xf numFmtId="0" fontId="0" fillId="33" borderId="12" xfId="0" applyFont="1" applyFill="1" applyBorder="1" applyAlignment="1">
      <alignment horizontal="left" vertical="top" wrapText="1" readingOrder="1"/>
    </xf>
    <xf numFmtId="169" fontId="0" fillId="33" borderId="0" xfId="43" applyFont="1" applyFill="1"/>
    <xf numFmtId="169" fontId="0" fillId="33" borderId="15" xfId="0" applyNumberFormat="1" applyFont="1" applyFill="1" applyBorder="1"/>
    <xf numFmtId="0" fontId="0" fillId="0" borderId="0" xfId="0" applyFill="1" applyAlignment="1">
      <alignment horizontal="left"/>
    </xf>
    <xf numFmtId="169" fontId="0" fillId="0" borderId="15" xfId="43" applyFont="1" applyFill="1" applyBorder="1"/>
    <xf numFmtId="169" fontId="16" fillId="0" borderId="10" xfId="0" applyNumberFormat="1" applyFont="1" applyBorder="1" applyProtection="1">
      <protection locked="0"/>
    </xf>
    <xf numFmtId="43" fontId="0" fillId="0" borderId="12" xfId="0" applyNumberFormat="1" applyBorder="1" applyProtection="1">
      <protection locked="0"/>
    </xf>
    <xf numFmtId="0" fontId="0" fillId="0" borderId="12" xfId="0" applyBorder="1" applyProtection="1">
      <protection locked="0"/>
    </xf>
    <xf numFmtId="43" fontId="0" fillId="0" borderId="12" xfId="1" applyFont="1" applyFill="1" applyBorder="1" applyAlignment="1">
      <alignment horizontal="left" vertical="top" wrapText="1" readingOrder="1"/>
    </xf>
    <xf numFmtId="0" fontId="0" fillId="42" borderId="12" xfId="0" applyFill="1" applyBorder="1" applyAlignment="1">
      <alignment horizontal="center" vertical="top" wrapText="1" readingOrder="1"/>
    </xf>
    <xf numFmtId="0" fontId="0" fillId="42" borderId="12" xfId="0" applyFill="1" applyBorder="1" applyAlignment="1">
      <alignment horizontal="left" vertical="top" wrapText="1" readingOrder="1"/>
    </xf>
    <xf numFmtId="43" fontId="0" fillId="42" borderId="12" xfId="1" applyFont="1" applyFill="1" applyBorder="1" applyAlignment="1">
      <alignment horizontal="left" vertical="top" wrapText="1" readingOrder="1"/>
    </xf>
    <xf numFmtId="43" fontId="0" fillId="42" borderId="12" xfId="0" applyNumberFormat="1" applyFill="1" applyBorder="1"/>
    <xf numFmtId="43" fontId="0" fillId="42" borderId="12" xfId="0" applyNumberFormat="1" applyFill="1" applyBorder="1" applyProtection="1">
      <protection locked="0"/>
    </xf>
    <xf numFmtId="0" fontId="0" fillId="42" borderId="12" xfId="0" applyFill="1" applyBorder="1" applyProtection="1">
      <protection locked="0"/>
    </xf>
    <xf numFmtId="0" fontId="0" fillId="42" borderId="0" xfId="0" applyFill="1" applyProtection="1">
      <protection locked="0"/>
    </xf>
    <xf numFmtId="43" fontId="0" fillId="0" borderId="25" xfId="0" applyNumberFormat="1" applyBorder="1"/>
    <xf numFmtId="43" fontId="0" fillId="0" borderId="26" xfId="0" applyNumberFormat="1" applyBorder="1"/>
    <xf numFmtId="43" fontId="0" fillId="0" borderId="17" xfId="1" applyFont="1" applyFill="1" applyBorder="1"/>
    <xf numFmtId="43" fontId="0" fillId="0" borderId="17" xfId="0" applyNumberFormat="1" applyBorder="1" applyProtection="1">
      <protection locked="0"/>
    </xf>
    <xf numFmtId="0" fontId="0" fillId="0" borderId="17" xfId="0" applyBorder="1" applyProtection="1">
      <protection locked="0"/>
    </xf>
    <xf numFmtId="43" fontId="0" fillId="0" borderId="14" xfId="1" applyFont="1" applyFill="1" applyBorder="1"/>
    <xf numFmtId="43" fontId="19" fillId="0" borderId="12" xfId="1" applyFont="1" applyFill="1" applyBorder="1" applyAlignment="1">
      <alignment horizontal="left" vertical="top" wrapText="1" readingOrder="1"/>
    </xf>
    <xf numFmtId="43" fontId="0" fillId="0" borderId="15" xfId="1" applyFont="1" applyFill="1" applyBorder="1"/>
    <xf numFmtId="43" fontId="0" fillId="0" borderId="12" xfId="1" applyFont="1" applyBorder="1"/>
    <xf numFmtId="43" fontId="16" fillId="0" borderId="11" xfId="1" applyFont="1" applyBorder="1"/>
    <xf numFmtId="43" fontId="16" fillId="0" borderId="11" xfId="1" applyFont="1" applyFill="1" applyBorder="1"/>
    <xf numFmtId="43" fontId="16" fillId="0" borderId="11" xfId="0" applyNumberFormat="1" applyFont="1" applyBorder="1" applyProtection="1">
      <protection locked="0"/>
    </xf>
    <xf numFmtId="43" fontId="0" fillId="0" borderId="0" xfId="1" applyFont="1" applyProtection="1">
      <protection locked="0"/>
    </xf>
    <xf numFmtId="43" fontId="16" fillId="0" borderId="0" xfId="1" applyFont="1"/>
    <xf numFmtId="43" fontId="16" fillId="0" borderId="0" xfId="1" applyFont="1" applyFill="1"/>
    <xf numFmtId="43" fontId="16" fillId="0" borderId="10" xfId="0" applyNumberFormat="1" applyFont="1" applyBorder="1" applyProtection="1">
      <protection locked="0"/>
    </xf>
    <xf numFmtId="43" fontId="16" fillId="0" borderId="0" xfId="0" applyNumberFormat="1" applyFont="1" applyProtection="1">
      <protection locked="0"/>
    </xf>
    <xf numFmtId="14" fontId="0" fillId="0" borderId="0" xfId="0" applyNumberFormat="1"/>
    <xf numFmtId="0" fontId="0" fillId="0" borderId="0" xfId="0"/>
    <xf numFmtId="0" fontId="0" fillId="0" borderId="0" xfId="0"/>
    <xf numFmtId="169" fontId="0" fillId="0" borderId="0" xfId="43" applyFont="1" applyFill="1"/>
    <xf numFmtId="14" fontId="0" fillId="0" borderId="0" xfId="0" applyNumberFormat="1"/>
    <xf numFmtId="169" fontId="18" fillId="0" borderId="12" xfId="43" applyFont="1" applyFill="1" applyBorder="1" applyAlignment="1">
      <alignment horizontal="left" vertical="top" wrapText="1" readingOrder="1"/>
    </xf>
    <xf numFmtId="169" fontId="0" fillId="0" borderId="0" xfId="43" applyFont="1"/>
    <xf numFmtId="169" fontId="0" fillId="0" borderId="0" xfId="0" applyNumberFormat="1"/>
    <xf numFmtId="0" fontId="0" fillId="0" borderId="0" xfId="0" applyFill="1"/>
    <xf numFmtId="169" fontId="0" fillId="0" borderId="12" xfId="43" applyFont="1" applyFill="1" applyBorder="1"/>
    <xf numFmtId="169" fontId="0" fillId="0" borderId="0" xfId="43" applyFont="1" applyFill="1" applyProtection="1"/>
    <xf numFmtId="0" fontId="16" fillId="39" borderId="20" xfId="0" applyFont="1" applyFill="1" applyBorder="1" applyAlignment="1" applyProtection="1">
      <alignment horizontal="center"/>
    </xf>
    <xf numFmtId="0" fontId="16" fillId="39" borderId="19" xfId="0" applyFont="1" applyFill="1" applyBorder="1" applyProtection="1"/>
    <xf numFmtId="0" fontId="16" fillId="34" borderId="18" xfId="0" applyFont="1" applyFill="1" applyBorder="1" applyProtection="1"/>
    <xf numFmtId="164" fontId="16" fillId="34" borderId="18" xfId="0" applyNumberFormat="1" applyFont="1" applyFill="1" applyBorder="1" applyProtection="1"/>
    <xf numFmtId="0" fontId="16" fillId="34" borderId="18" xfId="0" applyFont="1" applyFill="1" applyBorder="1" applyAlignment="1" applyProtection="1">
      <alignment wrapText="1"/>
    </xf>
    <xf numFmtId="0" fontId="16" fillId="34" borderId="12" xfId="0" applyFont="1" applyFill="1" applyBorder="1" applyAlignment="1" applyProtection="1">
      <alignment wrapText="1"/>
    </xf>
    <xf numFmtId="0" fontId="16" fillId="34" borderId="0" xfId="0" applyFont="1" applyFill="1" applyProtection="1"/>
    <xf numFmtId="0" fontId="0" fillId="0" borderId="12" xfId="0" applyFill="1" applyBorder="1" applyProtection="1"/>
    <xf numFmtId="169" fontId="0" fillId="0" borderId="12" xfId="0" applyNumberFormat="1" applyFill="1" applyBorder="1" applyProtection="1"/>
    <xf numFmtId="169" fontId="0" fillId="0" borderId="12" xfId="43" applyFont="1" applyFill="1" applyBorder="1" applyProtection="1"/>
    <xf numFmtId="0" fontId="0" fillId="0" borderId="12" xfId="0" applyFont="1" applyFill="1" applyBorder="1" applyAlignment="1" applyProtection="1">
      <alignment horizontal="center"/>
    </xf>
    <xf numFmtId="0" fontId="0" fillId="0" borderId="12" xfId="0" applyFont="1" applyFill="1" applyBorder="1" applyProtection="1"/>
    <xf numFmtId="169" fontId="0" fillId="0" borderId="12" xfId="0" applyNumberFormat="1" applyFont="1" applyFill="1" applyBorder="1" applyProtection="1"/>
    <xf numFmtId="0" fontId="0" fillId="0" borderId="12" xfId="0" applyFont="1" applyFill="1" applyBorder="1" applyAlignment="1" applyProtection="1">
      <alignment horizontal="center" vertical="top" wrapText="1" readingOrder="1"/>
    </xf>
    <xf numFmtId="0" fontId="0" fillId="0" borderId="12" xfId="0" applyFont="1" applyFill="1" applyBorder="1" applyAlignment="1" applyProtection="1">
      <alignment horizontal="left" vertical="top" wrapText="1" readingOrder="1"/>
    </xf>
    <xf numFmtId="169" fontId="0" fillId="0" borderId="12" xfId="43" applyFont="1" applyFill="1" applyBorder="1" applyAlignment="1" applyProtection="1">
      <alignment horizontal="left" vertical="top" wrapText="1" readingOrder="1"/>
    </xf>
    <xf numFmtId="165" fontId="0" fillId="0" borderId="12" xfId="0" applyNumberFormat="1" applyFont="1" applyFill="1" applyBorder="1" applyProtection="1"/>
    <xf numFmtId="169" fontId="0" fillId="0" borderId="15" xfId="0" applyNumberFormat="1" applyFont="1" applyFill="1" applyBorder="1" applyProtection="1"/>
    <xf numFmtId="169" fontId="0" fillId="0" borderId="14" xfId="43" applyFont="1" applyFill="1" applyBorder="1" applyProtection="1"/>
    <xf numFmtId="0" fontId="19" fillId="0" borderId="12" xfId="0" applyFont="1" applyFill="1" applyBorder="1" applyAlignment="1" applyProtection="1">
      <alignment horizontal="center" vertical="top" wrapText="1" readingOrder="1"/>
    </xf>
    <xf numFmtId="0" fontId="19" fillId="0" borderId="12" xfId="0" applyFont="1" applyFill="1" applyBorder="1" applyAlignment="1" applyProtection="1">
      <alignment horizontal="left" vertical="top" wrapText="1" readingOrder="1"/>
    </xf>
    <xf numFmtId="169" fontId="19" fillId="0" borderId="12" xfId="43" applyFont="1" applyFill="1" applyBorder="1" applyAlignment="1" applyProtection="1">
      <alignment horizontal="left" vertical="top" wrapText="1" readingOrder="1"/>
    </xf>
    <xf numFmtId="0" fontId="0" fillId="0" borderId="12" xfId="0" applyFont="1" applyBorder="1" applyAlignment="1" applyProtection="1">
      <alignment horizontal="left" vertical="top" wrapText="1" readingOrder="1"/>
    </xf>
    <xf numFmtId="165" fontId="0" fillId="0" borderId="12" xfId="0" applyNumberFormat="1" applyFont="1" applyBorder="1" applyProtection="1"/>
    <xf numFmtId="169" fontId="0" fillId="0" borderId="12" xfId="0" applyNumberFormat="1" applyFont="1" applyBorder="1" applyProtection="1"/>
    <xf numFmtId="169" fontId="0" fillId="0" borderId="15" xfId="0" applyNumberFormat="1" applyFont="1" applyBorder="1" applyProtection="1"/>
    <xf numFmtId="0" fontId="16" fillId="0" borderId="12" xfId="0" applyFont="1" applyBorder="1" applyAlignment="1" applyProtection="1">
      <alignment horizontal="center"/>
    </xf>
    <xf numFmtId="0" fontId="16" fillId="0" borderId="12" xfId="0" applyFont="1" applyBorder="1" applyProtection="1"/>
    <xf numFmtId="169" fontId="16" fillId="0" borderId="12" xfId="0" applyNumberFormat="1" applyFont="1" applyBorder="1" applyProtection="1"/>
    <xf numFmtId="169" fontId="16" fillId="0" borderId="13" xfId="0" applyNumberFormat="1" applyFont="1" applyBorder="1" applyProtection="1"/>
    <xf numFmtId="164" fontId="16" fillId="0" borderId="12" xfId="0" applyNumberFormat="1" applyFont="1" applyBorder="1" applyProtection="1"/>
    <xf numFmtId="169" fontId="16" fillId="0" borderId="11" xfId="0" applyNumberFormat="1" applyFont="1" applyBorder="1" applyProtection="1"/>
    <xf numFmtId="169" fontId="16" fillId="0" borderId="11" xfId="0" applyNumberFormat="1" applyFont="1" applyFill="1" applyBorder="1" applyProtection="1"/>
    <xf numFmtId="0" fontId="0" fillId="0" borderId="0" xfId="0" applyFont="1" applyFill="1" applyProtection="1"/>
    <xf numFmtId="169" fontId="0" fillId="0" borderId="14" xfId="0" applyNumberFormat="1" applyFill="1" applyBorder="1" applyProtection="1"/>
    <xf numFmtId="0" fontId="16" fillId="41" borderId="0" xfId="0" applyFont="1" applyFill="1" applyProtection="1"/>
    <xf numFmtId="0" fontId="0" fillId="0" borderId="15" xfId="0" applyFill="1" applyBorder="1" applyProtection="1"/>
    <xf numFmtId="0" fontId="18" fillId="0" borderId="12" xfId="0" applyFont="1" applyFill="1" applyBorder="1" applyAlignment="1">
      <alignment horizontal="left" vertical="top" wrapText="1" readingOrder="1"/>
    </xf>
    <xf numFmtId="169" fontId="1" fillId="0" borderId="12" xfId="43" applyFont="1" applyFill="1" applyBorder="1" applyProtection="1"/>
    <xf numFmtId="169" fontId="0" fillId="0" borderId="24" xfId="43" applyFont="1" applyBorder="1"/>
    <xf numFmtId="0" fontId="16" fillId="36" borderId="0" xfId="0" applyFont="1" applyFill="1" applyProtection="1"/>
    <xf numFmtId="0" fontId="18" fillId="0" borderId="12" xfId="46" applyNumberFormat="1" applyFont="1" applyFill="1" applyBorder="1" applyAlignment="1">
      <alignment horizontal="left" vertical="top" wrapText="1" readingOrder="1"/>
    </xf>
    <xf numFmtId="0" fontId="18" fillId="0" borderId="12" xfId="46" applyNumberFormat="1" applyFont="1" applyFill="1" applyBorder="1" applyAlignment="1">
      <alignment horizontal="center" vertical="top" wrapText="1" readingOrder="1"/>
    </xf>
    <xf numFmtId="0" fontId="24" fillId="0" borderId="12" xfId="0" applyFont="1" applyFill="1" applyBorder="1" applyProtection="1"/>
    <xf numFmtId="169" fontId="24" fillId="0" borderId="12" xfId="43" applyFont="1" applyFill="1" applyBorder="1" applyProtection="1"/>
    <xf numFmtId="170" fontId="0" fillId="0" borderId="12" xfId="0" applyNumberFormat="1" applyFill="1" applyBorder="1"/>
    <xf numFmtId="0" fontId="18" fillId="0" borderId="12" xfId="0" applyFont="1" applyFill="1" applyBorder="1" applyAlignment="1" applyProtection="1">
      <alignment horizontal="left" vertical="top" wrapText="1" readingOrder="1"/>
    </xf>
    <xf numFmtId="0" fontId="25" fillId="0" borderId="0" xfId="0" applyFont="1" applyFill="1"/>
    <xf numFmtId="10" fontId="0" fillId="0" borderId="0" xfId="0" applyNumberFormat="1" applyFill="1"/>
    <xf numFmtId="0" fontId="24" fillId="0" borderId="12" xfId="0" applyFont="1" applyFill="1" applyBorder="1" applyAlignment="1" applyProtection="1">
      <alignment horizontal="center"/>
    </xf>
    <xf numFmtId="165" fontId="24" fillId="0" borderId="12" xfId="0" applyNumberFormat="1" applyFont="1" applyFill="1" applyBorder="1" applyProtection="1"/>
    <xf numFmtId="169" fontId="24" fillId="0" borderId="12" xfId="0" applyNumberFormat="1" applyFont="1" applyFill="1" applyBorder="1" applyProtection="1"/>
    <xf numFmtId="0" fontId="0" fillId="0" borderId="12" xfId="0" applyFont="1" applyFill="1" applyBorder="1" applyAlignment="1" applyProtection="1">
      <alignment wrapText="1"/>
    </xf>
    <xf numFmtId="169" fontId="0" fillId="0" borderId="0" xfId="43" applyFont="1"/>
    <xf numFmtId="169" fontId="0" fillId="0" borderId="0" xfId="0" applyNumberFormat="1"/>
    <xf numFmtId="169" fontId="0" fillId="0" borderId="0" xfId="43" applyFont="1" applyFill="1" applyProtection="1"/>
    <xf numFmtId="0" fontId="16" fillId="39" borderId="20" xfId="0" applyFont="1" applyFill="1" applyBorder="1" applyAlignment="1" applyProtection="1">
      <alignment horizontal="center"/>
    </xf>
    <xf numFmtId="0" fontId="16" fillId="39" borderId="19" xfId="0" applyFont="1" applyFill="1" applyBorder="1" applyProtection="1"/>
    <xf numFmtId="0" fontId="16" fillId="34" borderId="18" xfId="0" applyFont="1" applyFill="1" applyBorder="1" applyProtection="1"/>
    <xf numFmtId="164" fontId="16" fillId="34" borderId="18" xfId="0" applyNumberFormat="1" applyFont="1" applyFill="1" applyBorder="1" applyProtection="1"/>
    <xf numFmtId="0" fontId="16" fillId="34" borderId="18" xfId="0" applyFont="1" applyFill="1" applyBorder="1" applyAlignment="1" applyProtection="1">
      <alignment wrapText="1"/>
    </xf>
    <xf numFmtId="0" fontId="16" fillId="34" borderId="12" xfId="0" applyFont="1" applyFill="1" applyBorder="1" applyAlignment="1" applyProtection="1">
      <alignment wrapText="1"/>
    </xf>
    <xf numFmtId="0" fontId="16" fillId="34" borderId="0" xfId="0" applyFont="1" applyFill="1" applyProtection="1"/>
    <xf numFmtId="0" fontId="0" fillId="0" borderId="12" xfId="0" applyFill="1" applyBorder="1" applyProtection="1"/>
    <xf numFmtId="169" fontId="0" fillId="0" borderId="12" xfId="0" applyNumberFormat="1" applyFill="1" applyBorder="1" applyProtection="1"/>
    <xf numFmtId="169" fontId="0" fillId="0" borderId="12" xfId="43" applyFont="1" applyFill="1" applyBorder="1" applyProtection="1"/>
    <xf numFmtId="0" fontId="0" fillId="0" borderId="12" xfId="0" applyFont="1" applyFill="1" applyBorder="1" applyAlignment="1" applyProtection="1">
      <alignment horizontal="center"/>
    </xf>
    <xf numFmtId="0" fontId="0" fillId="0" borderId="12" xfId="0" applyFont="1" applyFill="1" applyBorder="1" applyProtection="1"/>
    <xf numFmtId="169" fontId="0" fillId="0" borderId="12" xfId="0" applyNumberFormat="1" applyFont="1" applyFill="1" applyBorder="1" applyProtection="1"/>
    <xf numFmtId="0" fontId="0" fillId="0" borderId="12" xfId="0" applyFont="1" applyFill="1" applyBorder="1" applyAlignment="1" applyProtection="1">
      <alignment horizontal="center" vertical="top" wrapText="1" readingOrder="1"/>
    </xf>
    <xf numFmtId="0" fontId="0" fillId="0" borderId="12" xfId="0" applyFont="1" applyFill="1" applyBorder="1" applyAlignment="1" applyProtection="1">
      <alignment horizontal="left" vertical="top" wrapText="1" readingOrder="1"/>
    </xf>
    <xf numFmtId="169" fontId="0" fillId="0" borderId="12" xfId="43" applyFont="1" applyFill="1" applyBorder="1" applyAlignment="1" applyProtection="1">
      <alignment horizontal="left" vertical="top" wrapText="1" readingOrder="1"/>
    </xf>
    <xf numFmtId="165" fontId="0" fillId="0" borderId="12" xfId="0" applyNumberFormat="1" applyFont="1" applyFill="1" applyBorder="1" applyProtection="1"/>
    <xf numFmtId="169" fontId="0" fillId="0" borderId="15" xfId="0" applyNumberFormat="1" applyFont="1" applyFill="1" applyBorder="1" applyProtection="1"/>
    <xf numFmtId="0" fontId="0" fillId="0" borderId="17" xfId="0" applyFont="1" applyFill="1" applyBorder="1" applyAlignment="1" applyProtection="1">
      <alignment horizontal="center"/>
    </xf>
    <xf numFmtId="0" fontId="0" fillId="0" borderId="17" xfId="0" applyFont="1" applyFill="1" applyBorder="1" applyProtection="1"/>
    <xf numFmtId="165" fontId="0" fillId="0" borderId="17" xfId="0" applyNumberFormat="1" applyFont="1" applyFill="1" applyBorder="1" applyProtection="1"/>
    <xf numFmtId="169" fontId="0" fillId="0" borderId="17" xfId="0" applyNumberFormat="1" applyFont="1" applyFill="1" applyBorder="1" applyProtection="1"/>
    <xf numFmtId="169" fontId="0" fillId="0" borderId="17" xfId="43" applyFont="1" applyFill="1" applyBorder="1" applyProtection="1"/>
    <xf numFmtId="169" fontId="0" fillId="0" borderId="14" xfId="43" applyFont="1" applyFill="1" applyBorder="1" applyProtection="1"/>
    <xf numFmtId="0" fontId="19" fillId="0" borderId="12" xfId="0" applyFont="1" applyFill="1" applyBorder="1" applyAlignment="1" applyProtection="1">
      <alignment horizontal="center" vertical="top" wrapText="1" readingOrder="1"/>
    </xf>
    <xf numFmtId="0" fontId="19" fillId="0" borderId="12" xfId="0" applyFont="1" applyFill="1" applyBorder="1" applyAlignment="1" applyProtection="1">
      <alignment horizontal="left" vertical="top" wrapText="1" readingOrder="1"/>
    </xf>
    <xf numFmtId="169" fontId="19" fillId="0" borderId="12" xfId="43" applyFont="1" applyFill="1" applyBorder="1" applyAlignment="1" applyProtection="1">
      <alignment horizontal="left" vertical="top" wrapText="1" readingOrder="1"/>
    </xf>
    <xf numFmtId="0" fontId="18" fillId="0" borderId="16" xfId="0" applyFont="1" applyFill="1" applyBorder="1" applyAlignment="1" applyProtection="1">
      <alignment horizontal="left" vertical="top" wrapText="1" readingOrder="1"/>
    </xf>
    <xf numFmtId="0" fontId="0" fillId="0" borderId="12" xfId="0" applyFont="1" applyBorder="1" applyAlignment="1" applyProtection="1">
      <alignment horizontal="left" vertical="top" wrapText="1" readingOrder="1"/>
    </xf>
    <xf numFmtId="165" fontId="0" fillId="0" borderId="12" xfId="0" applyNumberFormat="1" applyFont="1" applyBorder="1" applyProtection="1"/>
    <xf numFmtId="169" fontId="0" fillId="0" borderId="12" xfId="0" applyNumberFormat="1" applyFont="1" applyBorder="1" applyProtection="1"/>
    <xf numFmtId="169" fontId="0" fillId="0" borderId="15" xfId="0" applyNumberFormat="1" applyFont="1" applyBorder="1" applyProtection="1"/>
    <xf numFmtId="0" fontId="16" fillId="0" borderId="12" xfId="0" applyFont="1" applyBorder="1" applyAlignment="1" applyProtection="1">
      <alignment horizontal="center"/>
    </xf>
    <xf numFmtId="0" fontId="16" fillId="0" borderId="12" xfId="0" applyFont="1" applyBorder="1" applyProtection="1"/>
    <xf numFmtId="169" fontId="16" fillId="0" borderId="12" xfId="0" applyNumberFormat="1" applyFont="1" applyBorder="1" applyProtection="1"/>
    <xf numFmtId="169" fontId="16" fillId="0" borderId="13" xfId="0" applyNumberFormat="1" applyFont="1" applyBorder="1" applyProtection="1"/>
    <xf numFmtId="164" fontId="16" fillId="0" borderId="12" xfId="0" applyNumberFormat="1" applyFont="1" applyBorder="1" applyProtection="1"/>
    <xf numFmtId="169" fontId="16" fillId="0" borderId="11" xfId="0" applyNumberFormat="1" applyFont="1" applyBorder="1" applyProtection="1"/>
    <xf numFmtId="169" fontId="16" fillId="0" borderId="11" xfId="0" applyNumberFormat="1" applyFont="1" applyFill="1" applyBorder="1" applyProtection="1"/>
    <xf numFmtId="0" fontId="0" fillId="0" borderId="0" xfId="0" applyFont="1" applyFill="1" applyProtection="1"/>
    <xf numFmtId="169" fontId="0" fillId="0" borderId="14" xfId="0" applyNumberFormat="1" applyFill="1" applyBorder="1" applyProtection="1"/>
    <xf numFmtId="0" fontId="16" fillId="41" borderId="0" xfId="0" applyFont="1" applyFill="1" applyProtection="1"/>
    <xf numFmtId="0" fontId="0" fillId="0" borderId="15" xfId="0" applyFill="1" applyBorder="1" applyProtection="1"/>
    <xf numFmtId="0" fontId="18" fillId="0" borderId="27" xfId="0" applyFont="1" applyFill="1" applyBorder="1" applyAlignment="1" applyProtection="1">
      <alignment horizontal="left" vertical="top" wrapText="1" readingOrder="1"/>
    </xf>
    <xf numFmtId="0" fontId="18" fillId="0" borderId="12" xfId="0" applyFont="1" applyFill="1" applyBorder="1" applyAlignment="1">
      <alignment horizontal="left" vertical="top" wrapText="1" readingOrder="1"/>
    </xf>
    <xf numFmtId="169" fontId="1" fillId="0" borderId="12" xfId="43" applyFont="1" applyFill="1" applyBorder="1" applyProtection="1"/>
    <xf numFmtId="169" fontId="0" fillId="0" borderId="24" xfId="43" applyFont="1" applyBorder="1"/>
    <xf numFmtId="0" fontId="0" fillId="0" borderId="0" xfId="0"/>
    <xf numFmtId="14" fontId="0" fillId="0" borderId="0" xfId="0" applyNumberFormat="1"/>
    <xf numFmtId="169" fontId="18" fillId="0" borderId="12" xfId="43" applyFont="1" applyFill="1" applyBorder="1" applyAlignment="1">
      <alignment horizontal="left" vertical="top" wrapText="1" readingOrder="1"/>
    </xf>
    <xf numFmtId="169" fontId="0" fillId="0" borderId="0" xfId="43" applyFont="1"/>
    <xf numFmtId="169" fontId="0" fillId="0" borderId="0" xfId="0" applyNumberFormat="1"/>
    <xf numFmtId="0" fontId="0" fillId="0" borderId="0" xfId="0" applyFill="1"/>
    <xf numFmtId="169" fontId="0" fillId="0" borderId="0" xfId="43" applyFont="1" applyFill="1" applyProtection="1"/>
    <xf numFmtId="0" fontId="16" fillId="39" borderId="20" xfId="0" applyFont="1" applyFill="1" applyBorder="1" applyAlignment="1" applyProtection="1">
      <alignment horizontal="center"/>
    </xf>
    <xf numFmtId="0" fontId="16" fillId="39" borderId="19" xfId="0" applyFont="1" applyFill="1" applyBorder="1" applyProtection="1"/>
    <xf numFmtId="0" fontId="16" fillId="34" borderId="18" xfId="0" applyFont="1" applyFill="1" applyBorder="1" applyProtection="1"/>
    <xf numFmtId="164" fontId="16" fillId="34" borderId="18" xfId="0" applyNumberFormat="1" applyFont="1" applyFill="1" applyBorder="1" applyProtection="1"/>
    <xf numFmtId="0" fontId="16" fillId="34" borderId="18" xfId="0" applyFont="1" applyFill="1" applyBorder="1" applyAlignment="1" applyProtection="1">
      <alignment wrapText="1"/>
    </xf>
    <xf numFmtId="0" fontId="16" fillId="34" borderId="12" xfId="0" applyFont="1" applyFill="1" applyBorder="1" applyAlignment="1" applyProtection="1">
      <alignment wrapText="1"/>
    </xf>
    <xf numFmtId="0" fontId="16" fillId="34" borderId="0" xfId="0" applyFont="1" applyFill="1" applyProtection="1"/>
    <xf numFmtId="0" fontId="0" fillId="0" borderId="12" xfId="0" applyFill="1" applyBorder="1" applyProtection="1"/>
    <xf numFmtId="169" fontId="0" fillId="0" borderId="12" xfId="0" applyNumberFormat="1" applyFill="1" applyBorder="1" applyProtection="1"/>
    <xf numFmtId="169" fontId="0" fillId="0" borderId="12" xfId="43" applyFont="1" applyFill="1" applyBorder="1" applyProtection="1"/>
    <xf numFmtId="0" fontId="0" fillId="0" borderId="12" xfId="0" applyFont="1" applyFill="1" applyBorder="1" applyAlignment="1" applyProtection="1">
      <alignment horizontal="center"/>
    </xf>
    <xf numFmtId="0" fontId="0" fillId="0" borderId="12" xfId="0" applyFont="1" applyFill="1" applyBorder="1" applyProtection="1"/>
    <xf numFmtId="169" fontId="0" fillId="0" borderId="12" xfId="0" applyNumberFormat="1" applyFont="1" applyFill="1" applyBorder="1" applyProtection="1"/>
    <xf numFmtId="0" fontId="0" fillId="0" borderId="12" xfId="0" applyFont="1" applyFill="1" applyBorder="1" applyAlignment="1" applyProtection="1">
      <alignment horizontal="center" vertical="top" wrapText="1" readingOrder="1"/>
    </xf>
    <xf numFmtId="0" fontId="0" fillId="0" borderId="12" xfId="0" applyFont="1" applyFill="1" applyBorder="1" applyAlignment="1" applyProtection="1">
      <alignment horizontal="left" vertical="top" wrapText="1" readingOrder="1"/>
    </xf>
    <xf numFmtId="169" fontId="0" fillId="0" borderId="12" xfId="43" applyFont="1" applyFill="1" applyBorder="1" applyAlignment="1" applyProtection="1">
      <alignment horizontal="left" vertical="top" wrapText="1" readingOrder="1"/>
    </xf>
    <xf numFmtId="165" fontId="0" fillId="0" borderId="12" xfId="0" applyNumberFormat="1" applyFont="1" applyFill="1" applyBorder="1" applyProtection="1"/>
    <xf numFmtId="169" fontId="0" fillId="0" borderId="15" xfId="0" applyNumberFormat="1" applyFont="1" applyFill="1" applyBorder="1" applyProtection="1"/>
    <xf numFmtId="0" fontId="0" fillId="0" borderId="17" xfId="0" applyFont="1" applyFill="1" applyBorder="1" applyAlignment="1" applyProtection="1">
      <alignment horizontal="center"/>
    </xf>
    <xf numFmtId="0" fontId="0" fillId="0" borderId="17" xfId="0" applyFont="1" applyFill="1" applyBorder="1" applyProtection="1"/>
    <xf numFmtId="165" fontId="0" fillId="0" borderId="17" xfId="0" applyNumberFormat="1" applyFont="1" applyFill="1" applyBorder="1" applyProtection="1"/>
    <xf numFmtId="169" fontId="0" fillId="0" borderId="17" xfId="0" applyNumberFormat="1" applyFont="1" applyFill="1" applyBorder="1" applyProtection="1"/>
    <xf numFmtId="169" fontId="0" fillId="0" borderId="17" xfId="43" applyFont="1" applyFill="1" applyBorder="1" applyProtection="1"/>
    <xf numFmtId="169" fontId="0" fillId="0" borderId="14" xfId="43" applyFont="1" applyFill="1" applyBorder="1" applyProtection="1"/>
    <xf numFmtId="0" fontId="19" fillId="0" borderId="12" xfId="0" applyFont="1" applyFill="1" applyBorder="1" applyAlignment="1" applyProtection="1">
      <alignment horizontal="center" vertical="top" wrapText="1" readingOrder="1"/>
    </xf>
    <xf numFmtId="0" fontId="19" fillId="0" borderId="12" xfId="0" applyFont="1" applyFill="1" applyBorder="1" applyAlignment="1" applyProtection="1">
      <alignment horizontal="left" vertical="top" wrapText="1" readingOrder="1"/>
    </xf>
    <xf numFmtId="169" fontId="19" fillId="0" borderId="12" xfId="43" applyFont="1" applyFill="1" applyBorder="1" applyAlignment="1" applyProtection="1">
      <alignment horizontal="left" vertical="top" wrapText="1" readingOrder="1"/>
    </xf>
    <xf numFmtId="0" fontId="18" fillId="0" borderId="16" xfId="0" applyFont="1" applyFill="1" applyBorder="1" applyAlignment="1" applyProtection="1">
      <alignment horizontal="left" vertical="top" wrapText="1" readingOrder="1"/>
    </xf>
    <xf numFmtId="0" fontId="0" fillId="0" borderId="12" xfId="0" applyFont="1" applyBorder="1" applyAlignment="1" applyProtection="1">
      <alignment horizontal="left" vertical="top" wrapText="1" readingOrder="1"/>
    </xf>
    <xf numFmtId="165" fontId="0" fillId="0" borderId="12" xfId="0" applyNumberFormat="1" applyFont="1" applyBorder="1" applyProtection="1"/>
    <xf numFmtId="169" fontId="0" fillId="0" borderId="12" xfId="0" applyNumberFormat="1" applyFont="1" applyBorder="1" applyProtection="1"/>
    <xf numFmtId="169" fontId="0" fillId="0" borderId="15" xfId="0" applyNumberFormat="1" applyFont="1" applyBorder="1" applyProtection="1"/>
    <xf numFmtId="0" fontId="16" fillId="0" borderId="12" xfId="0" applyFont="1" applyBorder="1" applyAlignment="1" applyProtection="1">
      <alignment horizontal="center"/>
    </xf>
    <xf numFmtId="0" fontId="16" fillId="0" borderId="12" xfId="0" applyFont="1" applyBorder="1" applyProtection="1"/>
    <xf numFmtId="169" fontId="16" fillId="0" borderId="12" xfId="0" applyNumberFormat="1" applyFont="1" applyBorder="1" applyProtection="1"/>
    <xf numFmtId="169" fontId="16" fillId="0" borderId="13" xfId="0" applyNumberFormat="1" applyFont="1" applyBorder="1" applyProtection="1"/>
    <xf numFmtId="164" fontId="16" fillId="0" borderId="12" xfId="0" applyNumberFormat="1" applyFont="1" applyBorder="1" applyProtection="1"/>
    <xf numFmtId="169" fontId="16" fillId="0" borderId="11" xfId="0" applyNumberFormat="1" applyFont="1" applyBorder="1" applyProtection="1"/>
    <xf numFmtId="169" fontId="16" fillId="0" borderId="11" xfId="0" applyNumberFormat="1" applyFont="1" applyFill="1" applyBorder="1" applyProtection="1"/>
    <xf numFmtId="0" fontId="0" fillId="0" borderId="0" xfId="0" applyFont="1" applyFill="1" applyProtection="1"/>
    <xf numFmtId="169" fontId="0" fillId="0" borderId="14" xfId="0" applyNumberFormat="1" applyFill="1" applyBorder="1" applyProtection="1"/>
    <xf numFmtId="0" fontId="16" fillId="41" borderId="0" xfId="0" applyFont="1" applyFill="1" applyProtection="1"/>
    <xf numFmtId="0" fontId="0" fillId="0" borderId="15" xfId="0" applyFill="1" applyBorder="1" applyProtection="1"/>
    <xf numFmtId="0" fontId="18" fillId="0" borderId="27" xfId="0" applyFont="1" applyFill="1" applyBorder="1" applyAlignment="1" applyProtection="1">
      <alignment horizontal="left" vertical="top" wrapText="1" readingOrder="1"/>
    </xf>
    <xf numFmtId="0" fontId="18" fillId="0" borderId="12" xfId="0" applyFont="1" applyFill="1" applyBorder="1" applyAlignment="1">
      <alignment horizontal="left" vertical="top" wrapText="1" readingOrder="1"/>
    </xf>
    <xf numFmtId="169" fontId="1" fillId="0" borderId="12" xfId="43" applyFont="1" applyFill="1" applyBorder="1" applyProtection="1"/>
    <xf numFmtId="169" fontId="0" fillId="0" borderId="24" xfId="43" applyFont="1" applyBorder="1"/>
    <xf numFmtId="0" fontId="16" fillId="36" borderId="0" xfId="0" applyFont="1" applyFill="1" applyProtection="1"/>
    <xf numFmtId="0" fontId="18" fillId="0" borderId="12" xfId="46" applyNumberFormat="1" applyFont="1" applyFill="1" applyBorder="1" applyAlignment="1">
      <alignment horizontal="left" vertical="top" wrapText="1" readingOrder="1"/>
    </xf>
    <xf numFmtId="0" fontId="18" fillId="0" borderId="12" xfId="46" applyNumberFormat="1" applyFont="1" applyFill="1" applyBorder="1" applyAlignment="1">
      <alignment horizontal="center" vertical="top" wrapText="1" readingOrder="1"/>
    </xf>
  </cellXfs>
  <cellStyles count="48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 xr:uid="{0859A498-B259-4C84-96B2-65ADB168FCAE}"/>
    <cellStyle name="Millares 3" xfId="47" xr:uid="{3E6EF888-624D-43F3-BBAD-C18DD10ADE25}"/>
    <cellStyle name="Neutral" xfId="9" builtinId="28" customBuiltin="1"/>
    <cellStyle name="Normal" xfId="0" builtinId="0"/>
    <cellStyle name="Normal 2" xfId="46" xr:uid="{D8195E60-7F79-4253-9AC3-9C410481B3B0}"/>
    <cellStyle name="Normal 3" xfId="45" xr:uid="{CB8108AA-E947-45FA-A8F2-2A8FD01B7C2F}"/>
    <cellStyle name="Normal 4" xfId="44" xr:uid="{50E6203D-5A03-4504-AE63-B396C2610AFF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202</xdr:row>
      <xdr:rowOff>0</xdr:rowOff>
    </xdr:from>
    <xdr:to>
      <xdr:col>36</xdr:col>
      <xdr:colOff>401119</xdr:colOff>
      <xdr:row>213</xdr:row>
      <xdr:rowOff>58800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0350C2-2D7C-4196-A7E5-278F4644C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5340" y="4602480"/>
          <a:ext cx="6687619" cy="2070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113808</xdr:colOff>
      <xdr:row>219</xdr:row>
      <xdr:rowOff>0</xdr:rowOff>
    </xdr:from>
    <xdr:ext cx="5379183" cy="2316037"/>
    <xdr:pic>
      <xdr:nvPicPr>
        <xdr:cNvPr id="2" name="Imagen 1">
          <a:extLst>
            <a:ext uri="{FF2B5EF4-FFF2-40B4-BE49-F238E27FC236}">
              <a16:creationId xmlns:a16="http://schemas.microsoft.com/office/drawing/2014/main" id="{D5523F83-FEA3-487E-9C4F-10643345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5568" y="40050720"/>
          <a:ext cx="5379183" cy="231603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exander\AppData\Local\Microsoft\Windows\INetCache\IE\6Z7023FI\Detalle%20Inversion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exander\Desktop\mudanza\Copia%20de%20Detalle%20Inversiones%20SLPA%20AGOS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131%20Auxiliar%20Loan%20P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exander\Desktop\Copia%20de%20Detalle%20Inversiones%20SLPA%20AGOS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exander\Desktop\20200331%20Auxiliar%20Loan%20Put%20Revisa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430%20Auxiliar%20Loan%20Put%20Revisa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Detalle%20Inversiones%20SLPA%20AGOS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831%20Auxiliar%20Loan%20Pu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exander/AppData/Local/Microsoft/Windows/INetCache/IE/6Z7023FI/Detalle%20Inversion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Inversiones"/>
      <sheetName val="Hoja1"/>
    </sheetNames>
    <sheetDataSet>
      <sheetData sheetId="0" refreshError="1"/>
      <sheetData sheetId="1" refreshError="1">
        <row r="1">
          <cell r="G1" t="str">
            <v>IDActivo</v>
          </cell>
          <cell r="H1" t="str">
            <v>PrecioMercado</v>
          </cell>
        </row>
        <row r="2">
          <cell r="G2" t="str">
            <v>000401-526</v>
          </cell>
          <cell r="H2">
            <v>6.4</v>
          </cell>
        </row>
        <row r="3">
          <cell r="G3" t="str">
            <v>000401-528</v>
          </cell>
          <cell r="H3">
            <v>5.9</v>
          </cell>
        </row>
        <row r="4">
          <cell r="G4" t="str">
            <v>000401-529</v>
          </cell>
          <cell r="H4">
            <v>5.9</v>
          </cell>
        </row>
        <row r="5">
          <cell r="G5" t="str">
            <v>000401-531</v>
          </cell>
          <cell r="H5">
            <v>6.9</v>
          </cell>
        </row>
        <row r="6">
          <cell r="G6" t="str">
            <v>000401-532</v>
          </cell>
          <cell r="H6">
            <v>0.50629999999999997</v>
          </cell>
        </row>
        <row r="7">
          <cell r="G7" t="str">
            <v>000401-533</v>
          </cell>
          <cell r="H7">
            <v>7.4</v>
          </cell>
        </row>
        <row r="8">
          <cell r="G8" t="str">
            <v>000401-534</v>
          </cell>
          <cell r="H8">
            <v>7.4</v>
          </cell>
        </row>
        <row r="9">
          <cell r="G9" t="str">
            <v>000401-535</v>
          </cell>
          <cell r="H9">
            <v>6.15</v>
          </cell>
        </row>
        <row r="10">
          <cell r="G10" t="str">
            <v>000401-548</v>
          </cell>
          <cell r="H10">
            <v>4.4120499999999998</v>
          </cell>
        </row>
        <row r="11">
          <cell r="G11" t="str">
            <v>000401-552</v>
          </cell>
          <cell r="H11">
            <v>7.92164</v>
          </cell>
        </row>
        <row r="12">
          <cell r="G12" t="str">
            <v>000401-559</v>
          </cell>
          <cell r="H12">
            <v>5.6654799999999996</v>
          </cell>
        </row>
        <row r="13">
          <cell r="G13" t="str">
            <v>000401-561</v>
          </cell>
          <cell r="H13">
            <v>5.6654799999999996</v>
          </cell>
        </row>
        <row r="14">
          <cell r="G14" t="str">
            <v>000401-568</v>
          </cell>
          <cell r="H14">
            <v>6.4175300000000002</v>
          </cell>
        </row>
        <row r="15">
          <cell r="G15" t="str">
            <v>000401-576</v>
          </cell>
          <cell r="H15">
            <v>4.9000000000000004</v>
          </cell>
        </row>
        <row r="16">
          <cell r="G16" t="str">
            <v>000401-577</v>
          </cell>
          <cell r="H16">
            <v>4.9134200000000003</v>
          </cell>
        </row>
        <row r="17">
          <cell r="G17" t="str">
            <v>000401-583</v>
          </cell>
          <cell r="H17">
            <v>6.9188999999999998</v>
          </cell>
        </row>
        <row r="18">
          <cell r="G18" t="str">
            <v>000401-584</v>
          </cell>
          <cell r="H18">
            <v>2.2268500000000002</v>
          </cell>
        </row>
        <row r="19">
          <cell r="G19" t="str">
            <v>000401-609</v>
          </cell>
          <cell r="H19">
            <v>4.4120499999999998</v>
          </cell>
        </row>
        <row r="20">
          <cell r="G20" t="str">
            <v>000401-618</v>
          </cell>
          <cell r="H20">
            <v>5.9161599999999996</v>
          </cell>
        </row>
        <row r="21">
          <cell r="G21" t="str">
            <v>000401-620</v>
          </cell>
          <cell r="H21">
            <v>5.9161599999999996</v>
          </cell>
        </row>
        <row r="22">
          <cell r="G22" t="str">
            <v>000401-625</v>
          </cell>
          <cell r="H22">
            <v>5.9161599999999996</v>
          </cell>
        </row>
        <row r="23">
          <cell r="G23" t="str">
            <v>000401-626</v>
          </cell>
          <cell r="H23">
            <v>5.9161599999999996</v>
          </cell>
        </row>
        <row r="24">
          <cell r="G24" t="str">
            <v>000401-627</v>
          </cell>
          <cell r="H24">
            <v>6.4175300000000002</v>
          </cell>
        </row>
        <row r="25">
          <cell r="G25" t="str">
            <v>000401-644</v>
          </cell>
          <cell r="H25">
            <v>5.4</v>
          </cell>
        </row>
        <row r="26">
          <cell r="G26" t="str">
            <v>000401-653</v>
          </cell>
          <cell r="H26">
            <v>6.6</v>
          </cell>
        </row>
        <row r="27">
          <cell r="G27" t="str">
            <v>000401-654</v>
          </cell>
          <cell r="H27">
            <v>2.9</v>
          </cell>
        </row>
        <row r="28">
          <cell r="G28" t="str">
            <v>000401-660</v>
          </cell>
          <cell r="H28">
            <v>1.9</v>
          </cell>
        </row>
        <row r="29">
          <cell r="G29" t="str">
            <v>000401-663</v>
          </cell>
          <cell r="H29">
            <v>4.6500000000000004</v>
          </cell>
        </row>
        <row r="30">
          <cell r="G30" t="str">
            <v>000401-664</v>
          </cell>
          <cell r="H30">
            <v>8.9</v>
          </cell>
        </row>
        <row r="31">
          <cell r="G31" t="str">
            <v>000401-674</v>
          </cell>
          <cell r="H31">
            <v>1.9</v>
          </cell>
        </row>
        <row r="32">
          <cell r="G32" t="str">
            <v>000401-676</v>
          </cell>
          <cell r="H32">
            <v>6.4</v>
          </cell>
        </row>
        <row r="33">
          <cell r="G33" t="str">
            <v>000401-677</v>
          </cell>
          <cell r="H33">
            <v>0.4</v>
          </cell>
        </row>
        <row r="34">
          <cell r="G34" t="str">
            <v>000401-678</v>
          </cell>
          <cell r="H34">
            <v>6.4</v>
          </cell>
        </row>
        <row r="35">
          <cell r="G35" t="str">
            <v>000401-681</v>
          </cell>
          <cell r="H35">
            <v>3.4</v>
          </cell>
        </row>
        <row r="36">
          <cell r="G36" t="str">
            <v>000401-683</v>
          </cell>
          <cell r="H36">
            <v>4.4000000000000004</v>
          </cell>
        </row>
        <row r="37">
          <cell r="G37" t="str">
            <v>000401-684</v>
          </cell>
          <cell r="H37">
            <v>0.4</v>
          </cell>
        </row>
        <row r="38">
          <cell r="G38" t="str">
            <v>000401-693</v>
          </cell>
          <cell r="H38">
            <v>5.4</v>
          </cell>
        </row>
        <row r="39">
          <cell r="G39" t="str">
            <v>000401-704</v>
          </cell>
          <cell r="H39">
            <v>1.9</v>
          </cell>
        </row>
        <row r="40">
          <cell r="G40" t="str">
            <v>000401-705</v>
          </cell>
          <cell r="H40">
            <v>1.9</v>
          </cell>
        </row>
        <row r="41">
          <cell r="G41" t="str">
            <v>000401-707</v>
          </cell>
          <cell r="H41">
            <v>6.4</v>
          </cell>
        </row>
        <row r="42">
          <cell r="G42" t="str">
            <v>000401-750</v>
          </cell>
          <cell r="H42">
            <v>3.4</v>
          </cell>
        </row>
        <row r="43">
          <cell r="G43" t="str">
            <v>000401-751</v>
          </cell>
          <cell r="H43">
            <v>5.4</v>
          </cell>
        </row>
        <row r="44">
          <cell r="G44" t="str">
            <v>000401-755</v>
          </cell>
          <cell r="H44">
            <v>5.9</v>
          </cell>
        </row>
        <row r="45">
          <cell r="G45" t="str">
            <v>000401-757</v>
          </cell>
          <cell r="H45">
            <v>5.4</v>
          </cell>
        </row>
        <row r="46">
          <cell r="G46" t="str">
            <v>000401-759</v>
          </cell>
          <cell r="H46">
            <v>1.9</v>
          </cell>
        </row>
        <row r="47">
          <cell r="G47" t="str">
            <v>000401-761</v>
          </cell>
          <cell r="H47">
            <v>4.4000000000000004</v>
          </cell>
        </row>
        <row r="48">
          <cell r="G48" t="str">
            <v>000401-780</v>
          </cell>
          <cell r="H48">
            <v>6.4</v>
          </cell>
        </row>
        <row r="49">
          <cell r="G49" t="str">
            <v>000401-826</v>
          </cell>
          <cell r="H49">
            <v>5.9</v>
          </cell>
        </row>
        <row r="50">
          <cell r="G50" t="str">
            <v>000401-827</v>
          </cell>
          <cell r="H50">
            <v>5.9</v>
          </cell>
        </row>
        <row r="51">
          <cell r="G51" t="str">
            <v>000401-828</v>
          </cell>
          <cell r="H51">
            <v>5.85</v>
          </cell>
        </row>
        <row r="52">
          <cell r="G52" t="str">
            <v>000401-829</v>
          </cell>
          <cell r="H52">
            <v>5.85</v>
          </cell>
        </row>
        <row r="53">
          <cell r="G53" t="str">
            <v>000401-891</v>
          </cell>
          <cell r="H53">
            <v>4.4000000000000004</v>
          </cell>
        </row>
        <row r="54">
          <cell r="G54" t="str">
            <v>000401-902</v>
          </cell>
          <cell r="H54">
            <v>0.4</v>
          </cell>
        </row>
        <row r="55">
          <cell r="G55" t="str">
            <v>000401-915</v>
          </cell>
          <cell r="H55">
            <v>6.4</v>
          </cell>
        </row>
        <row r="56">
          <cell r="G56" t="str">
            <v>000401-922</v>
          </cell>
          <cell r="H56">
            <v>6.9</v>
          </cell>
        </row>
        <row r="57">
          <cell r="G57" t="str">
            <v>000401-926</v>
          </cell>
          <cell r="H57">
            <v>5.65</v>
          </cell>
        </row>
        <row r="58">
          <cell r="G58" t="str">
            <v>000401-934</v>
          </cell>
          <cell r="H58">
            <v>5.65</v>
          </cell>
        </row>
        <row r="59">
          <cell r="G59" t="str">
            <v>000401-935</v>
          </cell>
          <cell r="H59">
            <v>5.65</v>
          </cell>
        </row>
        <row r="60">
          <cell r="G60" t="str">
            <v>000401-936</v>
          </cell>
          <cell r="H60">
            <v>5.65</v>
          </cell>
        </row>
        <row r="61">
          <cell r="G61" t="str">
            <v>000401-937</v>
          </cell>
          <cell r="H61">
            <v>5.65</v>
          </cell>
        </row>
        <row r="62">
          <cell r="G62" t="str">
            <v>000401-938</v>
          </cell>
          <cell r="H62">
            <v>5.65</v>
          </cell>
        </row>
        <row r="63">
          <cell r="G63" t="str">
            <v>000401-939</v>
          </cell>
          <cell r="H63">
            <v>5.65</v>
          </cell>
        </row>
        <row r="64">
          <cell r="G64" t="str">
            <v>000401-940</v>
          </cell>
          <cell r="H64">
            <v>5.65</v>
          </cell>
        </row>
        <row r="65">
          <cell r="G65" t="str">
            <v>000401-941</v>
          </cell>
          <cell r="H65">
            <v>5.65</v>
          </cell>
        </row>
        <row r="66">
          <cell r="G66" t="str">
            <v>000401-951</v>
          </cell>
          <cell r="H66">
            <v>6.85</v>
          </cell>
        </row>
        <row r="67">
          <cell r="G67" t="str">
            <v>000401-956</v>
          </cell>
          <cell r="H67">
            <v>4.4000000000000004</v>
          </cell>
        </row>
        <row r="68">
          <cell r="G68" t="str">
            <v>000401-960</v>
          </cell>
          <cell r="H68">
            <v>1.9</v>
          </cell>
        </row>
        <row r="69">
          <cell r="G69" t="str">
            <v>000401-976</v>
          </cell>
          <cell r="H69">
            <v>1.9</v>
          </cell>
        </row>
        <row r="70">
          <cell r="G70" t="str">
            <v>000401-998</v>
          </cell>
          <cell r="H70">
            <v>5.65</v>
          </cell>
        </row>
        <row r="71">
          <cell r="G71" t="str">
            <v>000401-999</v>
          </cell>
          <cell r="H71">
            <v>1.9</v>
          </cell>
        </row>
        <row r="72">
          <cell r="G72" t="str">
            <v>000402-003</v>
          </cell>
          <cell r="H72">
            <v>7.55</v>
          </cell>
        </row>
        <row r="73">
          <cell r="G73" t="str">
            <v>000402-004</v>
          </cell>
          <cell r="H73">
            <v>5.65</v>
          </cell>
        </row>
        <row r="74">
          <cell r="G74" t="str">
            <v>000402-005</v>
          </cell>
          <cell r="H74">
            <v>5.65</v>
          </cell>
        </row>
        <row r="75">
          <cell r="G75" t="str">
            <v>000402-006</v>
          </cell>
          <cell r="H75">
            <v>1.9</v>
          </cell>
        </row>
        <row r="76">
          <cell r="G76" t="str">
            <v>000402-023</v>
          </cell>
          <cell r="H76">
            <v>6.85</v>
          </cell>
        </row>
        <row r="77">
          <cell r="G77" t="str">
            <v>000402-030</v>
          </cell>
          <cell r="H77">
            <v>4.4000000000000004</v>
          </cell>
        </row>
        <row r="78">
          <cell r="G78" t="str">
            <v>000402-032</v>
          </cell>
          <cell r="H78">
            <v>6.9</v>
          </cell>
        </row>
        <row r="79">
          <cell r="G79" t="str">
            <v>000402-033</v>
          </cell>
          <cell r="H79">
            <v>7.9</v>
          </cell>
        </row>
        <row r="80">
          <cell r="G80" t="str">
            <v>000402-034</v>
          </cell>
          <cell r="H80">
            <v>2.9</v>
          </cell>
        </row>
        <row r="81">
          <cell r="G81" t="str">
            <v>000402-041</v>
          </cell>
          <cell r="H81">
            <v>3.4</v>
          </cell>
        </row>
        <row r="82">
          <cell r="G82" t="str">
            <v>000402-046</v>
          </cell>
          <cell r="H82">
            <v>6.9</v>
          </cell>
        </row>
        <row r="83">
          <cell r="G83" t="str">
            <v>000402-050</v>
          </cell>
          <cell r="H83">
            <v>7.9</v>
          </cell>
        </row>
        <row r="84">
          <cell r="G84" t="str">
            <v>000402-051</v>
          </cell>
          <cell r="H84">
            <v>1.9</v>
          </cell>
        </row>
        <row r="85">
          <cell r="G85" t="str">
            <v>000402-052</v>
          </cell>
          <cell r="H85">
            <v>1.9</v>
          </cell>
        </row>
        <row r="86">
          <cell r="G86" t="str">
            <v>000402-059</v>
          </cell>
          <cell r="H86">
            <v>5.4</v>
          </cell>
        </row>
        <row r="87">
          <cell r="G87" t="str">
            <v>000402-061</v>
          </cell>
          <cell r="H87">
            <v>6.9</v>
          </cell>
        </row>
        <row r="88">
          <cell r="G88" t="str">
            <v>000402-066</v>
          </cell>
          <cell r="H88">
            <v>5.4</v>
          </cell>
        </row>
        <row r="89">
          <cell r="G89" t="str">
            <v>000402-067</v>
          </cell>
          <cell r="H89">
            <v>1.9</v>
          </cell>
        </row>
        <row r="90">
          <cell r="G90" t="str">
            <v>000402-068</v>
          </cell>
          <cell r="H90">
            <v>1.9</v>
          </cell>
        </row>
        <row r="91">
          <cell r="G91" t="str">
            <v>000402-074</v>
          </cell>
          <cell r="H91">
            <v>8.9</v>
          </cell>
        </row>
        <row r="92">
          <cell r="G92" t="str">
            <v>000402-095</v>
          </cell>
          <cell r="H92">
            <v>4.4000000000000004</v>
          </cell>
        </row>
        <row r="93">
          <cell r="G93" t="str">
            <v>000402-096</v>
          </cell>
          <cell r="H93">
            <v>5.9</v>
          </cell>
        </row>
        <row r="94">
          <cell r="G94" t="str">
            <v>000402-118</v>
          </cell>
          <cell r="H94">
            <v>6.15</v>
          </cell>
        </row>
        <row r="95">
          <cell r="G95" t="str">
            <v>000402-132</v>
          </cell>
          <cell r="H95">
            <v>4.9000000000000004</v>
          </cell>
        </row>
        <row r="96">
          <cell r="G96" t="str">
            <v>000402-133</v>
          </cell>
          <cell r="H96">
            <v>1.9</v>
          </cell>
        </row>
        <row r="97">
          <cell r="G97" t="str">
            <v>000402-134</v>
          </cell>
          <cell r="H97">
            <v>5.65</v>
          </cell>
        </row>
        <row r="98">
          <cell r="G98" t="str">
            <v>000402-135</v>
          </cell>
          <cell r="H98">
            <v>4.6500000000000004</v>
          </cell>
        </row>
        <row r="99">
          <cell r="G99" t="str">
            <v>000402-157</v>
          </cell>
          <cell r="H99">
            <v>3.4</v>
          </cell>
        </row>
        <row r="100">
          <cell r="G100" t="str">
            <v>000402-208</v>
          </cell>
          <cell r="H100">
            <v>4.4000000000000004</v>
          </cell>
        </row>
        <row r="101">
          <cell r="G101" t="str">
            <v>000402-223</v>
          </cell>
          <cell r="H101">
            <v>1.9</v>
          </cell>
        </row>
        <row r="102">
          <cell r="G102" t="str">
            <v>000402-226</v>
          </cell>
          <cell r="H102">
            <v>5.92</v>
          </cell>
        </row>
        <row r="103">
          <cell r="G103" t="str">
            <v>000402-246</v>
          </cell>
          <cell r="H103">
            <v>3.4</v>
          </cell>
        </row>
        <row r="104">
          <cell r="G104" t="str">
            <v>000402-256</v>
          </cell>
          <cell r="H104">
            <v>5.65</v>
          </cell>
        </row>
        <row r="105">
          <cell r="G105" t="str">
            <v>000402-267</v>
          </cell>
          <cell r="H105">
            <v>4.9000000000000004</v>
          </cell>
        </row>
        <row r="106">
          <cell r="G106" t="str">
            <v>000402-281</v>
          </cell>
          <cell r="H106">
            <v>6.4</v>
          </cell>
        </row>
        <row r="107">
          <cell r="G107" t="str">
            <v>000402-283</v>
          </cell>
          <cell r="H107">
            <v>5.65</v>
          </cell>
        </row>
        <row r="108">
          <cell r="G108" t="str">
            <v>000402-296</v>
          </cell>
          <cell r="H108">
            <v>3.4</v>
          </cell>
        </row>
        <row r="109">
          <cell r="G109" t="str">
            <v>000402-297</v>
          </cell>
          <cell r="H109">
            <v>5.4</v>
          </cell>
        </row>
        <row r="110">
          <cell r="G110" t="str">
            <v>000402-298</v>
          </cell>
          <cell r="H110">
            <v>6</v>
          </cell>
        </row>
        <row r="111">
          <cell r="G111" t="str">
            <v>000402-299</v>
          </cell>
          <cell r="H111">
            <v>6</v>
          </cell>
        </row>
        <row r="112">
          <cell r="G112" t="str">
            <v>000402-300</v>
          </cell>
          <cell r="H112">
            <v>6</v>
          </cell>
        </row>
        <row r="113">
          <cell r="G113" t="str">
            <v>000402-301</v>
          </cell>
          <cell r="H113">
            <v>6</v>
          </cell>
        </row>
        <row r="114">
          <cell r="G114" t="str">
            <v>000402-302</v>
          </cell>
          <cell r="H114">
            <v>6</v>
          </cell>
        </row>
        <row r="115">
          <cell r="G115" t="str">
            <v>000402-303</v>
          </cell>
          <cell r="H115">
            <v>6</v>
          </cell>
        </row>
        <row r="116">
          <cell r="G116" t="str">
            <v>000402-304</v>
          </cell>
          <cell r="H116">
            <v>6</v>
          </cell>
        </row>
        <row r="117">
          <cell r="G117" t="str">
            <v>000402-305</v>
          </cell>
          <cell r="H117">
            <v>6</v>
          </cell>
        </row>
        <row r="118">
          <cell r="G118" t="str">
            <v>000402-309</v>
          </cell>
          <cell r="H118">
            <v>6.15</v>
          </cell>
        </row>
        <row r="119">
          <cell r="G119" t="str">
            <v>000402-329</v>
          </cell>
          <cell r="H119">
            <v>4.9000000000000004</v>
          </cell>
        </row>
        <row r="120">
          <cell r="G120" t="str">
            <v>000402-330</v>
          </cell>
          <cell r="H120">
            <v>4.4000000000000004</v>
          </cell>
        </row>
        <row r="121">
          <cell r="G121" t="str">
            <v>000402-331</v>
          </cell>
          <cell r="H121">
            <v>6.15</v>
          </cell>
        </row>
        <row r="122">
          <cell r="G122" t="str">
            <v>000402-367</v>
          </cell>
          <cell r="H122">
            <v>4.4000000000000004</v>
          </cell>
        </row>
        <row r="123">
          <cell r="G123" t="str">
            <v>000402-368</v>
          </cell>
          <cell r="H123">
            <v>4.4000000000000004</v>
          </cell>
        </row>
        <row r="124">
          <cell r="G124" t="str">
            <v>000402-373</v>
          </cell>
          <cell r="H124">
            <v>3.4</v>
          </cell>
        </row>
        <row r="125">
          <cell r="G125" t="str">
            <v>000402-379</v>
          </cell>
          <cell r="H125">
            <v>7.55</v>
          </cell>
        </row>
        <row r="126">
          <cell r="G126" t="str">
            <v>000402-380</v>
          </cell>
          <cell r="H126">
            <v>7.55</v>
          </cell>
        </row>
        <row r="127">
          <cell r="G127" t="str">
            <v>000402-412</v>
          </cell>
          <cell r="H127">
            <v>6.4</v>
          </cell>
        </row>
        <row r="128">
          <cell r="G128" t="str">
            <v>000402-413</v>
          </cell>
          <cell r="H128">
            <v>6.4</v>
          </cell>
        </row>
        <row r="129">
          <cell r="G129" t="str">
            <v>000402-419</v>
          </cell>
          <cell r="H129">
            <v>3.91</v>
          </cell>
        </row>
        <row r="130">
          <cell r="G130" t="str">
            <v>000402-434</v>
          </cell>
          <cell r="H130">
            <v>5.9</v>
          </cell>
        </row>
        <row r="131">
          <cell r="G131" t="str">
            <v>000402-449</v>
          </cell>
          <cell r="H131">
            <v>6.6</v>
          </cell>
        </row>
        <row r="132">
          <cell r="G132" t="str">
            <v>000402-450</v>
          </cell>
          <cell r="H132">
            <v>6.92</v>
          </cell>
        </row>
        <row r="133">
          <cell r="G133" t="str">
            <v>000402-467</v>
          </cell>
          <cell r="H133">
            <v>5.4</v>
          </cell>
        </row>
        <row r="134">
          <cell r="G134" t="str">
            <v>000402-480</v>
          </cell>
          <cell r="H134">
            <v>6.42</v>
          </cell>
        </row>
        <row r="135">
          <cell r="G135" t="str">
            <v>000402-489</v>
          </cell>
          <cell r="H135">
            <v>6.4</v>
          </cell>
        </row>
        <row r="136">
          <cell r="G136" t="str">
            <v>000402-490</v>
          </cell>
          <cell r="H136">
            <v>6.4</v>
          </cell>
        </row>
        <row r="137">
          <cell r="G137" t="str">
            <v>000402-500</v>
          </cell>
          <cell r="H137">
            <v>8.9</v>
          </cell>
        </row>
        <row r="138">
          <cell r="G138" t="str">
            <v>000402-523</v>
          </cell>
          <cell r="H138">
            <v>5.92</v>
          </cell>
        </row>
        <row r="139">
          <cell r="G139" t="str">
            <v>000402-524</v>
          </cell>
          <cell r="H139">
            <v>5.92</v>
          </cell>
        </row>
        <row r="140">
          <cell r="G140" t="str">
            <v>000402-525</v>
          </cell>
          <cell r="H140">
            <v>4.4000000000000004</v>
          </cell>
        </row>
        <row r="141">
          <cell r="G141" t="str">
            <v>000402-526</v>
          </cell>
          <cell r="H141">
            <v>3.4</v>
          </cell>
        </row>
        <row r="142">
          <cell r="G142" t="str">
            <v>000402-547</v>
          </cell>
          <cell r="H142">
            <v>5.85</v>
          </cell>
        </row>
        <row r="143">
          <cell r="G143" t="str">
            <v>000402-549</v>
          </cell>
          <cell r="H143">
            <v>5.85</v>
          </cell>
        </row>
        <row r="144">
          <cell r="G144" t="str">
            <v>000402-132</v>
          </cell>
          <cell r="H144">
            <v>4.9000000000000004</v>
          </cell>
        </row>
        <row r="145">
          <cell r="G145" t="str">
            <v>000402-133</v>
          </cell>
          <cell r="H145">
            <v>1.9</v>
          </cell>
        </row>
        <row r="146">
          <cell r="G146" t="str">
            <v>000402-134</v>
          </cell>
          <cell r="H146">
            <v>5.65</v>
          </cell>
        </row>
        <row r="147">
          <cell r="G147" t="str">
            <v>10054-1</v>
          </cell>
          <cell r="H147" t="str">
            <v>000401-432</v>
          </cell>
        </row>
        <row r="148">
          <cell r="G148" t="str">
            <v>10332-1</v>
          </cell>
          <cell r="H148" t="str">
            <v>000401-427</v>
          </cell>
        </row>
        <row r="149">
          <cell r="G149" t="str">
            <v>11252-1</v>
          </cell>
          <cell r="H149" t="str">
            <v>000401-433</v>
          </cell>
        </row>
        <row r="150">
          <cell r="G150" t="str">
            <v>11252-1</v>
          </cell>
          <cell r="H150" t="str">
            <v>000401-434</v>
          </cell>
        </row>
        <row r="151">
          <cell r="G151" t="str">
            <v>11252-1</v>
          </cell>
          <cell r="H151" t="str">
            <v>000401-435</v>
          </cell>
        </row>
        <row r="152">
          <cell r="G152" t="str">
            <v>12010-1</v>
          </cell>
          <cell r="H152" t="str">
            <v>000401-388</v>
          </cell>
        </row>
        <row r="153">
          <cell r="G153" t="str">
            <v>12010-1</v>
          </cell>
          <cell r="H153" t="str">
            <v>000401-436</v>
          </cell>
        </row>
        <row r="154">
          <cell r="G154" t="str">
            <v>13508-1</v>
          </cell>
          <cell r="H154" t="str">
            <v>000401-428</v>
          </cell>
        </row>
        <row r="155">
          <cell r="G155" t="str">
            <v>13508-1</v>
          </cell>
          <cell r="H155" t="str">
            <v>000401-429</v>
          </cell>
        </row>
        <row r="156">
          <cell r="G156" t="str">
            <v>13651-1</v>
          </cell>
          <cell r="H156" t="str">
            <v>000401-379</v>
          </cell>
        </row>
        <row r="157">
          <cell r="G157" t="str">
            <v>14654-1</v>
          </cell>
          <cell r="H157" t="str">
            <v>000401-430</v>
          </cell>
        </row>
        <row r="158">
          <cell r="G158" t="str">
            <v>14654-1</v>
          </cell>
          <cell r="H158" t="str">
            <v>000401-431</v>
          </cell>
        </row>
        <row r="159">
          <cell r="G159" t="str">
            <v>101188-1</v>
          </cell>
          <cell r="H159" t="str">
            <v>000401-378</v>
          </cell>
        </row>
        <row r="160">
          <cell r="G160" t="str">
            <v>102990-1</v>
          </cell>
          <cell r="H160" t="str">
            <v>000401-387</v>
          </cell>
        </row>
        <row r="161">
          <cell r="G161" t="str">
            <v>101277-1</v>
          </cell>
          <cell r="H161" t="str">
            <v>000401-706</v>
          </cell>
        </row>
        <row r="162">
          <cell r="G162" t="str">
            <v>11474-1</v>
          </cell>
          <cell r="H162" t="str">
            <v>000401-742</v>
          </cell>
        </row>
        <row r="163">
          <cell r="G163" t="str">
            <v>10892-1</v>
          </cell>
          <cell r="H163" t="str">
            <v>000401-369</v>
          </cell>
        </row>
        <row r="165">
          <cell r="G165">
            <v>43983</v>
          </cell>
          <cell r="H165" t="str">
            <v>Debit Miscelaneous</v>
          </cell>
        </row>
        <row r="166">
          <cell r="H166" t="str">
            <v>SHORT PUT LPA101188 01JUN20 1.1MM</v>
          </cell>
        </row>
        <row r="167">
          <cell r="G167">
            <v>43985</v>
          </cell>
          <cell r="H167" t="str">
            <v>Debit Miscelaneous</v>
          </cell>
        </row>
        <row r="168">
          <cell r="H168" t="str">
            <v>SHORT PUT LPA13651 03JUN20 1.4MM</v>
          </cell>
        </row>
        <row r="169">
          <cell r="G169">
            <v>43986</v>
          </cell>
          <cell r="H169" t="str">
            <v>Debit Miscelaneous</v>
          </cell>
        </row>
        <row r="170">
          <cell r="H170" t="str">
            <v>SHORT PUT LPA13508 26JUN20 1.200K</v>
          </cell>
        </row>
        <row r="171">
          <cell r="G171">
            <v>43990</v>
          </cell>
          <cell r="H171" t="str">
            <v>Debit Miscelaneous</v>
          </cell>
        </row>
        <row r="172">
          <cell r="H172" t="str">
            <v>SHORT PUT LPA10054 06JUN20 240K</v>
          </cell>
        </row>
        <row r="173">
          <cell r="G173">
            <v>43986</v>
          </cell>
          <cell r="H173" t="str">
            <v>Debit Miscelaneous</v>
          </cell>
        </row>
        <row r="174">
          <cell r="H174" t="str">
            <v>SHORT PUT LPA 101277 20DIC20 249K</v>
          </cell>
        </row>
        <row r="175">
          <cell r="G175">
            <v>43986</v>
          </cell>
          <cell r="H175" t="str">
            <v>Debit Miscelaneous</v>
          </cell>
        </row>
        <row r="176">
          <cell r="H176" t="str">
            <v>SHORT PUT LPA 101277 10OCT20 750K</v>
          </cell>
        </row>
        <row r="177">
          <cell r="G177">
            <v>43990</v>
          </cell>
          <cell r="H177" t="str">
            <v>Debit Miscelaneous</v>
          </cell>
        </row>
        <row r="178">
          <cell r="H178" t="str">
            <v>SHORT PUT LPA102990 07JUN20 300K</v>
          </cell>
        </row>
        <row r="179">
          <cell r="G179">
            <v>43993</v>
          </cell>
          <cell r="H179" t="str">
            <v>Debit Miscelaneous</v>
          </cell>
        </row>
        <row r="180">
          <cell r="H180" t="str">
            <v>SHORT PUT LPA12010 11JUN20 437.5K</v>
          </cell>
        </row>
        <row r="181">
          <cell r="G181">
            <v>43997</v>
          </cell>
          <cell r="H181" t="str">
            <v>Debit Miscelaneous</v>
          </cell>
        </row>
        <row r="182">
          <cell r="H182" t="str">
            <v>SHORT PUT LPA11474 25OCT20 134K</v>
          </cell>
        </row>
        <row r="183">
          <cell r="G183">
            <v>43990</v>
          </cell>
          <cell r="H183" t="str">
            <v>Debit Miscelaneous</v>
          </cell>
        </row>
        <row r="184">
          <cell r="H184" t="str">
            <v>SHORT PUT LPA102990 07JUN21 300K</v>
          </cell>
        </row>
        <row r="185">
          <cell r="G185">
            <v>43999</v>
          </cell>
          <cell r="H185" t="str">
            <v>Debit Miscelaneous</v>
          </cell>
        </row>
        <row r="186">
          <cell r="H186" t="str">
            <v>SHORT PUT LPA14654 17JUN20 400K</v>
          </cell>
        </row>
        <row r="187">
          <cell r="G187">
            <v>43999</v>
          </cell>
          <cell r="H187" t="str">
            <v>Debit Miscelaneous</v>
          </cell>
        </row>
        <row r="188">
          <cell r="H188" t="str">
            <v>SHORT PUT LPA14654 17JUN20 140K</v>
          </cell>
        </row>
        <row r="189">
          <cell r="G189">
            <v>43999</v>
          </cell>
          <cell r="H189" t="str">
            <v>Debit Miscelaneous</v>
          </cell>
        </row>
        <row r="190">
          <cell r="H190" t="str">
            <v>SHORT PUT LPA10332 17JUN20 158K</v>
          </cell>
        </row>
        <row r="191">
          <cell r="G191">
            <v>44006</v>
          </cell>
          <cell r="H191" t="str">
            <v>Debit Miscelaneous</v>
          </cell>
        </row>
        <row r="192">
          <cell r="H192" t="str">
            <v>SHORT PUT LPA12010 24JUN20 200K</v>
          </cell>
        </row>
        <row r="193">
          <cell r="G193">
            <v>44005</v>
          </cell>
          <cell r="H193" t="str">
            <v>Debit Miscelaneous</v>
          </cell>
        </row>
        <row r="194">
          <cell r="H194" t="str">
            <v>SHORT PUT LPA13508 26JUN20 320K</v>
          </cell>
        </row>
        <row r="195">
          <cell r="G195">
            <v>44011</v>
          </cell>
          <cell r="H195" t="str">
            <v>Debit Miscelaneous</v>
          </cell>
        </row>
        <row r="196">
          <cell r="H196" t="str">
            <v>SHORT PUT LPA11252 28JUN20 60K</v>
          </cell>
        </row>
        <row r="197">
          <cell r="G197">
            <v>44011</v>
          </cell>
          <cell r="H197" t="str">
            <v>Debit Miscelaneous</v>
          </cell>
        </row>
        <row r="198">
          <cell r="H198" t="str">
            <v>SHORT PUT LPA11252 28JUN20 100K</v>
          </cell>
        </row>
        <row r="199">
          <cell r="G199">
            <v>44011</v>
          </cell>
          <cell r="H199" t="str">
            <v>Debit Miscelaneous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Inversiones"/>
      <sheetName val="Hoja1"/>
      <sheetName val="Hoja2"/>
    </sheetNames>
    <sheetDataSet>
      <sheetData sheetId="0"/>
      <sheetData sheetId="1"/>
      <sheetData sheetId="2">
        <row r="1">
          <cell r="D1" t="str">
            <v>IDActivo</v>
          </cell>
          <cell r="E1" t="str">
            <v>Valor Nominal</v>
          </cell>
        </row>
        <row r="2">
          <cell r="D2" t="str">
            <v>000401-024</v>
          </cell>
          <cell r="E2">
            <v>236600</v>
          </cell>
          <cell r="F2">
            <v>5.4</v>
          </cell>
        </row>
        <row r="3">
          <cell r="D3" t="str">
            <v>000401-025</v>
          </cell>
          <cell r="E3">
            <v>1400000</v>
          </cell>
          <cell r="F3">
            <v>0.4</v>
          </cell>
        </row>
        <row r="4">
          <cell r="D4" t="str">
            <v>000401-026</v>
          </cell>
          <cell r="E4">
            <v>1000000</v>
          </cell>
          <cell r="F4">
            <v>5.4</v>
          </cell>
        </row>
        <row r="5">
          <cell r="D5" t="str">
            <v>000401-038</v>
          </cell>
          <cell r="E5">
            <v>33000</v>
          </cell>
          <cell r="F5">
            <v>6.4</v>
          </cell>
        </row>
        <row r="6">
          <cell r="D6" t="str">
            <v>000401-042</v>
          </cell>
          <cell r="E6">
            <v>200000</v>
          </cell>
          <cell r="F6">
            <v>5.65</v>
          </cell>
        </row>
        <row r="7">
          <cell r="D7" t="str">
            <v>000401-045</v>
          </cell>
          <cell r="E7">
            <v>500000</v>
          </cell>
          <cell r="F7">
            <v>5.4</v>
          </cell>
        </row>
        <row r="8">
          <cell r="D8" t="str">
            <v>000401-046</v>
          </cell>
          <cell r="E8">
            <v>275000</v>
          </cell>
          <cell r="F8">
            <v>5.65</v>
          </cell>
        </row>
        <row r="9">
          <cell r="D9" t="str">
            <v>000401-047</v>
          </cell>
          <cell r="E9">
            <v>200000</v>
          </cell>
          <cell r="F9">
            <v>5.65</v>
          </cell>
        </row>
        <row r="10">
          <cell r="D10" t="str">
            <v>000401-048</v>
          </cell>
          <cell r="E10">
            <v>170000</v>
          </cell>
          <cell r="F10">
            <v>5.65</v>
          </cell>
        </row>
        <row r="11">
          <cell r="D11" t="str">
            <v>000401-049</v>
          </cell>
          <cell r="E11">
            <v>130000</v>
          </cell>
          <cell r="F11">
            <v>5.65</v>
          </cell>
        </row>
        <row r="12">
          <cell r="D12" t="str">
            <v>000401-050</v>
          </cell>
          <cell r="E12">
            <v>126000</v>
          </cell>
          <cell r="F12">
            <v>5.65</v>
          </cell>
        </row>
        <row r="13">
          <cell r="D13" t="str">
            <v>000401-051</v>
          </cell>
          <cell r="E13">
            <v>51138.69</v>
          </cell>
          <cell r="F13">
            <v>5.65</v>
          </cell>
        </row>
        <row r="14">
          <cell r="D14" t="str">
            <v>000401-052</v>
          </cell>
          <cell r="E14">
            <v>254800</v>
          </cell>
          <cell r="F14">
            <v>5.65</v>
          </cell>
        </row>
        <row r="15">
          <cell r="D15" t="str">
            <v>000401-053</v>
          </cell>
          <cell r="E15">
            <v>206000</v>
          </cell>
          <cell r="F15">
            <v>5.65</v>
          </cell>
        </row>
        <row r="16">
          <cell r="D16" t="str">
            <v>000401-061</v>
          </cell>
          <cell r="E16">
            <v>138000</v>
          </cell>
          <cell r="F16">
            <v>4.4000000000000004</v>
          </cell>
        </row>
        <row r="17">
          <cell r="D17" t="str">
            <v>000401-063</v>
          </cell>
          <cell r="E17">
            <v>800000</v>
          </cell>
          <cell r="F17">
            <v>6.85</v>
          </cell>
        </row>
        <row r="18">
          <cell r="D18" t="str">
            <v>000401-066</v>
          </cell>
          <cell r="E18">
            <v>60000</v>
          </cell>
          <cell r="F18">
            <v>1.9</v>
          </cell>
        </row>
        <row r="19">
          <cell r="D19" t="str">
            <v>000401-085</v>
          </cell>
          <cell r="E19">
            <v>60000</v>
          </cell>
          <cell r="F19">
            <v>1.9</v>
          </cell>
        </row>
        <row r="20">
          <cell r="D20" t="str">
            <v>000401-086</v>
          </cell>
          <cell r="E20">
            <v>50000</v>
          </cell>
          <cell r="F20">
            <v>5.65</v>
          </cell>
        </row>
        <row r="21">
          <cell r="D21" t="str">
            <v>000401-088</v>
          </cell>
          <cell r="E21">
            <v>2200000</v>
          </cell>
          <cell r="F21">
            <v>6.85</v>
          </cell>
        </row>
        <row r="22">
          <cell r="D22" t="str">
            <v>000401-089</v>
          </cell>
          <cell r="E22">
            <v>746000</v>
          </cell>
          <cell r="F22">
            <v>6.85</v>
          </cell>
        </row>
        <row r="23">
          <cell r="D23" t="str">
            <v>000401-104</v>
          </cell>
          <cell r="E23">
            <v>220000</v>
          </cell>
          <cell r="F23">
            <v>5.65</v>
          </cell>
        </row>
        <row r="24">
          <cell r="D24" t="str">
            <v>000401-119</v>
          </cell>
          <cell r="E24">
            <v>500000</v>
          </cell>
          <cell r="F24">
            <v>3.4</v>
          </cell>
        </row>
        <row r="25">
          <cell r="D25" t="str">
            <v>000401-124</v>
          </cell>
          <cell r="E25">
            <v>94477.4</v>
          </cell>
          <cell r="F25">
            <v>5.9</v>
          </cell>
        </row>
        <row r="26">
          <cell r="D26" t="str">
            <v>000401-125</v>
          </cell>
          <cell r="E26">
            <v>38000</v>
          </cell>
          <cell r="F26">
            <v>5.9</v>
          </cell>
        </row>
        <row r="27">
          <cell r="D27" t="str">
            <v>000401-126</v>
          </cell>
          <cell r="E27">
            <v>100000</v>
          </cell>
          <cell r="F27">
            <v>7.9</v>
          </cell>
        </row>
        <row r="28">
          <cell r="D28" t="str">
            <v>000401-129</v>
          </cell>
          <cell r="E28">
            <v>188600</v>
          </cell>
          <cell r="F28">
            <v>6.9</v>
          </cell>
        </row>
        <row r="29">
          <cell r="D29" t="str">
            <v>000401-133</v>
          </cell>
          <cell r="E29">
            <v>160000</v>
          </cell>
          <cell r="F29">
            <v>6.4</v>
          </cell>
        </row>
        <row r="30">
          <cell r="D30" t="str">
            <v>000401-139</v>
          </cell>
          <cell r="E30">
            <v>1500000</v>
          </cell>
          <cell r="F30">
            <v>6.9</v>
          </cell>
        </row>
        <row r="31">
          <cell r="D31" t="str">
            <v>000401-142</v>
          </cell>
          <cell r="E31">
            <v>23000</v>
          </cell>
          <cell r="F31">
            <v>5.4</v>
          </cell>
        </row>
        <row r="32">
          <cell r="D32" t="str">
            <v>000401-143</v>
          </cell>
          <cell r="E32">
            <v>87500</v>
          </cell>
          <cell r="F32">
            <v>1.9</v>
          </cell>
        </row>
        <row r="33">
          <cell r="D33" t="str">
            <v>000401-144</v>
          </cell>
          <cell r="E33">
            <v>87500</v>
          </cell>
          <cell r="F33">
            <v>1.9</v>
          </cell>
        </row>
        <row r="34">
          <cell r="D34" t="str">
            <v>000401-146</v>
          </cell>
          <cell r="E34">
            <v>175000</v>
          </cell>
          <cell r="F34">
            <v>4.4000000000000004</v>
          </cell>
        </row>
        <row r="35">
          <cell r="D35" t="str">
            <v>000401-147</v>
          </cell>
          <cell r="E35">
            <v>160000</v>
          </cell>
          <cell r="F35">
            <v>4.79</v>
          </cell>
        </row>
        <row r="36">
          <cell r="D36" t="str">
            <v>000401-158</v>
          </cell>
          <cell r="E36">
            <v>100000</v>
          </cell>
          <cell r="F36">
            <v>8.9</v>
          </cell>
        </row>
        <row r="37">
          <cell r="D37" t="str">
            <v>000401-170</v>
          </cell>
          <cell r="E37">
            <v>122500</v>
          </cell>
          <cell r="F37">
            <v>4.4000000000000004</v>
          </cell>
        </row>
        <row r="38">
          <cell r="D38" t="str">
            <v>000401-171</v>
          </cell>
          <cell r="E38">
            <v>42652.99</v>
          </cell>
          <cell r="F38">
            <v>6.15</v>
          </cell>
        </row>
        <row r="39">
          <cell r="D39" t="str">
            <v>000401-177</v>
          </cell>
          <cell r="E39">
            <v>213500</v>
          </cell>
          <cell r="F39">
            <v>4.9000000000000004</v>
          </cell>
        </row>
        <row r="40">
          <cell r="D40" t="str">
            <v>000401-183</v>
          </cell>
          <cell r="E40">
            <v>50000</v>
          </cell>
          <cell r="F40">
            <v>4.9000000000000004</v>
          </cell>
        </row>
        <row r="41">
          <cell r="D41" t="str">
            <v>000401-185</v>
          </cell>
          <cell r="E41">
            <v>72500</v>
          </cell>
          <cell r="F41">
            <v>1.9</v>
          </cell>
        </row>
        <row r="42">
          <cell r="D42" t="str">
            <v>000401-186</v>
          </cell>
          <cell r="E42">
            <v>80000</v>
          </cell>
          <cell r="F42">
            <v>5.65</v>
          </cell>
        </row>
        <row r="43">
          <cell r="D43" t="str">
            <v>000401-187</v>
          </cell>
          <cell r="E43">
            <v>100000</v>
          </cell>
          <cell r="F43">
            <v>4.6500000000000004</v>
          </cell>
        </row>
        <row r="44">
          <cell r="D44" t="str">
            <v>000401-204</v>
          </cell>
          <cell r="E44">
            <v>100000</v>
          </cell>
          <cell r="F44">
            <v>3.4</v>
          </cell>
        </row>
        <row r="45">
          <cell r="D45" t="str">
            <v>000401-226</v>
          </cell>
          <cell r="E45">
            <v>122500</v>
          </cell>
          <cell r="F45">
            <v>4.4000000000000004</v>
          </cell>
        </row>
        <row r="46">
          <cell r="D46" t="str">
            <v>000401-248</v>
          </cell>
          <cell r="E46">
            <v>500000</v>
          </cell>
          <cell r="F46">
            <v>7.9</v>
          </cell>
        </row>
        <row r="47">
          <cell r="D47" t="str">
            <v>000401-249</v>
          </cell>
          <cell r="E47">
            <v>90000</v>
          </cell>
          <cell r="F47">
            <v>1.9</v>
          </cell>
        </row>
        <row r="48">
          <cell r="D48" t="str">
            <v>000401-250</v>
          </cell>
          <cell r="E48">
            <v>1100000</v>
          </cell>
          <cell r="F48">
            <v>5.9</v>
          </cell>
        </row>
        <row r="49">
          <cell r="D49" t="str">
            <v>000401-253</v>
          </cell>
          <cell r="E49">
            <v>120000</v>
          </cell>
          <cell r="F49">
            <v>3.4</v>
          </cell>
        </row>
        <row r="50">
          <cell r="D50" t="str">
            <v>000401-262</v>
          </cell>
          <cell r="E50">
            <v>810000</v>
          </cell>
          <cell r="F50">
            <v>6.15</v>
          </cell>
        </row>
        <row r="51">
          <cell r="D51" t="str">
            <v>000401-265</v>
          </cell>
          <cell r="E51">
            <v>1050000</v>
          </cell>
          <cell r="F51">
            <v>6.15</v>
          </cell>
        </row>
        <row r="52">
          <cell r="D52" t="str">
            <v>000401-266</v>
          </cell>
          <cell r="E52">
            <v>330000</v>
          </cell>
          <cell r="F52">
            <v>4.9000000000000004</v>
          </cell>
        </row>
        <row r="53">
          <cell r="D53" t="str">
            <v>000401-276</v>
          </cell>
          <cell r="E53">
            <v>100000</v>
          </cell>
          <cell r="F53">
            <v>5.9</v>
          </cell>
        </row>
        <row r="54">
          <cell r="D54" t="str">
            <v>000401-277</v>
          </cell>
          <cell r="E54">
            <v>100000</v>
          </cell>
          <cell r="F54">
            <v>3.4</v>
          </cell>
        </row>
        <row r="55">
          <cell r="D55" t="str">
            <v>000401-281</v>
          </cell>
          <cell r="E55">
            <v>48500</v>
          </cell>
          <cell r="F55">
            <v>5.9</v>
          </cell>
        </row>
        <row r="56">
          <cell r="D56" t="str">
            <v>000401-285</v>
          </cell>
          <cell r="E56">
            <v>60000</v>
          </cell>
          <cell r="F56">
            <v>5.9</v>
          </cell>
        </row>
        <row r="57">
          <cell r="D57" t="str">
            <v>000401-291</v>
          </cell>
          <cell r="E57">
            <v>17500</v>
          </cell>
          <cell r="F57">
            <v>5.9</v>
          </cell>
        </row>
        <row r="58">
          <cell r="D58" t="str">
            <v>000401-293</v>
          </cell>
          <cell r="E58">
            <v>50000</v>
          </cell>
          <cell r="F58">
            <v>5.9</v>
          </cell>
        </row>
        <row r="59">
          <cell r="D59" t="str">
            <v>000401-295</v>
          </cell>
          <cell r="E59">
            <v>50000</v>
          </cell>
          <cell r="F59">
            <v>5.9</v>
          </cell>
        </row>
        <row r="60">
          <cell r="D60" t="str">
            <v>000401-297</v>
          </cell>
          <cell r="E60">
            <v>20000</v>
          </cell>
          <cell r="F60">
            <v>5.9</v>
          </cell>
        </row>
        <row r="61">
          <cell r="D61" t="str">
            <v>000401-298</v>
          </cell>
          <cell r="E61">
            <v>87995</v>
          </cell>
          <cell r="F61">
            <v>5.9</v>
          </cell>
        </row>
        <row r="62">
          <cell r="D62" t="str">
            <v>000401-303</v>
          </cell>
          <cell r="E62">
            <v>985000</v>
          </cell>
          <cell r="F62">
            <v>6.15</v>
          </cell>
        </row>
        <row r="63">
          <cell r="D63" t="str">
            <v>000401-308</v>
          </cell>
          <cell r="E63">
            <v>191200</v>
          </cell>
          <cell r="F63">
            <v>5.4</v>
          </cell>
        </row>
        <row r="64">
          <cell r="D64" t="str">
            <v>000401-309</v>
          </cell>
          <cell r="E64">
            <v>41000</v>
          </cell>
          <cell r="F64">
            <v>6.15</v>
          </cell>
        </row>
        <row r="65">
          <cell r="D65" t="str">
            <v>000401-310</v>
          </cell>
          <cell r="E65">
            <v>100000</v>
          </cell>
          <cell r="F65">
            <v>4.9000000000000004</v>
          </cell>
        </row>
        <row r="66">
          <cell r="D66" t="str">
            <v>000401-312</v>
          </cell>
          <cell r="E66">
            <v>150000</v>
          </cell>
          <cell r="F66">
            <v>4.4000000000000004</v>
          </cell>
        </row>
        <row r="67">
          <cell r="D67" t="str">
            <v>000401-333</v>
          </cell>
          <cell r="E67">
            <v>75000</v>
          </cell>
          <cell r="F67">
            <v>3.4</v>
          </cell>
        </row>
        <row r="68">
          <cell r="D68" t="str">
            <v>000401-335</v>
          </cell>
          <cell r="E68">
            <v>95000</v>
          </cell>
          <cell r="F68">
            <v>6.4</v>
          </cell>
        </row>
        <row r="69">
          <cell r="D69" t="str">
            <v>000401-337</v>
          </cell>
          <cell r="E69">
            <v>185000</v>
          </cell>
          <cell r="F69">
            <v>6.4</v>
          </cell>
        </row>
        <row r="70">
          <cell r="D70" t="str">
            <v>000401-338</v>
          </cell>
          <cell r="E70">
            <v>500000</v>
          </cell>
          <cell r="F70">
            <v>6.85</v>
          </cell>
        </row>
        <row r="71">
          <cell r="D71" t="str">
            <v>000401-339</v>
          </cell>
          <cell r="E71">
            <v>500000</v>
          </cell>
          <cell r="F71">
            <v>6.85</v>
          </cell>
        </row>
        <row r="72">
          <cell r="D72" t="str">
            <v>000401-350</v>
          </cell>
          <cell r="E72">
            <v>110000</v>
          </cell>
          <cell r="F72">
            <v>3.9</v>
          </cell>
        </row>
        <row r="73">
          <cell r="D73" t="str">
            <v>000401-369</v>
          </cell>
          <cell r="E73">
            <v>150000</v>
          </cell>
          <cell r="F73">
            <v>5.9</v>
          </cell>
        </row>
        <row r="74">
          <cell r="D74" t="str">
            <v>000401-377</v>
          </cell>
          <cell r="E74">
            <v>150000</v>
          </cell>
          <cell r="F74">
            <v>4.4000000000000004</v>
          </cell>
        </row>
        <row r="75">
          <cell r="D75" t="str">
            <v>000401-378</v>
          </cell>
          <cell r="E75">
            <v>1100000</v>
          </cell>
          <cell r="F75">
            <v>6.6</v>
          </cell>
        </row>
        <row r="76">
          <cell r="D76" t="str">
            <v>000401-379</v>
          </cell>
          <cell r="E76">
            <v>1400055.56</v>
          </cell>
          <cell r="F76">
            <v>6.9</v>
          </cell>
        </row>
        <row r="77">
          <cell r="D77" t="str">
            <v>000401-387</v>
          </cell>
          <cell r="E77">
            <v>300000</v>
          </cell>
          <cell r="F77">
            <v>6.49</v>
          </cell>
        </row>
        <row r="78">
          <cell r="D78" t="str">
            <v>000401-388</v>
          </cell>
          <cell r="E78">
            <v>437500</v>
          </cell>
          <cell r="F78">
            <v>8.9</v>
          </cell>
        </row>
        <row r="79">
          <cell r="D79" t="str">
            <v>000401-427</v>
          </cell>
          <cell r="E79">
            <v>158000</v>
          </cell>
          <cell r="F79">
            <v>4.4000000000000004</v>
          </cell>
        </row>
        <row r="80">
          <cell r="D80" t="str">
            <v>000401-428</v>
          </cell>
          <cell r="E80">
            <v>1200000</v>
          </cell>
          <cell r="F80">
            <v>6.4</v>
          </cell>
        </row>
        <row r="81">
          <cell r="D81" t="str">
            <v>000401-429</v>
          </cell>
          <cell r="E81">
            <v>320000</v>
          </cell>
          <cell r="F81">
            <v>6.4</v>
          </cell>
        </row>
        <row r="82">
          <cell r="D82" t="str">
            <v>000401-430</v>
          </cell>
          <cell r="E82">
            <v>400000</v>
          </cell>
          <cell r="F82">
            <v>5.9</v>
          </cell>
        </row>
        <row r="83">
          <cell r="D83" t="str">
            <v>000401-431</v>
          </cell>
          <cell r="E83">
            <v>140000</v>
          </cell>
          <cell r="F83">
            <v>5.9</v>
          </cell>
        </row>
        <row r="84">
          <cell r="D84" t="str">
            <v>000401-432</v>
          </cell>
          <cell r="E84">
            <v>240000</v>
          </cell>
          <cell r="F84">
            <v>5.4</v>
          </cell>
        </row>
        <row r="85">
          <cell r="D85" t="str">
            <v>000401-433</v>
          </cell>
          <cell r="E85">
            <v>40000</v>
          </cell>
          <cell r="F85">
            <v>5.87</v>
          </cell>
        </row>
        <row r="86">
          <cell r="D86" t="str">
            <v>000401-434</v>
          </cell>
          <cell r="E86">
            <v>60000</v>
          </cell>
          <cell r="F86">
            <v>5.87</v>
          </cell>
        </row>
        <row r="87">
          <cell r="D87" t="str">
            <v>000401-435</v>
          </cell>
          <cell r="E87">
            <v>100000</v>
          </cell>
          <cell r="F87">
            <v>5.85</v>
          </cell>
        </row>
        <row r="88">
          <cell r="D88" t="str">
            <v>000401-436</v>
          </cell>
          <cell r="E88">
            <v>200000</v>
          </cell>
          <cell r="F88">
            <v>4.6500000000000004</v>
          </cell>
        </row>
        <row r="89">
          <cell r="D89" t="str">
            <v>000401-526</v>
          </cell>
          <cell r="E89">
            <v>1100000</v>
          </cell>
          <cell r="F89">
            <v>6.4</v>
          </cell>
        </row>
        <row r="90">
          <cell r="D90" t="str">
            <v>000401-528</v>
          </cell>
          <cell r="E90">
            <v>537381.16</v>
          </cell>
          <cell r="F90">
            <v>5.9</v>
          </cell>
        </row>
        <row r="91">
          <cell r="D91" t="str">
            <v>000401-529</v>
          </cell>
          <cell r="E91">
            <v>537381.17000000004</v>
          </cell>
          <cell r="F91">
            <v>5.88</v>
          </cell>
        </row>
        <row r="92">
          <cell r="D92" t="str">
            <v>000401-530</v>
          </cell>
          <cell r="E92">
            <v>2170000</v>
          </cell>
          <cell r="F92">
            <v>6.4</v>
          </cell>
        </row>
        <row r="93">
          <cell r="D93" t="str">
            <v>000401-531</v>
          </cell>
          <cell r="E93">
            <v>500000</v>
          </cell>
          <cell r="F93">
            <v>6.9</v>
          </cell>
        </row>
        <row r="94">
          <cell r="D94" t="str">
            <v>000401-532</v>
          </cell>
          <cell r="E94">
            <v>150000</v>
          </cell>
          <cell r="F94">
            <v>4.3899999999999997</v>
          </cell>
        </row>
        <row r="95">
          <cell r="D95" t="str">
            <v>000401-533</v>
          </cell>
          <cell r="E95">
            <v>75139</v>
          </cell>
          <cell r="F95">
            <v>7.4</v>
          </cell>
        </row>
        <row r="96">
          <cell r="D96" t="str">
            <v>000401-534</v>
          </cell>
          <cell r="E96">
            <v>220000</v>
          </cell>
          <cell r="F96">
            <v>7.4</v>
          </cell>
        </row>
        <row r="97">
          <cell r="D97" t="str">
            <v>000401-535</v>
          </cell>
          <cell r="E97">
            <v>53900</v>
          </cell>
          <cell r="F97">
            <v>6.13</v>
          </cell>
        </row>
        <row r="98">
          <cell r="D98" t="str">
            <v>000800-586</v>
          </cell>
          <cell r="E98">
            <v>100000</v>
          </cell>
          <cell r="F98">
            <v>4.4000000000000004</v>
          </cell>
        </row>
        <row r="99">
          <cell r="D99" t="str">
            <v>000800-669</v>
          </cell>
          <cell r="E99">
            <v>22000</v>
          </cell>
          <cell r="F99">
            <v>6.15</v>
          </cell>
        </row>
        <row r="100">
          <cell r="D100" t="str">
            <v>000800-725</v>
          </cell>
          <cell r="E100">
            <v>100000</v>
          </cell>
          <cell r="F100">
            <v>7.4</v>
          </cell>
        </row>
        <row r="101">
          <cell r="D101" t="str">
            <v>000800-729</v>
          </cell>
          <cell r="E101">
            <v>300000</v>
          </cell>
          <cell r="F101">
            <v>6.9</v>
          </cell>
        </row>
        <row r="102">
          <cell r="D102" t="str">
            <v>000800-753</v>
          </cell>
          <cell r="E102">
            <v>415230</v>
          </cell>
          <cell r="F102">
            <v>7.4</v>
          </cell>
        </row>
        <row r="103">
          <cell r="D103" t="str">
            <v>000800-754</v>
          </cell>
          <cell r="E103">
            <v>200000</v>
          </cell>
          <cell r="F103">
            <v>7.4</v>
          </cell>
        </row>
        <row r="104">
          <cell r="D104" t="str">
            <v>000800-759</v>
          </cell>
          <cell r="E104">
            <v>150000</v>
          </cell>
          <cell r="F104">
            <v>4.9000000000000004</v>
          </cell>
        </row>
        <row r="105">
          <cell r="D105" t="str">
            <v>000800-763</v>
          </cell>
          <cell r="E105">
            <v>100000</v>
          </cell>
          <cell r="F105">
            <v>5.9</v>
          </cell>
        </row>
        <row r="106">
          <cell r="D106" t="str">
            <v>000800-764</v>
          </cell>
          <cell r="E106">
            <v>950000</v>
          </cell>
          <cell r="F106">
            <v>5.9</v>
          </cell>
        </row>
        <row r="107">
          <cell r="D107" t="str">
            <v>000800-765</v>
          </cell>
          <cell r="E107">
            <v>250000</v>
          </cell>
          <cell r="F107">
            <v>4.9000000000000004</v>
          </cell>
        </row>
        <row r="108">
          <cell r="D108" t="str">
            <v>000800-766</v>
          </cell>
          <cell r="E108">
            <v>440000</v>
          </cell>
          <cell r="F108">
            <v>6.4</v>
          </cell>
        </row>
        <row r="109">
          <cell r="D109" t="str">
            <v>000800-776</v>
          </cell>
          <cell r="E109">
            <v>173000</v>
          </cell>
          <cell r="F109">
            <v>4.4000000000000004</v>
          </cell>
        </row>
        <row r="110">
          <cell r="D110" t="str">
            <v>000800-777</v>
          </cell>
          <cell r="E110">
            <v>220000</v>
          </cell>
          <cell r="F110">
            <v>5.9</v>
          </cell>
        </row>
        <row r="111">
          <cell r="D111" t="str">
            <v>000800-778</v>
          </cell>
          <cell r="E111">
            <v>300000</v>
          </cell>
          <cell r="F111">
            <v>5.9</v>
          </cell>
        </row>
        <row r="112">
          <cell r="D112" t="str">
            <v>000800-811</v>
          </cell>
          <cell r="E112">
            <v>600000</v>
          </cell>
          <cell r="F112">
            <v>6.6</v>
          </cell>
        </row>
        <row r="113">
          <cell r="D113" t="str">
            <v>000800-817</v>
          </cell>
          <cell r="E113">
            <v>330000</v>
          </cell>
          <cell r="F113">
            <v>1.9</v>
          </cell>
        </row>
        <row r="114">
          <cell r="D114" t="str">
            <v>000800-818</v>
          </cell>
          <cell r="E114">
            <v>330000</v>
          </cell>
          <cell r="F114">
            <v>1.9</v>
          </cell>
        </row>
        <row r="115">
          <cell r="D115" t="str">
            <v>000800-823</v>
          </cell>
          <cell r="E115">
            <v>50000</v>
          </cell>
          <cell r="F115">
            <v>4.6500000000000004</v>
          </cell>
        </row>
        <row r="116">
          <cell r="D116" t="str">
            <v>000800-827</v>
          </cell>
          <cell r="E116">
            <v>200000</v>
          </cell>
          <cell r="F116">
            <v>8.9</v>
          </cell>
        </row>
        <row r="117">
          <cell r="D117" t="str">
            <v>000800-836</v>
          </cell>
          <cell r="E117">
            <v>170000</v>
          </cell>
          <cell r="F117">
            <v>3.4</v>
          </cell>
        </row>
        <row r="118">
          <cell r="D118" t="str">
            <v>000800-838</v>
          </cell>
          <cell r="E118">
            <v>300000</v>
          </cell>
          <cell r="F118">
            <v>0.4</v>
          </cell>
        </row>
        <row r="119">
          <cell r="D119" t="str">
            <v>000800-842</v>
          </cell>
          <cell r="E119">
            <v>188000</v>
          </cell>
          <cell r="F119">
            <v>4.4000000000000004</v>
          </cell>
        </row>
        <row r="120">
          <cell r="D120" t="str">
            <v>000800-853</v>
          </cell>
          <cell r="E120">
            <v>465000</v>
          </cell>
          <cell r="F120">
            <v>6.4</v>
          </cell>
        </row>
        <row r="121">
          <cell r="D121" t="str">
            <v>000800-860</v>
          </cell>
          <cell r="E121">
            <v>200000</v>
          </cell>
          <cell r="F121">
            <v>6.4</v>
          </cell>
        </row>
        <row r="122">
          <cell r="D122" t="str">
            <v>000800-917</v>
          </cell>
          <cell r="E122">
            <v>70000</v>
          </cell>
          <cell r="F122">
            <v>7.9</v>
          </cell>
        </row>
        <row r="123">
          <cell r="D123" t="str">
            <v>000800-921</v>
          </cell>
          <cell r="E123">
            <v>134000</v>
          </cell>
          <cell r="F123">
            <v>3.4</v>
          </cell>
        </row>
        <row r="124">
          <cell r="D124" t="str">
            <v>000800-932</v>
          </cell>
          <cell r="E124">
            <v>120000</v>
          </cell>
          <cell r="F124">
            <v>5.4</v>
          </cell>
        </row>
        <row r="125">
          <cell r="D125" t="str">
            <v>000800-936</v>
          </cell>
          <cell r="E125">
            <v>78000</v>
          </cell>
          <cell r="F125">
            <v>1.9</v>
          </cell>
        </row>
        <row r="126">
          <cell r="D126" t="str">
            <v>000800-960</v>
          </cell>
          <cell r="E126">
            <v>138000</v>
          </cell>
          <cell r="F126">
            <v>4.4000000000000004</v>
          </cell>
        </row>
        <row r="127">
          <cell r="D127" t="str">
            <v>000800-968</v>
          </cell>
          <cell r="E127">
            <v>80000</v>
          </cell>
          <cell r="F127">
            <v>5.4</v>
          </cell>
        </row>
        <row r="128">
          <cell r="D128" t="str">
            <v>000900-002</v>
          </cell>
          <cell r="E128">
            <v>100000</v>
          </cell>
          <cell r="F128">
            <v>6.4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Hoja1"/>
      <sheetName val="JULIO DETALLADO"/>
      <sheetName val="ago"/>
      <sheetName val="Hoja4"/>
      <sheetName val="SLPA SEPT"/>
      <sheetName val="octubre "/>
      <sheetName val="noviembre 2019"/>
      <sheetName val="diciembre 2019 "/>
      <sheetName val="ENERO 2020"/>
      <sheetName val="dc"/>
      <sheetName val="procedimiento"/>
      <sheetName val="audi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Inversiones"/>
      <sheetName val="Hoja1"/>
      <sheetName val="Hoja2"/>
    </sheetNames>
    <sheetDataSet>
      <sheetData sheetId="0" refreshError="1"/>
      <sheetData sheetId="1" refreshError="1"/>
      <sheetData sheetId="2" refreshError="1">
        <row r="1">
          <cell r="D1" t="str">
            <v>IDActivo</v>
          </cell>
          <cell r="E1" t="str">
            <v>Valor Nominal</v>
          </cell>
        </row>
        <row r="2">
          <cell r="D2" t="str">
            <v>000401-024</v>
          </cell>
          <cell r="E2">
            <v>236600</v>
          </cell>
          <cell r="F2">
            <v>5.4</v>
          </cell>
        </row>
        <row r="3">
          <cell r="D3" t="str">
            <v>000401-025</v>
          </cell>
          <cell r="E3">
            <v>1400000</v>
          </cell>
          <cell r="F3">
            <v>0.4</v>
          </cell>
        </row>
        <row r="4">
          <cell r="D4" t="str">
            <v>000401-026</v>
          </cell>
          <cell r="E4">
            <v>1000000</v>
          </cell>
          <cell r="F4">
            <v>5.4</v>
          </cell>
        </row>
        <row r="5">
          <cell r="D5" t="str">
            <v>000401-038</v>
          </cell>
          <cell r="E5">
            <v>33000</v>
          </cell>
          <cell r="F5">
            <v>6.4</v>
          </cell>
        </row>
        <row r="6">
          <cell r="D6" t="str">
            <v>000401-042</v>
          </cell>
          <cell r="E6">
            <v>200000</v>
          </cell>
          <cell r="F6">
            <v>5.65</v>
          </cell>
        </row>
        <row r="7">
          <cell r="D7" t="str">
            <v>000401-045</v>
          </cell>
          <cell r="E7">
            <v>500000</v>
          </cell>
          <cell r="F7">
            <v>5.4</v>
          </cell>
        </row>
        <row r="8">
          <cell r="D8" t="str">
            <v>000401-046</v>
          </cell>
          <cell r="E8">
            <v>275000</v>
          </cell>
          <cell r="F8">
            <v>5.65</v>
          </cell>
        </row>
        <row r="9">
          <cell r="D9" t="str">
            <v>000401-047</v>
          </cell>
          <cell r="E9">
            <v>200000</v>
          </cell>
          <cell r="F9">
            <v>5.65</v>
          </cell>
        </row>
        <row r="10">
          <cell r="D10" t="str">
            <v>000401-048</v>
          </cell>
          <cell r="E10">
            <v>170000</v>
          </cell>
          <cell r="F10">
            <v>5.65</v>
          </cell>
        </row>
        <row r="11">
          <cell r="D11" t="str">
            <v>000401-049</v>
          </cell>
          <cell r="E11">
            <v>130000</v>
          </cell>
          <cell r="F11">
            <v>5.65</v>
          </cell>
        </row>
        <row r="12">
          <cell r="D12" t="str">
            <v>000401-050</v>
          </cell>
          <cell r="E12">
            <v>126000</v>
          </cell>
          <cell r="F12">
            <v>5.65</v>
          </cell>
        </row>
        <row r="13">
          <cell r="D13" t="str">
            <v>000401-051</v>
          </cell>
          <cell r="E13">
            <v>51138.69</v>
          </cell>
          <cell r="F13">
            <v>5.65</v>
          </cell>
        </row>
        <row r="14">
          <cell r="D14" t="str">
            <v>000401-052</v>
          </cell>
          <cell r="E14">
            <v>254800</v>
          </cell>
          <cell r="F14">
            <v>5.65</v>
          </cell>
        </row>
        <row r="15">
          <cell r="D15" t="str">
            <v>000401-053</v>
          </cell>
          <cell r="E15">
            <v>206000</v>
          </cell>
          <cell r="F15">
            <v>5.65</v>
          </cell>
        </row>
        <row r="16">
          <cell r="D16" t="str">
            <v>000401-061</v>
          </cell>
          <cell r="E16">
            <v>138000</v>
          </cell>
          <cell r="F16">
            <v>4.4000000000000004</v>
          </cell>
        </row>
        <row r="17">
          <cell r="D17" t="str">
            <v>000401-063</v>
          </cell>
          <cell r="E17">
            <v>800000</v>
          </cell>
          <cell r="F17">
            <v>6.85</v>
          </cell>
        </row>
        <row r="18">
          <cell r="D18" t="str">
            <v>000401-066</v>
          </cell>
          <cell r="E18">
            <v>60000</v>
          </cell>
          <cell r="F18">
            <v>1.9</v>
          </cell>
        </row>
        <row r="19">
          <cell r="D19" t="str">
            <v>000401-085</v>
          </cell>
          <cell r="E19">
            <v>60000</v>
          </cell>
          <cell r="F19">
            <v>1.9</v>
          </cell>
        </row>
        <row r="20">
          <cell r="D20" t="str">
            <v>000401-086</v>
          </cell>
          <cell r="E20">
            <v>50000</v>
          </cell>
          <cell r="F20">
            <v>5.65</v>
          </cell>
        </row>
        <row r="21">
          <cell r="D21" t="str">
            <v>000401-088</v>
          </cell>
          <cell r="E21">
            <v>2200000</v>
          </cell>
          <cell r="F21">
            <v>6.85</v>
          </cell>
        </row>
        <row r="22">
          <cell r="D22" t="str">
            <v>000401-089</v>
          </cell>
          <cell r="E22">
            <v>746000</v>
          </cell>
          <cell r="F22">
            <v>6.85</v>
          </cell>
        </row>
        <row r="23">
          <cell r="D23" t="str">
            <v>000401-104</v>
          </cell>
          <cell r="E23">
            <v>220000</v>
          </cell>
          <cell r="F23">
            <v>5.65</v>
          </cell>
        </row>
        <row r="24">
          <cell r="D24" t="str">
            <v>000401-119</v>
          </cell>
          <cell r="E24">
            <v>500000</v>
          </cell>
          <cell r="F24">
            <v>3.4</v>
          </cell>
        </row>
        <row r="25">
          <cell r="D25" t="str">
            <v>000401-124</v>
          </cell>
          <cell r="E25">
            <v>94477.4</v>
          </cell>
          <cell r="F25">
            <v>5.9</v>
          </cell>
        </row>
        <row r="26">
          <cell r="D26" t="str">
            <v>000401-125</v>
          </cell>
          <cell r="E26">
            <v>38000</v>
          </cell>
          <cell r="F26">
            <v>5.9</v>
          </cell>
        </row>
        <row r="27">
          <cell r="D27" t="str">
            <v>000401-126</v>
          </cell>
          <cell r="E27">
            <v>100000</v>
          </cell>
          <cell r="F27">
            <v>7.9</v>
          </cell>
        </row>
        <row r="28">
          <cell r="D28" t="str">
            <v>000401-129</v>
          </cell>
          <cell r="E28">
            <v>188600</v>
          </cell>
          <cell r="F28">
            <v>6.9</v>
          </cell>
        </row>
        <row r="29">
          <cell r="D29" t="str">
            <v>000401-133</v>
          </cell>
          <cell r="E29">
            <v>160000</v>
          </cell>
          <cell r="F29">
            <v>6.4</v>
          </cell>
        </row>
        <row r="30">
          <cell r="D30" t="str">
            <v>000401-139</v>
          </cell>
          <cell r="E30">
            <v>1500000</v>
          </cell>
          <cell r="F30">
            <v>6.9</v>
          </cell>
        </row>
        <row r="31">
          <cell r="D31" t="str">
            <v>000401-142</v>
          </cell>
          <cell r="E31">
            <v>23000</v>
          </cell>
          <cell r="F31">
            <v>5.4</v>
          </cell>
        </row>
        <row r="32">
          <cell r="D32" t="str">
            <v>000401-143</v>
          </cell>
          <cell r="E32">
            <v>87500</v>
          </cell>
          <cell r="F32">
            <v>1.9</v>
          </cell>
        </row>
        <row r="33">
          <cell r="D33" t="str">
            <v>000401-144</v>
          </cell>
          <cell r="E33">
            <v>87500</v>
          </cell>
          <cell r="F33">
            <v>1.9</v>
          </cell>
        </row>
        <row r="34">
          <cell r="D34" t="str">
            <v>000401-146</v>
          </cell>
          <cell r="E34">
            <v>175000</v>
          </cell>
          <cell r="F34">
            <v>4.4000000000000004</v>
          </cell>
        </row>
        <row r="35">
          <cell r="D35" t="str">
            <v>000401-147</v>
          </cell>
          <cell r="E35">
            <v>160000</v>
          </cell>
          <cell r="F35">
            <v>4.79</v>
          </cell>
        </row>
        <row r="36">
          <cell r="D36" t="str">
            <v>000401-158</v>
          </cell>
          <cell r="E36">
            <v>100000</v>
          </cell>
          <cell r="F36">
            <v>8.9</v>
          </cell>
        </row>
        <row r="37">
          <cell r="D37" t="str">
            <v>000401-170</v>
          </cell>
          <cell r="E37">
            <v>122500</v>
          </cell>
          <cell r="F37">
            <v>4.4000000000000004</v>
          </cell>
        </row>
        <row r="38">
          <cell r="D38" t="str">
            <v>000401-171</v>
          </cell>
          <cell r="E38">
            <v>42652.99</v>
          </cell>
          <cell r="F38">
            <v>6.15</v>
          </cell>
        </row>
        <row r="39">
          <cell r="D39" t="str">
            <v>000401-177</v>
          </cell>
          <cell r="E39">
            <v>213500</v>
          </cell>
          <cell r="F39">
            <v>4.9000000000000004</v>
          </cell>
        </row>
        <row r="40">
          <cell r="D40" t="str">
            <v>000401-183</v>
          </cell>
          <cell r="E40">
            <v>50000</v>
          </cell>
          <cell r="F40">
            <v>4.9000000000000004</v>
          </cell>
        </row>
        <row r="41">
          <cell r="D41" t="str">
            <v>000401-185</v>
          </cell>
          <cell r="E41">
            <v>72500</v>
          </cell>
          <cell r="F41">
            <v>1.9</v>
          </cell>
        </row>
        <row r="42">
          <cell r="D42" t="str">
            <v>000401-186</v>
          </cell>
          <cell r="E42">
            <v>80000</v>
          </cell>
          <cell r="F42">
            <v>5.65</v>
          </cell>
        </row>
        <row r="43">
          <cell r="D43" t="str">
            <v>000401-187</v>
          </cell>
          <cell r="E43">
            <v>100000</v>
          </cell>
          <cell r="F43">
            <v>4.6500000000000004</v>
          </cell>
        </row>
        <row r="44">
          <cell r="D44" t="str">
            <v>000401-204</v>
          </cell>
          <cell r="E44">
            <v>100000</v>
          </cell>
          <cell r="F44">
            <v>3.4</v>
          </cell>
        </row>
        <row r="45">
          <cell r="D45" t="str">
            <v>000401-226</v>
          </cell>
          <cell r="E45">
            <v>122500</v>
          </cell>
          <cell r="F45">
            <v>4.4000000000000004</v>
          </cell>
        </row>
        <row r="46">
          <cell r="D46" t="str">
            <v>000401-248</v>
          </cell>
          <cell r="E46">
            <v>500000</v>
          </cell>
          <cell r="F46">
            <v>7.9</v>
          </cell>
        </row>
        <row r="47">
          <cell r="D47" t="str">
            <v>000401-249</v>
          </cell>
          <cell r="E47">
            <v>90000</v>
          </cell>
          <cell r="F47">
            <v>1.9</v>
          </cell>
        </row>
        <row r="48">
          <cell r="D48" t="str">
            <v>000401-250</v>
          </cell>
          <cell r="E48">
            <v>1100000</v>
          </cell>
          <cell r="F48">
            <v>5.9</v>
          </cell>
        </row>
        <row r="49">
          <cell r="D49" t="str">
            <v>000401-253</v>
          </cell>
          <cell r="E49">
            <v>120000</v>
          </cell>
          <cell r="F49">
            <v>3.4</v>
          </cell>
        </row>
        <row r="50">
          <cell r="D50" t="str">
            <v>000401-262</v>
          </cell>
          <cell r="E50">
            <v>810000</v>
          </cell>
          <cell r="F50">
            <v>6.15</v>
          </cell>
        </row>
        <row r="51">
          <cell r="D51" t="str">
            <v>000401-265</v>
          </cell>
          <cell r="E51">
            <v>1050000</v>
          </cell>
          <cell r="F51">
            <v>6.15</v>
          </cell>
        </row>
        <row r="52">
          <cell r="D52" t="str">
            <v>000401-266</v>
          </cell>
          <cell r="E52">
            <v>330000</v>
          </cell>
          <cell r="F52">
            <v>4.9000000000000004</v>
          </cell>
        </row>
        <row r="53">
          <cell r="D53" t="str">
            <v>000401-276</v>
          </cell>
          <cell r="E53">
            <v>100000</v>
          </cell>
          <cell r="F53">
            <v>5.9</v>
          </cell>
        </row>
        <row r="54">
          <cell r="D54" t="str">
            <v>000401-277</v>
          </cell>
          <cell r="E54">
            <v>100000</v>
          </cell>
          <cell r="F54">
            <v>3.4</v>
          </cell>
        </row>
        <row r="55">
          <cell r="D55" t="str">
            <v>000401-281</v>
          </cell>
          <cell r="E55">
            <v>48500</v>
          </cell>
          <cell r="F55">
            <v>5.9</v>
          </cell>
        </row>
        <row r="56">
          <cell r="D56" t="str">
            <v>000401-285</v>
          </cell>
          <cell r="E56">
            <v>60000</v>
          </cell>
          <cell r="F56">
            <v>5.9</v>
          </cell>
        </row>
        <row r="57">
          <cell r="D57" t="str">
            <v>000401-291</v>
          </cell>
          <cell r="E57">
            <v>17500</v>
          </cell>
          <cell r="F57">
            <v>5.9</v>
          </cell>
        </row>
        <row r="58">
          <cell r="D58" t="str">
            <v>000401-293</v>
          </cell>
          <cell r="E58">
            <v>50000</v>
          </cell>
          <cell r="F58">
            <v>5.9</v>
          </cell>
        </row>
        <row r="59">
          <cell r="D59" t="str">
            <v>000401-295</v>
          </cell>
          <cell r="E59">
            <v>50000</v>
          </cell>
          <cell r="F59">
            <v>5.9</v>
          </cell>
        </row>
        <row r="60">
          <cell r="D60" t="str">
            <v>000401-297</v>
          </cell>
          <cell r="E60">
            <v>20000</v>
          </cell>
          <cell r="F60">
            <v>5.9</v>
          </cell>
        </row>
        <row r="61">
          <cell r="D61" t="str">
            <v>000401-298</v>
          </cell>
          <cell r="E61">
            <v>87995</v>
          </cell>
          <cell r="F61">
            <v>5.9</v>
          </cell>
        </row>
        <row r="62">
          <cell r="D62" t="str">
            <v>000401-303</v>
          </cell>
          <cell r="E62">
            <v>985000</v>
          </cell>
          <cell r="F62">
            <v>6.15</v>
          </cell>
        </row>
        <row r="63">
          <cell r="D63" t="str">
            <v>000401-308</v>
          </cell>
          <cell r="E63">
            <v>191200</v>
          </cell>
          <cell r="F63">
            <v>5.4</v>
          </cell>
        </row>
        <row r="64">
          <cell r="D64" t="str">
            <v>000401-309</v>
          </cell>
          <cell r="E64">
            <v>41000</v>
          </cell>
          <cell r="F64">
            <v>6.15</v>
          </cell>
        </row>
        <row r="65">
          <cell r="D65" t="str">
            <v>000401-310</v>
          </cell>
          <cell r="E65">
            <v>100000</v>
          </cell>
          <cell r="F65">
            <v>4.9000000000000004</v>
          </cell>
        </row>
        <row r="66">
          <cell r="D66" t="str">
            <v>000401-312</v>
          </cell>
          <cell r="E66">
            <v>150000</v>
          </cell>
          <cell r="F66">
            <v>4.4000000000000004</v>
          </cell>
        </row>
        <row r="67">
          <cell r="D67" t="str">
            <v>000401-333</v>
          </cell>
          <cell r="E67">
            <v>75000</v>
          </cell>
          <cell r="F67">
            <v>3.4</v>
          </cell>
        </row>
        <row r="68">
          <cell r="D68" t="str">
            <v>000401-335</v>
          </cell>
          <cell r="E68">
            <v>95000</v>
          </cell>
          <cell r="F68">
            <v>6.4</v>
          </cell>
        </row>
        <row r="69">
          <cell r="D69" t="str">
            <v>000401-337</v>
          </cell>
          <cell r="E69">
            <v>185000</v>
          </cell>
          <cell r="F69">
            <v>6.4</v>
          </cell>
        </row>
        <row r="70">
          <cell r="D70" t="str">
            <v>000401-338</v>
          </cell>
          <cell r="E70">
            <v>500000</v>
          </cell>
          <cell r="F70">
            <v>6.85</v>
          </cell>
        </row>
        <row r="71">
          <cell r="D71" t="str">
            <v>000401-339</v>
          </cell>
          <cell r="E71">
            <v>500000</v>
          </cell>
          <cell r="F71">
            <v>6.85</v>
          </cell>
        </row>
        <row r="72">
          <cell r="D72" t="str">
            <v>000401-350</v>
          </cell>
          <cell r="E72">
            <v>110000</v>
          </cell>
          <cell r="F72">
            <v>3.9</v>
          </cell>
        </row>
        <row r="73">
          <cell r="D73" t="str">
            <v>000401-369</v>
          </cell>
          <cell r="E73">
            <v>150000</v>
          </cell>
          <cell r="F73">
            <v>5.9</v>
          </cell>
        </row>
        <row r="74">
          <cell r="D74" t="str">
            <v>000401-377</v>
          </cell>
          <cell r="E74">
            <v>150000</v>
          </cell>
          <cell r="F74">
            <v>4.4000000000000004</v>
          </cell>
        </row>
        <row r="75">
          <cell r="D75" t="str">
            <v>000401-378</v>
          </cell>
          <cell r="E75">
            <v>1100000</v>
          </cell>
          <cell r="F75">
            <v>6.6</v>
          </cell>
        </row>
        <row r="76">
          <cell r="D76" t="str">
            <v>000401-379</v>
          </cell>
          <cell r="E76">
            <v>1400055.56</v>
          </cell>
          <cell r="F76">
            <v>6.9</v>
          </cell>
        </row>
        <row r="77">
          <cell r="D77" t="str">
            <v>000401-387</v>
          </cell>
          <cell r="E77">
            <v>300000</v>
          </cell>
          <cell r="F77">
            <v>6.49</v>
          </cell>
        </row>
        <row r="78">
          <cell r="D78" t="str">
            <v>000401-388</v>
          </cell>
          <cell r="E78">
            <v>437500</v>
          </cell>
          <cell r="F78">
            <v>8.9</v>
          </cell>
        </row>
        <row r="79">
          <cell r="D79" t="str">
            <v>000401-427</v>
          </cell>
          <cell r="E79">
            <v>158000</v>
          </cell>
          <cell r="F79">
            <v>4.4000000000000004</v>
          </cell>
        </row>
        <row r="80">
          <cell r="D80" t="str">
            <v>000401-428</v>
          </cell>
          <cell r="E80">
            <v>1200000</v>
          </cell>
          <cell r="F80">
            <v>6.4</v>
          </cell>
        </row>
        <row r="81">
          <cell r="D81" t="str">
            <v>000401-429</v>
          </cell>
          <cell r="E81">
            <v>320000</v>
          </cell>
          <cell r="F81">
            <v>6.4</v>
          </cell>
        </row>
        <row r="82">
          <cell r="D82" t="str">
            <v>000401-430</v>
          </cell>
          <cell r="E82">
            <v>400000</v>
          </cell>
          <cell r="F82">
            <v>5.9</v>
          </cell>
        </row>
        <row r="83">
          <cell r="D83" t="str">
            <v>000401-431</v>
          </cell>
          <cell r="E83">
            <v>140000</v>
          </cell>
          <cell r="F83">
            <v>5.9</v>
          </cell>
        </row>
        <row r="84">
          <cell r="D84" t="str">
            <v>000401-432</v>
          </cell>
          <cell r="E84">
            <v>240000</v>
          </cell>
          <cell r="F84">
            <v>5.4</v>
          </cell>
        </row>
        <row r="85">
          <cell r="D85" t="str">
            <v>000401-433</v>
          </cell>
          <cell r="E85">
            <v>40000</v>
          </cell>
          <cell r="F85">
            <v>5.87</v>
          </cell>
        </row>
        <row r="86">
          <cell r="D86" t="str">
            <v>000401-434</v>
          </cell>
          <cell r="E86">
            <v>60000</v>
          </cell>
          <cell r="F86">
            <v>5.87</v>
          </cell>
        </row>
        <row r="87">
          <cell r="D87" t="str">
            <v>000401-435</v>
          </cell>
          <cell r="E87">
            <v>100000</v>
          </cell>
          <cell r="F87">
            <v>5.85</v>
          </cell>
        </row>
        <row r="88">
          <cell r="D88" t="str">
            <v>000401-436</v>
          </cell>
          <cell r="E88">
            <v>200000</v>
          </cell>
          <cell r="F88">
            <v>4.6500000000000004</v>
          </cell>
        </row>
        <row r="89">
          <cell r="D89" t="str">
            <v>000401-526</v>
          </cell>
          <cell r="E89">
            <v>1100000</v>
          </cell>
          <cell r="F89">
            <v>6.4</v>
          </cell>
        </row>
        <row r="90">
          <cell r="D90" t="str">
            <v>000401-528</v>
          </cell>
          <cell r="E90">
            <v>537381.16</v>
          </cell>
          <cell r="F90">
            <v>5.9</v>
          </cell>
        </row>
        <row r="91">
          <cell r="D91" t="str">
            <v>000401-529</v>
          </cell>
          <cell r="E91">
            <v>537381.17000000004</v>
          </cell>
          <cell r="F91">
            <v>5.88</v>
          </cell>
        </row>
        <row r="92">
          <cell r="D92" t="str">
            <v>000401-530</v>
          </cell>
          <cell r="E92">
            <v>2170000</v>
          </cell>
          <cell r="F92">
            <v>6.4</v>
          </cell>
        </row>
        <row r="93">
          <cell r="D93" t="str">
            <v>000401-531</v>
          </cell>
          <cell r="E93">
            <v>500000</v>
          </cell>
          <cell r="F93">
            <v>6.9</v>
          </cell>
        </row>
        <row r="94">
          <cell r="D94" t="str">
            <v>000401-532</v>
          </cell>
          <cell r="E94">
            <v>150000</v>
          </cell>
          <cell r="F94">
            <v>4.3899999999999997</v>
          </cell>
        </row>
        <row r="95">
          <cell r="D95" t="str">
            <v>000401-533</v>
          </cell>
          <cell r="E95">
            <v>75139</v>
          </cell>
          <cell r="F95">
            <v>7.4</v>
          </cell>
        </row>
        <row r="96">
          <cell r="D96" t="str">
            <v>000401-534</v>
          </cell>
          <cell r="E96">
            <v>220000</v>
          </cell>
          <cell r="F96">
            <v>7.4</v>
          </cell>
        </row>
        <row r="97">
          <cell r="D97" t="str">
            <v>000401-535</v>
          </cell>
          <cell r="E97">
            <v>53900</v>
          </cell>
          <cell r="F97">
            <v>6.13</v>
          </cell>
        </row>
        <row r="98">
          <cell r="D98" t="str">
            <v>000800-586</v>
          </cell>
          <cell r="E98">
            <v>100000</v>
          </cell>
          <cell r="F98">
            <v>4.4000000000000004</v>
          </cell>
        </row>
        <row r="99">
          <cell r="D99" t="str">
            <v>000800-669</v>
          </cell>
          <cell r="E99">
            <v>22000</v>
          </cell>
          <cell r="F99">
            <v>6.15</v>
          </cell>
        </row>
        <row r="100">
          <cell r="D100" t="str">
            <v>000800-725</v>
          </cell>
          <cell r="E100">
            <v>100000</v>
          </cell>
          <cell r="F100">
            <v>7.4</v>
          </cell>
        </row>
        <row r="101">
          <cell r="D101" t="str">
            <v>000800-729</v>
          </cell>
          <cell r="E101">
            <v>300000</v>
          </cell>
          <cell r="F101">
            <v>6.9</v>
          </cell>
        </row>
        <row r="102">
          <cell r="D102" t="str">
            <v>000800-753</v>
          </cell>
          <cell r="E102">
            <v>415230</v>
          </cell>
          <cell r="F102">
            <v>7.4</v>
          </cell>
        </row>
        <row r="103">
          <cell r="D103" t="str">
            <v>000800-754</v>
          </cell>
          <cell r="E103">
            <v>200000</v>
          </cell>
          <cell r="F103">
            <v>7.4</v>
          </cell>
        </row>
        <row r="104">
          <cell r="D104" t="str">
            <v>000800-759</v>
          </cell>
          <cell r="E104">
            <v>150000</v>
          </cell>
          <cell r="F104">
            <v>4.9000000000000004</v>
          </cell>
        </row>
        <row r="105">
          <cell r="D105" t="str">
            <v>000800-763</v>
          </cell>
          <cell r="E105">
            <v>100000</v>
          </cell>
          <cell r="F105">
            <v>5.9</v>
          </cell>
        </row>
        <row r="106">
          <cell r="D106" t="str">
            <v>000800-764</v>
          </cell>
          <cell r="E106">
            <v>950000</v>
          </cell>
          <cell r="F106">
            <v>5.9</v>
          </cell>
        </row>
        <row r="107">
          <cell r="D107" t="str">
            <v>000800-765</v>
          </cell>
          <cell r="E107">
            <v>250000</v>
          </cell>
          <cell r="F107">
            <v>4.9000000000000004</v>
          </cell>
        </row>
        <row r="108">
          <cell r="D108" t="str">
            <v>000800-766</v>
          </cell>
          <cell r="E108">
            <v>440000</v>
          </cell>
          <cell r="F108">
            <v>6.4</v>
          </cell>
        </row>
        <row r="109">
          <cell r="D109" t="str">
            <v>000800-776</v>
          </cell>
          <cell r="E109">
            <v>173000</v>
          </cell>
          <cell r="F109">
            <v>4.4000000000000004</v>
          </cell>
        </row>
        <row r="110">
          <cell r="D110" t="str">
            <v>000800-777</v>
          </cell>
          <cell r="E110">
            <v>220000</v>
          </cell>
          <cell r="F110">
            <v>5.9</v>
          </cell>
        </row>
        <row r="111">
          <cell r="D111" t="str">
            <v>000800-778</v>
          </cell>
          <cell r="E111">
            <v>300000</v>
          </cell>
          <cell r="F111">
            <v>5.9</v>
          </cell>
        </row>
        <row r="112">
          <cell r="D112" t="str">
            <v>000800-811</v>
          </cell>
          <cell r="E112">
            <v>600000</v>
          </cell>
          <cell r="F112">
            <v>6.6</v>
          </cell>
        </row>
        <row r="113">
          <cell r="D113" t="str">
            <v>000800-817</v>
          </cell>
          <cell r="E113">
            <v>330000</v>
          </cell>
          <cell r="F113">
            <v>1.9</v>
          </cell>
        </row>
        <row r="114">
          <cell r="D114" t="str">
            <v>000800-818</v>
          </cell>
          <cell r="E114">
            <v>330000</v>
          </cell>
          <cell r="F114">
            <v>1.9</v>
          </cell>
        </row>
        <row r="115">
          <cell r="D115" t="str">
            <v>000800-823</v>
          </cell>
          <cell r="E115">
            <v>50000</v>
          </cell>
          <cell r="F115">
            <v>4.6500000000000004</v>
          </cell>
        </row>
        <row r="116">
          <cell r="D116" t="str">
            <v>000800-827</v>
          </cell>
          <cell r="E116">
            <v>200000</v>
          </cell>
          <cell r="F116">
            <v>8.9</v>
          </cell>
        </row>
        <row r="117">
          <cell r="D117" t="str">
            <v>000800-836</v>
          </cell>
          <cell r="E117">
            <v>170000</v>
          </cell>
          <cell r="F117">
            <v>3.4</v>
          </cell>
        </row>
        <row r="118">
          <cell r="D118" t="str">
            <v>000800-838</v>
          </cell>
          <cell r="E118">
            <v>300000</v>
          </cell>
          <cell r="F118">
            <v>0.4</v>
          </cell>
        </row>
        <row r="119">
          <cell r="D119" t="str">
            <v>000800-842</v>
          </cell>
          <cell r="E119">
            <v>188000</v>
          </cell>
          <cell r="F119">
            <v>4.4000000000000004</v>
          </cell>
        </row>
        <row r="120">
          <cell r="D120" t="str">
            <v>000800-853</v>
          </cell>
          <cell r="E120">
            <v>465000</v>
          </cell>
          <cell r="F120">
            <v>6.4</v>
          </cell>
        </row>
        <row r="121">
          <cell r="D121" t="str">
            <v>000800-860</v>
          </cell>
          <cell r="E121">
            <v>200000</v>
          </cell>
          <cell r="F121">
            <v>6.4</v>
          </cell>
        </row>
        <row r="122">
          <cell r="D122" t="str">
            <v>000800-917</v>
          </cell>
          <cell r="E122">
            <v>70000</v>
          </cell>
          <cell r="F122">
            <v>7.9</v>
          </cell>
        </row>
        <row r="123">
          <cell r="D123" t="str">
            <v>000800-921</v>
          </cell>
          <cell r="E123">
            <v>134000</v>
          </cell>
          <cell r="F123">
            <v>3.4</v>
          </cell>
        </row>
        <row r="124">
          <cell r="D124" t="str">
            <v>000800-932</v>
          </cell>
          <cell r="E124">
            <v>120000</v>
          </cell>
          <cell r="F124">
            <v>5.4</v>
          </cell>
        </row>
        <row r="125">
          <cell r="D125" t="str">
            <v>000800-936</v>
          </cell>
          <cell r="E125">
            <v>78000</v>
          </cell>
          <cell r="F125">
            <v>1.9</v>
          </cell>
        </row>
        <row r="126">
          <cell r="D126" t="str">
            <v>000800-960</v>
          </cell>
          <cell r="E126">
            <v>138000</v>
          </cell>
          <cell r="F126">
            <v>4.4000000000000004</v>
          </cell>
        </row>
        <row r="127">
          <cell r="D127" t="str">
            <v>000800-968</v>
          </cell>
          <cell r="E127">
            <v>80000</v>
          </cell>
          <cell r="F127">
            <v>5.4</v>
          </cell>
        </row>
        <row r="128">
          <cell r="D128" t="str">
            <v>000900-002</v>
          </cell>
          <cell r="E128">
            <v>100000</v>
          </cell>
          <cell r="F128">
            <v>6.4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Hoja1"/>
      <sheetName val="JULIO DETALLADO"/>
      <sheetName val="ago"/>
      <sheetName val="Hoja4"/>
      <sheetName val="SLPA SEPT"/>
      <sheetName val="octubre "/>
      <sheetName val="noviembre 2019"/>
      <sheetName val="diciembre 2019 "/>
      <sheetName val="ENERO 2020"/>
      <sheetName val="marzo cuadre"/>
      <sheetName val="marzo 2020 Auxiliar"/>
      <sheetName val="dc"/>
      <sheetName val="procedimiento"/>
      <sheetName val="cuadre marzo2020"/>
      <sheetName val="audi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Hoja1"/>
      <sheetName val="JULIO DETALLADO"/>
      <sheetName val="ago"/>
      <sheetName val="Hoja4"/>
      <sheetName val="SLPA SEPT"/>
      <sheetName val="octubre "/>
      <sheetName val="noviembre 2019"/>
      <sheetName val="diciembre 2019 "/>
      <sheetName val="ENERO 2020"/>
      <sheetName val="marzo cuadre"/>
      <sheetName val="marzo 2020 Auxiliar"/>
      <sheetName val="dc"/>
      <sheetName val="procedimiento"/>
      <sheetName val="cuadre marzo2020"/>
      <sheetName val="audi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Inversiones"/>
      <sheetName val="Hoja1"/>
      <sheetName val="Hoja2"/>
    </sheetNames>
    <sheetDataSet>
      <sheetData sheetId="0"/>
      <sheetData sheetId="1"/>
      <sheetData sheetId="2">
        <row r="1">
          <cell r="D1" t="str">
            <v>IDActivo</v>
          </cell>
          <cell r="E1" t="str">
            <v>Valor Nominal</v>
          </cell>
        </row>
        <row r="2">
          <cell r="D2" t="str">
            <v>000401-024</v>
          </cell>
          <cell r="E2">
            <v>236600</v>
          </cell>
          <cell r="F2">
            <v>5.4</v>
          </cell>
        </row>
        <row r="3">
          <cell r="D3" t="str">
            <v>000401-025</v>
          </cell>
          <cell r="E3">
            <v>1400000</v>
          </cell>
          <cell r="F3">
            <v>0.4</v>
          </cell>
        </row>
        <row r="4">
          <cell r="D4" t="str">
            <v>000401-026</v>
          </cell>
          <cell r="E4">
            <v>1000000</v>
          </cell>
          <cell r="F4">
            <v>5.4</v>
          </cell>
        </row>
        <row r="5">
          <cell r="D5" t="str">
            <v>000401-038</v>
          </cell>
          <cell r="E5">
            <v>33000</v>
          </cell>
          <cell r="F5">
            <v>6.4</v>
          </cell>
        </row>
        <row r="6">
          <cell r="D6" t="str">
            <v>000401-042</v>
          </cell>
          <cell r="E6">
            <v>200000</v>
          </cell>
          <cell r="F6">
            <v>5.65</v>
          </cell>
        </row>
        <row r="7">
          <cell r="D7" t="str">
            <v>000401-045</v>
          </cell>
          <cell r="E7">
            <v>500000</v>
          </cell>
          <cell r="F7">
            <v>5.4</v>
          </cell>
        </row>
        <row r="8">
          <cell r="D8" t="str">
            <v>000401-046</v>
          </cell>
          <cell r="E8">
            <v>275000</v>
          </cell>
          <cell r="F8">
            <v>5.65</v>
          </cell>
        </row>
        <row r="9">
          <cell r="D9" t="str">
            <v>000401-047</v>
          </cell>
          <cell r="E9">
            <v>200000</v>
          </cell>
          <cell r="F9">
            <v>5.65</v>
          </cell>
        </row>
        <row r="10">
          <cell r="D10" t="str">
            <v>000401-048</v>
          </cell>
          <cell r="E10">
            <v>170000</v>
          </cell>
          <cell r="F10">
            <v>5.65</v>
          </cell>
        </row>
        <row r="11">
          <cell r="D11" t="str">
            <v>000401-049</v>
          </cell>
          <cell r="E11">
            <v>130000</v>
          </cell>
          <cell r="F11">
            <v>5.65</v>
          </cell>
        </row>
        <row r="12">
          <cell r="D12" t="str">
            <v>000401-050</v>
          </cell>
          <cell r="E12">
            <v>126000</v>
          </cell>
          <cell r="F12">
            <v>5.65</v>
          </cell>
        </row>
        <row r="13">
          <cell r="D13" t="str">
            <v>000401-051</v>
          </cell>
          <cell r="E13">
            <v>51138.69</v>
          </cell>
          <cell r="F13">
            <v>5.65</v>
          </cell>
        </row>
        <row r="14">
          <cell r="D14" t="str">
            <v>000401-052</v>
          </cell>
          <cell r="E14">
            <v>254800</v>
          </cell>
          <cell r="F14">
            <v>5.65</v>
          </cell>
        </row>
        <row r="15">
          <cell r="D15" t="str">
            <v>000401-053</v>
          </cell>
          <cell r="E15">
            <v>206000</v>
          </cell>
          <cell r="F15">
            <v>5.65</v>
          </cell>
        </row>
        <row r="16">
          <cell r="D16" t="str">
            <v>000401-061</v>
          </cell>
          <cell r="E16">
            <v>138000</v>
          </cell>
          <cell r="F16">
            <v>4.4000000000000004</v>
          </cell>
        </row>
        <row r="17">
          <cell r="D17" t="str">
            <v>000401-063</v>
          </cell>
          <cell r="E17">
            <v>800000</v>
          </cell>
          <cell r="F17">
            <v>6.85</v>
          </cell>
        </row>
        <row r="18">
          <cell r="D18" t="str">
            <v>000401-066</v>
          </cell>
          <cell r="E18">
            <v>60000</v>
          </cell>
          <cell r="F18">
            <v>1.9</v>
          </cell>
        </row>
        <row r="19">
          <cell r="D19" t="str">
            <v>000401-085</v>
          </cell>
          <cell r="E19">
            <v>60000</v>
          </cell>
          <cell r="F19">
            <v>1.9</v>
          </cell>
        </row>
        <row r="20">
          <cell r="D20" t="str">
            <v>000401-086</v>
          </cell>
          <cell r="E20">
            <v>50000</v>
          </cell>
          <cell r="F20">
            <v>5.65</v>
          </cell>
        </row>
        <row r="21">
          <cell r="D21" t="str">
            <v>000401-088</v>
          </cell>
          <cell r="E21">
            <v>2200000</v>
          </cell>
          <cell r="F21">
            <v>6.85</v>
          </cell>
        </row>
        <row r="22">
          <cell r="D22" t="str">
            <v>000401-089</v>
          </cell>
          <cell r="E22">
            <v>746000</v>
          </cell>
          <cell r="F22">
            <v>6.85</v>
          </cell>
        </row>
        <row r="23">
          <cell r="D23" t="str">
            <v>000401-104</v>
          </cell>
          <cell r="E23">
            <v>220000</v>
          </cell>
          <cell r="F23">
            <v>5.65</v>
          </cell>
        </row>
        <row r="24">
          <cell r="D24" t="str">
            <v>000401-119</v>
          </cell>
          <cell r="E24">
            <v>500000</v>
          </cell>
          <cell r="F24">
            <v>3.4</v>
          </cell>
        </row>
        <row r="25">
          <cell r="D25" t="str">
            <v>000401-124</v>
          </cell>
          <cell r="E25">
            <v>94477.4</v>
          </cell>
          <cell r="F25">
            <v>5.9</v>
          </cell>
        </row>
        <row r="26">
          <cell r="D26" t="str">
            <v>000401-125</v>
          </cell>
          <cell r="E26">
            <v>38000</v>
          </cell>
          <cell r="F26">
            <v>5.9</v>
          </cell>
        </row>
        <row r="27">
          <cell r="D27" t="str">
            <v>000401-126</v>
          </cell>
          <cell r="E27">
            <v>100000</v>
          </cell>
          <cell r="F27">
            <v>7.9</v>
          </cell>
        </row>
        <row r="28">
          <cell r="D28" t="str">
            <v>000401-129</v>
          </cell>
          <cell r="E28">
            <v>188600</v>
          </cell>
          <cell r="F28">
            <v>6.9</v>
          </cell>
        </row>
        <row r="29">
          <cell r="D29" t="str">
            <v>000401-133</v>
          </cell>
          <cell r="E29">
            <v>160000</v>
          </cell>
          <cell r="F29">
            <v>6.4</v>
          </cell>
        </row>
        <row r="30">
          <cell r="D30" t="str">
            <v>000401-139</v>
          </cell>
          <cell r="E30">
            <v>1500000</v>
          </cell>
          <cell r="F30">
            <v>6.9</v>
          </cell>
        </row>
        <row r="31">
          <cell r="D31" t="str">
            <v>000401-142</v>
          </cell>
          <cell r="E31">
            <v>23000</v>
          </cell>
          <cell r="F31">
            <v>5.4</v>
          </cell>
        </row>
        <row r="32">
          <cell r="D32" t="str">
            <v>000401-143</v>
          </cell>
          <cell r="E32">
            <v>87500</v>
          </cell>
          <cell r="F32">
            <v>1.9</v>
          </cell>
        </row>
        <row r="33">
          <cell r="D33" t="str">
            <v>000401-144</v>
          </cell>
          <cell r="E33">
            <v>87500</v>
          </cell>
          <cell r="F33">
            <v>1.9</v>
          </cell>
        </row>
        <row r="34">
          <cell r="D34" t="str">
            <v>000401-146</v>
          </cell>
          <cell r="E34">
            <v>175000</v>
          </cell>
          <cell r="F34">
            <v>4.4000000000000004</v>
          </cell>
        </row>
        <row r="35">
          <cell r="D35" t="str">
            <v>000401-147</v>
          </cell>
          <cell r="E35">
            <v>160000</v>
          </cell>
          <cell r="F35">
            <v>4.79</v>
          </cell>
        </row>
        <row r="36">
          <cell r="D36" t="str">
            <v>000401-158</v>
          </cell>
          <cell r="E36">
            <v>100000</v>
          </cell>
          <cell r="F36">
            <v>8.9</v>
          </cell>
        </row>
        <row r="37">
          <cell r="D37" t="str">
            <v>000401-170</v>
          </cell>
          <cell r="E37">
            <v>122500</v>
          </cell>
          <cell r="F37">
            <v>4.4000000000000004</v>
          </cell>
        </row>
        <row r="38">
          <cell r="D38" t="str">
            <v>000401-171</v>
          </cell>
          <cell r="E38">
            <v>42652.99</v>
          </cell>
          <cell r="F38">
            <v>6.15</v>
          </cell>
        </row>
        <row r="39">
          <cell r="D39" t="str">
            <v>000401-177</v>
          </cell>
          <cell r="E39">
            <v>213500</v>
          </cell>
          <cell r="F39">
            <v>4.9000000000000004</v>
          </cell>
        </row>
        <row r="40">
          <cell r="D40" t="str">
            <v>000401-183</v>
          </cell>
          <cell r="E40">
            <v>50000</v>
          </cell>
          <cell r="F40">
            <v>4.9000000000000004</v>
          </cell>
        </row>
        <row r="41">
          <cell r="D41" t="str">
            <v>000401-185</v>
          </cell>
          <cell r="E41">
            <v>72500</v>
          </cell>
          <cell r="F41">
            <v>1.9</v>
          </cell>
        </row>
        <row r="42">
          <cell r="D42" t="str">
            <v>000401-186</v>
          </cell>
          <cell r="E42">
            <v>80000</v>
          </cell>
          <cell r="F42">
            <v>5.65</v>
          </cell>
        </row>
        <row r="43">
          <cell r="D43" t="str">
            <v>000401-187</v>
          </cell>
          <cell r="E43">
            <v>100000</v>
          </cell>
          <cell r="F43">
            <v>4.6500000000000004</v>
          </cell>
        </row>
        <row r="44">
          <cell r="D44" t="str">
            <v>000401-204</v>
          </cell>
          <cell r="E44">
            <v>100000</v>
          </cell>
          <cell r="F44">
            <v>3.4</v>
          </cell>
        </row>
        <row r="45">
          <cell r="D45" t="str">
            <v>000401-226</v>
          </cell>
          <cell r="E45">
            <v>122500</v>
          </cell>
          <cell r="F45">
            <v>4.4000000000000004</v>
          </cell>
        </row>
        <row r="46">
          <cell r="D46" t="str">
            <v>000401-248</v>
          </cell>
          <cell r="E46">
            <v>500000</v>
          </cell>
          <cell r="F46">
            <v>7.9</v>
          </cell>
        </row>
        <row r="47">
          <cell r="D47" t="str">
            <v>000401-249</v>
          </cell>
          <cell r="E47">
            <v>90000</v>
          </cell>
          <cell r="F47">
            <v>1.9</v>
          </cell>
        </row>
        <row r="48">
          <cell r="D48" t="str">
            <v>000401-250</v>
          </cell>
          <cell r="E48">
            <v>1100000</v>
          </cell>
          <cell r="F48">
            <v>5.9</v>
          </cell>
        </row>
        <row r="49">
          <cell r="D49" t="str">
            <v>000401-253</v>
          </cell>
          <cell r="E49">
            <v>120000</v>
          </cell>
          <cell r="F49">
            <v>3.4</v>
          </cell>
        </row>
        <row r="50">
          <cell r="D50" t="str">
            <v>000401-262</v>
          </cell>
          <cell r="E50">
            <v>810000</v>
          </cell>
          <cell r="F50">
            <v>6.15</v>
          </cell>
        </row>
        <row r="51">
          <cell r="D51" t="str">
            <v>000401-265</v>
          </cell>
          <cell r="E51">
            <v>1050000</v>
          </cell>
          <cell r="F51">
            <v>6.15</v>
          </cell>
        </row>
        <row r="52">
          <cell r="D52" t="str">
            <v>000401-266</v>
          </cell>
          <cell r="E52">
            <v>330000</v>
          </cell>
          <cell r="F52">
            <v>4.9000000000000004</v>
          </cell>
        </row>
        <row r="53">
          <cell r="D53" t="str">
            <v>000401-276</v>
          </cell>
          <cell r="E53">
            <v>100000</v>
          </cell>
          <cell r="F53">
            <v>5.9</v>
          </cell>
        </row>
        <row r="54">
          <cell r="D54" t="str">
            <v>000401-277</v>
          </cell>
          <cell r="E54">
            <v>100000</v>
          </cell>
          <cell r="F54">
            <v>3.4</v>
          </cell>
        </row>
        <row r="55">
          <cell r="D55" t="str">
            <v>000401-281</v>
          </cell>
          <cell r="E55">
            <v>48500</v>
          </cell>
          <cell r="F55">
            <v>5.9</v>
          </cell>
        </row>
        <row r="56">
          <cell r="D56" t="str">
            <v>000401-285</v>
          </cell>
          <cell r="E56">
            <v>60000</v>
          </cell>
          <cell r="F56">
            <v>5.9</v>
          </cell>
        </row>
        <row r="57">
          <cell r="D57" t="str">
            <v>000401-291</v>
          </cell>
          <cell r="E57">
            <v>17500</v>
          </cell>
          <cell r="F57">
            <v>5.9</v>
          </cell>
        </row>
        <row r="58">
          <cell r="D58" t="str">
            <v>000401-293</v>
          </cell>
          <cell r="E58">
            <v>50000</v>
          </cell>
          <cell r="F58">
            <v>5.9</v>
          </cell>
        </row>
        <row r="59">
          <cell r="D59" t="str">
            <v>000401-295</v>
          </cell>
          <cell r="E59">
            <v>50000</v>
          </cell>
          <cell r="F59">
            <v>5.9</v>
          </cell>
        </row>
        <row r="60">
          <cell r="D60" t="str">
            <v>000401-297</v>
          </cell>
          <cell r="E60">
            <v>20000</v>
          </cell>
          <cell r="F60">
            <v>5.9</v>
          </cell>
        </row>
        <row r="61">
          <cell r="D61" t="str">
            <v>000401-298</v>
          </cell>
          <cell r="E61">
            <v>87995</v>
          </cell>
          <cell r="F61">
            <v>5.9</v>
          </cell>
        </row>
        <row r="62">
          <cell r="D62" t="str">
            <v>000401-303</v>
          </cell>
          <cell r="E62">
            <v>985000</v>
          </cell>
          <cell r="F62">
            <v>6.15</v>
          </cell>
        </row>
        <row r="63">
          <cell r="D63" t="str">
            <v>000401-308</v>
          </cell>
          <cell r="E63">
            <v>191200</v>
          </cell>
          <cell r="F63">
            <v>5.4</v>
          </cell>
        </row>
        <row r="64">
          <cell r="D64" t="str">
            <v>000401-309</v>
          </cell>
          <cell r="E64">
            <v>41000</v>
          </cell>
          <cell r="F64">
            <v>6.15</v>
          </cell>
        </row>
        <row r="65">
          <cell r="D65" t="str">
            <v>000401-310</v>
          </cell>
          <cell r="E65">
            <v>100000</v>
          </cell>
          <cell r="F65">
            <v>4.9000000000000004</v>
          </cell>
        </row>
        <row r="66">
          <cell r="D66" t="str">
            <v>000401-312</v>
          </cell>
          <cell r="E66">
            <v>150000</v>
          </cell>
          <cell r="F66">
            <v>4.4000000000000004</v>
          </cell>
        </row>
        <row r="67">
          <cell r="D67" t="str">
            <v>000401-333</v>
          </cell>
          <cell r="E67">
            <v>75000</v>
          </cell>
          <cell r="F67">
            <v>3.4</v>
          </cell>
        </row>
        <row r="68">
          <cell r="D68" t="str">
            <v>000401-335</v>
          </cell>
          <cell r="E68">
            <v>95000</v>
          </cell>
          <cell r="F68">
            <v>6.4</v>
          </cell>
        </row>
        <row r="69">
          <cell r="D69" t="str">
            <v>000401-337</v>
          </cell>
          <cell r="E69">
            <v>185000</v>
          </cell>
          <cell r="F69">
            <v>6.4</v>
          </cell>
        </row>
        <row r="70">
          <cell r="D70" t="str">
            <v>000401-338</v>
          </cell>
          <cell r="E70">
            <v>500000</v>
          </cell>
          <cell r="F70">
            <v>6.85</v>
          </cell>
        </row>
        <row r="71">
          <cell r="D71" t="str">
            <v>000401-339</v>
          </cell>
          <cell r="E71">
            <v>500000</v>
          </cell>
          <cell r="F71">
            <v>6.85</v>
          </cell>
        </row>
        <row r="72">
          <cell r="D72" t="str">
            <v>000401-350</v>
          </cell>
          <cell r="E72">
            <v>110000</v>
          </cell>
          <cell r="F72">
            <v>3.9</v>
          </cell>
        </row>
        <row r="73">
          <cell r="D73" t="str">
            <v>000401-369</v>
          </cell>
          <cell r="E73">
            <v>150000</v>
          </cell>
          <cell r="F73">
            <v>5.9</v>
          </cell>
        </row>
        <row r="74">
          <cell r="D74" t="str">
            <v>000401-377</v>
          </cell>
          <cell r="E74">
            <v>150000</v>
          </cell>
          <cell r="F74">
            <v>4.4000000000000004</v>
          </cell>
        </row>
        <row r="75">
          <cell r="D75" t="str">
            <v>000401-378</v>
          </cell>
          <cell r="E75">
            <v>1100000</v>
          </cell>
          <cell r="F75">
            <v>6.6</v>
          </cell>
        </row>
        <row r="76">
          <cell r="D76" t="str">
            <v>000401-379</v>
          </cell>
          <cell r="E76">
            <v>1400055.56</v>
          </cell>
          <cell r="F76">
            <v>6.9</v>
          </cell>
        </row>
        <row r="77">
          <cell r="D77" t="str">
            <v>000401-387</v>
          </cell>
          <cell r="E77">
            <v>300000</v>
          </cell>
          <cell r="F77">
            <v>6.49</v>
          </cell>
        </row>
        <row r="78">
          <cell r="D78" t="str">
            <v>000401-388</v>
          </cell>
          <cell r="E78">
            <v>437500</v>
          </cell>
          <cell r="F78">
            <v>8.9</v>
          </cell>
        </row>
        <row r="79">
          <cell r="D79" t="str">
            <v>000401-427</v>
          </cell>
          <cell r="E79">
            <v>158000</v>
          </cell>
          <cell r="F79">
            <v>4.4000000000000004</v>
          </cell>
        </row>
        <row r="80">
          <cell r="D80" t="str">
            <v>000401-428</v>
          </cell>
          <cell r="E80">
            <v>1200000</v>
          </cell>
          <cell r="F80">
            <v>6.4</v>
          </cell>
        </row>
        <row r="81">
          <cell r="D81" t="str">
            <v>000401-429</v>
          </cell>
          <cell r="E81">
            <v>320000</v>
          </cell>
          <cell r="F81">
            <v>6.4</v>
          </cell>
        </row>
        <row r="82">
          <cell r="D82" t="str">
            <v>000401-430</v>
          </cell>
          <cell r="E82">
            <v>400000</v>
          </cell>
          <cell r="F82">
            <v>5.9</v>
          </cell>
        </row>
        <row r="83">
          <cell r="D83" t="str">
            <v>000401-431</v>
          </cell>
          <cell r="E83">
            <v>140000</v>
          </cell>
          <cell r="F83">
            <v>5.9</v>
          </cell>
        </row>
        <row r="84">
          <cell r="D84" t="str">
            <v>000401-432</v>
          </cell>
          <cell r="E84">
            <v>240000</v>
          </cell>
          <cell r="F84">
            <v>5.4</v>
          </cell>
        </row>
        <row r="85">
          <cell r="D85" t="str">
            <v>000401-433</v>
          </cell>
          <cell r="E85">
            <v>40000</v>
          </cell>
          <cell r="F85">
            <v>5.87</v>
          </cell>
        </row>
        <row r="86">
          <cell r="D86" t="str">
            <v>000401-434</v>
          </cell>
          <cell r="E86">
            <v>60000</v>
          </cell>
          <cell r="F86">
            <v>5.87</v>
          </cell>
        </row>
        <row r="87">
          <cell r="D87" t="str">
            <v>000401-435</v>
          </cell>
          <cell r="E87">
            <v>100000</v>
          </cell>
          <cell r="F87">
            <v>5.85</v>
          </cell>
        </row>
        <row r="88">
          <cell r="D88" t="str">
            <v>000401-436</v>
          </cell>
          <cell r="E88">
            <v>200000</v>
          </cell>
          <cell r="F88">
            <v>4.6500000000000004</v>
          </cell>
        </row>
        <row r="89">
          <cell r="D89" t="str">
            <v>000401-526</v>
          </cell>
          <cell r="E89">
            <v>1100000</v>
          </cell>
          <cell r="F89">
            <v>6.4</v>
          </cell>
        </row>
        <row r="90">
          <cell r="D90" t="str">
            <v>000401-528</v>
          </cell>
          <cell r="E90">
            <v>537381.16</v>
          </cell>
          <cell r="F90">
            <v>5.9</v>
          </cell>
        </row>
        <row r="91">
          <cell r="D91" t="str">
            <v>000401-529</v>
          </cell>
          <cell r="E91">
            <v>537381.17000000004</v>
          </cell>
          <cell r="F91">
            <v>5.88</v>
          </cell>
        </row>
        <row r="92">
          <cell r="D92" t="str">
            <v>000401-530</v>
          </cell>
          <cell r="E92">
            <v>2170000</v>
          </cell>
          <cell r="F92">
            <v>6.4</v>
          </cell>
        </row>
        <row r="93">
          <cell r="D93" t="str">
            <v>000401-531</v>
          </cell>
          <cell r="E93">
            <v>500000</v>
          </cell>
          <cell r="F93">
            <v>6.9</v>
          </cell>
        </row>
        <row r="94">
          <cell r="D94" t="str">
            <v>000401-532</v>
          </cell>
          <cell r="E94">
            <v>150000</v>
          </cell>
          <cell r="F94">
            <v>4.3899999999999997</v>
          </cell>
        </row>
        <row r="95">
          <cell r="D95" t="str">
            <v>000401-533</v>
          </cell>
          <cell r="E95">
            <v>75139</v>
          </cell>
          <cell r="F95">
            <v>7.4</v>
          </cell>
        </row>
        <row r="96">
          <cell r="D96" t="str">
            <v>000401-534</v>
          </cell>
          <cell r="E96">
            <v>220000</v>
          </cell>
          <cell r="F96">
            <v>7.4</v>
          </cell>
        </row>
        <row r="97">
          <cell r="D97" t="str">
            <v>000401-535</v>
          </cell>
          <cell r="E97">
            <v>53900</v>
          </cell>
          <cell r="F97">
            <v>6.13</v>
          </cell>
        </row>
        <row r="98">
          <cell r="D98" t="str">
            <v>000800-586</v>
          </cell>
          <cell r="E98">
            <v>100000</v>
          </cell>
          <cell r="F98">
            <v>4.4000000000000004</v>
          </cell>
        </row>
        <row r="99">
          <cell r="D99" t="str">
            <v>000800-669</v>
          </cell>
          <cell r="E99">
            <v>22000</v>
          </cell>
          <cell r="F99">
            <v>6.15</v>
          </cell>
        </row>
        <row r="100">
          <cell r="D100" t="str">
            <v>000800-725</v>
          </cell>
          <cell r="E100">
            <v>100000</v>
          </cell>
          <cell r="F100">
            <v>7.4</v>
          </cell>
        </row>
        <row r="101">
          <cell r="D101" t="str">
            <v>000800-729</v>
          </cell>
          <cell r="E101">
            <v>300000</v>
          </cell>
          <cell r="F101">
            <v>6.9</v>
          </cell>
        </row>
        <row r="102">
          <cell r="D102" t="str">
            <v>000800-753</v>
          </cell>
          <cell r="E102">
            <v>415230</v>
          </cell>
          <cell r="F102">
            <v>7.4</v>
          </cell>
        </row>
        <row r="103">
          <cell r="D103" t="str">
            <v>000800-754</v>
          </cell>
          <cell r="E103">
            <v>200000</v>
          </cell>
          <cell r="F103">
            <v>7.4</v>
          </cell>
        </row>
        <row r="104">
          <cell r="D104" t="str">
            <v>000800-759</v>
          </cell>
          <cell r="E104">
            <v>150000</v>
          </cell>
          <cell r="F104">
            <v>4.9000000000000004</v>
          </cell>
        </row>
        <row r="105">
          <cell r="D105" t="str">
            <v>000800-763</v>
          </cell>
          <cell r="E105">
            <v>100000</v>
          </cell>
          <cell r="F105">
            <v>5.9</v>
          </cell>
        </row>
        <row r="106">
          <cell r="D106" t="str">
            <v>000800-764</v>
          </cell>
          <cell r="E106">
            <v>950000</v>
          </cell>
          <cell r="F106">
            <v>5.9</v>
          </cell>
        </row>
        <row r="107">
          <cell r="D107" t="str">
            <v>000800-765</v>
          </cell>
          <cell r="E107">
            <v>250000</v>
          </cell>
          <cell r="F107">
            <v>4.9000000000000004</v>
          </cell>
        </row>
        <row r="108">
          <cell r="D108" t="str">
            <v>000800-766</v>
          </cell>
          <cell r="E108">
            <v>440000</v>
          </cell>
          <cell r="F108">
            <v>6.4</v>
          </cell>
        </row>
        <row r="109">
          <cell r="D109" t="str">
            <v>000800-776</v>
          </cell>
          <cell r="E109">
            <v>173000</v>
          </cell>
          <cell r="F109">
            <v>4.4000000000000004</v>
          </cell>
        </row>
        <row r="110">
          <cell r="D110" t="str">
            <v>000800-777</v>
          </cell>
          <cell r="E110">
            <v>220000</v>
          </cell>
          <cell r="F110">
            <v>5.9</v>
          </cell>
        </row>
        <row r="111">
          <cell r="D111" t="str">
            <v>000800-778</v>
          </cell>
          <cell r="E111">
            <v>300000</v>
          </cell>
          <cell r="F111">
            <v>5.9</v>
          </cell>
        </row>
        <row r="112">
          <cell r="D112" t="str">
            <v>000800-811</v>
          </cell>
          <cell r="E112">
            <v>600000</v>
          </cell>
          <cell r="F112">
            <v>6.6</v>
          </cell>
        </row>
        <row r="113">
          <cell r="D113" t="str">
            <v>000800-817</v>
          </cell>
          <cell r="E113">
            <v>330000</v>
          </cell>
          <cell r="F113">
            <v>1.9</v>
          </cell>
        </row>
        <row r="114">
          <cell r="D114" t="str">
            <v>000800-818</v>
          </cell>
          <cell r="E114">
            <v>330000</v>
          </cell>
          <cell r="F114">
            <v>1.9</v>
          </cell>
        </row>
        <row r="115">
          <cell r="D115" t="str">
            <v>000800-823</v>
          </cell>
          <cell r="E115">
            <v>50000</v>
          </cell>
          <cell r="F115">
            <v>4.6500000000000004</v>
          </cell>
        </row>
        <row r="116">
          <cell r="D116" t="str">
            <v>000800-827</v>
          </cell>
          <cell r="E116">
            <v>200000</v>
          </cell>
          <cell r="F116">
            <v>8.9</v>
          </cell>
        </row>
        <row r="117">
          <cell r="D117" t="str">
            <v>000800-836</v>
          </cell>
          <cell r="E117">
            <v>170000</v>
          </cell>
          <cell r="F117">
            <v>3.4</v>
          </cell>
        </row>
        <row r="118">
          <cell r="D118" t="str">
            <v>000800-838</v>
          </cell>
          <cell r="E118">
            <v>300000</v>
          </cell>
          <cell r="F118">
            <v>0.4</v>
          </cell>
        </row>
        <row r="119">
          <cell r="D119" t="str">
            <v>000800-842</v>
          </cell>
          <cell r="E119">
            <v>188000</v>
          </cell>
          <cell r="F119">
            <v>4.4000000000000004</v>
          </cell>
        </row>
        <row r="120">
          <cell r="D120" t="str">
            <v>000800-853</v>
          </cell>
          <cell r="E120">
            <v>465000</v>
          </cell>
          <cell r="F120">
            <v>6.4</v>
          </cell>
        </row>
        <row r="121">
          <cell r="D121" t="str">
            <v>000800-860</v>
          </cell>
          <cell r="E121">
            <v>200000</v>
          </cell>
          <cell r="F121">
            <v>6.4</v>
          </cell>
        </row>
        <row r="122">
          <cell r="D122" t="str">
            <v>000800-917</v>
          </cell>
          <cell r="E122">
            <v>70000</v>
          </cell>
          <cell r="F122">
            <v>7.9</v>
          </cell>
        </row>
        <row r="123">
          <cell r="D123" t="str">
            <v>000800-921</v>
          </cell>
          <cell r="E123">
            <v>134000</v>
          </cell>
          <cell r="F123">
            <v>3.4</v>
          </cell>
        </row>
        <row r="124">
          <cell r="D124" t="str">
            <v>000800-932</v>
          </cell>
          <cell r="E124">
            <v>120000</v>
          </cell>
          <cell r="F124">
            <v>5.4</v>
          </cell>
        </row>
        <row r="125">
          <cell r="D125" t="str">
            <v>000800-936</v>
          </cell>
          <cell r="E125">
            <v>78000</v>
          </cell>
          <cell r="F125">
            <v>1.9</v>
          </cell>
        </row>
        <row r="126">
          <cell r="D126" t="str">
            <v>000800-960</v>
          </cell>
          <cell r="E126">
            <v>138000</v>
          </cell>
          <cell r="F126">
            <v>4.4000000000000004</v>
          </cell>
        </row>
        <row r="127">
          <cell r="D127" t="str">
            <v>000800-968</v>
          </cell>
          <cell r="E127">
            <v>80000</v>
          </cell>
          <cell r="F127">
            <v>5.4</v>
          </cell>
        </row>
        <row r="128">
          <cell r="D128" t="str">
            <v>000900-002</v>
          </cell>
          <cell r="E128">
            <v>100000</v>
          </cell>
          <cell r="F128">
            <v>6.4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Datos"/>
      <sheetName val="Validaciones (2)"/>
      <sheetName val="cuadre (2)"/>
      <sheetName val="Auxiliar AGOSTO"/>
      <sheetName val="T24 MG"/>
      <sheetName val="Log de Cambios"/>
      <sheetName val="Validaciones"/>
      <sheetName val="cuad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14">
          <cell r="H14">
            <v>-4412.05</v>
          </cell>
        </row>
        <row r="17">
          <cell r="H17">
            <v>-7921.64</v>
          </cell>
        </row>
        <row r="20">
          <cell r="H20">
            <v>-11330.96</v>
          </cell>
        </row>
        <row r="23">
          <cell r="H23">
            <v>-11330.96</v>
          </cell>
        </row>
        <row r="26">
          <cell r="H26">
            <v>-139260.4</v>
          </cell>
        </row>
        <row r="29">
          <cell r="H29">
            <v>-12283.55</v>
          </cell>
        </row>
        <row r="41">
          <cell r="H41">
            <v>-8581.7800000000007</v>
          </cell>
        </row>
        <row r="50">
          <cell r="H50">
            <v>-7350</v>
          </cell>
        </row>
        <row r="53">
          <cell r="H53">
            <v>-20756.7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Inversiones"/>
      <sheetName val="Hoja1"/>
    </sheetNames>
    <sheetDataSet>
      <sheetData sheetId="0"/>
      <sheetData sheetId="1">
        <row r="1">
          <cell r="G1" t="str">
            <v>IDActivo</v>
          </cell>
          <cell r="H1" t="str">
            <v>PrecioMercado</v>
          </cell>
        </row>
        <row r="2">
          <cell r="G2" t="str">
            <v>000401-526</v>
          </cell>
          <cell r="H2">
            <v>6.4</v>
          </cell>
        </row>
        <row r="3">
          <cell r="G3" t="str">
            <v>000401-528</v>
          </cell>
          <cell r="H3">
            <v>5.9</v>
          </cell>
        </row>
        <row r="4">
          <cell r="G4" t="str">
            <v>000401-529</v>
          </cell>
          <cell r="H4">
            <v>5.9</v>
          </cell>
        </row>
        <row r="5">
          <cell r="G5" t="str">
            <v>000401-531</v>
          </cell>
          <cell r="H5">
            <v>6.9</v>
          </cell>
        </row>
        <row r="6">
          <cell r="G6" t="str">
            <v>000401-532</v>
          </cell>
          <cell r="H6">
            <v>0.50629999999999997</v>
          </cell>
        </row>
        <row r="7">
          <cell r="G7" t="str">
            <v>000401-533</v>
          </cell>
          <cell r="H7">
            <v>7.4</v>
          </cell>
        </row>
        <row r="8">
          <cell r="G8" t="str">
            <v>000401-534</v>
          </cell>
          <cell r="H8">
            <v>7.4</v>
          </cell>
        </row>
        <row r="9">
          <cell r="G9" t="str">
            <v>000401-535</v>
          </cell>
          <cell r="H9">
            <v>6.15</v>
          </cell>
        </row>
        <row r="10">
          <cell r="G10" t="str">
            <v>000401-548</v>
          </cell>
          <cell r="H10">
            <v>4.4120499999999998</v>
          </cell>
        </row>
        <row r="11">
          <cell r="G11" t="str">
            <v>000401-552</v>
          </cell>
          <cell r="H11">
            <v>7.92164</v>
          </cell>
        </row>
        <row r="12">
          <cell r="G12" t="str">
            <v>000401-559</v>
          </cell>
          <cell r="H12">
            <v>5.6654799999999996</v>
          </cell>
        </row>
        <row r="13">
          <cell r="G13" t="str">
            <v>000401-561</v>
          </cell>
          <cell r="H13">
            <v>5.6654799999999996</v>
          </cell>
        </row>
        <row r="14">
          <cell r="G14" t="str">
            <v>000401-568</v>
          </cell>
          <cell r="H14">
            <v>6.4175300000000002</v>
          </cell>
        </row>
        <row r="15">
          <cell r="G15" t="str">
            <v>000401-576</v>
          </cell>
          <cell r="H15">
            <v>4.9000000000000004</v>
          </cell>
        </row>
        <row r="16">
          <cell r="G16" t="str">
            <v>000401-577</v>
          </cell>
          <cell r="H16">
            <v>4.9134200000000003</v>
          </cell>
        </row>
        <row r="17">
          <cell r="G17" t="str">
            <v>000401-583</v>
          </cell>
          <cell r="H17">
            <v>6.9188999999999998</v>
          </cell>
        </row>
        <row r="18">
          <cell r="G18" t="str">
            <v>000401-584</v>
          </cell>
          <cell r="H18">
            <v>2.2268500000000002</v>
          </cell>
        </row>
        <row r="19">
          <cell r="G19" t="str">
            <v>000401-609</v>
          </cell>
          <cell r="H19">
            <v>4.4120499999999998</v>
          </cell>
        </row>
        <row r="20">
          <cell r="G20" t="str">
            <v>000401-618</v>
          </cell>
          <cell r="H20">
            <v>5.9161599999999996</v>
          </cell>
        </row>
        <row r="21">
          <cell r="G21" t="str">
            <v>000401-620</v>
          </cell>
          <cell r="H21">
            <v>5.9161599999999996</v>
          </cell>
        </row>
        <row r="22">
          <cell r="G22" t="str">
            <v>000401-625</v>
          </cell>
          <cell r="H22">
            <v>5.9161599999999996</v>
          </cell>
        </row>
        <row r="23">
          <cell r="G23" t="str">
            <v>000401-626</v>
          </cell>
          <cell r="H23">
            <v>5.9161599999999996</v>
          </cell>
        </row>
        <row r="24">
          <cell r="G24" t="str">
            <v>000401-627</v>
          </cell>
          <cell r="H24">
            <v>6.4175300000000002</v>
          </cell>
        </row>
        <row r="25">
          <cell r="G25" t="str">
            <v>000401-644</v>
          </cell>
          <cell r="H25">
            <v>5.4</v>
          </cell>
        </row>
        <row r="26">
          <cell r="G26" t="str">
            <v>000401-653</v>
          </cell>
          <cell r="H26">
            <v>6.6</v>
          </cell>
        </row>
        <row r="27">
          <cell r="G27" t="str">
            <v>000401-654</v>
          </cell>
          <cell r="H27">
            <v>2.9</v>
          </cell>
        </row>
        <row r="28">
          <cell r="G28" t="str">
            <v>000401-660</v>
          </cell>
          <cell r="H28">
            <v>1.9</v>
          </cell>
        </row>
        <row r="29">
          <cell r="G29" t="str">
            <v>000401-663</v>
          </cell>
          <cell r="H29">
            <v>4.6500000000000004</v>
          </cell>
        </row>
        <row r="30">
          <cell r="G30" t="str">
            <v>000401-664</v>
          </cell>
          <cell r="H30">
            <v>8.9</v>
          </cell>
        </row>
        <row r="31">
          <cell r="G31" t="str">
            <v>000401-674</v>
          </cell>
          <cell r="H31">
            <v>1.9</v>
          </cell>
        </row>
        <row r="32">
          <cell r="G32" t="str">
            <v>000401-676</v>
          </cell>
          <cell r="H32">
            <v>6.4</v>
          </cell>
        </row>
        <row r="33">
          <cell r="G33" t="str">
            <v>000401-677</v>
          </cell>
          <cell r="H33">
            <v>0.4</v>
          </cell>
        </row>
        <row r="34">
          <cell r="G34" t="str">
            <v>000401-678</v>
          </cell>
          <cell r="H34">
            <v>6.4</v>
          </cell>
        </row>
        <row r="35">
          <cell r="G35" t="str">
            <v>000401-681</v>
          </cell>
          <cell r="H35">
            <v>3.4</v>
          </cell>
        </row>
        <row r="36">
          <cell r="G36" t="str">
            <v>000401-683</v>
          </cell>
          <cell r="H36">
            <v>4.4000000000000004</v>
          </cell>
        </row>
        <row r="37">
          <cell r="G37" t="str">
            <v>000401-684</v>
          </cell>
          <cell r="H37">
            <v>0.4</v>
          </cell>
        </row>
        <row r="38">
          <cell r="G38" t="str">
            <v>000401-693</v>
          </cell>
          <cell r="H38">
            <v>5.4</v>
          </cell>
        </row>
        <row r="39">
          <cell r="G39" t="str">
            <v>000401-704</v>
          </cell>
          <cell r="H39">
            <v>1.9</v>
          </cell>
        </row>
        <row r="40">
          <cell r="G40" t="str">
            <v>000401-705</v>
          </cell>
          <cell r="H40">
            <v>1.9</v>
          </cell>
        </row>
        <row r="41">
          <cell r="G41" t="str">
            <v>000401-707</v>
          </cell>
          <cell r="H41">
            <v>6.4</v>
          </cell>
        </row>
        <row r="42">
          <cell r="G42" t="str">
            <v>000401-750</v>
          </cell>
          <cell r="H42">
            <v>3.4</v>
          </cell>
        </row>
        <row r="43">
          <cell r="G43" t="str">
            <v>000401-751</v>
          </cell>
          <cell r="H43">
            <v>5.4</v>
          </cell>
        </row>
        <row r="44">
          <cell r="G44" t="str">
            <v>000401-755</v>
          </cell>
          <cell r="H44">
            <v>5.9</v>
          </cell>
        </row>
        <row r="45">
          <cell r="G45" t="str">
            <v>000401-757</v>
          </cell>
          <cell r="H45">
            <v>5.4</v>
          </cell>
        </row>
        <row r="46">
          <cell r="G46" t="str">
            <v>000401-759</v>
          </cell>
          <cell r="H46">
            <v>1.9</v>
          </cell>
        </row>
        <row r="47">
          <cell r="G47" t="str">
            <v>000401-761</v>
          </cell>
          <cell r="H47">
            <v>4.4000000000000004</v>
          </cell>
        </row>
        <row r="48">
          <cell r="G48" t="str">
            <v>000401-780</v>
          </cell>
          <cell r="H48">
            <v>6.4</v>
          </cell>
        </row>
        <row r="49">
          <cell r="G49" t="str">
            <v>000401-826</v>
          </cell>
          <cell r="H49">
            <v>5.9</v>
          </cell>
        </row>
        <row r="50">
          <cell r="G50" t="str">
            <v>000401-827</v>
          </cell>
          <cell r="H50">
            <v>5.9</v>
          </cell>
        </row>
        <row r="51">
          <cell r="G51" t="str">
            <v>000401-828</v>
          </cell>
          <cell r="H51">
            <v>5.85</v>
          </cell>
        </row>
        <row r="52">
          <cell r="G52" t="str">
            <v>000401-829</v>
          </cell>
          <cell r="H52">
            <v>5.85</v>
          </cell>
        </row>
        <row r="53">
          <cell r="G53" t="str">
            <v>000401-891</v>
          </cell>
          <cell r="H53">
            <v>4.4000000000000004</v>
          </cell>
        </row>
        <row r="54">
          <cell r="G54" t="str">
            <v>000401-902</v>
          </cell>
          <cell r="H54">
            <v>0.4</v>
          </cell>
        </row>
        <row r="55">
          <cell r="G55" t="str">
            <v>000401-915</v>
          </cell>
          <cell r="H55">
            <v>6.4</v>
          </cell>
        </row>
        <row r="56">
          <cell r="G56" t="str">
            <v>000401-922</v>
          </cell>
          <cell r="H56">
            <v>6.9</v>
          </cell>
        </row>
        <row r="57">
          <cell r="G57" t="str">
            <v>000401-926</v>
          </cell>
          <cell r="H57">
            <v>5.65</v>
          </cell>
        </row>
        <row r="58">
          <cell r="G58" t="str">
            <v>000401-934</v>
          </cell>
          <cell r="H58">
            <v>5.65</v>
          </cell>
        </row>
        <row r="59">
          <cell r="G59" t="str">
            <v>000401-935</v>
          </cell>
          <cell r="H59">
            <v>5.65</v>
          </cell>
        </row>
        <row r="60">
          <cell r="G60" t="str">
            <v>000401-936</v>
          </cell>
          <cell r="H60">
            <v>5.65</v>
          </cell>
        </row>
        <row r="61">
          <cell r="G61" t="str">
            <v>000401-937</v>
          </cell>
          <cell r="H61">
            <v>5.65</v>
          </cell>
        </row>
        <row r="62">
          <cell r="G62" t="str">
            <v>000401-938</v>
          </cell>
          <cell r="H62">
            <v>5.65</v>
          </cell>
        </row>
        <row r="63">
          <cell r="G63" t="str">
            <v>000401-939</v>
          </cell>
          <cell r="H63">
            <v>5.65</v>
          </cell>
        </row>
        <row r="64">
          <cell r="G64" t="str">
            <v>000401-940</v>
          </cell>
          <cell r="H64">
            <v>5.65</v>
          </cell>
        </row>
        <row r="65">
          <cell r="G65" t="str">
            <v>000401-941</v>
          </cell>
          <cell r="H65">
            <v>5.65</v>
          </cell>
        </row>
        <row r="66">
          <cell r="G66" t="str">
            <v>000401-951</v>
          </cell>
          <cell r="H66">
            <v>6.85</v>
          </cell>
        </row>
        <row r="67">
          <cell r="G67" t="str">
            <v>000401-956</v>
          </cell>
          <cell r="H67">
            <v>4.4000000000000004</v>
          </cell>
        </row>
        <row r="68">
          <cell r="G68" t="str">
            <v>000401-960</v>
          </cell>
          <cell r="H68">
            <v>1.9</v>
          </cell>
        </row>
        <row r="69">
          <cell r="G69" t="str">
            <v>000401-976</v>
          </cell>
          <cell r="H69">
            <v>1.9</v>
          </cell>
        </row>
        <row r="70">
          <cell r="G70" t="str">
            <v>000401-998</v>
          </cell>
          <cell r="H70">
            <v>5.65</v>
          </cell>
        </row>
        <row r="71">
          <cell r="G71" t="str">
            <v>000401-999</v>
          </cell>
          <cell r="H71">
            <v>1.9</v>
          </cell>
        </row>
        <row r="72">
          <cell r="G72" t="str">
            <v>000402-003</v>
          </cell>
          <cell r="H72">
            <v>7.55</v>
          </cell>
        </row>
        <row r="73">
          <cell r="G73" t="str">
            <v>000402-004</v>
          </cell>
          <cell r="H73">
            <v>5.65</v>
          </cell>
        </row>
        <row r="74">
          <cell r="G74" t="str">
            <v>000402-005</v>
          </cell>
          <cell r="H74">
            <v>5.65</v>
          </cell>
        </row>
        <row r="75">
          <cell r="G75" t="str">
            <v>000402-006</v>
          </cell>
          <cell r="H75">
            <v>1.9</v>
          </cell>
        </row>
        <row r="76">
          <cell r="G76" t="str">
            <v>000402-023</v>
          </cell>
          <cell r="H76">
            <v>6.85</v>
          </cell>
        </row>
        <row r="77">
          <cell r="G77" t="str">
            <v>000402-030</v>
          </cell>
          <cell r="H77">
            <v>4.4000000000000004</v>
          </cell>
        </row>
        <row r="78">
          <cell r="G78" t="str">
            <v>000402-032</v>
          </cell>
          <cell r="H78">
            <v>6.9</v>
          </cell>
        </row>
        <row r="79">
          <cell r="G79" t="str">
            <v>000402-033</v>
          </cell>
          <cell r="H79">
            <v>7.9</v>
          </cell>
        </row>
        <row r="80">
          <cell r="G80" t="str">
            <v>000402-034</v>
          </cell>
          <cell r="H80">
            <v>2.9</v>
          </cell>
        </row>
        <row r="81">
          <cell r="G81" t="str">
            <v>000402-041</v>
          </cell>
          <cell r="H81">
            <v>3.4</v>
          </cell>
        </row>
        <row r="82">
          <cell r="G82" t="str">
            <v>000402-046</v>
          </cell>
          <cell r="H82">
            <v>6.9</v>
          </cell>
        </row>
        <row r="83">
          <cell r="G83" t="str">
            <v>000402-050</v>
          </cell>
          <cell r="H83">
            <v>7.9</v>
          </cell>
        </row>
        <row r="84">
          <cell r="G84" t="str">
            <v>000402-051</v>
          </cell>
          <cell r="H84">
            <v>1.9</v>
          </cell>
        </row>
        <row r="85">
          <cell r="G85" t="str">
            <v>000402-052</v>
          </cell>
          <cell r="H85">
            <v>1.9</v>
          </cell>
        </row>
        <row r="86">
          <cell r="G86" t="str">
            <v>000402-059</v>
          </cell>
          <cell r="H86">
            <v>5.4</v>
          </cell>
        </row>
        <row r="87">
          <cell r="G87" t="str">
            <v>000402-061</v>
          </cell>
          <cell r="H87">
            <v>6.9</v>
          </cell>
        </row>
        <row r="88">
          <cell r="G88" t="str">
            <v>000402-066</v>
          </cell>
          <cell r="H88">
            <v>5.4</v>
          </cell>
        </row>
        <row r="89">
          <cell r="G89" t="str">
            <v>000402-067</v>
          </cell>
          <cell r="H89">
            <v>1.9</v>
          </cell>
        </row>
        <row r="90">
          <cell r="G90" t="str">
            <v>000402-068</v>
          </cell>
          <cell r="H90">
            <v>1.9</v>
          </cell>
        </row>
        <row r="91">
          <cell r="G91" t="str">
            <v>000402-074</v>
          </cell>
          <cell r="H91">
            <v>8.9</v>
          </cell>
        </row>
        <row r="92">
          <cell r="G92" t="str">
            <v>000402-095</v>
          </cell>
          <cell r="H92">
            <v>4.4000000000000004</v>
          </cell>
        </row>
        <row r="93">
          <cell r="G93" t="str">
            <v>000402-096</v>
          </cell>
          <cell r="H93">
            <v>5.9</v>
          </cell>
        </row>
        <row r="94">
          <cell r="G94" t="str">
            <v>000402-118</v>
          </cell>
          <cell r="H94">
            <v>6.15</v>
          </cell>
        </row>
        <row r="95">
          <cell r="G95" t="str">
            <v>000402-132</v>
          </cell>
          <cell r="H95">
            <v>4.9000000000000004</v>
          </cell>
        </row>
        <row r="96">
          <cell r="G96" t="str">
            <v>000402-133</v>
          </cell>
          <cell r="H96">
            <v>1.9</v>
          </cell>
        </row>
        <row r="97">
          <cell r="G97" t="str">
            <v>000402-134</v>
          </cell>
          <cell r="H97">
            <v>5.65</v>
          </cell>
        </row>
        <row r="98">
          <cell r="G98" t="str">
            <v>000402-135</v>
          </cell>
          <cell r="H98">
            <v>4.6500000000000004</v>
          </cell>
        </row>
        <row r="99">
          <cell r="G99" t="str">
            <v>000402-157</v>
          </cell>
          <cell r="H99">
            <v>3.4</v>
          </cell>
        </row>
        <row r="100">
          <cell r="G100" t="str">
            <v>000402-208</v>
          </cell>
          <cell r="H100">
            <v>4.4000000000000004</v>
          </cell>
        </row>
        <row r="101">
          <cell r="G101" t="str">
            <v>000402-223</v>
          </cell>
          <cell r="H101">
            <v>1.9</v>
          </cell>
        </row>
        <row r="102">
          <cell r="G102" t="str">
            <v>000402-226</v>
          </cell>
          <cell r="H102">
            <v>5.92</v>
          </cell>
        </row>
        <row r="103">
          <cell r="G103" t="str">
            <v>000402-246</v>
          </cell>
          <cell r="H103">
            <v>3.4</v>
          </cell>
        </row>
        <row r="104">
          <cell r="G104" t="str">
            <v>000402-256</v>
          </cell>
          <cell r="H104">
            <v>5.65</v>
          </cell>
        </row>
        <row r="105">
          <cell r="G105" t="str">
            <v>000402-267</v>
          </cell>
          <cell r="H105">
            <v>4.9000000000000004</v>
          </cell>
        </row>
        <row r="106">
          <cell r="G106" t="str">
            <v>000402-281</v>
          </cell>
          <cell r="H106">
            <v>6.4</v>
          </cell>
        </row>
        <row r="107">
          <cell r="G107" t="str">
            <v>000402-283</v>
          </cell>
          <cell r="H107">
            <v>5.65</v>
          </cell>
        </row>
        <row r="108">
          <cell r="G108" t="str">
            <v>000402-296</v>
          </cell>
          <cell r="H108">
            <v>3.4</v>
          </cell>
        </row>
        <row r="109">
          <cell r="G109" t="str">
            <v>000402-297</v>
          </cell>
          <cell r="H109">
            <v>5.4</v>
          </cell>
        </row>
        <row r="110">
          <cell r="G110" t="str">
            <v>000402-298</v>
          </cell>
          <cell r="H110">
            <v>6</v>
          </cell>
        </row>
        <row r="111">
          <cell r="G111" t="str">
            <v>000402-299</v>
          </cell>
          <cell r="H111">
            <v>6</v>
          </cell>
        </row>
        <row r="112">
          <cell r="G112" t="str">
            <v>000402-300</v>
          </cell>
          <cell r="H112">
            <v>6</v>
          </cell>
        </row>
        <row r="113">
          <cell r="G113" t="str">
            <v>000402-301</v>
          </cell>
          <cell r="H113">
            <v>6</v>
          </cell>
        </row>
        <row r="114">
          <cell r="G114" t="str">
            <v>000402-302</v>
          </cell>
          <cell r="H114">
            <v>6</v>
          </cell>
        </row>
        <row r="115">
          <cell r="G115" t="str">
            <v>000402-303</v>
          </cell>
          <cell r="H115">
            <v>6</v>
          </cell>
        </row>
        <row r="116">
          <cell r="G116" t="str">
            <v>000402-304</v>
          </cell>
          <cell r="H116">
            <v>6</v>
          </cell>
        </row>
        <row r="117">
          <cell r="G117" t="str">
            <v>000402-305</v>
          </cell>
          <cell r="H117">
            <v>6</v>
          </cell>
        </row>
        <row r="118">
          <cell r="G118" t="str">
            <v>000402-309</v>
          </cell>
          <cell r="H118">
            <v>6.15</v>
          </cell>
        </row>
        <row r="119">
          <cell r="G119" t="str">
            <v>000402-329</v>
          </cell>
          <cell r="H119">
            <v>4.9000000000000004</v>
          </cell>
        </row>
        <row r="120">
          <cell r="G120" t="str">
            <v>000402-330</v>
          </cell>
          <cell r="H120">
            <v>4.4000000000000004</v>
          </cell>
        </row>
        <row r="121">
          <cell r="G121" t="str">
            <v>000402-331</v>
          </cell>
          <cell r="H121">
            <v>6.15</v>
          </cell>
        </row>
        <row r="122">
          <cell r="G122" t="str">
            <v>000402-367</v>
          </cell>
          <cell r="H122">
            <v>4.4000000000000004</v>
          </cell>
        </row>
        <row r="123">
          <cell r="G123" t="str">
            <v>000402-368</v>
          </cell>
          <cell r="H123">
            <v>4.4000000000000004</v>
          </cell>
        </row>
        <row r="124">
          <cell r="G124" t="str">
            <v>000402-373</v>
          </cell>
          <cell r="H124">
            <v>3.4</v>
          </cell>
        </row>
        <row r="125">
          <cell r="G125" t="str">
            <v>000402-379</v>
          </cell>
          <cell r="H125">
            <v>7.55</v>
          </cell>
        </row>
        <row r="126">
          <cell r="G126" t="str">
            <v>000402-380</v>
          </cell>
          <cell r="H126">
            <v>7.55</v>
          </cell>
        </row>
        <row r="127">
          <cell r="G127" t="str">
            <v>000402-412</v>
          </cell>
          <cell r="H127">
            <v>6.4</v>
          </cell>
        </row>
        <row r="128">
          <cell r="G128" t="str">
            <v>000402-413</v>
          </cell>
          <cell r="H128">
            <v>6.4</v>
          </cell>
        </row>
        <row r="129">
          <cell r="G129" t="str">
            <v>000402-419</v>
          </cell>
          <cell r="H129">
            <v>3.91</v>
          </cell>
        </row>
        <row r="130">
          <cell r="G130" t="str">
            <v>000402-434</v>
          </cell>
          <cell r="H130">
            <v>5.9</v>
          </cell>
        </row>
        <row r="131">
          <cell r="G131" t="str">
            <v>000402-449</v>
          </cell>
          <cell r="H131">
            <v>6.6</v>
          </cell>
        </row>
        <row r="132">
          <cell r="G132" t="str">
            <v>000402-450</v>
          </cell>
          <cell r="H132">
            <v>6.92</v>
          </cell>
        </row>
        <row r="133">
          <cell r="G133" t="str">
            <v>000402-467</v>
          </cell>
          <cell r="H133">
            <v>5.4</v>
          </cell>
        </row>
        <row r="134">
          <cell r="G134" t="str">
            <v>000402-480</v>
          </cell>
          <cell r="H134">
            <v>6.42</v>
          </cell>
        </row>
        <row r="135">
          <cell r="G135" t="str">
            <v>000402-489</v>
          </cell>
          <cell r="H135">
            <v>6.4</v>
          </cell>
        </row>
        <row r="136">
          <cell r="G136" t="str">
            <v>000402-490</v>
          </cell>
          <cell r="H136">
            <v>6.4</v>
          </cell>
        </row>
        <row r="137">
          <cell r="G137" t="str">
            <v>000402-500</v>
          </cell>
          <cell r="H137">
            <v>8.9</v>
          </cell>
        </row>
        <row r="138">
          <cell r="G138" t="str">
            <v>000402-523</v>
          </cell>
          <cell r="H138">
            <v>5.92</v>
          </cell>
        </row>
        <row r="139">
          <cell r="G139" t="str">
            <v>000402-524</v>
          </cell>
          <cell r="H139">
            <v>5.92</v>
          </cell>
        </row>
        <row r="140">
          <cell r="G140" t="str">
            <v>000402-525</v>
          </cell>
          <cell r="H140">
            <v>4.4000000000000004</v>
          </cell>
        </row>
        <row r="141">
          <cell r="G141" t="str">
            <v>000402-526</v>
          </cell>
          <cell r="H141">
            <v>3.4</v>
          </cell>
        </row>
        <row r="142">
          <cell r="G142" t="str">
            <v>000402-547</v>
          </cell>
          <cell r="H142">
            <v>5.85</v>
          </cell>
        </row>
        <row r="143">
          <cell r="G143" t="str">
            <v>000402-549</v>
          </cell>
          <cell r="H143">
            <v>5.85</v>
          </cell>
        </row>
        <row r="147">
          <cell r="G147" t="str">
            <v>10054-1</v>
          </cell>
          <cell r="H147" t="str">
            <v>000401-432</v>
          </cell>
        </row>
        <row r="148">
          <cell r="G148" t="str">
            <v>10332-1</v>
          </cell>
          <cell r="H148" t="str">
            <v>000401-427</v>
          </cell>
        </row>
        <row r="149">
          <cell r="G149" t="str">
            <v>11252-1</v>
          </cell>
          <cell r="H149" t="str">
            <v>000401-433</v>
          </cell>
        </row>
        <row r="150">
          <cell r="G150" t="str">
            <v>11252-1</v>
          </cell>
          <cell r="H150" t="str">
            <v>000401-434</v>
          </cell>
        </row>
        <row r="151">
          <cell r="G151" t="str">
            <v>11252-1</v>
          </cell>
          <cell r="H151" t="str">
            <v>000401-435</v>
          </cell>
        </row>
        <row r="152">
          <cell r="G152" t="str">
            <v>12010-1</v>
          </cell>
          <cell r="H152" t="str">
            <v>000401-388</v>
          </cell>
        </row>
        <row r="153">
          <cell r="G153" t="str">
            <v>12010-1</v>
          </cell>
          <cell r="H153" t="str">
            <v>000401-436</v>
          </cell>
        </row>
        <row r="154">
          <cell r="G154" t="str">
            <v>13508-1</v>
          </cell>
          <cell r="H154" t="str">
            <v>000401-428</v>
          </cell>
        </row>
        <row r="155">
          <cell r="G155" t="str">
            <v>13508-1</v>
          </cell>
          <cell r="H155" t="str">
            <v>000401-429</v>
          </cell>
        </row>
        <row r="156">
          <cell r="G156" t="str">
            <v>13651-1</v>
          </cell>
          <cell r="H156" t="str">
            <v>000401-379</v>
          </cell>
        </row>
        <row r="157">
          <cell r="G157" t="str">
            <v>14654-1</v>
          </cell>
          <cell r="H157" t="str">
            <v>000401-430</v>
          </cell>
        </row>
        <row r="158">
          <cell r="G158" t="str">
            <v>14654-1</v>
          </cell>
          <cell r="H158" t="str">
            <v>000401-431</v>
          </cell>
        </row>
        <row r="159">
          <cell r="G159" t="str">
            <v>101188-1</v>
          </cell>
          <cell r="H159" t="str">
            <v>000401-378</v>
          </cell>
        </row>
        <row r="160">
          <cell r="G160" t="str">
            <v>102990-1</v>
          </cell>
          <cell r="H160" t="str">
            <v>000401-387</v>
          </cell>
        </row>
        <row r="161">
          <cell r="G161" t="str">
            <v>101277-1</v>
          </cell>
          <cell r="H161" t="str">
            <v>000401-706</v>
          </cell>
        </row>
        <row r="162">
          <cell r="G162" t="str">
            <v>11474-1</v>
          </cell>
          <cell r="H162" t="str">
            <v>000401-742</v>
          </cell>
        </row>
        <row r="163">
          <cell r="G163" t="str">
            <v>10892-1</v>
          </cell>
          <cell r="H163" t="str">
            <v>000401-369</v>
          </cell>
        </row>
        <row r="165">
          <cell r="G165">
            <v>43983</v>
          </cell>
          <cell r="H165" t="str">
            <v>Debit Miscelaneous</v>
          </cell>
        </row>
        <row r="166">
          <cell r="H166" t="str">
            <v>SHORT PUT LPA101188 01JUN20 1.1MM</v>
          </cell>
        </row>
        <row r="167">
          <cell r="G167">
            <v>43985</v>
          </cell>
          <cell r="H167" t="str">
            <v>Debit Miscelaneous</v>
          </cell>
        </row>
        <row r="168">
          <cell r="H168" t="str">
            <v>SHORT PUT LPA13651 03JUN20 1.4MM</v>
          </cell>
        </row>
        <row r="169">
          <cell r="G169">
            <v>43986</v>
          </cell>
          <cell r="H169" t="str">
            <v>Debit Miscelaneous</v>
          </cell>
        </row>
        <row r="170">
          <cell r="H170" t="str">
            <v>SHORT PUT LPA13508 26JUN20 1.200K</v>
          </cell>
        </row>
        <row r="171">
          <cell r="G171">
            <v>43990</v>
          </cell>
          <cell r="H171" t="str">
            <v>Debit Miscelaneous</v>
          </cell>
        </row>
        <row r="172">
          <cell r="H172" t="str">
            <v>SHORT PUT LPA10054 06JUN20 240K</v>
          </cell>
        </row>
        <row r="173">
          <cell r="G173">
            <v>43986</v>
          </cell>
          <cell r="H173" t="str">
            <v>Debit Miscelaneous</v>
          </cell>
        </row>
        <row r="174">
          <cell r="H174" t="str">
            <v>SHORT PUT LPA 101277 20DIC20 249K</v>
          </cell>
        </row>
        <row r="175">
          <cell r="G175">
            <v>43986</v>
          </cell>
          <cell r="H175" t="str">
            <v>Debit Miscelaneous</v>
          </cell>
        </row>
        <row r="176">
          <cell r="H176" t="str">
            <v>SHORT PUT LPA 101277 10OCT20 750K</v>
          </cell>
        </row>
        <row r="177">
          <cell r="G177">
            <v>43990</v>
          </cell>
          <cell r="H177" t="str">
            <v>Debit Miscelaneous</v>
          </cell>
        </row>
        <row r="178">
          <cell r="H178" t="str">
            <v>SHORT PUT LPA102990 07JUN20 300K</v>
          </cell>
        </row>
        <row r="179">
          <cell r="G179">
            <v>43993</v>
          </cell>
          <cell r="H179" t="str">
            <v>Debit Miscelaneous</v>
          </cell>
        </row>
        <row r="180">
          <cell r="H180" t="str">
            <v>SHORT PUT LPA12010 11JUN20 437.5K</v>
          </cell>
        </row>
        <row r="181">
          <cell r="G181">
            <v>43997</v>
          </cell>
          <cell r="H181" t="str">
            <v>Debit Miscelaneous</v>
          </cell>
        </row>
        <row r="182">
          <cell r="H182" t="str">
            <v>SHORT PUT LPA11474 25OCT20 134K</v>
          </cell>
        </row>
        <row r="183">
          <cell r="G183">
            <v>43990</v>
          </cell>
          <cell r="H183" t="str">
            <v>Debit Miscelaneous</v>
          </cell>
        </row>
        <row r="184">
          <cell r="H184" t="str">
            <v>SHORT PUT LPA102990 07JUN21 300K</v>
          </cell>
        </row>
        <row r="185">
          <cell r="G185">
            <v>43999</v>
          </cell>
          <cell r="H185" t="str">
            <v>Debit Miscelaneous</v>
          </cell>
        </row>
        <row r="186">
          <cell r="H186" t="str">
            <v>SHORT PUT LPA14654 17JUN20 400K</v>
          </cell>
        </row>
        <row r="187">
          <cell r="G187">
            <v>43999</v>
          </cell>
          <cell r="H187" t="str">
            <v>Debit Miscelaneous</v>
          </cell>
        </row>
        <row r="188">
          <cell r="H188" t="str">
            <v>SHORT PUT LPA14654 17JUN20 140K</v>
          </cell>
        </row>
        <row r="189">
          <cell r="G189">
            <v>43999</v>
          </cell>
          <cell r="H189" t="str">
            <v>Debit Miscelaneous</v>
          </cell>
        </row>
        <row r="190">
          <cell r="H190" t="str">
            <v>SHORT PUT LPA10332 17JUN20 158K</v>
          </cell>
        </row>
        <row r="191">
          <cell r="G191">
            <v>44006</v>
          </cell>
          <cell r="H191" t="str">
            <v>Debit Miscelaneous</v>
          </cell>
        </row>
        <row r="192">
          <cell r="H192" t="str">
            <v>SHORT PUT LPA12010 24JUN20 200K</v>
          </cell>
        </row>
        <row r="193">
          <cell r="G193">
            <v>44005</v>
          </cell>
          <cell r="H193" t="str">
            <v>Debit Miscelaneous</v>
          </cell>
        </row>
        <row r="194">
          <cell r="H194" t="str">
            <v>SHORT PUT LPA13508 26JUN20 320K</v>
          </cell>
        </row>
        <row r="195">
          <cell r="G195">
            <v>44011</v>
          </cell>
          <cell r="H195" t="str">
            <v>Debit Miscelaneous</v>
          </cell>
        </row>
        <row r="196">
          <cell r="H196" t="str">
            <v>SHORT PUT LPA11252 28JUN20 60K</v>
          </cell>
        </row>
        <row r="197">
          <cell r="G197">
            <v>44011</v>
          </cell>
          <cell r="H197" t="str">
            <v>Debit Miscelaneous</v>
          </cell>
        </row>
        <row r="198">
          <cell r="H198" t="str">
            <v>SHORT PUT LPA11252 28JUN20 100K</v>
          </cell>
        </row>
        <row r="199">
          <cell r="G199">
            <v>44011</v>
          </cell>
          <cell r="H199" t="str">
            <v>Debit Miscelaneous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sana Alexander" id="{69DEE605-3357-4667-8EF2-B87CAF9AB036}" userId="S::salexander@inteligogroup.com::f9435303-23cb-4ffe-9d88-374daf52c65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19-10-31T22:43:40.09" personId="{69DEE605-3357-4667-8EF2-B87CAF9AB036}" id="{F14D29AB-20AA-43BC-AB02-C9BD76B4A8E3}">
    <text>1MM hasta sept. Saldo nominal 249387.92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0" dT="2020-03-31T17:17:05.34" personId="{69DEE605-3357-4667-8EF2-B87CAF9AB036}" id="{72E5F9A2-A462-4E23-BEA4-094EB868F906}">
    <text>viene del 103266-1 EN MARZO 2020 Transfer entre portafolios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D39B-7FCB-4CF0-8F27-EAC34C12F680}">
  <dimension ref="A1:JS190"/>
  <sheetViews>
    <sheetView workbookViewId="0">
      <pane xSplit="8172" ySplit="2304" topLeftCell="K179" activePane="bottomRight"/>
      <selection activeCell="A3" sqref="A3"/>
      <selection pane="topRight" activeCell="J4" sqref="J4"/>
      <selection pane="bottomLeft" activeCell="D185" sqref="D185"/>
      <selection pane="bottomRight" activeCell="P188" sqref="P188:P189"/>
    </sheetView>
  </sheetViews>
  <sheetFormatPr baseColWidth="10" defaultRowHeight="14.4" x14ac:dyDescent="0.3"/>
  <cols>
    <col min="4" max="4" width="23.21875" customWidth="1"/>
    <col min="5" max="5" width="14" bestFit="1" customWidth="1"/>
    <col min="7" max="7" width="11.5546875" bestFit="1" customWidth="1"/>
    <col min="8" max="8" width="13.77734375" bestFit="1" customWidth="1"/>
    <col min="9" max="9" width="11.5546875" customWidth="1"/>
    <col min="10" max="10" width="13" bestFit="1" customWidth="1"/>
    <col min="14" max="14" width="13" bestFit="1" customWidth="1"/>
    <col min="16" max="16" width="12.77734375" bestFit="1" customWidth="1"/>
    <col min="18" max="18" width="13" bestFit="1" customWidth="1"/>
  </cols>
  <sheetData>
    <row r="1" spans="1:279" x14ac:dyDescent="0.3">
      <c r="A1" t="s">
        <v>500</v>
      </c>
      <c r="F1" s="64"/>
      <c r="G1" s="64"/>
    </row>
    <row r="2" spans="1:279" x14ac:dyDescent="0.3">
      <c r="A2" t="s">
        <v>499</v>
      </c>
      <c r="F2" s="64"/>
      <c r="G2" s="64"/>
    </row>
    <row r="3" spans="1:279" x14ac:dyDescent="0.3">
      <c r="A3" t="s">
        <v>501</v>
      </c>
      <c r="F3" s="64"/>
      <c r="G3" s="64"/>
    </row>
    <row r="4" spans="1:279" x14ac:dyDescent="0.3">
      <c r="D4" s="15"/>
      <c r="E4" s="15"/>
      <c r="F4" s="64"/>
      <c r="G4" s="64"/>
      <c r="H4" s="15"/>
      <c r="I4" s="15"/>
      <c r="J4" s="15">
        <v>43799</v>
      </c>
      <c r="K4" s="15"/>
      <c r="L4" s="15"/>
      <c r="M4" s="15"/>
      <c r="N4" s="15">
        <v>43830</v>
      </c>
      <c r="O4" s="15"/>
      <c r="P4" s="15"/>
      <c r="Q4" s="15"/>
      <c r="R4" s="15">
        <v>43861</v>
      </c>
    </row>
    <row r="5" spans="1:279" ht="43.2" x14ac:dyDescent="0.3">
      <c r="A5" s="66" t="s">
        <v>497</v>
      </c>
      <c r="B5" s="61" t="s">
        <v>496</v>
      </c>
      <c r="C5" s="61" t="s">
        <v>495</v>
      </c>
      <c r="D5" s="67" t="s">
        <v>494</v>
      </c>
      <c r="E5" s="67" t="s">
        <v>493</v>
      </c>
      <c r="F5" s="68" t="s">
        <v>492</v>
      </c>
      <c r="G5" s="68" t="s">
        <v>491</v>
      </c>
      <c r="H5" s="69"/>
      <c r="I5" s="70" t="s">
        <v>490</v>
      </c>
      <c r="J5" s="71" t="s">
        <v>484</v>
      </c>
      <c r="K5" s="72" t="s">
        <v>487</v>
      </c>
      <c r="L5" s="72" t="s">
        <v>486</v>
      </c>
      <c r="M5" s="72" t="s">
        <v>489</v>
      </c>
      <c r="N5" s="72" t="s">
        <v>484</v>
      </c>
      <c r="O5" s="57" t="s">
        <v>487</v>
      </c>
      <c r="P5" s="57" t="s">
        <v>486</v>
      </c>
      <c r="Q5" s="57" t="s">
        <v>489</v>
      </c>
      <c r="R5" s="57" t="s">
        <v>484</v>
      </c>
      <c r="S5" s="73" t="s">
        <v>502</v>
      </c>
      <c r="T5" s="73" t="s">
        <v>483</v>
      </c>
    </row>
    <row r="6" spans="1:279" x14ac:dyDescent="0.3">
      <c r="A6" s="25" t="s">
        <v>503</v>
      </c>
      <c r="B6" s="25" t="s">
        <v>25</v>
      </c>
      <c r="C6" s="25" t="s">
        <v>504</v>
      </c>
      <c r="D6" s="26" t="s">
        <v>505</v>
      </c>
      <c r="E6" s="26">
        <v>138000</v>
      </c>
      <c r="F6" s="47" t="s">
        <v>506</v>
      </c>
      <c r="G6" s="47" t="s">
        <v>507</v>
      </c>
      <c r="H6" s="26"/>
      <c r="I6" s="26">
        <v>4.4000000000000004</v>
      </c>
      <c r="J6" s="26">
        <v>6083.5525114155262</v>
      </c>
      <c r="K6" s="26">
        <f>(+$E6*$I6%)/360*1</f>
        <v>16.866666666666671</v>
      </c>
      <c r="L6" s="42">
        <v>-6088.64</v>
      </c>
      <c r="M6" s="26">
        <v>-11.78</v>
      </c>
      <c r="N6" s="26">
        <f t="shared" ref="N6:N69" si="0">+J6+K6+L6+M6</f>
        <v>-8.2191780736984299E-4</v>
      </c>
      <c r="O6" s="26"/>
      <c r="P6" s="42"/>
      <c r="Q6" s="26"/>
      <c r="R6" s="26">
        <f t="shared" ref="R6:R69" si="1">+N6+O6+P6+Q6</f>
        <v>-8.2191780736984299E-4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</row>
    <row r="7" spans="1:279" x14ac:dyDescent="0.3">
      <c r="A7" s="25" t="s">
        <v>443</v>
      </c>
      <c r="B7" s="25" t="s">
        <v>508</v>
      </c>
      <c r="C7" s="25" t="s">
        <v>509</v>
      </c>
      <c r="D7" s="26" t="s">
        <v>510</v>
      </c>
      <c r="E7" s="26">
        <v>236600</v>
      </c>
      <c r="F7" s="47" t="s">
        <v>511</v>
      </c>
      <c r="G7" s="47" t="s">
        <v>507</v>
      </c>
      <c r="H7" s="26"/>
      <c r="I7" s="26">
        <v>5.4</v>
      </c>
      <c r="J7" s="26">
        <v>12800.708219178085</v>
      </c>
      <c r="K7" s="26">
        <f>(+$E7*$I7%)/360*1</f>
        <v>35.49</v>
      </c>
      <c r="L7" s="42">
        <v>-12776.4</v>
      </c>
      <c r="M7" s="26">
        <v>-59.7982191780848</v>
      </c>
      <c r="N7" s="26">
        <f t="shared" si="0"/>
        <v>0</v>
      </c>
      <c r="O7" s="26"/>
      <c r="P7" s="42"/>
      <c r="Q7" s="26"/>
      <c r="R7" s="26">
        <f t="shared" si="1"/>
        <v>0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</row>
    <row r="8" spans="1:279" x14ac:dyDescent="0.3">
      <c r="A8" s="25" t="s">
        <v>512</v>
      </c>
      <c r="B8" s="25" t="s">
        <v>233</v>
      </c>
      <c r="C8" s="25" t="s">
        <v>513</v>
      </c>
      <c r="D8" s="26" t="s">
        <v>514</v>
      </c>
      <c r="E8" s="26">
        <v>275000</v>
      </c>
      <c r="F8" s="47" t="s">
        <v>506</v>
      </c>
      <c r="G8" s="47" t="s">
        <v>515</v>
      </c>
      <c r="H8" s="26"/>
      <c r="I8" s="26">
        <v>5.65</v>
      </c>
      <c r="J8" s="26">
        <v>14715.691590563165</v>
      </c>
      <c r="K8" s="26">
        <f t="shared" ref="K8:K15" si="2">(+$E8*$I8%)/360*20</f>
        <v>863.19444444444446</v>
      </c>
      <c r="L8" s="42">
        <v>-15537.5</v>
      </c>
      <c r="M8" s="26">
        <v>-41.386035007610197</v>
      </c>
      <c r="N8" s="26">
        <f t="shared" si="0"/>
        <v>0</v>
      </c>
      <c r="O8" s="26"/>
      <c r="P8" s="42"/>
      <c r="Q8" s="26"/>
      <c r="R8" s="26">
        <f t="shared" si="1"/>
        <v>0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</row>
    <row r="9" spans="1:279" x14ac:dyDescent="0.3">
      <c r="A9" s="25" t="s">
        <v>512</v>
      </c>
      <c r="B9" s="25" t="s">
        <v>233</v>
      </c>
      <c r="C9" s="25" t="s">
        <v>516</v>
      </c>
      <c r="D9" s="26" t="s">
        <v>517</v>
      </c>
      <c r="E9" s="26">
        <v>200000</v>
      </c>
      <c r="F9" s="47" t="s">
        <v>506</v>
      </c>
      <c r="G9" s="47" t="s">
        <v>515</v>
      </c>
      <c r="H9" s="26"/>
      <c r="I9" s="26">
        <v>5.65</v>
      </c>
      <c r="J9" s="26">
        <v>10702.321156773211</v>
      </c>
      <c r="K9" s="26">
        <f t="shared" si="2"/>
        <v>627.77777777777783</v>
      </c>
      <c r="L9" s="42">
        <v>-11300</v>
      </c>
      <c r="M9" s="26">
        <v>-30.098934550987899</v>
      </c>
      <c r="N9" s="26">
        <f t="shared" si="0"/>
        <v>0</v>
      </c>
      <c r="O9" s="26"/>
      <c r="P9" s="42"/>
      <c r="Q9" s="26"/>
      <c r="R9" s="26">
        <f t="shared" si="1"/>
        <v>0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</row>
    <row r="10" spans="1:279" x14ac:dyDescent="0.3">
      <c r="A10" s="25" t="s">
        <v>512</v>
      </c>
      <c r="B10" s="25" t="s">
        <v>233</v>
      </c>
      <c r="C10" s="25" t="s">
        <v>518</v>
      </c>
      <c r="D10" s="26" t="s">
        <v>519</v>
      </c>
      <c r="E10" s="26">
        <v>170000</v>
      </c>
      <c r="F10" s="47" t="s">
        <v>506</v>
      </c>
      <c r="G10" s="47" t="s">
        <v>515</v>
      </c>
      <c r="H10" s="26"/>
      <c r="I10" s="26">
        <v>5.65</v>
      </c>
      <c r="J10" s="26">
        <v>9096.9729832572302</v>
      </c>
      <c r="K10" s="26">
        <f t="shared" si="2"/>
        <v>533.61111111111109</v>
      </c>
      <c r="L10" s="42">
        <v>-9605</v>
      </c>
      <c r="M10" s="26">
        <v>-25.5840943683415</v>
      </c>
      <c r="N10" s="26">
        <f t="shared" si="0"/>
        <v>3.907985046680551E-14</v>
      </c>
      <c r="O10" s="26"/>
      <c r="P10" s="42"/>
      <c r="Q10" s="26"/>
      <c r="R10" s="26">
        <f t="shared" si="1"/>
        <v>3.907985046680551E-14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</row>
    <row r="11" spans="1:279" x14ac:dyDescent="0.3">
      <c r="A11" s="25" t="s">
        <v>512</v>
      </c>
      <c r="B11" s="25" t="s">
        <v>233</v>
      </c>
      <c r="C11" s="25" t="s">
        <v>520</v>
      </c>
      <c r="D11" s="26" t="s">
        <v>521</v>
      </c>
      <c r="E11" s="26">
        <v>130000</v>
      </c>
      <c r="F11" s="47" t="s">
        <v>506</v>
      </c>
      <c r="G11" s="47" t="s">
        <v>515</v>
      </c>
      <c r="H11" s="26"/>
      <c r="I11" s="26">
        <v>5.65</v>
      </c>
      <c r="J11" s="26">
        <v>6956.5087519025883</v>
      </c>
      <c r="K11" s="26">
        <f t="shared" si="2"/>
        <v>408.05555555555554</v>
      </c>
      <c r="L11" s="42">
        <v>-7345</v>
      </c>
      <c r="M11" s="26">
        <v>-19.564307458144</v>
      </c>
      <c r="N11" s="26">
        <f t="shared" si="0"/>
        <v>-4.2632564145606011E-14</v>
      </c>
      <c r="O11" s="26"/>
      <c r="P11" s="42"/>
      <c r="Q11" s="26"/>
      <c r="R11" s="26">
        <f t="shared" si="1"/>
        <v>-4.2632564145606011E-14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</row>
    <row r="12" spans="1:279" x14ac:dyDescent="0.3">
      <c r="A12" s="25" t="s">
        <v>512</v>
      </c>
      <c r="B12" s="25" t="s">
        <v>233</v>
      </c>
      <c r="C12" s="25" t="s">
        <v>522</v>
      </c>
      <c r="D12" s="26" t="s">
        <v>523</v>
      </c>
      <c r="E12" s="26">
        <v>126000</v>
      </c>
      <c r="F12" s="47" t="s">
        <v>506</v>
      </c>
      <c r="G12" s="47" t="s">
        <v>515</v>
      </c>
      <c r="H12" s="26"/>
      <c r="I12" s="26">
        <v>5.65</v>
      </c>
      <c r="J12" s="26">
        <v>6742.4623287671229</v>
      </c>
      <c r="K12" s="26">
        <f t="shared" si="2"/>
        <v>395.5</v>
      </c>
      <c r="L12" s="42">
        <v>-7119</v>
      </c>
      <c r="M12" s="26">
        <v>-18.962328767122901</v>
      </c>
      <c r="N12" s="26">
        <f t="shared" si="0"/>
        <v>0</v>
      </c>
      <c r="O12" s="26"/>
      <c r="P12" s="42"/>
      <c r="Q12" s="26"/>
      <c r="R12" s="26">
        <f t="shared" si="1"/>
        <v>0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</row>
    <row r="13" spans="1:279" x14ac:dyDescent="0.3">
      <c r="A13" s="25" t="s">
        <v>512</v>
      </c>
      <c r="B13" s="25" t="s">
        <v>233</v>
      </c>
      <c r="C13" s="25" t="s">
        <v>524</v>
      </c>
      <c r="D13" s="26" t="s">
        <v>525</v>
      </c>
      <c r="E13" s="26">
        <v>51138.69</v>
      </c>
      <c r="F13" s="47" t="s">
        <v>506</v>
      </c>
      <c r="G13" s="47" t="s">
        <v>515</v>
      </c>
      <c r="H13" s="26"/>
      <c r="I13" s="26">
        <v>5.65</v>
      </c>
      <c r="J13" s="26">
        <v>2736.5134195833334</v>
      </c>
      <c r="K13" s="26">
        <f t="shared" si="2"/>
        <v>160.51866583333336</v>
      </c>
      <c r="L13" s="42">
        <v>-2889.34</v>
      </c>
      <c r="M13" s="26">
        <v>-7.6920854166664903</v>
      </c>
      <c r="N13" s="26">
        <f t="shared" si="0"/>
        <v>0</v>
      </c>
      <c r="O13" s="26"/>
      <c r="P13" s="42"/>
      <c r="Q13" s="26"/>
      <c r="R13" s="26">
        <f t="shared" si="1"/>
        <v>0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</row>
    <row r="14" spans="1:279" x14ac:dyDescent="0.3">
      <c r="A14" s="25" t="s">
        <v>512</v>
      </c>
      <c r="B14" s="25" t="s">
        <v>233</v>
      </c>
      <c r="C14" s="25" t="s">
        <v>526</v>
      </c>
      <c r="D14" s="26" t="s">
        <v>527</v>
      </c>
      <c r="E14" s="26">
        <v>254800</v>
      </c>
      <c r="F14" s="47" t="s">
        <v>506</v>
      </c>
      <c r="G14" s="47" t="s">
        <v>515</v>
      </c>
      <c r="H14" s="26"/>
      <c r="I14" s="26">
        <v>5.65</v>
      </c>
      <c r="J14" s="26">
        <v>13634.757153729075</v>
      </c>
      <c r="K14" s="26">
        <f t="shared" si="2"/>
        <v>799.78888888888889</v>
      </c>
      <c r="L14" s="42">
        <v>-14396.2</v>
      </c>
      <c r="M14" s="26">
        <v>-38.346042617962702</v>
      </c>
      <c r="N14" s="26">
        <f t="shared" si="0"/>
        <v>0</v>
      </c>
      <c r="O14" s="26"/>
      <c r="P14" s="42"/>
      <c r="Q14" s="26"/>
      <c r="R14" s="26">
        <f t="shared" si="1"/>
        <v>0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</row>
    <row r="15" spans="1:279" x14ac:dyDescent="0.3">
      <c r="A15" s="25" t="s">
        <v>512</v>
      </c>
      <c r="B15" s="25" t="s">
        <v>233</v>
      </c>
      <c r="C15" s="25" t="s">
        <v>528</v>
      </c>
      <c r="D15" s="26" t="s">
        <v>529</v>
      </c>
      <c r="E15" s="26">
        <v>206000</v>
      </c>
      <c r="F15" s="47" t="s">
        <v>506</v>
      </c>
      <c r="G15" s="47" t="s">
        <v>515</v>
      </c>
      <c r="H15" s="26"/>
      <c r="I15" s="26">
        <v>5.65</v>
      </c>
      <c r="J15" s="26">
        <v>11023.390791476408</v>
      </c>
      <c r="K15" s="26">
        <f t="shared" si="2"/>
        <v>646.61111111111109</v>
      </c>
      <c r="L15" s="42">
        <v>-11639</v>
      </c>
      <c r="M15" s="26">
        <v>-31.001902587519002</v>
      </c>
      <c r="N15" s="26">
        <f t="shared" si="0"/>
        <v>0</v>
      </c>
      <c r="O15" s="26"/>
      <c r="P15" s="42"/>
      <c r="Q15" s="26"/>
      <c r="R15" s="26">
        <f t="shared" si="1"/>
        <v>0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</row>
    <row r="16" spans="1:279" x14ac:dyDescent="0.3">
      <c r="A16" s="25" t="s">
        <v>530</v>
      </c>
      <c r="B16" s="25" t="s">
        <v>531</v>
      </c>
      <c r="C16" s="25" t="s">
        <v>532</v>
      </c>
      <c r="D16" s="26" t="s">
        <v>533</v>
      </c>
      <c r="E16" s="26">
        <v>1400000</v>
      </c>
      <c r="F16" s="47">
        <v>43427</v>
      </c>
      <c r="G16" s="47" t="s">
        <v>534</v>
      </c>
      <c r="H16" s="26"/>
      <c r="I16" s="26">
        <v>0.4</v>
      </c>
      <c r="J16" s="26">
        <v>5564.6270928462727</v>
      </c>
      <c r="K16" s="26">
        <f>(+$E16*$I16%)/360*4</f>
        <v>62.222222222222221</v>
      </c>
      <c r="L16" s="42">
        <v>-5600</v>
      </c>
      <c r="M16" s="26">
        <v>-26.849315068495301</v>
      </c>
      <c r="N16" s="26">
        <f t="shared" si="0"/>
        <v>4.2632564145606011E-14</v>
      </c>
      <c r="O16" s="26"/>
      <c r="P16" s="42"/>
      <c r="Q16" s="26"/>
      <c r="R16" s="26">
        <f t="shared" si="1"/>
        <v>4.2632564145606011E-14</v>
      </c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</row>
    <row r="17" spans="1:279" x14ac:dyDescent="0.3">
      <c r="A17" s="25" t="s">
        <v>440</v>
      </c>
      <c r="B17" s="25" t="s">
        <v>317</v>
      </c>
      <c r="C17" s="25" t="s">
        <v>535</v>
      </c>
      <c r="D17" s="26" t="s">
        <v>536</v>
      </c>
      <c r="E17" s="26">
        <v>200000</v>
      </c>
      <c r="F17" s="47" t="s">
        <v>506</v>
      </c>
      <c r="G17" s="47" t="s">
        <v>537</v>
      </c>
      <c r="H17" s="26"/>
      <c r="I17" s="26">
        <v>5.65</v>
      </c>
      <c r="J17" s="26">
        <v>10826.156773211567</v>
      </c>
      <c r="K17" s="26">
        <f>(+$E17*$I17%)/360*17</f>
        <v>533.61111111111109</v>
      </c>
      <c r="L17" s="42">
        <v>-11300</v>
      </c>
      <c r="M17" s="26">
        <v>-59.767884322678597</v>
      </c>
      <c r="N17" s="26">
        <f t="shared" si="0"/>
        <v>0</v>
      </c>
      <c r="O17" s="26"/>
      <c r="P17" s="42"/>
      <c r="Q17" s="26"/>
      <c r="R17" s="26">
        <f t="shared" si="1"/>
        <v>0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</row>
    <row r="18" spans="1:279" x14ac:dyDescent="0.3">
      <c r="A18" s="25" t="s">
        <v>440</v>
      </c>
      <c r="B18" s="25" t="s">
        <v>329</v>
      </c>
      <c r="C18" s="25" t="s">
        <v>538</v>
      </c>
      <c r="D18" s="74" t="s">
        <v>539</v>
      </c>
      <c r="E18" s="26">
        <v>249387.92</v>
      </c>
      <c r="F18" s="47" t="s">
        <v>511</v>
      </c>
      <c r="G18" s="47" t="s">
        <v>507</v>
      </c>
      <c r="H18" s="26"/>
      <c r="I18" s="26">
        <v>5.4</v>
      </c>
      <c r="J18" s="26">
        <v>6470.8391940274005</v>
      </c>
      <c r="K18" s="26">
        <f>(+$E18*$I18%)/360*1</f>
        <v>37.40818800000001</v>
      </c>
      <c r="L18" s="42">
        <v>-2693.39</v>
      </c>
      <c r="M18" s="26">
        <v>-3814.8573820274</v>
      </c>
      <c r="N18" s="26">
        <f t="shared" si="0"/>
        <v>0</v>
      </c>
      <c r="O18" s="26"/>
      <c r="P18" s="42"/>
      <c r="Q18" s="26"/>
      <c r="R18" s="26">
        <f t="shared" si="1"/>
        <v>0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  <c r="IX18" s="25"/>
      <c r="IY18" s="25"/>
      <c r="IZ18" s="25"/>
      <c r="JA18" s="25"/>
      <c r="JB18" s="25"/>
      <c r="JC18" s="25"/>
      <c r="JD18" s="25"/>
      <c r="JE18" s="25"/>
      <c r="JF18" s="25"/>
      <c r="JG18" s="25"/>
      <c r="JH18" s="25"/>
      <c r="JI18" s="25"/>
      <c r="JJ18" s="25"/>
      <c r="JK18" s="25"/>
      <c r="JL18" s="25"/>
      <c r="JM18" s="25"/>
      <c r="JN18" s="25"/>
      <c r="JO18" s="25"/>
      <c r="JP18" s="25"/>
      <c r="JQ18" s="25"/>
      <c r="JR18" s="25"/>
      <c r="JS18" s="25"/>
    </row>
    <row r="19" spans="1:279" x14ac:dyDescent="0.3">
      <c r="A19" s="25" t="s">
        <v>440</v>
      </c>
      <c r="B19" s="25" t="s">
        <v>329</v>
      </c>
      <c r="C19" s="25" t="s">
        <v>540</v>
      </c>
      <c r="D19" s="26" t="s">
        <v>541</v>
      </c>
      <c r="E19" s="26">
        <v>500000</v>
      </c>
      <c r="F19" s="47" t="s">
        <v>506</v>
      </c>
      <c r="G19" s="47" t="s">
        <v>542</v>
      </c>
      <c r="H19" s="26"/>
      <c r="I19" s="26">
        <v>5.4</v>
      </c>
      <c r="J19" s="26">
        <v>25645.890410958906</v>
      </c>
      <c r="K19" s="26">
        <f>(+$E19*$I19%)/360*20</f>
        <v>1500.0000000000002</v>
      </c>
      <c r="L19" s="42">
        <v>-27000</v>
      </c>
      <c r="M19" s="26">
        <v>-145.89041095890599</v>
      </c>
      <c r="N19" s="26">
        <f t="shared" si="0"/>
        <v>-2.8421709430404007E-13</v>
      </c>
      <c r="O19" s="26"/>
      <c r="P19" s="42"/>
      <c r="Q19" s="26"/>
      <c r="R19" s="26">
        <f t="shared" si="1"/>
        <v>-2.8421709430404007E-13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</row>
    <row r="20" spans="1:279" x14ac:dyDescent="0.3">
      <c r="A20" s="25" t="s">
        <v>437</v>
      </c>
      <c r="B20" s="25" t="s">
        <v>322</v>
      </c>
      <c r="C20" s="25" t="s">
        <v>543</v>
      </c>
      <c r="D20" s="26" t="s">
        <v>544</v>
      </c>
      <c r="E20" s="26">
        <v>33000</v>
      </c>
      <c r="F20" s="47" t="s">
        <v>545</v>
      </c>
      <c r="G20" s="47" t="s">
        <v>546</v>
      </c>
      <c r="H20" s="26"/>
      <c r="I20" s="26">
        <v>6.4</v>
      </c>
      <c r="J20" s="26">
        <v>2063.9415525114155</v>
      </c>
      <c r="K20" s="26">
        <f>(+$E20*$I20%)/360*10</f>
        <v>58.666666666666664</v>
      </c>
      <c r="L20" s="42">
        <v>-2112</v>
      </c>
      <c r="M20" s="26">
        <v>-10.608219178082001</v>
      </c>
      <c r="N20" s="26">
        <f t="shared" si="0"/>
        <v>-1.9539925233402755E-14</v>
      </c>
      <c r="O20" s="26"/>
      <c r="P20" s="42"/>
      <c r="Q20" s="26"/>
      <c r="R20" s="26">
        <f t="shared" si="1"/>
        <v>-1.9539925233402755E-14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</row>
    <row r="21" spans="1:279" x14ac:dyDescent="0.3">
      <c r="A21" s="25" t="s">
        <v>503</v>
      </c>
      <c r="B21" s="25" t="s">
        <v>53</v>
      </c>
      <c r="C21" s="25" t="s">
        <v>547</v>
      </c>
      <c r="D21" s="26" t="s">
        <v>548</v>
      </c>
      <c r="E21" s="26">
        <v>800000</v>
      </c>
      <c r="F21" s="47" t="s">
        <v>506</v>
      </c>
      <c r="G21" s="47" t="s">
        <v>549</v>
      </c>
      <c r="H21" s="26"/>
      <c r="I21" s="26">
        <v>6.85</v>
      </c>
      <c r="J21" s="26">
        <v>50550.289193302888</v>
      </c>
      <c r="K21" s="26">
        <f>(+$E21*$I21%)/360*30</f>
        <v>4566.6666666666661</v>
      </c>
      <c r="L21" s="42">
        <v>-54800</v>
      </c>
      <c r="M21" s="26">
        <v>-316.95585996955202</v>
      </c>
      <c r="N21" s="26">
        <f t="shared" si="0"/>
        <v>0</v>
      </c>
      <c r="O21" s="26"/>
      <c r="P21" s="42"/>
      <c r="Q21" s="26"/>
      <c r="R21" s="26">
        <f t="shared" si="1"/>
        <v>0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</row>
    <row r="22" spans="1:279" x14ac:dyDescent="0.3">
      <c r="A22" s="25" t="s">
        <v>512</v>
      </c>
      <c r="B22" s="25" t="s">
        <v>16</v>
      </c>
      <c r="C22" s="25" t="s">
        <v>550</v>
      </c>
      <c r="D22" s="26" t="s">
        <v>551</v>
      </c>
      <c r="E22" s="26">
        <v>60000</v>
      </c>
      <c r="F22" s="47" t="s">
        <v>552</v>
      </c>
      <c r="G22" s="47" t="s">
        <v>553</v>
      </c>
      <c r="H22" s="26"/>
      <c r="I22" s="26">
        <v>1.9</v>
      </c>
      <c r="J22" s="26">
        <v>1023.4840182648401</v>
      </c>
      <c r="K22" s="26">
        <f t="shared" ref="K22:K85" si="3">(+$E22*$I22%)/360*31</f>
        <v>98.166666666666657</v>
      </c>
      <c r="L22" s="26"/>
      <c r="M22" s="26"/>
      <c r="N22" s="26">
        <f t="shared" si="0"/>
        <v>1121.6506849315067</v>
      </c>
      <c r="O22" s="26">
        <f>(+$E22*$I22%)/360*8</f>
        <v>25.333333333333332</v>
      </c>
      <c r="P22" s="26">
        <v>-1140</v>
      </c>
      <c r="Q22" s="26">
        <v>-6.98</v>
      </c>
      <c r="R22" s="26">
        <f t="shared" si="1"/>
        <v>4.0182648399600396E-3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</row>
    <row r="23" spans="1:279" x14ac:dyDescent="0.3">
      <c r="A23" s="25" t="s">
        <v>512</v>
      </c>
      <c r="B23" s="25" t="s">
        <v>19</v>
      </c>
      <c r="C23" s="25" t="s">
        <v>554</v>
      </c>
      <c r="D23" s="26" t="s">
        <v>555</v>
      </c>
      <c r="E23" s="26">
        <v>60000</v>
      </c>
      <c r="F23" s="47" t="s">
        <v>556</v>
      </c>
      <c r="G23" s="47" t="s">
        <v>557</v>
      </c>
      <c r="H23" s="26"/>
      <c r="I23" s="26">
        <v>1.9</v>
      </c>
      <c r="J23" s="26">
        <v>1026.6073059360729</v>
      </c>
      <c r="K23" s="26">
        <f t="shared" si="3"/>
        <v>98.166666666666657</v>
      </c>
      <c r="L23" s="26"/>
      <c r="M23" s="26"/>
      <c r="N23" s="26">
        <f t="shared" si="0"/>
        <v>1124.7739726027396</v>
      </c>
      <c r="O23" s="26">
        <f>(+$E23*$I23%)/360*7</f>
        <v>22.166666666666664</v>
      </c>
      <c r="P23" s="26">
        <v>-1140</v>
      </c>
      <c r="Q23" s="26">
        <v>-6.94</v>
      </c>
      <c r="R23" s="26">
        <f t="shared" si="1"/>
        <v>6.3926940634662088E-4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</row>
    <row r="24" spans="1:279" x14ac:dyDescent="0.3">
      <c r="A24" s="25" t="s">
        <v>503</v>
      </c>
      <c r="B24" s="25" t="s">
        <v>56</v>
      </c>
      <c r="C24" s="25" t="s">
        <v>558</v>
      </c>
      <c r="D24" s="26" t="s">
        <v>559</v>
      </c>
      <c r="E24" s="26">
        <v>50000</v>
      </c>
      <c r="F24" s="47" t="s">
        <v>560</v>
      </c>
      <c r="G24" s="47" t="s">
        <v>561</v>
      </c>
      <c r="H24" s="26"/>
      <c r="I24" s="26">
        <v>5.65</v>
      </c>
      <c r="J24" s="26">
        <v>2489.8268645357689</v>
      </c>
      <c r="K24" s="26">
        <f t="shared" si="3"/>
        <v>243.26388888888889</v>
      </c>
      <c r="L24" s="26"/>
      <c r="M24" s="26"/>
      <c r="N24" s="26">
        <f t="shared" si="0"/>
        <v>2733.0907534246576</v>
      </c>
      <c r="O24" s="26">
        <f>(+$E24*$I24%)/360*14</f>
        <v>109.86111111111111</v>
      </c>
      <c r="P24" s="26">
        <v>-2825</v>
      </c>
      <c r="Q24" s="26">
        <v>-17.95</v>
      </c>
      <c r="R24" s="26">
        <f t="shared" si="1"/>
        <v>1.8645357688917841E-3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</row>
    <row r="25" spans="1:279" x14ac:dyDescent="0.3">
      <c r="A25" s="25" t="s">
        <v>503</v>
      </c>
      <c r="B25" s="25" t="s">
        <v>56</v>
      </c>
      <c r="C25" s="25" t="s">
        <v>562</v>
      </c>
      <c r="D25" s="26" t="s">
        <v>563</v>
      </c>
      <c r="E25" s="26">
        <v>2200000</v>
      </c>
      <c r="F25" s="47" t="s">
        <v>564</v>
      </c>
      <c r="G25" s="47" t="s">
        <v>565</v>
      </c>
      <c r="H25" s="26"/>
      <c r="I25" s="26">
        <v>6.85</v>
      </c>
      <c r="J25" s="26">
        <v>131168.63774733635</v>
      </c>
      <c r="K25" s="26">
        <f t="shared" si="3"/>
        <v>12976.944444444442</v>
      </c>
      <c r="L25" s="26"/>
      <c r="M25" s="26"/>
      <c r="N25" s="26">
        <f t="shared" si="0"/>
        <v>144145.58219178079</v>
      </c>
      <c r="O25" s="26">
        <f>(+$E25*$I25%)/360*18</f>
        <v>7534.9999999999982</v>
      </c>
      <c r="P25" s="26">
        <v>-150700</v>
      </c>
      <c r="Q25" s="26">
        <v>-980.58</v>
      </c>
      <c r="R25" s="26">
        <f t="shared" si="1"/>
        <v>2.1917807915770027E-3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</row>
    <row r="26" spans="1:279" x14ac:dyDescent="0.3">
      <c r="A26" s="25" t="s">
        <v>503</v>
      </c>
      <c r="B26" s="25" t="s">
        <v>56</v>
      </c>
      <c r="C26" s="25" t="s">
        <v>566</v>
      </c>
      <c r="D26" s="26" t="s">
        <v>567</v>
      </c>
      <c r="E26" s="26">
        <v>746000</v>
      </c>
      <c r="F26" s="47" t="s">
        <v>568</v>
      </c>
      <c r="G26" s="47" t="s">
        <v>569</v>
      </c>
      <c r="H26" s="26"/>
      <c r="I26" s="26">
        <v>6.85</v>
      </c>
      <c r="J26" s="26">
        <v>45598.11453576864</v>
      </c>
      <c r="K26" s="26">
        <f t="shared" si="3"/>
        <v>4400.3638888888881</v>
      </c>
      <c r="L26" s="26"/>
      <c r="M26" s="26"/>
      <c r="N26" s="26">
        <f t="shared" si="0"/>
        <v>49998.478424657529</v>
      </c>
      <c r="O26" s="26">
        <f>(+$E26*$I26%)/360*10</f>
        <v>1419.4722222222219</v>
      </c>
      <c r="P26" s="26">
        <v>-51101</v>
      </c>
      <c r="Q26" s="26">
        <v>-316.95</v>
      </c>
      <c r="R26" s="26">
        <f t="shared" si="1"/>
        <v>6.4687974810340165E-4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  <c r="JG26" s="25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S26" s="25"/>
    </row>
    <row r="27" spans="1:279" x14ac:dyDescent="0.3">
      <c r="A27" s="25" t="s">
        <v>503</v>
      </c>
      <c r="B27" s="25" t="s">
        <v>56</v>
      </c>
      <c r="C27" s="25" t="s">
        <v>570</v>
      </c>
      <c r="D27" s="26" t="s">
        <v>571</v>
      </c>
      <c r="E27" s="26">
        <v>220000</v>
      </c>
      <c r="F27" s="47" t="s">
        <v>572</v>
      </c>
      <c r="G27" s="47" t="s">
        <v>573</v>
      </c>
      <c r="H27" s="26"/>
      <c r="I27" s="26">
        <v>5.65</v>
      </c>
      <c r="J27" s="26">
        <v>10682.799847793</v>
      </c>
      <c r="K27" s="26">
        <f t="shared" si="3"/>
        <v>1070.3611111111111</v>
      </c>
      <c r="L27" s="26"/>
      <c r="M27" s="26"/>
      <c r="N27" s="26">
        <f t="shared" si="0"/>
        <v>11753.160958904111</v>
      </c>
      <c r="O27" s="26">
        <f>(+$E27*$I27%)/360*22</f>
        <v>759.61111111111109</v>
      </c>
      <c r="P27" s="26">
        <v>-12430</v>
      </c>
      <c r="Q27" s="26">
        <v>-82.77</v>
      </c>
      <c r="R27" s="26">
        <f t="shared" si="1"/>
        <v>2.0700152222019597E-3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</row>
    <row r="28" spans="1:279" x14ac:dyDescent="0.3">
      <c r="A28" s="25" t="s">
        <v>503</v>
      </c>
      <c r="B28" s="25" t="s">
        <v>77</v>
      </c>
      <c r="C28" s="25" t="s">
        <v>574</v>
      </c>
      <c r="D28" s="26" t="s">
        <v>575</v>
      </c>
      <c r="E28" s="26">
        <v>23000</v>
      </c>
      <c r="F28" s="47">
        <v>43515</v>
      </c>
      <c r="G28" s="47">
        <v>43880</v>
      </c>
      <c r="H28" s="26"/>
      <c r="I28" s="26">
        <v>5.4</v>
      </c>
      <c r="J28" s="26">
        <v>972.14383561643854</v>
      </c>
      <c r="K28" s="26">
        <f t="shared" si="3"/>
        <v>106.95000000000002</v>
      </c>
      <c r="L28" s="26"/>
      <c r="M28" s="26"/>
      <c r="N28" s="26">
        <f t="shared" si="0"/>
        <v>1079.0938356164386</v>
      </c>
      <c r="O28" s="26">
        <f t="shared" ref="O28:O91" si="4">(+$E28*$I28%)/360*31</f>
        <v>106.95000000000002</v>
      </c>
      <c r="P28" s="26"/>
      <c r="Q28" s="26"/>
      <c r="R28" s="26">
        <f t="shared" si="1"/>
        <v>1186.0438356164386</v>
      </c>
      <c r="S28" s="25"/>
      <c r="T28" s="26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</row>
    <row r="29" spans="1:279" x14ac:dyDescent="0.3">
      <c r="A29" s="25" t="s">
        <v>530</v>
      </c>
      <c r="B29" s="25" t="s">
        <v>265</v>
      </c>
      <c r="C29" s="25" t="s">
        <v>576</v>
      </c>
      <c r="D29" s="26" t="s">
        <v>577</v>
      </c>
      <c r="E29" s="26">
        <v>188600</v>
      </c>
      <c r="F29" s="47">
        <v>43502</v>
      </c>
      <c r="G29" s="47">
        <v>43867</v>
      </c>
      <c r="H29" s="26"/>
      <c r="I29" s="26">
        <v>6.9</v>
      </c>
      <c r="J29" s="26">
        <v>10649.398036529681</v>
      </c>
      <c r="K29" s="26">
        <f t="shared" si="3"/>
        <v>1120.5983333333336</v>
      </c>
      <c r="L29" s="26"/>
      <c r="M29" s="26"/>
      <c r="N29" s="26">
        <f t="shared" si="0"/>
        <v>11769.996369863014</v>
      </c>
      <c r="O29" s="26">
        <f t="shared" si="4"/>
        <v>1120.5983333333336</v>
      </c>
      <c r="P29" s="26"/>
      <c r="Q29" s="26"/>
      <c r="R29" s="26">
        <f t="shared" si="1"/>
        <v>12890.594703196348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  <c r="IX29" s="25"/>
      <c r="IY29" s="25"/>
      <c r="IZ29" s="25"/>
      <c r="JA29" s="25"/>
      <c r="JB29" s="25"/>
      <c r="JC29" s="25"/>
      <c r="JD29" s="25"/>
      <c r="JE29" s="25"/>
      <c r="JF29" s="25"/>
      <c r="JG29" s="25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S29" s="25"/>
    </row>
    <row r="30" spans="1:279" x14ac:dyDescent="0.3">
      <c r="A30" s="25" t="s">
        <v>503</v>
      </c>
      <c r="B30" s="25" t="s">
        <v>25</v>
      </c>
      <c r="C30" s="25" t="s">
        <v>578</v>
      </c>
      <c r="D30" s="26" t="s">
        <v>579</v>
      </c>
      <c r="E30" s="26">
        <v>175000</v>
      </c>
      <c r="F30" s="47">
        <v>43497</v>
      </c>
      <c r="G30" s="47">
        <v>43862</v>
      </c>
      <c r="H30" s="26"/>
      <c r="I30" s="26">
        <v>4.4000000000000004</v>
      </c>
      <c r="J30" s="26">
        <v>6406.7047184170488</v>
      </c>
      <c r="K30" s="26">
        <f t="shared" si="3"/>
        <v>663.05555555555566</v>
      </c>
      <c r="L30" s="26"/>
      <c r="M30" s="26"/>
      <c r="N30" s="26">
        <f t="shared" si="0"/>
        <v>7069.7602739726044</v>
      </c>
      <c r="O30" s="26">
        <f t="shared" si="4"/>
        <v>663.05555555555566</v>
      </c>
      <c r="P30" s="26"/>
      <c r="Q30" s="26"/>
      <c r="R30" s="26">
        <f t="shared" si="1"/>
        <v>7732.8158295281601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A30" s="25"/>
      <c r="JB30" s="25"/>
      <c r="JC30" s="25"/>
      <c r="JD30" s="25"/>
      <c r="JE30" s="25"/>
      <c r="JF30" s="25"/>
      <c r="JG30" s="25"/>
      <c r="JH30" s="25"/>
      <c r="JI30" s="25"/>
      <c r="JJ30" s="25"/>
      <c r="JK30" s="25"/>
      <c r="JL30" s="25"/>
      <c r="JM30" s="25"/>
      <c r="JN30" s="25"/>
      <c r="JO30" s="25"/>
      <c r="JP30" s="25"/>
      <c r="JQ30" s="25"/>
      <c r="JR30" s="25"/>
      <c r="JS30" s="25"/>
    </row>
    <row r="31" spans="1:279" x14ac:dyDescent="0.3">
      <c r="A31" s="25" t="s">
        <v>503</v>
      </c>
      <c r="B31" s="25" t="s">
        <v>25</v>
      </c>
      <c r="C31" s="25" t="s">
        <v>580</v>
      </c>
      <c r="D31" s="26" t="s">
        <v>581</v>
      </c>
      <c r="E31" s="26">
        <v>160000</v>
      </c>
      <c r="F31" s="47" t="s">
        <v>582</v>
      </c>
      <c r="G31" s="47" t="s">
        <v>583</v>
      </c>
      <c r="H31" s="26"/>
      <c r="I31" s="26">
        <v>4.79</v>
      </c>
      <c r="J31" s="26">
        <v>7006.6691019786904</v>
      </c>
      <c r="K31" s="26">
        <f t="shared" si="3"/>
        <v>659.95555555555552</v>
      </c>
      <c r="L31" s="26"/>
      <c r="M31" s="26"/>
      <c r="N31" s="26">
        <f t="shared" si="0"/>
        <v>7666.6246575342457</v>
      </c>
      <c r="O31" s="26">
        <f>(+$E31*$I31%)/360*2</f>
        <v>42.577777777777776</v>
      </c>
      <c r="P31" s="26">
        <v>-7040</v>
      </c>
      <c r="Q31" s="26">
        <v>-669.2</v>
      </c>
      <c r="R31" s="26">
        <f t="shared" si="1"/>
        <v>2.4353120231808134E-3</v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  <c r="IX31" s="25"/>
      <c r="IY31" s="25"/>
      <c r="IZ31" s="25"/>
      <c r="JA31" s="25"/>
      <c r="JB31" s="25"/>
      <c r="JC31" s="25"/>
      <c r="JD31" s="25"/>
      <c r="JE31" s="25"/>
      <c r="JF31" s="25"/>
      <c r="JG31" s="25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S31" s="25"/>
    </row>
    <row r="32" spans="1:279" x14ac:dyDescent="0.3">
      <c r="A32" s="25" t="s">
        <v>503</v>
      </c>
      <c r="B32" s="25" t="s">
        <v>13</v>
      </c>
      <c r="C32" s="25" t="s">
        <v>584</v>
      </c>
      <c r="D32" s="26" t="s">
        <v>585</v>
      </c>
      <c r="E32" s="26">
        <v>100000</v>
      </c>
      <c r="F32" s="47">
        <v>43516</v>
      </c>
      <c r="G32" s="47">
        <v>43881</v>
      </c>
      <c r="H32" s="26"/>
      <c r="I32" s="26">
        <v>8.9</v>
      </c>
      <c r="J32" s="26">
        <v>6941.8645357686464</v>
      </c>
      <c r="K32" s="26">
        <f t="shared" si="3"/>
        <v>766.38888888888914</v>
      </c>
      <c r="L32" s="26"/>
      <c r="M32" s="26"/>
      <c r="N32" s="26">
        <f t="shared" si="0"/>
        <v>7708.253424657536</v>
      </c>
      <c r="O32" s="26">
        <f t="shared" si="4"/>
        <v>766.38888888888914</v>
      </c>
      <c r="P32" s="26"/>
      <c r="Q32" s="26"/>
      <c r="R32" s="26">
        <f t="shared" si="1"/>
        <v>8474.6423135464247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A32" s="25"/>
      <c r="JB32" s="25"/>
      <c r="JC32" s="25"/>
      <c r="JD32" s="25"/>
      <c r="JE32" s="25"/>
      <c r="JF32" s="25"/>
      <c r="JG32" s="25"/>
      <c r="JH32" s="25"/>
      <c r="JI32" s="25"/>
      <c r="JJ32" s="25"/>
      <c r="JK32" s="25"/>
      <c r="JL32" s="25"/>
      <c r="JM32" s="25"/>
      <c r="JN32" s="25"/>
      <c r="JO32" s="25"/>
      <c r="JP32" s="25"/>
      <c r="JQ32" s="25"/>
      <c r="JR32" s="25"/>
      <c r="JS32" s="25"/>
    </row>
    <row r="33" spans="1:279" x14ac:dyDescent="0.3">
      <c r="A33" s="25" t="s">
        <v>586</v>
      </c>
      <c r="B33" s="25" t="s">
        <v>336</v>
      </c>
      <c r="C33" s="25" t="s">
        <v>587</v>
      </c>
      <c r="D33" s="26" t="s">
        <v>588</v>
      </c>
      <c r="E33" s="26">
        <v>94477.4</v>
      </c>
      <c r="F33" s="47">
        <v>43427</v>
      </c>
      <c r="G33" s="47">
        <v>43792</v>
      </c>
      <c r="H33" s="26"/>
      <c r="I33" s="26">
        <v>5.9</v>
      </c>
      <c r="J33" s="26">
        <v>-4.5456773207490642E-3</v>
      </c>
      <c r="K33" s="26">
        <f t="shared" si="3"/>
        <v>479.99767944444449</v>
      </c>
      <c r="L33" s="26">
        <f>[3]dc!J136</f>
        <v>0</v>
      </c>
      <c r="M33" s="26"/>
      <c r="N33" s="26">
        <f t="shared" si="0"/>
        <v>479.99313376712371</v>
      </c>
      <c r="O33" s="26">
        <f t="shared" si="4"/>
        <v>479.99767944444449</v>
      </c>
      <c r="P33" s="26">
        <f>[3]dc!N136</f>
        <v>0</v>
      </c>
      <c r="Q33" s="26"/>
      <c r="R33" s="26">
        <f t="shared" si="1"/>
        <v>959.99081321156814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</row>
    <row r="34" spans="1:279" x14ac:dyDescent="0.3">
      <c r="A34" s="25" t="s">
        <v>586</v>
      </c>
      <c r="B34" s="25" t="s">
        <v>336</v>
      </c>
      <c r="C34" s="25" t="s">
        <v>589</v>
      </c>
      <c r="D34" s="26" t="s">
        <v>590</v>
      </c>
      <c r="E34" s="26">
        <v>38000</v>
      </c>
      <c r="F34" s="47">
        <v>43409</v>
      </c>
      <c r="G34" s="47">
        <v>43774</v>
      </c>
      <c r="H34" s="26"/>
      <c r="I34" s="26">
        <v>5.9</v>
      </c>
      <c r="J34" s="26">
        <v>-2.8919330290477774E-4</v>
      </c>
      <c r="K34" s="26">
        <f t="shared" si="3"/>
        <v>193.0611111111111</v>
      </c>
      <c r="L34" s="26">
        <f>[3]dc!J133</f>
        <v>0</v>
      </c>
      <c r="M34" s="26"/>
      <c r="N34" s="26">
        <f t="shared" si="0"/>
        <v>193.0608219178082</v>
      </c>
      <c r="O34" s="26">
        <f t="shared" si="4"/>
        <v>193.0611111111111</v>
      </c>
      <c r="P34" s="26">
        <f>[3]dc!N133</f>
        <v>0</v>
      </c>
      <c r="Q34" s="26"/>
      <c r="R34" s="26">
        <f t="shared" si="1"/>
        <v>386.12193302891933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</row>
    <row r="35" spans="1:279" x14ac:dyDescent="0.3">
      <c r="A35" s="25" t="s">
        <v>586</v>
      </c>
      <c r="B35" s="25" t="s">
        <v>336</v>
      </c>
      <c r="C35" s="25" t="s">
        <v>591</v>
      </c>
      <c r="D35" s="26" t="s">
        <v>592</v>
      </c>
      <c r="E35" s="26">
        <v>100000</v>
      </c>
      <c r="F35" s="47">
        <v>43427</v>
      </c>
      <c r="G35" s="47">
        <v>43792</v>
      </c>
      <c r="H35" s="26"/>
      <c r="I35" s="26">
        <v>7.9</v>
      </c>
      <c r="J35" s="26">
        <v>1.1263318095302566E-3</v>
      </c>
      <c r="K35" s="26">
        <f t="shared" si="3"/>
        <v>680.27777777777771</v>
      </c>
      <c r="L35" s="26">
        <f>[3]dc!J139</f>
        <v>0</v>
      </c>
      <c r="M35" s="26"/>
      <c r="N35" s="26">
        <f t="shared" si="0"/>
        <v>680.2789041095873</v>
      </c>
      <c r="O35" s="26">
        <f t="shared" si="4"/>
        <v>680.27777777777771</v>
      </c>
      <c r="P35" s="26">
        <f>[3]dc!N139</f>
        <v>0</v>
      </c>
      <c r="Q35" s="26"/>
      <c r="R35" s="26">
        <f t="shared" si="1"/>
        <v>1360.5566818873649</v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</row>
    <row r="36" spans="1:279" x14ac:dyDescent="0.3">
      <c r="A36" s="25" t="s">
        <v>414</v>
      </c>
      <c r="B36" s="25" t="s">
        <v>268</v>
      </c>
      <c r="C36" s="25" t="s">
        <v>593</v>
      </c>
      <c r="D36" s="26" t="s">
        <v>594</v>
      </c>
      <c r="E36" s="26">
        <v>500000</v>
      </c>
      <c r="F36" s="47">
        <v>43501</v>
      </c>
      <c r="G36" s="47">
        <v>43866</v>
      </c>
      <c r="H36" s="26"/>
      <c r="I36" s="26">
        <v>3.4</v>
      </c>
      <c r="J36" s="26">
        <v>13958.371385083712</v>
      </c>
      <c r="K36" s="26">
        <f t="shared" si="3"/>
        <v>1463.8888888888889</v>
      </c>
      <c r="L36" s="26"/>
      <c r="M36" s="26"/>
      <c r="N36" s="26">
        <f t="shared" si="0"/>
        <v>15422.260273972601</v>
      </c>
      <c r="O36" s="26">
        <f t="shared" si="4"/>
        <v>1463.8888888888889</v>
      </c>
      <c r="P36" s="26"/>
      <c r="Q36" s="26"/>
      <c r="R36" s="26">
        <f t="shared" si="1"/>
        <v>16886.149162861489</v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</row>
    <row r="37" spans="1:279" x14ac:dyDescent="0.3">
      <c r="A37" s="25" t="s">
        <v>530</v>
      </c>
      <c r="B37" s="25" t="s">
        <v>595</v>
      </c>
      <c r="C37" s="25" t="s">
        <v>596</v>
      </c>
      <c r="D37" s="26" t="s">
        <v>597</v>
      </c>
      <c r="E37" s="26">
        <v>1500000</v>
      </c>
      <c r="F37" s="47">
        <v>43514</v>
      </c>
      <c r="G37" s="47">
        <v>43879</v>
      </c>
      <c r="H37" s="26"/>
      <c r="I37" s="26">
        <v>6.9</v>
      </c>
      <c r="J37" s="26">
        <v>81295.547945205486</v>
      </c>
      <c r="K37" s="26">
        <f t="shared" si="3"/>
        <v>8912.5000000000018</v>
      </c>
      <c r="L37" s="26"/>
      <c r="M37" s="26"/>
      <c r="N37" s="26">
        <f t="shared" si="0"/>
        <v>90208.047945205486</v>
      </c>
      <c r="O37" s="26">
        <f t="shared" si="4"/>
        <v>8912.5000000000018</v>
      </c>
      <c r="P37" s="26"/>
      <c r="Q37" s="26"/>
      <c r="R37" s="26">
        <f t="shared" si="1"/>
        <v>99120.547945205486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</row>
    <row r="38" spans="1:279" x14ac:dyDescent="0.3">
      <c r="A38" s="25" t="s">
        <v>419</v>
      </c>
      <c r="B38" s="25" t="s">
        <v>19</v>
      </c>
      <c r="C38" s="25" t="s">
        <v>598</v>
      </c>
      <c r="D38" s="26" t="s">
        <v>599</v>
      </c>
      <c r="E38" s="26">
        <v>87500</v>
      </c>
      <c r="F38" s="47">
        <v>43515</v>
      </c>
      <c r="G38" s="47">
        <v>43880</v>
      </c>
      <c r="H38" s="26"/>
      <c r="I38" s="26">
        <v>1.9</v>
      </c>
      <c r="J38" s="26">
        <v>1301.2794901065449</v>
      </c>
      <c r="K38" s="26">
        <f t="shared" si="3"/>
        <v>143.15972222222223</v>
      </c>
      <c r="L38" s="26"/>
      <c r="M38" s="26"/>
      <c r="N38" s="26">
        <f t="shared" si="0"/>
        <v>1444.4392123287671</v>
      </c>
      <c r="O38" s="26">
        <f t="shared" si="4"/>
        <v>143.15972222222223</v>
      </c>
      <c r="P38" s="26"/>
      <c r="Q38" s="26"/>
      <c r="R38" s="26">
        <f t="shared" si="1"/>
        <v>1587.5989345509893</v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</row>
    <row r="39" spans="1:279" x14ac:dyDescent="0.3">
      <c r="A39" s="25" t="s">
        <v>437</v>
      </c>
      <c r="B39" s="25" t="s">
        <v>47</v>
      </c>
      <c r="C39" s="25" t="s">
        <v>600</v>
      </c>
      <c r="D39" s="26" t="s">
        <v>601</v>
      </c>
      <c r="E39" s="26">
        <v>160000</v>
      </c>
      <c r="F39" s="47">
        <v>43510</v>
      </c>
      <c r="G39" s="47" t="s">
        <v>602</v>
      </c>
      <c r="H39" s="26"/>
      <c r="I39" s="26">
        <v>6.4</v>
      </c>
      <c r="J39" s="26">
        <v>1735.1129071537287</v>
      </c>
      <c r="K39" s="26">
        <f t="shared" si="3"/>
        <v>881.77777777777771</v>
      </c>
      <c r="L39" s="26"/>
      <c r="M39" s="26"/>
      <c r="N39" s="26">
        <f t="shared" si="0"/>
        <v>2616.8906849315063</v>
      </c>
      <c r="O39" s="26">
        <f t="shared" si="4"/>
        <v>881.77777777777771</v>
      </c>
      <c r="P39" s="26"/>
      <c r="Q39" s="26"/>
      <c r="R39" s="26">
        <f t="shared" si="1"/>
        <v>3498.6684627092841</v>
      </c>
      <c r="S39" s="25"/>
      <c r="T39" s="25" t="s">
        <v>603</v>
      </c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A39" s="25"/>
      <c r="JB39" s="25"/>
      <c r="JC39" s="25"/>
      <c r="JD39" s="25"/>
      <c r="JE39" s="25"/>
      <c r="JF39" s="25"/>
      <c r="JG39" s="25"/>
      <c r="JH39" s="25"/>
      <c r="JI39" s="25"/>
      <c r="JJ39" s="25"/>
      <c r="JK39" s="25"/>
      <c r="JL39" s="25"/>
      <c r="JM39" s="25"/>
      <c r="JN39" s="25"/>
      <c r="JO39" s="25"/>
      <c r="JP39" s="25"/>
      <c r="JQ39" s="25"/>
      <c r="JR39" s="25"/>
      <c r="JS39" s="25"/>
    </row>
    <row r="40" spans="1:279" x14ac:dyDescent="0.3">
      <c r="A40" s="37"/>
      <c r="B40" s="25" t="s">
        <v>25</v>
      </c>
      <c r="C40" s="25" t="s">
        <v>604</v>
      </c>
      <c r="D40" s="26" t="s">
        <v>605</v>
      </c>
      <c r="E40" s="26">
        <v>122500</v>
      </c>
      <c r="F40" s="47">
        <v>43525</v>
      </c>
      <c r="G40" s="47">
        <v>43891</v>
      </c>
      <c r="H40" s="26"/>
      <c r="I40" s="26">
        <v>4.4000000000000004</v>
      </c>
      <c r="J40" s="26">
        <v>4071.213850837139</v>
      </c>
      <c r="K40" s="26">
        <f t="shared" si="3"/>
        <v>464.13888888888897</v>
      </c>
      <c r="L40" s="26"/>
      <c r="M40" s="26"/>
      <c r="N40" s="26">
        <f t="shared" si="0"/>
        <v>4535.3527397260277</v>
      </c>
      <c r="O40" s="26">
        <f t="shared" si="4"/>
        <v>464.13888888888897</v>
      </c>
      <c r="P40" s="26"/>
      <c r="Q40" s="26"/>
      <c r="R40" s="26">
        <f t="shared" si="1"/>
        <v>4999.4916286149164</v>
      </c>
      <c r="S40" s="7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</row>
    <row r="41" spans="1:279" x14ac:dyDescent="0.3">
      <c r="A41" s="25"/>
      <c r="B41" s="25" t="s">
        <v>508</v>
      </c>
      <c r="C41" s="25" t="s">
        <v>606</v>
      </c>
      <c r="D41" s="26" t="s">
        <v>607</v>
      </c>
      <c r="E41" s="26">
        <v>213500</v>
      </c>
      <c r="F41" s="47">
        <v>43532</v>
      </c>
      <c r="G41" s="47">
        <v>43898</v>
      </c>
      <c r="H41" s="26"/>
      <c r="I41" s="26">
        <v>4.9000000000000004</v>
      </c>
      <c r="J41" s="26">
        <v>7701.2244672754969</v>
      </c>
      <c r="K41" s="26">
        <f t="shared" si="3"/>
        <v>900.85138888888889</v>
      </c>
      <c r="L41" s="26"/>
      <c r="M41" s="26"/>
      <c r="N41" s="26">
        <f t="shared" si="0"/>
        <v>8602.0758561643852</v>
      </c>
      <c r="O41" s="26">
        <f t="shared" si="4"/>
        <v>900.85138888888889</v>
      </c>
      <c r="P41" s="26"/>
      <c r="Q41" s="26"/>
      <c r="R41" s="26">
        <f t="shared" si="1"/>
        <v>9502.9272450532735</v>
      </c>
      <c r="S41" s="7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  <c r="IX41" s="25"/>
      <c r="IY41" s="25"/>
      <c r="IZ41" s="25"/>
      <c r="JA41" s="25"/>
      <c r="JB41" s="25"/>
      <c r="JC41" s="25"/>
      <c r="JD41" s="25"/>
      <c r="JE41" s="25"/>
      <c r="JF41" s="25"/>
      <c r="JG41" s="25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S41" s="25"/>
    </row>
    <row r="42" spans="1:279" x14ac:dyDescent="0.3">
      <c r="A42" s="25"/>
      <c r="B42" s="25" t="s">
        <v>124</v>
      </c>
      <c r="C42" s="25" t="s">
        <v>608</v>
      </c>
      <c r="D42" s="26" t="s">
        <v>609</v>
      </c>
      <c r="E42" s="26">
        <v>50000</v>
      </c>
      <c r="F42" s="47">
        <v>43536</v>
      </c>
      <c r="G42" s="47">
        <v>43902</v>
      </c>
      <c r="H42" s="26"/>
      <c r="I42" s="26">
        <v>4.9000000000000004</v>
      </c>
      <c r="J42" s="26">
        <v>1776.7161339421616</v>
      </c>
      <c r="K42" s="26">
        <f t="shared" si="3"/>
        <v>210.97222222222223</v>
      </c>
      <c r="L42" s="26"/>
      <c r="M42" s="26"/>
      <c r="N42" s="26">
        <f t="shared" si="0"/>
        <v>1987.6883561643838</v>
      </c>
      <c r="O42" s="26">
        <f t="shared" si="4"/>
        <v>210.97222222222223</v>
      </c>
      <c r="P42" s="26"/>
      <c r="Q42" s="26"/>
      <c r="R42" s="26">
        <f t="shared" si="1"/>
        <v>2198.6605783866062</v>
      </c>
      <c r="S42" s="7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S42" s="25"/>
    </row>
    <row r="43" spans="1:279" x14ac:dyDescent="0.3">
      <c r="A43" s="25"/>
      <c r="B43" s="25" t="s">
        <v>16</v>
      </c>
      <c r="C43" s="25" t="s">
        <v>610</v>
      </c>
      <c r="D43" s="26" t="s">
        <v>611</v>
      </c>
      <c r="E43" s="26">
        <v>72500</v>
      </c>
      <c r="F43" s="47">
        <v>43537</v>
      </c>
      <c r="G43" s="47">
        <v>43903</v>
      </c>
      <c r="H43" s="26"/>
      <c r="I43" s="26">
        <v>1.9</v>
      </c>
      <c r="J43" s="26">
        <v>995.17560882800603</v>
      </c>
      <c r="K43" s="26">
        <f t="shared" si="3"/>
        <v>118.61805555555556</v>
      </c>
      <c r="L43" s="26"/>
      <c r="M43" s="26"/>
      <c r="N43" s="26">
        <f t="shared" si="0"/>
        <v>1113.7936643835617</v>
      </c>
      <c r="O43" s="26">
        <f t="shared" si="4"/>
        <v>118.61805555555556</v>
      </c>
      <c r="P43" s="26"/>
      <c r="Q43" s="26"/>
      <c r="R43" s="26">
        <f t="shared" si="1"/>
        <v>1232.4117199391173</v>
      </c>
      <c r="S43" s="7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</row>
    <row r="44" spans="1:279" x14ac:dyDescent="0.3">
      <c r="A44" s="25"/>
      <c r="B44" s="25" t="s">
        <v>233</v>
      </c>
      <c r="C44" s="25" t="s">
        <v>612</v>
      </c>
      <c r="D44" s="26" t="s">
        <v>613</v>
      </c>
      <c r="E44" s="26">
        <v>80000</v>
      </c>
      <c r="F44" s="47">
        <v>43536</v>
      </c>
      <c r="G44" s="47">
        <v>43902</v>
      </c>
      <c r="H44" s="26"/>
      <c r="I44" s="26">
        <v>5.65</v>
      </c>
      <c r="J44" s="26">
        <v>3277.8599695585995</v>
      </c>
      <c r="K44" s="26">
        <f t="shared" si="3"/>
        <v>389.22222222222223</v>
      </c>
      <c r="L44" s="26"/>
      <c r="M44" s="26"/>
      <c r="N44" s="26">
        <f t="shared" si="0"/>
        <v>3667.0821917808216</v>
      </c>
      <c r="O44" s="26">
        <f t="shared" si="4"/>
        <v>389.22222222222223</v>
      </c>
      <c r="P44" s="26"/>
      <c r="Q44" s="26"/>
      <c r="R44" s="26">
        <f t="shared" si="1"/>
        <v>4056.3044140030438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</row>
    <row r="45" spans="1:279" x14ac:dyDescent="0.3">
      <c r="A45" s="25"/>
      <c r="B45" s="25" t="s">
        <v>13</v>
      </c>
      <c r="C45" s="25" t="s">
        <v>614</v>
      </c>
      <c r="D45" s="26" t="s">
        <v>615</v>
      </c>
      <c r="E45" s="26">
        <v>100000</v>
      </c>
      <c r="F45" s="47">
        <v>43538</v>
      </c>
      <c r="G45" s="47">
        <v>43904</v>
      </c>
      <c r="H45" s="26"/>
      <c r="I45" s="26">
        <v>4.6500000000000004</v>
      </c>
      <c r="J45" s="26">
        <v>3346.655251141553</v>
      </c>
      <c r="K45" s="26">
        <f t="shared" si="3"/>
        <v>400.41666666666674</v>
      </c>
      <c r="L45" s="26"/>
      <c r="M45" s="26"/>
      <c r="N45" s="26">
        <f t="shared" si="0"/>
        <v>3747.07191780822</v>
      </c>
      <c r="O45" s="26">
        <f t="shared" si="4"/>
        <v>400.41666666666674</v>
      </c>
      <c r="P45" s="26"/>
      <c r="Q45" s="26"/>
      <c r="R45" s="26">
        <f t="shared" si="1"/>
        <v>4147.4885844748869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</row>
    <row r="46" spans="1:279" x14ac:dyDescent="0.3">
      <c r="A46" s="25"/>
      <c r="B46" s="25" t="s">
        <v>74</v>
      </c>
      <c r="C46" s="25" t="s">
        <v>616</v>
      </c>
      <c r="D46" s="26" t="s">
        <v>617</v>
      </c>
      <c r="E46" s="26">
        <v>100000</v>
      </c>
      <c r="F46" s="47">
        <v>43544</v>
      </c>
      <c r="G46" s="47">
        <v>43910</v>
      </c>
      <c r="H46" s="26"/>
      <c r="I46" s="26">
        <v>3.4</v>
      </c>
      <c r="J46" s="26">
        <v>2391.1263318112638</v>
      </c>
      <c r="K46" s="26">
        <f t="shared" si="3"/>
        <v>292.77777777777783</v>
      </c>
      <c r="L46" s="26"/>
      <c r="M46" s="26"/>
      <c r="N46" s="26">
        <f t="shared" si="0"/>
        <v>2683.9041095890416</v>
      </c>
      <c r="O46" s="26">
        <f t="shared" si="4"/>
        <v>292.77777777777783</v>
      </c>
      <c r="P46" s="26"/>
      <c r="Q46" s="26"/>
      <c r="R46" s="26">
        <f t="shared" si="1"/>
        <v>2976.6818873668194</v>
      </c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A46" s="25"/>
      <c r="JB46" s="25"/>
      <c r="JC46" s="25"/>
      <c r="JD46" s="25"/>
      <c r="JE46" s="25"/>
      <c r="JF46" s="25"/>
      <c r="JG46" s="25"/>
      <c r="JH46" s="25"/>
      <c r="JI46" s="25"/>
      <c r="JJ46" s="25"/>
      <c r="JK46" s="25"/>
      <c r="JL46" s="25"/>
      <c r="JM46" s="25"/>
      <c r="JN46" s="25"/>
      <c r="JO46" s="25"/>
      <c r="JP46" s="25"/>
      <c r="JQ46" s="25"/>
      <c r="JR46" s="25"/>
      <c r="JS46" s="25"/>
    </row>
    <row r="47" spans="1:279" x14ac:dyDescent="0.3">
      <c r="A47" s="25"/>
      <c r="B47" s="25" t="s">
        <v>16</v>
      </c>
      <c r="C47" s="25" t="s">
        <v>618</v>
      </c>
      <c r="D47" s="26" t="s">
        <v>619</v>
      </c>
      <c r="E47" s="26">
        <v>87500</v>
      </c>
      <c r="F47" s="47">
        <v>43515</v>
      </c>
      <c r="G47" s="47">
        <v>43880</v>
      </c>
      <c r="H47" s="26"/>
      <c r="I47" s="26">
        <v>1.9</v>
      </c>
      <c r="J47" s="26">
        <v>1301.2794901065449</v>
      </c>
      <c r="K47" s="26">
        <f t="shared" si="3"/>
        <v>143.15972222222223</v>
      </c>
      <c r="L47" s="26"/>
      <c r="M47" s="26"/>
      <c r="N47" s="26">
        <f t="shared" si="0"/>
        <v>1444.4392123287671</v>
      </c>
      <c r="O47" s="26">
        <f t="shared" si="4"/>
        <v>143.15972222222223</v>
      </c>
      <c r="P47" s="26"/>
      <c r="Q47" s="26"/>
      <c r="R47" s="26">
        <f t="shared" si="1"/>
        <v>1587.5989345509893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A47" s="25"/>
      <c r="JB47" s="25"/>
      <c r="JC47" s="25"/>
      <c r="JD47" s="25"/>
      <c r="JE47" s="25"/>
      <c r="JF47" s="25"/>
      <c r="JG47" s="25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S47" s="25"/>
    </row>
    <row r="48" spans="1:279" x14ac:dyDescent="0.3">
      <c r="A48" s="25"/>
      <c r="B48" s="25" t="s">
        <v>74</v>
      </c>
      <c r="C48" s="25" t="s">
        <v>620</v>
      </c>
      <c r="D48" s="26" t="s">
        <v>621</v>
      </c>
      <c r="E48" s="26">
        <v>120000</v>
      </c>
      <c r="F48" s="47" t="s">
        <v>622</v>
      </c>
      <c r="G48" s="47" t="s">
        <v>623</v>
      </c>
      <c r="H48" s="26"/>
      <c r="I48" s="26">
        <v>3.4</v>
      </c>
      <c r="J48" s="26">
        <v>2645.7899543378999</v>
      </c>
      <c r="K48" s="26">
        <f t="shared" si="3"/>
        <v>351.33333333333337</v>
      </c>
      <c r="L48" s="26"/>
      <c r="M48" s="26"/>
      <c r="N48" s="26">
        <f t="shared" si="0"/>
        <v>2997.1232876712334</v>
      </c>
      <c r="O48" s="26">
        <f t="shared" si="4"/>
        <v>351.33333333333337</v>
      </c>
      <c r="P48" s="26"/>
      <c r="Q48" s="26"/>
      <c r="R48" s="26">
        <f t="shared" si="1"/>
        <v>3348.4566210045668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A48" s="25"/>
      <c r="JB48" s="25"/>
      <c r="JC48" s="25"/>
      <c r="JD48" s="25"/>
      <c r="JE48" s="25"/>
      <c r="JF48" s="25"/>
      <c r="JG48" s="25"/>
      <c r="JH48" s="25"/>
      <c r="JI48" s="25"/>
      <c r="JJ48" s="25"/>
      <c r="JK48" s="25"/>
      <c r="JL48" s="25"/>
      <c r="JM48" s="25"/>
      <c r="JN48" s="25"/>
      <c r="JO48" s="25"/>
      <c r="JP48" s="25"/>
      <c r="JQ48" s="25"/>
      <c r="JR48" s="25"/>
      <c r="JS48" s="25"/>
    </row>
    <row r="49" spans="1:279" x14ac:dyDescent="0.3">
      <c r="A49" s="25"/>
      <c r="B49" s="25" t="s">
        <v>74</v>
      </c>
      <c r="C49" s="25" t="s">
        <v>624</v>
      </c>
      <c r="D49" s="26" t="s">
        <v>625</v>
      </c>
      <c r="E49" s="26">
        <v>100000</v>
      </c>
      <c r="F49" s="47" t="s">
        <v>626</v>
      </c>
      <c r="G49" s="47" t="s">
        <v>627</v>
      </c>
      <c r="H49" s="26"/>
      <c r="I49" s="26">
        <v>3.4</v>
      </c>
      <c r="J49" s="26">
        <v>2055.7838660578391</v>
      </c>
      <c r="K49" s="26">
        <f t="shared" si="3"/>
        <v>292.77777777777783</v>
      </c>
      <c r="L49" s="26"/>
      <c r="M49" s="26"/>
      <c r="N49" s="26">
        <f t="shared" si="0"/>
        <v>2348.5616438356169</v>
      </c>
      <c r="O49" s="26">
        <f t="shared" si="4"/>
        <v>292.77777777777783</v>
      </c>
      <c r="P49" s="26"/>
      <c r="Q49" s="26"/>
      <c r="R49" s="26">
        <f t="shared" si="1"/>
        <v>2641.3394216133947</v>
      </c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  <c r="IW49" s="25"/>
      <c r="IX49" s="25"/>
      <c r="IY49" s="25"/>
      <c r="IZ49" s="25"/>
      <c r="JA49" s="25"/>
      <c r="JB49" s="25"/>
      <c r="JC49" s="25"/>
      <c r="JD49" s="25"/>
      <c r="JE49" s="25"/>
      <c r="JF49" s="25"/>
      <c r="JG49" s="25"/>
      <c r="JH49" s="25"/>
      <c r="JI49" s="25"/>
      <c r="JJ49" s="25"/>
      <c r="JK49" s="25"/>
      <c r="JL49" s="25"/>
      <c r="JM49" s="25"/>
      <c r="JN49" s="25"/>
      <c r="JO49" s="25"/>
      <c r="JP49" s="25"/>
      <c r="JQ49" s="25"/>
      <c r="JR49" s="25"/>
      <c r="JS49" s="25"/>
    </row>
    <row r="50" spans="1:279" x14ac:dyDescent="0.3">
      <c r="A50" s="25"/>
      <c r="B50" s="25" t="s">
        <v>25</v>
      </c>
      <c r="C50" s="25" t="s">
        <v>628</v>
      </c>
      <c r="D50" s="26" t="s">
        <v>629</v>
      </c>
      <c r="E50" s="26">
        <v>122500</v>
      </c>
      <c r="F50" s="47" t="s">
        <v>630</v>
      </c>
      <c r="G50" s="47" t="s">
        <v>631</v>
      </c>
      <c r="H50" s="26"/>
      <c r="I50" s="26">
        <v>4.4000000000000004</v>
      </c>
      <c r="J50" s="26">
        <v>3613.4330289193313</v>
      </c>
      <c r="K50" s="26">
        <f t="shared" si="3"/>
        <v>464.13888888888897</v>
      </c>
      <c r="L50" s="26"/>
      <c r="M50" s="26"/>
      <c r="N50" s="26">
        <f t="shared" si="0"/>
        <v>4077.5719178082204</v>
      </c>
      <c r="O50" s="26">
        <f t="shared" si="4"/>
        <v>464.13888888888897</v>
      </c>
      <c r="P50" s="26"/>
      <c r="Q50" s="26"/>
      <c r="R50" s="26">
        <f t="shared" si="1"/>
        <v>4541.7108066971095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A50" s="25"/>
      <c r="JB50" s="25"/>
      <c r="JC50" s="25"/>
      <c r="JD50" s="25"/>
      <c r="JE50" s="25"/>
      <c r="JF50" s="25"/>
      <c r="JG50" s="25"/>
      <c r="JH50" s="25"/>
      <c r="JI50" s="25"/>
      <c r="JJ50" s="25"/>
      <c r="JK50" s="25"/>
      <c r="JL50" s="25"/>
      <c r="JM50" s="25"/>
      <c r="JN50" s="25"/>
      <c r="JO50" s="25"/>
      <c r="JP50" s="25"/>
      <c r="JQ50" s="25"/>
      <c r="JR50" s="25"/>
      <c r="JS50" s="25"/>
    </row>
    <row r="51" spans="1:279" x14ac:dyDescent="0.3">
      <c r="A51" s="25"/>
      <c r="B51" s="25" t="s">
        <v>177</v>
      </c>
      <c r="C51" s="25" t="s">
        <v>632</v>
      </c>
      <c r="D51" s="26" t="s">
        <v>633</v>
      </c>
      <c r="E51" s="26">
        <v>100000</v>
      </c>
      <c r="F51" s="47" t="s">
        <v>626</v>
      </c>
      <c r="G51" s="47" t="s">
        <v>627</v>
      </c>
      <c r="H51" s="26"/>
      <c r="I51" s="26">
        <v>5.9</v>
      </c>
      <c r="J51" s="26">
        <v>3567.3896499238967</v>
      </c>
      <c r="K51" s="26">
        <f t="shared" si="3"/>
        <v>508.05555555555554</v>
      </c>
      <c r="L51" s="26"/>
      <c r="M51" s="26"/>
      <c r="N51" s="26">
        <f t="shared" si="0"/>
        <v>4075.4452054794524</v>
      </c>
      <c r="O51" s="26">
        <f t="shared" si="4"/>
        <v>508.05555555555554</v>
      </c>
      <c r="P51" s="26"/>
      <c r="Q51" s="26"/>
      <c r="R51" s="26">
        <f t="shared" si="1"/>
        <v>4583.5007610350076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</row>
    <row r="52" spans="1:279" x14ac:dyDescent="0.3">
      <c r="A52" s="25" t="s">
        <v>419</v>
      </c>
      <c r="B52" s="25" t="s">
        <v>177</v>
      </c>
      <c r="C52" s="25" t="s">
        <v>634</v>
      </c>
      <c r="D52" s="26" t="s">
        <v>635</v>
      </c>
      <c r="E52" s="26">
        <v>48500</v>
      </c>
      <c r="F52" s="47" t="s">
        <v>626</v>
      </c>
      <c r="G52" s="47" t="s">
        <v>627</v>
      </c>
      <c r="H52" s="26"/>
      <c r="I52" s="26">
        <v>5.9</v>
      </c>
      <c r="J52" s="26">
        <v>1730.1839802130899</v>
      </c>
      <c r="K52" s="26">
        <f t="shared" si="3"/>
        <v>246.40694444444443</v>
      </c>
      <c r="L52" s="26"/>
      <c r="M52" s="26"/>
      <c r="N52" s="26">
        <f t="shared" si="0"/>
        <v>1976.5909246575343</v>
      </c>
      <c r="O52" s="26">
        <f t="shared" si="4"/>
        <v>246.40694444444443</v>
      </c>
      <c r="P52" s="26"/>
      <c r="Q52" s="26"/>
      <c r="R52" s="26">
        <f t="shared" si="1"/>
        <v>2222.9978691019787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A52" s="25"/>
      <c r="JB52" s="25"/>
      <c r="JC52" s="25"/>
      <c r="JD52" s="25"/>
      <c r="JE52" s="25"/>
      <c r="JF52" s="25"/>
      <c r="JG52" s="25"/>
      <c r="JH52" s="25"/>
      <c r="JI52" s="25"/>
      <c r="JJ52" s="25"/>
      <c r="JK52" s="25"/>
      <c r="JL52" s="25"/>
      <c r="JM52" s="25"/>
      <c r="JN52" s="25"/>
      <c r="JO52" s="25"/>
      <c r="JP52" s="25"/>
      <c r="JQ52" s="25"/>
      <c r="JR52" s="25"/>
      <c r="JS52" s="25"/>
    </row>
    <row r="53" spans="1:279" x14ac:dyDescent="0.3">
      <c r="A53" s="25" t="s">
        <v>419</v>
      </c>
      <c r="B53" s="25" t="s">
        <v>177</v>
      </c>
      <c r="C53" s="25" t="s">
        <v>636</v>
      </c>
      <c r="D53" s="26" t="s">
        <v>637</v>
      </c>
      <c r="E53" s="26">
        <v>60000</v>
      </c>
      <c r="F53" s="47" t="s">
        <v>626</v>
      </c>
      <c r="G53" s="47" t="s">
        <v>627</v>
      </c>
      <c r="H53" s="26"/>
      <c r="I53" s="26">
        <v>5.9</v>
      </c>
      <c r="J53" s="26">
        <v>2140.4337899543384</v>
      </c>
      <c r="K53" s="26">
        <f t="shared" si="3"/>
        <v>304.83333333333337</v>
      </c>
      <c r="L53" s="26"/>
      <c r="M53" s="26"/>
      <c r="N53" s="26">
        <f t="shared" si="0"/>
        <v>2445.2671232876719</v>
      </c>
      <c r="O53" s="26">
        <f t="shared" si="4"/>
        <v>304.83333333333337</v>
      </c>
      <c r="P53" s="26"/>
      <c r="Q53" s="26"/>
      <c r="R53" s="26">
        <f t="shared" si="1"/>
        <v>2750.1004566210054</v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  <c r="IW53" s="25"/>
      <c r="IX53" s="25"/>
      <c r="IY53" s="25"/>
      <c r="IZ53" s="25"/>
      <c r="JA53" s="25"/>
      <c r="JB53" s="25"/>
      <c r="JC53" s="25"/>
      <c r="JD53" s="25"/>
      <c r="JE53" s="25"/>
      <c r="JF53" s="25"/>
      <c r="JG53" s="25"/>
      <c r="JH53" s="25"/>
      <c r="JI53" s="25"/>
      <c r="JJ53" s="25"/>
      <c r="JK53" s="25"/>
      <c r="JL53" s="25"/>
      <c r="JM53" s="25"/>
      <c r="JN53" s="25"/>
      <c r="JO53" s="25"/>
      <c r="JP53" s="25"/>
      <c r="JQ53" s="25"/>
      <c r="JR53" s="25"/>
      <c r="JS53" s="25"/>
    </row>
    <row r="54" spans="1:279" x14ac:dyDescent="0.3">
      <c r="A54" s="25" t="s">
        <v>419</v>
      </c>
      <c r="B54" s="25" t="s">
        <v>177</v>
      </c>
      <c r="C54" s="25" t="s">
        <v>638</v>
      </c>
      <c r="D54" s="26" t="s">
        <v>639</v>
      </c>
      <c r="E54" s="26">
        <v>17500</v>
      </c>
      <c r="F54" s="47" t="s">
        <v>640</v>
      </c>
      <c r="G54" s="47" t="s">
        <v>627</v>
      </c>
      <c r="H54" s="26"/>
      <c r="I54" s="26">
        <v>5.9</v>
      </c>
      <c r="J54" s="26">
        <v>610.1493531202434</v>
      </c>
      <c r="K54" s="26">
        <f t="shared" si="3"/>
        <v>88.909722222222214</v>
      </c>
      <c r="L54" s="26"/>
      <c r="M54" s="26"/>
      <c r="N54" s="26">
        <f t="shared" si="0"/>
        <v>699.05907534246558</v>
      </c>
      <c r="O54" s="26">
        <f t="shared" si="4"/>
        <v>88.909722222222214</v>
      </c>
      <c r="P54" s="26"/>
      <c r="Q54" s="26"/>
      <c r="R54" s="26">
        <f t="shared" si="1"/>
        <v>787.96879756468775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A54" s="25"/>
      <c r="JB54" s="25"/>
      <c r="JC54" s="25"/>
      <c r="JD54" s="25"/>
      <c r="JE54" s="25"/>
      <c r="JF54" s="25"/>
      <c r="JG54" s="25"/>
      <c r="JH54" s="25"/>
      <c r="JI54" s="25"/>
      <c r="JJ54" s="25"/>
      <c r="JK54" s="25"/>
      <c r="JL54" s="25"/>
      <c r="JM54" s="25"/>
      <c r="JN54" s="25"/>
      <c r="JO54" s="25"/>
      <c r="JP54" s="25"/>
      <c r="JQ54" s="25"/>
      <c r="JR54" s="25"/>
      <c r="JS54" s="25"/>
    </row>
    <row r="55" spans="1:279" x14ac:dyDescent="0.3">
      <c r="A55" s="25" t="s">
        <v>419</v>
      </c>
      <c r="B55" s="25" t="s">
        <v>177</v>
      </c>
      <c r="C55" s="25" t="s">
        <v>641</v>
      </c>
      <c r="D55" s="26" t="s">
        <v>642</v>
      </c>
      <c r="E55" s="26">
        <v>50000</v>
      </c>
      <c r="F55" s="47" t="s">
        <v>640</v>
      </c>
      <c r="G55" s="47" t="s">
        <v>627</v>
      </c>
      <c r="H55" s="26"/>
      <c r="I55" s="26">
        <v>5.9</v>
      </c>
      <c r="J55" s="26">
        <v>1743.2838660578386</v>
      </c>
      <c r="K55" s="26">
        <f t="shared" si="3"/>
        <v>254.02777777777777</v>
      </c>
      <c r="L55" s="26"/>
      <c r="M55" s="26"/>
      <c r="N55" s="26">
        <f t="shared" si="0"/>
        <v>1997.3116438356165</v>
      </c>
      <c r="O55" s="26">
        <f t="shared" si="4"/>
        <v>254.02777777777777</v>
      </c>
      <c r="P55" s="26"/>
      <c r="Q55" s="26"/>
      <c r="R55" s="26">
        <f t="shared" si="1"/>
        <v>2251.3394216133943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  <c r="IW55" s="25"/>
      <c r="IX55" s="25"/>
      <c r="IY55" s="25"/>
      <c r="IZ55" s="25"/>
      <c r="JA55" s="25"/>
      <c r="JB55" s="25"/>
      <c r="JC55" s="25"/>
      <c r="JD55" s="25"/>
      <c r="JE55" s="25"/>
      <c r="JF55" s="25"/>
      <c r="JG55" s="25"/>
      <c r="JH55" s="25"/>
      <c r="JI55" s="25"/>
      <c r="JJ55" s="25"/>
      <c r="JK55" s="25"/>
      <c r="JL55" s="25"/>
      <c r="JM55" s="25"/>
      <c r="JN55" s="25"/>
      <c r="JO55" s="25"/>
      <c r="JP55" s="25"/>
      <c r="JQ55" s="25"/>
      <c r="JR55" s="25"/>
      <c r="JS55" s="25"/>
    </row>
    <row r="56" spans="1:279" x14ac:dyDescent="0.3">
      <c r="A56" s="25" t="s">
        <v>419</v>
      </c>
      <c r="B56" s="25" t="s">
        <v>177</v>
      </c>
      <c r="C56" s="25" t="s">
        <v>643</v>
      </c>
      <c r="D56" s="26" t="s">
        <v>644</v>
      </c>
      <c r="E56" s="26">
        <v>50000</v>
      </c>
      <c r="F56" s="47" t="s">
        <v>626</v>
      </c>
      <c r="G56" s="47" t="s">
        <v>627</v>
      </c>
      <c r="H56" s="26"/>
      <c r="I56" s="26">
        <v>5.9</v>
      </c>
      <c r="J56" s="26">
        <v>1783.6948249619484</v>
      </c>
      <c r="K56" s="26">
        <f t="shared" si="3"/>
        <v>254.02777777777777</v>
      </c>
      <c r="L56" s="26"/>
      <c r="M56" s="26"/>
      <c r="N56" s="26">
        <f t="shared" si="0"/>
        <v>2037.7226027397262</v>
      </c>
      <c r="O56" s="26">
        <f t="shared" si="4"/>
        <v>254.02777777777777</v>
      </c>
      <c r="P56" s="26"/>
      <c r="Q56" s="26"/>
      <c r="R56" s="26">
        <f t="shared" si="1"/>
        <v>2291.7503805175038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</row>
    <row r="57" spans="1:279" x14ac:dyDescent="0.3">
      <c r="A57" s="25" t="s">
        <v>419</v>
      </c>
      <c r="B57" s="25" t="s">
        <v>177</v>
      </c>
      <c r="C57" s="25" t="s">
        <v>645</v>
      </c>
      <c r="D57" s="26" t="s">
        <v>646</v>
      </c>
      <c r="E57" s="26">
        <v>20000</v>
      </c>
      <c r="F57" s="47" t="s">
        <v>640</v>
      </c>
      <c r="G57" s="47" t="s">
        <v>627</v>
      </c>
      <c r="H57" s="26"/>
      <c r="I57" s="26">
        <v>5.9</v>
      </c>
      <c r="J57" s="26">
        <v>697.31354642313556</v>
      </c>
      <c r="K57" s="26">
        <f t="shared" si="3"/>
        <v>101.61111111111111</v>
      </c>
      <c r="L57" s="26"/>
      <c r="M57" s="26"/>
      <c r="N57" s="26">
        <f t="shared" si="0"/>
        <v>798.92465753424665</v>
      </c>
      <c r="O57" s="26">
        <f t="shared" si="4"/>
        <v>101.61111111111111</v>
      </c>
      <c r="P57" s="26"/>
      <c r="Q57" s="26"/>
      <c r="R57" s="26">
        <f t="shared" si="1"/>
        <v>900.53576864535773</v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</row>
    <row r="58" spans="1:279" x14ac:dyDescent="0.3">
      <c r="A58" s="25" t="s">
        <v>419</v>
      </c>
      <c r="B58" s="25" t="s">
        <v>177</v>
      </c>
      <c r="C58" s="25" t="s">
        <v>647</v>
      </c>
      <c r="D58" s="26" t="s">
        <v>648</v>
      </c>
      <c r="E58" s="26">
        <v>87995</v>
      </c>
      <c r="F58" s="47" t="s">
        <v>640</v>
      </c>
      <c r="G58" s="47" t="s">
        <v>627</v>
      </c>
      <c r="H58" s="26"/>
      <c r="I58" s="26">
        <v>5.9</v>
      </c>
      <c r="J58" s="26">
        <v>3068.0052758751904</v>
      </c>
      <c r="K58" s="26">
        <f t="shared" si="3"/>
        <v>447.0634861111111</v>
      </c>
      <c r="L58" s="26"/>
      <c r="M58" s="26"/>
      <c r="N58" s="26">
        <f t="shared" si="0"/>
        <v>3515.0687619863015</v>
      </c>
      <c r="O58" s="26">
        <f t="shared" si="4"/>
        <v>447.0634861111111</v>
      </c>
      <c r="P58" s="26"/>
      <c r="Q58" s="26"/>
      <c r="R58" s="26">
        <f t="shared" si="1"/>
        <v>3962.1322480974127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A58" s="25"/>
      <c r="JB58" s="25"/>
      <c r="JC58" s="25"/>
      <c r="JD58" s="25"/>
      <c r="JE58" s="25"/>
      <c r="JF58" s="25"/>
      <c r="JG58" s="25"/>
      <c r="JH58" s="25"/>
      <c r="JI58" s="25"/>
      <c r="JJ58" s="25"/>
      <c r="JK58" s="25"/>
      <c r="JL58" s="25"/>
      <c r="JM58" s="25"/>
      <c r="JN58" s="25"/>
      <c r="JO58" s="25"/>
      <c r="JP58" s="25"/>
      <c r="JQ58" s="25"/>
      <c r="JR58" s="25"/>
      <c r="JS58" s="25"/>
    </row>
    <row r="59" spans="1:279" x14ac:dyDescent="0.3">
      <c r="A59" s="25"/>
      <c r="B59" s="25" t="s">
        <v>174</v>
      </c>
      <c r="C59" s="25" t="s">
        <v>649</v>
      </c>
      <c r="D59" s="26" t="s">
        <v>650</v>
      </c>
      <c r="E59" s="26">
        <v>810000</v>
      </c>
      <c r="F59" s="47" t="s">
        <v>651</v>
      </c>
      <c r="G59" s="47" t="s">
        <v>652</v>
      </c>
      <c r="H59" s="26"/>
      <c r="I59" s="26">
        <v>6.15</v>
      </c>
      <c r="J59" s="26">
        <v>31212.092465753427</v>
      </c>
      <c r="K59" s="26">
        <f t="shared" si="3"/>
        <v>4289.6250000000009</v>
      </c>
      <c r="L59" s="26"/>
      <c r="M59" s="26"/>
      <c r="N59" s="26">
        <f t="shared" si="0"/>
        <v>35501.717465753427</v>
      </c>
      <c r="O59" s="26">
        <f t="shared" si="4"/>
        <v>4289.6250000000009</v>
      </c>
      <c r="P59" s="26"/>
      <c r="Q59" s="26"/>
      <c r="R59" s="26">
        <f t="shared" si="1"/>
        <v>39791.342465753427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  <c r="IW59" s="25"/>
      <c r="IX59" s="25"/>
      <c r="IY59" s="25"/>
      <c r="IZ59" s="25"/>
      <c r="JA59" s="25"/>
      <c r="JB59" s="25"/>
      <c r="JC59" s="25"/>
      <c r="JD59" s="25"/>
      <c r="JE59" s="25"/>
      <c r="JF59" s="25"/>
      <c r="JG59" s="25"/>
      <c r="JH59" s="25"/>
      <c r="JI59" s="25"/>
      <c r="JJ59" s="25"/>
      <c r="JK59" s="25"/>
      <c r="JL59" s="25"/>
      <c r="JM59" s="25"/>
      <c r="JN59" s="25"/>
      <c r="JO59" s="25"/>
      <c r="JP59" s="25"/>
      <c r="JQ59" s="25"/>
      <c r="JR59" s="25"/>
      <c r="JS59" s="25"/>
    </row>
    <row r="60" spans="1:279" x14ac:dyDescent="0.3">
      <c r="A60" s="25"/>
      <c r="B60" s="25" t="s">
        <v>174</v>
      </c>
      <c r="C60" s="25" t="s">
        <v>653</v>
      </c>
      <c r="D60" s="26" t="s">
        <v>654</v>
      </c>
      <c r="E60" s="26">
        <v>1050000</v>
      </c>
      <c r="F60" s="47" t="s">
        <v>655</v>
      </c>
      <c r="G60" s="47" t="s">
        <v>656</v>
      </c>
      <c r="H60" s="26"/>
      <c r="I60" s="26">
        <v>6.15</v>
      </c>
      <c r="J60" s="26">
        <v>39575.530821917811</v>
      </c>
      <c r="K60" s="26">
        <f t="shared" si="3"/>
        <v>5560.6250000000009</v>
      </c>
      <c r="L60" s="26"/>
      <c r="M60" s="26"/>
      <c r="N60" s="26">
        <f t="shared" si="0"/>
        <v>45136.155821917811</v>
      </c>
      <c r="O60" s="26">
        <f t="shared" si="4"/>
        <v>5560.6250000000009</v>
      </c>
      <c r="P60" s="26"/>
      <c r="Q60" s="26"/>
      <c r="R60" s="26">
        <f t="shared" si="1"/>
        <v>50696.780821917811</v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A60" s="25"/>
      <c r="JB60" s="25"/>
      <c r="JC60" s="25"/>
      <c r="JD60" s="25"/>
      <c r="JE60" s="25"/>
      <c r="JF60" s="25"/>
      <c r="JG60" s="25"/>
      <c r="JH60" s="25"/>
      <c r="JI60" s="25"/>
      <c r="JJ60" s="25"/>
      <c r="JK60" s="25"/>
      <c r="JL60" s="25"/>
      <c r="JM60" s="25"/>
      <c r="JN60" s="25"/>
      <c r="JO60" s="25"/>
      <c r="JP60" s="25"/>
      <c r="JQ60" s="25"/>
      <c r="JR60" s="25"/>
      <c r="JS60" s="25"/>
    </row>
    <row r="61" spans="1:279" x14ac:dyDescent="0.3">
      <c r="A61" s="25"/>
      <c r="B61" s="25" t="s">
        <v>174</v>
      </c>
      <c r="C61" s="25" t="s">
        <v>657</v>
      </c>
      <c r="D61" s="26" t="s">
        <v>658</v>
      </c>
      <c r="E61" s="26">
        <v>985000</v>
      </c>
      <c r="F61" s="47" t="s">
        <v>640</v>
      </c>
      <c r="G61" s="47" t="s">
        <v>659</v>
      </c>
      <c r="H61" s="26"/>
      <c r="I61" s="26">
        <v>6.15</v>
      </c>
      <c r="J61" s="26">
        <v>35797.89098173516</v>
      </c>
      <c r="K61" s="26">
        <f t="shared" si="3"/>
        <v>5216.3958333333339</v>
      </c>
      <c r="L61" s="26"/>
      <c r="M61" s="26"/>
      <c r="N61" s="26">
        <f t="shared" si="0"/>
        <v>41014.286815068495</v>
      </c>
      <c r="O61" s="26">
        <f t="shared" si="4"/>
        <v>5216.3958333333339</v>
      </c>
      <c r="P61" s="26"/>
      <c r="Q61" s="26"/>
      <c r="R61" s="26">
        <f t="shared" si="1"/>
        <v>46230.682648401831</v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  <c r="IW61" s="25"/>
      <c r="IX61" s="25"/>
      <c r="IY61" s="25"/>
      <c r="IZ61" s="25"/>
      <c r="JA61" s="25"/>
      <c r="JB61" s="25"/>
      <c r="JC61" s="25"/>
      <c r="JD61" s="25"/>
      <c r="JE61" s="25"/>
      <c r="JF61" s="25"/>
      <c r="JG61" s="25"/>
      <c r="JH61" s="25"/>
      <c r="JI61" s="25"/>
      <c r="JJ61" s="25"/>
      <c r="JK61" s="25"/>
      <c r="JL61" s="25"/>
      <c r="JM61" s="25"/>
      <c r="JN61" s="25"/>
      <c r="JO61" s="25"/>
      <c r="JP61" s="25"/>
      <c r="JQ61" s="25"/>
      <c r="JR61" s="25"/>
      <c r="JS61" s="25"/>
    </row>
    <row r="62" spans="1:279" x14ac:dyDescent="0.3">
      <c r="A62" s="25"/>
      <c r="B62" s="25" t="s">
        <v>204</v>
      </c>
      <c r="C62" s="25" t="s">
        <v>660</v>
      </c>
      <c r="D62" s="26" t="s">
        <v>661</v>
      </c>
      <c r="E62" s="26">
        <v>330000</v>
      </c>
      <c r="F62" s="47" t="s">
        <v>662</v>
      </c>
      <c r="G62" s="47" t="s">
        <v>663</v>
      </c>
      <c r="H62" s="26"/>
      <c r="I62" s="26">
        <v>4.9000000000000004</v>
      </c>
      <c r="J62" s="26">
        <v>9865.6689497716889</v>
      </c>
      <c r="K62" s="26">
        <f t="shared" si="3"/>
        <v>1392.4166666666665</v>
      </c>
      <c r="L62" s="26"/>
      <c r="M62" s="26"/>
      <c r="N62" s="26">
        <f t="shared" si="0"/>
        <v>11258.085616438355</v>
      </c>
      <c r="O62" s="26">
        <f t="shared" si="4"/>
        <v>1392.4166666666665</v>
      </c>
      <c r="P62" s="26"/>
      <c r="Q62" s="26"/>
      <c r="R62" s="26">
        <f t="shared" si="1"/>
        <v>12650.502283105021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A62" s="25"/>
      <c r="JB62" s="25"/>
      <c r="JC62" s="25"/>
      <c r="JD62" s="25"/>
      <c r="JE62" s="25"/>
      <c r="JF62" s="25"/>
      <c r="JG62" s="25"/>
      <c r="JH62" s="25"/>
      <c r="JI62" s="25"/>
      <c r="JJ62" s="25"/>
      <c r="JK62" s="25"/>
      <c r="JL62" s="25"/>
      <c r="JM62" s="25"/>
      <c r="JN62" s="25"/>
      <c r="JO62" s="25"/>
      <c r="JP62" s="25"/>
      <c r="JQ62" s="25"/>
      <c r="JR62" s="25"/>
      <c r="JS62" s="25"/>
    </row>
    <row r="63" spans="1:279" x14ac:dyDescent="0.3">
      <c r="A63" s="25"/>
      <c r="B63" s="25" t="s">
        <v>211</v>
      </c>
      <c r="C63" s="25" t="s">
        <v>664</v>
      </c>
      <c r="D63" s="26" t="s">
        <v>665</v>
      </c>
      <c r="E63" s="26">
        <v>1100000</v>
      </c>
      <c r="F63" s="47" t="s">
        <v>666</v>
      </c>
      <c r="G63" s="47" t="s">
        <v>667</v>
      </c>
      <c r="H63" s="26"/>
      <c r="I63" s="26">
        <v>5.9</v>
      </c>
      <c r="J63" s="26">
        <v>42619.642313546428</v>
      </c>
      <c r="K63" s="26">
        <f t="shared" si="3"/>
        <v>5588.6111111111122</v>
      </c>
      <c r="L63" s="26"/>
      <c r="M63" s="26"/>
      <c r="N63" s="26">
        <f t="shared" si="0"/>
        <v>48208.253424657538</v>
      </c>
      <c r="O63" s="26">
        <f t="shared" si="4"/>
        <v>5588.6111111111122</v>
      </c>
      <c r="P63" s="26"/>
      <c r="Q63" s="26"/>
      <c r="R63" s="26">
        <f t="shared" si="1"/>
        <v>53796.864535768647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  <c r="IW63" s="25"/>
      <c r="IX63" s="25"/>
      <c r="IY63" s="25"/>
      <c r="IZ63" s="25"/>
      <c r="JA63" s="25"/>
      <c r="JB63" s="25"/>
      <c r="JC63" s="25"/>
      <c r="JD63" s="25"/>
      <c r="JE63" s="25"/>
      <c r="JF63" s="25"/>
      <c r="JG63" s="25"/>
      <c r="JH63" s="25"/>
      <c r="JI63" s="25"/>
      <c r="JJ63" s="25"/>
      <c r="JK63" s="25"/>
      <c r="JL63" s="25"/>
      <c r="JM63" s="25"/>
      <c r="JN63" s="25"/>
      <c r="JO63" s="25"/>
      <c r="JP63" s="25"/>
      <c r="JQ63" s="25"/>
      <c r="JR63" s="25"/>
      <c r="JS63" s="25"/>
    </row>
    <row r="64" spans="1:279" x14ac:dyDescent="0.3">
      <c r="A64" s="25"/>
      <c r="B64" s="25" t="s">
        <v>16</v>
      </c>
      <c r="C64" s="25" t="s">
        <v>668</v>
      </c>
      <c r="D64" s="26" t="s">
        <v>669</v>
      </c>
      <c r="E64" s="26">
        <v>90000</v>
      </c>
      <c r="F64" s="47" t="s">
        <v>670</v>
      </c>
      <c r="G64" s="47" t="s">
        <v>671</v>
      </c>
      <c r="H64" s="26"/>
      <c r="I64" s="26">
        <v>1.9</v>
      </c>
      <c r="J64" s="26">
        <v>1132.321917808219</v>
      </c>
      <c r="K64" s="26">
        <f t="shared" si="3"/>
        <v>147.25</v>
      </c>
      <c r="L64" s="26"/>
      <c r="M64" s="26"/>
      <c r="N64" s="26">
        <f t="shared" si="0"/>
        <v>1279.571917808219</v>
      </c>
      <c r="O64" s="26">
        <f t="shared" si="4"/>
        <v>147.25</v>
      </c>
      <c r="P64" s="26"/>
      <c r="Q64" s="26"/>
      <c r="R64" s="26">
        <f t="shared" si="1"/>
        <v>1426.821917808219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A64" s="25"/>
      <c r="JB64" s="25"/>
      <c r="JC64" s="25"/>
      <c r="JD64" s="25"/>
      <c r="JE64" s="25"/>
      <c r="JF64" s="25"/>
      <c r="JG64" s="25"/>
      <c r="JH64" s="25"/>
      <c r="JI64" s="25"/>
      <c r="JJ64" s="25"/>
      <c r="JK64" s="25"/>
      <c r="JL64" s="25"/>
      <c r="JM64" s="25"/>
      <c r="JN64" s="25"/>
      <c r="JO64" s="25"/>
      <c r="JP64" s="25"/>
      <c r="JQ64" s="25"/>
      <c r="JR64" s="25"/>
      <c r="JS64" s="25"/>
    </row>
    <row r="65" spans="1:279" x14ac:dyDescent="0.3">
      <c r="A65" s="25"/>
      <c r="B65" s="25" t="s">
        <v>37</v>
      </c>
      <c r="C65" s="25" t="s">
        <v>672</v>
      </c>
      <c r="D65" s="26" t="s">
        <v>673</v>
      </c>
      <c r="E65" s="26">
        <v>500000</v>
      </c>
      <c r="F65" s="47" t="s">
        <v>622</v>
      </c>
      <c r="G65" s="47" t="s">
        <v>623</v>
      </c>
      <c r="H65" s="26"/>
      <c r="I65" s="26">
        <v>7.9</v>
      </c>
      <c r="J65" s="26">
        <v>6693.0593455098933</v>
      </c>
      <c r="K65" s="26">
        <f t="shared" si="3"/>
        <v>3401.3888888888891</v>
      </c>
      <c r="L65" s="26"/>
      <c r="M65" s="26"/>
      <c r="N65" s="26">
        <f t="shared" si="0"/>
        <v>10094.448234398782</v>
      </c>
      <c r="O65" s="26">
        <f t="shared" si="4"/>
        <v>3401.3888888888891</v>
      </c>
      <c r="P65" s="26"/>
      <c r="Q65" s="26"/>
      <c r="R65" s="26">
        <f t="shared" si="1"/>
        <v>13495.837123287671</v>
      </c>
      <c r="S65" s="25"/>
      <c r="T65" s="25" t="s">
        <v>603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  <c r="IW65" s="25"/>
      <c r="IX65" s="25"/>
      <c r="IY65" s="25"/>
      <c r="IZ65" s="25"/>
      <c r="JA65" s="25"/>
      <c r="JB65" s="25"/>
      <c r="JC65" s="25"/>
      <c r="JD65" s="25"/>
      <c r="JE65" s="25"/>
      <c r="JF65" s="25"/>
      <c r="JG65" s="25"/>
      <c r="JH65" s="25"/>
      <c r="JI65" s="25"/>
      <c r="JJ65" s="25"/>
      <c r="JK65" s="25"/>
      <c r="JL65" s="25"/>
      <c r="JM65" s="25"/>
      <c r="JN65" s="25"/>
      <c r="JO65" s="25"/>
      <c r="JP65" s="25"/>
      <c r="JQ65" s="25"/>
      <c r="JR65" s="25"/>
      <c r="JS65" s="25"/>
    </row>
    <row r="66" spans="1:279" x14ac:dyDescent="0.3">
      <c r="A66" s="25"/>
      <c r="B66" s="25" t="s">
        <v>77</v>
      </c>
      <c r="C66" s="25" t="s">
        <v>674</v>
      </c>
      <c r="D66" s="26" t="s">
        <v>675</v>
      </c>
      <c r="E66" s="26">
        <v>191200</v>
      </c>
      <c r="F66" s="47">
        <v>43592</v>
      </c>
      <c r="G66" s="47" t="s">
        <v>676</v>
      </c>
      <c r="H66" s="26"/>
      <c r="I66" s="26">
        <v>5.4</v>
      </c>
      <c r="J66" s="26">
        <v>6214.5238356164391</v>
      </c>
      <c r="K66" s="26">
        <f t="shared" si="3"/>
        <v>889.08000000000015</v>
      </c>
      <c r="L66" s="26"/>
      <c r="M66" s="26"/>
      <c r="N66" s="26">
        <f t="shared" si="0"/>
        <v>7103.603835616439</v>
      </c>
      <c r="O66" s="26">
        <f t="shared" si="4"/>
        <v>889.08000000000015</v>
      </c>
      <c r="P66" s="26"/>
      <c r="Q66" s="26"/>
      <c r="R66" s="26">
        <f t="shared" si="1"/>
        <v>7992.683835616439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25"/>
      <c r="JC66" s="25"/>
      <c r="JD66" s="25"/>
      <c r="JE66" s="25"/>
      <c r="JF66" s="25"/>
      <c r="JG66" s="25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S66" s="25"/>
    </row>
    <row r="67" spans="1:279" x14ac:dyDescent="0.3">
      <c r="A67" s="25"/>
      <c r="B67" s="25" t="s">
        <v>74</v>
      </c>
      <c r="C67" s="25" t="s">
        <v>677</v>
      </c>
      <c r="D67" s="26" t="s">
        <v>678</v>
      </c>
      <c r="E67" s="26">
        <v>75000</v>
      </c>
      <c r="F67" s="47">
        <v>43599</v>
      </c>
      <c r="G67" s="47">
        <v>43965</v>
      </c>
      <c r="H67" s="26"/>
      <c r="I67" s="26">
        <v>3.4</v>
      </c>
      <c r="J67" s="26">
        <v>1409.0981735159817</v>
      </c>
      <c r="K67" s="26">
        <f t="shared" si="3"/>
        <v>219.58333333333331</v>
      </c>
      <c r="L67" s="26"/>
      <c r="M67" s="26"/>
      <c r="N67" s="26">
        <f t="shared" si="0"/>
        <v>1628.6815068493149</v>
      </c>
      <c r="O67" s="26">
        <f t="shared" si="4"/>
        <v>219.58333333333331</v>
      </c>
      <c r="P67" s="26"/>
      <c r="Q67" s="26"/>
      <c r="R67" s="26">
        <f t="shared" si="1"/>
        <v>1848.2648401826482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  <c r="IW67" s="25"/>
      <c r="IX67" s="25"/>
      <c r="IY67" s="25"/>
      <c r="IZ67" s="25"/>
      <c r="JA67" s="25"/>
      <c r="JB67" s="25"/>
      <c r="JC67" s="25"/>
      <c r="JD67" s="25"/>
      <c r="JE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</row>
    <row r="68" spans="1:279" x14ac:dyDescent="0.3">
      <c r="A68" s="25"/>
      <c r="B68" s="25" t="s">
        <v>25</v>
      </c>
      <c r="C68" s="25" t="s">
        <v>679</v>
      </c>
      <c r="D68" s="26" t="s">
        <v>680</v>
      </c>
      <c r="E68" s="26">
        <v>150000</v>
      </c>
      <c r="F68" s="47">
        <v>43587</v>
      </c>
      <c r="G68" s="47">
        <v>43953</v>
      </c>
      <c r="H68" s="26"/>
      <c r="I68" s="26">
        <v>4.4000000000000004</v>
      </c>
      <c r="J68" s="26">
        <v>3864.0639269406397</v>
      </c>
      <c r="K68" s="26">
        <f t="shared" si="3"/>
        <v>568.33333333333337</v>
      </c>
      <c r="L68" s="26"/>
      <c r="M68" s="26"/>
      <c r="N68" s="26">
        <f t="shared" si="0"/>
        <v>4432.3972602739732</v>
      </c>
      <c r="O68" s="26">
        <f t="shared" si="4"/>
        <v>568.33333333333337</v>
      </c>
      <c r="P68" s="26"/>
      <c r="Q68" s="26"/>
      <c r="R68" s="26">
        <f t="shared" si="1"/>
        <v>5000.7305936073062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  <c r="IX68" s="25"/>
      <c r="IY68" s="25"/>
      <c r="IZ68" s="25"/>
      <c r="JA68" s="25"/>
      <c r="JB68" s="25"/>
      <c r="JC68" s="25"/>
      <c r="JD68" s="25"/>
      <c r="JE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</row>
    <row r="69" spans="1:279" x14ac:dyDescent="0.3">
      <c r="A69" s="25"/>
      <c r="B69" s="25" t="s">
        <v>13</v>
      </c>
      <c r="C69" s="25" t="s">
        <v>681</v>
      </c>
      <c r="D69" s="26" t="s">
        <v>682</v>
      </c>
      <c r="E69" s="26">
        <v>100000</v>
      </c>
      <c r="F69" s="47">
        <v>43593</v>
      </c>
      <c r="G69" s="47">
        <v>43953</v>
      </c>
      <c r="H69" s="26"/>
      <c r="I69" s="26">
        <v>4.9000000000000004</v>
      </c>
      <c r="J69" s="26">
        <v>2868.7747336377474</v>
      </c>
      <c r="K69" s="26">
        <f t="shared" si="3"/>
        <v>421.94444444444446</v>
      </c>
      <c r="L69" s="26"/>
      <c r="M69" s="26"/>
      <c r="N69" s="26">
        <f t="shared" si="0"/>
        <v>3290.7191780821918</v>
      </c>
      <c r="O69" s="26">
        <f t="shared" si="4"/>
        <v>421.94444444444446</v>
      </c>
      <c r="P69" s="26"/>
      <c r="Q69" s="26"/>
      <c r="R69" s="26">
        <f t="shared" si="1"/>
        <v>3712.6636225266361</v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</row>
    <row r="70" spans="1:279" x14ac:dyDescent="0.3">
      <c r="A70" s="25"/>
      <c r="B70" s="25" t="s">
        <v>82</v>
      </c>
      <c r="C70" s="25" t="s">
        <v>683</v>
      </c>
      <c r="D70" s="26" t="s">
        <v>684</v>
      </c>
      <c r="E70" s="26">
        <v>41000</v>
      </c>
      <c r="F70" s="47">
        <v>43593</v>
      </c>
      <c r="G70" s="47">
        <v>43954</v>
      </c>
      <c r="H70" s="26"/>
      <c r="I70" s="26">
        <v>6.15</v>
      </c>
      <c r="J70" s="26">
        <v>1469.3398401826485</v>
      </c>
      <c r="K70" s="26">
        <f t="shared" si="3"/>
        <v>217.12916666666672</v>
      </c>
      <c r="L70" s="26"/>
      <c r="M70" s="26"/>
      <c r="N70" s="26">
        <f t="shared" ref="N70:N133" si="5">+J70+K70+L70+M70</f>
        <v>1686.4690068493151</v>
      </c>
      <c r="O70" s="26">
        <f t="shared" si="4"/>
        <v>217.12916666666672</v>
      </c>
      <c r="P70" s="26"/>
      <c r="Q70" s="26"/>
      <c r="R70" s="26">
        <f t="shared" ref="R70:R133" si="6">+N70+O70+P70+Q70</f>
        <v>1903.5981735159817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A70" s="25"/>
      <c r="JB70" s="25"/>
      <c r="JC70" s="25"/>
      <c r="JD70" s="25"/>
      <c r="JE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</row>
    <row r="71" spans="1:279" x14ac:dyDescent="0.3">
      <c r="A71" s="25"/>
      <c r="B71" s="25" t="s">
        <v>7</v>
      </c>
      <c r="C71" s="25" t="s">
        <v>685</v>
      </c>
      <c r="D71" s="26" t="s">
        <v>686</v>
      </c>
      <c r="E71" s="26">
        <v>95000</v>
      </c>
      <c r="F71" s="47">
        <v>43601</v>
      </c>
      <c r="G71" s="47">
        <v>43967</v>
      </c>
      <c r="H71" s="26"/>
      <c r="I71" s="26">
        <v>6.4</v>
      </c>
      <c r="J71" s="26">
        <v>3326.4170471841703</v>
      </c>
      <c r="K71" s="26">
        <f t="shared" si="3"/>
        <v>523.55555555555554</v>
      </c>
      <c r="L71" s="26"/>
      <c r="M71" s="26"/>
      <c r="N71" s="26">
        <f t="shared" si="5"/>
        <v>3849.972602739726</v>
      </c>
      <c r="O71" s="26">
        <f t="shared" si="4"/>
        <v>523.55555555555554</v>
      </c>
      <c r="P71" s="26"/>
      <c r="Q71" s="26"/>
      <c r="R71" s="26">
        <f t="shared" si="6"/>
        <v>4373.5281582952812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  <c r="IW71" s="25"/>
      <c r="IX71" s="25"/>
      <c r="IY71" s="25"/>
      <c r="IZ71" s="25"/>
      <c r="JA71" s="25"/>
      <c r="JB71" s="25"/>
      <c r="JC71" s="25"/>
      <c r="JD71" s="25"/>
      <c r="JE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</row>
    <row r="72" spans="1:279" x14ac:dyDescent="0.3">
      <c r="A72" s="25"/>
      <c r="B72" s="25" t="s">
        <v>7</v>
      </c>
      <c r="C72" s="25" t="s">
        <v>687</v>
      </c>
      <c r="D72" s="26" t="s">
        <v>688</v>
      </c>
      <c r="E72" s="26">
        <v>185000</v>
      </c>
      <c r="F72" s="47">
        <v>43601</v>
      </c>
      <c r="G72" s="47">
        <v>43967</v>
      </c>
      <c r="H72" s="26"/>
      <c r="I72" s="26">
        <v>6.4</v>
      </c>
      <c r="J72" s="26">
        <v>6477.759512937595</v>
      </c>
      <c r="K72" s="26">
        <f t="shared" si="3"/>
        <v>1019.5555555555554</v>
      </c>
      <c r="L72" s="26"/>
      <c r="M72" s="26"/>
      <c r="N72" s="26">
        <f t="shared" si="5"/>
        <v>7497.3150684931506</v>
      </c>
      <c r="O72" s="26">
        <f t="shared" si="4"/>
        <v>1019.5555555555554</v>
      </c>
      <c r="P72" s="26"/>
      <c r="Q72" s="26"/>
      <c r="R72" s="26">
        <f t="shared" si="6"/>
        <v>8516.8706240487063</v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25"/>
      <c r="JC72" s="25"/>
      <c r="JD72" s="25"/>
      <c r="JE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</row>
    <row r="73" spans="1:279" x14ac:dyDescent="0.3">
      <c r="A73" s="25"/>
      <c r="B73" s="25" t="s">
        <v>127</v>
      </c>
      <c r="C73" s="25" t="s">
        <v>689</v>
      </c>
      <c r="D73" s="26" t="s">
        <v>690</v>
      </c>
      <c r="E73" s="26">
        <v>110000</v>
      </c>
      <c r="F73" s="47">
        <v>43612</v>
      </c>
      <c r="G73" s="47">
        <v>43978</v>
      </c>
      <c r="H73" s="26"/>
      <c r="I73" s="26">
        <v>3.9</v>
      </c>
      <c r="J73" s="26">
        <v>2217.8059360730595</v>
      </c>
      <c r="K73" s="26">
        <f t="shared" si="3"/>
        <v>369.41666666666663</v>
      </c>
      <c r="L73" s="26"/>
      <c r="M73" s="26"/>
      <c r="N73" s="26">
        <f t="shared" si="5"/>
        <v>2587.222602739726</v>
      </c>
      <c r="O73" s="26">
        <f t="shared" si="4"/>
        <v>369.41666666666663</v>
      </c>
      <c r="P73" s="26"/>
      <c r="Q73" s="26"/>
      <c r="R73" s="26">
        <f t="shared" si="6"/>
        <v>2956.6392694063925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</row>
    <row r="74" spans="1:279" x14ac:dyDescent="0.3">
      <c r="A74" s="25"/>
      <c r="B74" s="25" t="s">
        <v>56</v>
      </c>
      <c r="C74" s="25" t="s">
        <v>691</v>
      </c>
      <c r="D74" s="26" t="s">
        <v>692</v>
      </c>
      <c r="E74" s="26">
        <v>500000</v>
      </c>
      <c r="F74" s="47">
        <v>43600</v>
      </c>
      <c r="G74" s="47">
        <v>43966</v>
      </c>
      <c r="H74" s="26"/>
      <c r="I74" s="26">
        <v>6.85</v>
      </c>
      <c r="J74" s="26">
        <v>18832.286910197865</v>
      </c>
      <c r="K74" s="26">
        <f t="shared" si="3"/>
        <v>2949.3055555555552</v>
      </c>
      <c r="L74" s="26"/>
      <c r="M74" s="26"/>
      <c r="N74" s="26">
        <f t="shared" si="5"/>
        <v>21781.59246575342</v>
      </c>
      <c r="O74" s="26">
        <f t="shared" si="4"/>
        <v>2949.3055555555552</v>
      </c>
      <c r="P74" s="26"/>
      <c r="Q74" s="26"/>
      <c r="R74" s="26">
        <f t="shared" si="6"/>
        <v>24730.898021308974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A74" s="25"/>
      <c r="JB74" s="25"/>
      <c r="JC74" s="25"/>
      <c r="JD74" s="25"/>
      <c r="JE74" s="25"/>
      <c r="JF74" s="25"/>
      <c r="JG74" s="25"/>
      <c r="JH74" s="25"/>
      <c r="JI74" s="25"/>
      <c r="JJ74" s="25"/>
      <c r="JK74" s="25"/>
      <c r="JL74" s="25"/>
      <c r="JM74" s="25"/>
      <c r="JN74" s="25"/>
      <c r="JO74" s="25"/>
      <c r="JP74" s="25"/>
      <c r="JQ74" s="25"/>
      <c r="JR74" s="25"/>
      <c r="JS74" s="25"/>
    </row>
    <row r="75" spans="1:279" x14ac:dyDescent="0.3">
      <c r="A75" s="25"/>
      <c r="B75" s="25" t="s">
        <v>53</v>
      </c>
      <c r="C75" s="25" t="s">
        <v>693</v>
      </c>
      <c r="D75" s="26" t="s">
        <v>694</v>
      </c>
      <c r="E75" s="26">
        <v>500000</v>
      </c>
      <c r="F75" s="47">
        <v>43600</v>
      </c>
      <c r="G75" s="47">
        <v>43966</v>
      </c>
      <c r="H75" s="26"/>
      <c r="I75" s="26">
        <v>6.85</v>
      </c>
      <c r="J75" s="26">
        <v>18832.286910197865</v>
      </c>
      <c r="K75" s="26">
        <f t="shared" si="3"/>
        <v>2949.3055555555552</v>
      </c>
      <c r="L75" s="26"/>
      <c r="M75" s="26"/>
      <c r="N75" s="26">
        <f t="shared" si="5"/>
        <v>21781.59246575342</v>
      </c>
      <c r="O75" s="26">
        <f t="shared" si="4"/>
        <v>2949.3055555555552</v>
      </c>
      <c r="P75" s="26"/>
      <c r="Q75" s="26"/>
      <c r="R75" s="26">
        <f t="shared" si="6"/>
        <v>24730.898021308974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  <c r="IW75" s="25"/>
      <c r="IX75" s="25"/>
      <c r="IY75" s="25"/>
      <c r="IZ75" s="25"/>
      <c r="JA75" s="25"/>
      <c r="JB75" s="25"/>
      <c r="JC75" s="25"/>
      <c r="JD75" s="25"/>
      <c r="JE75" s="25"/>
      <c r="JF75" s="25"/>
      <c r="JG75" s="25"/>
      <c r="JH75" s="25"/>
      <c r="JI75" s="25"/>
      <c r="JJ75" s="25"/>
      <c r="JK75" s="25"/>
      <c r="JL75" s="25"/>
      <c r="JM75" s="25"/>
      <c r="JN75" s="25"/>
      <c r="JO75" s="25"/>
      <c r="JP75" s="25"/>
      <c r="JQ75" s="25"/>
      <c r="JR75" s="25"/>
      <c r="JS75" s="25"/>
    </row>
    <row r="76" spans="1:279" x14ac:dyDescent="0.3">
      <c r="A76" s="25"/>
      <c r="B76" s="25" t="s">
        <v>77</v>
      </c>
      <c r="C76" s="25" t="s">
        <v>482</v>
      </c>
      <c r="D76" s="26" t="s">
        <v>481</v>
      </c>
      <c r="E76" s="26">
        <v>240000</v>
      </c>
      <c r="F76" s="47">
        <v>43622</v>
      </c>
      <c r="G76" s="47">
        <v>43988</v>
      </c>
      <c r="H76" s="26"/>
      <c r="I76" s="26">
        <v>5.4</v>
      </c>
      <c r="J76" s="26">
        <v>6344.8767123287671</v>
      </c>
      <c r="K76" s="26">
        <f t="shared" si="3"/>
        <v>1116.0000000000002</v>
      </c>
      <c r="L76" s="26"/>
      <c r="M76" s="26"/>
      <c r="N76" s="26">
        <f t="shared" si="5"/>
        <v>7460.8767123287671</v>
      </c>
      <c r="O76" s="26">
        <f t="shared" si="4"/>
        <v>1116.0000000000002</v>
      </c>
      <c r="P76" s="26"/>
      <c r="Q76" s="26"/>
      <c r="R76" s="26">
        <f t="shared" si="6"/>
        <v>8576.8767123287671</v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JI76" s="25"/>
      <c r="JJ76" s="25"/>
      <c r="JK76" s="25"/>
      <c r="JL76" s="25"/>
      <c r="JM76" s="25"/>
      <c r="JN76" s="25"/>
      <c r="JO76" s="25"/>
      <c r="JP76" s="25"/>
      <c r="JQ76" s="25"/>
      <c r="JR76" s="25"/>
      <c r="JS76" s="25"/>
    </row>
    <row r="77" spans="1:279" x14ac:dyDescent="0.3">
      <c r="A77" s="25"/>
      <c r="B77" s="25" t="s">
        <v>124</v>
      </c>
      <c r="C77" s="25" t="s">
        <v>480</v>
      </c>
      <c r="D77" s="26" t="s">
        <v>479</v>
      </c>
      <c r="E77" s="26">
        <v>158000</v>
      </c>
      <c r="F77" s="47">
        <v>43633</v>
      </c>
      <c r="G77" s="47">
        <v>43999</v>
      </c>
      <c r="H77" s="26"/>
      <c r="I77" s="26">
        <v>4.4000000000000004</v>
      </c>
      <c r="J77" s="26">
        <v>3194.0048706240491</v>
      </c>
      <c r="K77" s="26">
        <f t="shared" si="3"/>
        <v>598.6444444444445</v>
      </c>
      <c r="L77" s="26"/>
      <c r="M77" s="26"/>
      <c r="N77" s="26">
        <f t="shared" si="5"/>
        <v>3792.6493150684937</v>
      </c>
      <c r="O77" s="26">
        <f t="shared" si="4"/>
        <v>598.6444444444445</v>
      </c>
      <c r="P77" s="26"/>
      <c r="Q77" s="26"/>
      <c r="R77" s="26">
        <f t="shared" si="6"/>
        <v>4391.2937595129379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  <c r="IU77" s="25"/>
      <c r="IV77" s="25"/>
      <c r="IW77" s="25"/>
      <c r="IX77" s="25"/>
      <c r="IY77" s="25"/>
      <c r="IZ77" s="25"/>
      <c r="JA77" s="25"/>
      <c r="JB77" s="25"/>
      <c r="JC77" s="25"/>
      <c r="JD77" s="25"/>
      <c r="JE77" s="25"/>
      <c r="JF77" s="25"/>
      <c r="JG77" s="25"/>
      <c r="JH77" s="25"/>
      <c r="JI77" s="25"/>
      <c r="JJ77" s="25"/>
      <c r="JK77" s="25"/>
      <c r="JL77" s="25"/>
      <c r="JM77" s="25"/>
      <c r="JN77" s="25"/>
      <c r="JO77" s="25"/>
      <c r="JP77" s="25"/>
      <c r="JQ77" s="25"/>
      <c r="JR77" s="25"/>
      <c r="JS77" s="25"/>
    </row>
    <row r="78" spans="1:279" x14ac:dyDescent="0.3">
      <c r="A78" s="25"/>
      <c r="B78" s="25" t="s">
        <v>117</v>
      </c>
      <c r="C78" s="25" t="s">
        <v>478</v>
      </c>
      <c r="D78" s="26" t="s">
        <v>477</v>
      </c>
      <c r="E78" s="26">
        <v>40000</v>
      </c>
      <c r="F78" s="47">
        <v>43644</v>
      </c>
      <c r="G78" s="47">
        <v>44010</v>
      </c>
      <c r="H78" s="26"/>
      <c r="I78" s="26">
        <v>5.87</v>
      </c>
      <c r="J78" s="26">
        <v>1007.9960426179604</v>
      </c>
      <c r="K78" s="26">
        <f t="shared" si="3"/>
        <v>202.1888888888889</v>
      </c>
      <c r="L78" s="26"/>
      <c r="M78" s="26"/>
      <c r="N78" s="26">
        <f t="shared" si="5"/>
        <v>1210.1849315068494</v>
      </c>
      <c r="O78" s="26">
        <f t="shared" si="4"/>
        <v>202.1888888888889</v>
      </c>
      <c r="P78" s="26"/>
      <c r="Q78" s="26"/>
      <c r="R78" s="26">
        <f t="shared" si="6"/>
        <v>1412.3738203957382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  <c r="IX78" s="25"/>
      <c r="IY78" s="25"/>
      <c r="IZ78" s="25"/>
      <c r="JA78" s="25"/>
      <c r="JB78" s="25"/>
      <c r="JC78" s="25"/>
      <c r="JD78" s="25"/>
      <c r="JE78" s="25"/>
      <c r="JF78" s="25"/>
      <c r="JG78" s="25"/>
      <c r="JH78" s="25"/>
      <c r="JI78" s="25"/>
      <c r="JJ78" s="25"/>
      <c r="JK78" s="25"/>
      <c r="JL78" s="25"/>
      <c r="JM78" s="25"/>
      <c r="JN78" s="25"/>
      <c r="JO78" s="25"/>
      <c r="JP78" s="25"/>
      <c r="JQ78" s="25"/>
      <c r="JR78" s="25"/>
      <c r="JS78" s="25"/>
    </row>
    <row r="79" spans="1:279" x14ac:dyDescent="0.3">
      <c r="A79" s="25"/>
      <c r="B79" s="25" t="s">
        <v>117</v>
      </c>
      <c r="C79" s="25" t="s">
        <v>476</v>
      </c>
      <c r="D79" s="26" t="s">
        <v>475</v>
      </c>
      <c r="E79" s="26">
        <v>60000</v>
      </c>
      <c r="F79" s="47">
        <v>43644</v>
      </c>
      <c r="G79" s="47">
        <v>44010</v>
      </c>
      <c r="H79" s="26"/>
      <c r="I79" s="26">
        <v>5.87</v>
      </c>
      <c r="J79" s="26">
        <v>1511.9940639269405</v>
      </c>
      <c r="K79" s="26">
        <f t="shared" si="3"/>
        <v>303.2833333333333</v>
      </c>
      <c r="L79" s="26"/>
      <c r="M79" s="26"/>
      <c r="N79" s="26">
        <f t="shared" si="5"/>
        <v>1815.2773972602738</v>
      </c>
      <c r="O79" s="26">
        <f t="shared" si="4"/>
        <v>303.2833333333333</v>
      </c>
      <c r="P79" s="26"/>
      <c r="Q79" s="26"/>
      <c r="R79" s="26">
        <f t="shared" si="6"/>
        <v>2118.5607305936073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  <c r="IU79" s="25"/>
      <c r="IV79" s="25"/>
      <c r="IW79" s="25"/>
      <c r="IX79" s="25"/>
      <c r="IY79" s="25"/>
      <c r="IZ79" s="25"/>
      <c r="JA79" s="25"/>
      <c r="JB79" s="25"/>
      <c r="JC79" s="25"/>
      <c r="JD79" s="25"/>
      <c r="JE79" s="25"/>
      <c r="JF79" s="25"/>
      <c r="JG79" s="25"/>
      <c r="JH79" s="25"/>
      <c r="JI79" s="25"/>
      <c r="JJ79" s="25"/>
      <c r="JK79" s="25"/>
      <c r="JL79" s="25"/>
      <c r="JM79" s="25"/>
      <c r="JN79" s="25"/>
      <c r="JO79" s="25"/>
      <c r="JP79" s="25"/>
      <c r="JQ79" s="25"/>
      <c r="JR79" s="25"/>
      <c r="JS79" s="25"/>
    </row>
    <row r="80" spans="1:279" x14ac:dyDescent="0.3">
      <c r="A80" s="25"/>
      <c r="B80" s="25" t="s">
        <v>117</v>
      </c>
      <c r="C80" s="25" t="s">
        <v>474</v>
      </c>
      <c r="D80" s="26" t="s">
        <v>473</v>
      </c>
      <c r="E80" s="26">
        <v>100000</v>
      </c>
      <c r="F80" s="47">
        <v>43644</v>
      </c>
      <c r="G80" s="47">
        <v>44010</v>
      </c>
      <c r="H80" s="26"/>
      <c r="I80" s="26">
        <v>5.85</v>
      </c>
      <c r="J80" s="26">
        <v>2511.4041095890411</v>
      </c>
      <c r="K80" s="26">
        <f t="shared" si="3"/>
        <v>503.75</v>
      </c>
      <c r="L80" s="26"/>
      <c r="M80" s="26"/>
      <c r="N80" s="26">
        <f t="shared" si="5"/>
        <v>3015.1541095890411</v>
      </c>
      <c r="O80" s="26">
        <f t="shared" si="4"/>
        <v>503.75</v>
      </c>
      <c r="P80" s="26"/>
      <c r="Q80" s="26"/>
      <c r="R80" s="26">
        <f t="shared" si="6"/>
        <v>3518.9041095890411</v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  <c r="IX80" s="25"/>
      <c r="IY80" s="25"/>
      <c r="IZ80" s="25"/>
      <c r="JA80" s="25"/>
      <c r="JB80" s="25"/>
      <c r="JC80" s="25"/>
      <c r="JD80" s="25"/>
      <c r="JE80" s="25"/>
      <c r="JF80" s="25"/>
      <c r="JG80" s="25"/>
      <c r="JH80" s="25"/>
      <c r="JI80" s="25"/>
      <c r="JJ80" s="25"/>
      <c r="JK80" s="25"/>
      <c r="JL80" s="25"/>
      <c r="JM80" s="25"/>
      <c r="JN80" s="25"/>
      <c r="JO80" s="25"/>
      <c r="JP80" s="25"/>
      <c r="JQ80" s="25"/>
      <c r="JR80" s="25"/>
      <c r="JS80" s="25"/>
    </row>
    <row r="81" spans="1:279" x14ac:dyDescent="0.3">
      <c r="A81" s="25"/>
      <c r="B81" s="25" t="s">
        <v>25</v>
      </c>
      <c r="C81" s="25" t="s">
        <v>472</v>
      </c>
      <c r="D81" s="26" t="s">
        <v>471</v>
      </c>
      <c r="E81" s="26">
        <v>150000</v>
      </c>
      <c r="F81" s="47">
        <v>43617</v>
      </c>
      <c r="G81" s="47">
        <v>43983</v>
      </c>
      <c r="H81" s="26"/>
      <c r="I81" s="26">
        <v>4.4000000000000004</v>
      </c>
      <c r="J81" s="26">
        <v>3321.5981735159821</v>
      </c>
      <c r="K81" s="26">
        <f t="shared" si="3"/>
        <v>568.33333333333337</v>
      </c>
      <c r="L81" s="26"/>
      <c r="M81" s="26"/>
      <c r="N81" s="26">
        <f t="shared" si="5"/>
        <v>3889.9315068493156</v>
      </c>
      <c r="O81" s="26">
        <f t="shared" si="4"/>
        <v>568.33333333333337</v>
      </c>
      <c r="P81" s="26"/>
      <c r="Q81" s="26"/>
      <c r="R81" s="26">
        <f t="shared" si="6"/>
        <v>4458.2648401826491</v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  <c r="IU81" s="25"/>
      <c r="IV81" s="25"/>
      <c r="IW81" s="25"/>
      <c r="IX81" s="25"/>
      <c r="IY81" s="25"/>
      <c r="IZ81" s="25"/>
      <c r="JA81" s="25"/>
      <c r="JB81" s="25"/>
      <c r="JC81" s="25"/>
      <c r="JD81" s="25"/>
      <c r="JE81" s="25"/>
      <c r="JF81" s="25"/>
      <c r="JG81" s="25"/>
      <c r="JH81" s="25"/>
      <c r="JI81" s="25"/>
      <c r="JJ81" s="25"/>
      <c r="JK81" s="25"/>
      <c r="JL81" s="25"/>
      <c r="JM81" s="25"/>
      <c r="JN81" s="25"/>
      <c r="JO81" s="25"/>
      <c r="JP81" s="25"/>
      <c r="JQ81" s="25"/>
      <c r="JR81" s="25"/>
      <c r="JS81" s="25"/>
    </row>
    <row r="82" spans="1:279" x14ac:dyDescent="0.3">
      <c r="A82" s="25"/>
      <c r="B82" s="25" t="s">
        <v>13</v>
      </c>
      <c r="C82" s="25" t="s">
        <v>470</v>
      </c>
      <c r="D82" s="26" t="s">
        <v>469</v>
      </c>
      <c r="E82" s="26">
        <v>437500</v>
      </c>
      <c r="F82" s="47">
        <v>43627</v>
      </c>
      <c r="G82" s="47">
        <v>43993</v>
      </c>
      <c r="H82" s="26"/>
      <c r="I82" s="26">
        <v>8.9</v>
      </c>
      <c r="J82" s="26">
        <v>18529.390220700156</v>
      </c>
      <c r="K82" s="26">
        <f t="shared" si="3"/>
        <v>3352.9513888888896</v>
      </c>
      <c r="L82" s="26"/>
      <c r="M82" s="26"/>
      <c r="N82" s="26">
        <f t="shared" si="5"/>
        <v>21882.341609589046</v>
      </c>
      <c r="O82" s="26">
        <f t="shared" si="4"/>
        <v>3352.9513888888896</v>
      </c>
      <c r="P82" s="26"/>
      <c r="Q82" s="26"/>
      <c r="R82" s="26">
        <f t="shared" si="6"/>
        <v>25235.292998477937</v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  <c r="IX82" s="25"/>
      <c r="IY82" s="25"/>
      <c r="IZ82" s="25"/>
      <c r="JA82" s="25"/>
      <c r="JB82" s="25"/>
      <c r="JC82" s="25"/>
      <c r="JD82" s="25"/>
      <c r="JE82" s="25"/>
      <c r="JF82" s="25"/>
      <c r="JG82" s="25"/>
      <c r="JH82" s="25"/>
      <c r="JI82" s="25"/>
      <c r="JJ82" s="25"/>
      <c r="JK82" s="25"/>
      <c r="JL82" s="25"/>
      <c r="JM82" s="25"/>
      <c r="JN82" s="25"/>
      <c r="JO82" s="25"/>
      <c r="JP82" s="25"/>
      <c r="JQ82" s="25"/>
      <c r="JR82" s="25"/>
      <c r="JS82" s="25"/>
    </row>
    <row r="83" spans="1:279" x14ac:dyDescent="0.3">
      <c r="A83" s="25"/>
      <c r="B83" s="25" t="s">
        <v>13</v>
      </c>
      <c r="C83" s="25" t="s">
        <v>468</v>
      </c>
      <c r="D83" s="26" t="s">
        <v>467</v>
      </c>
      <c r="E83" s="26">
        <v>200000</v>
      </c>
      <c r="F83" s="47">
        <v>43640</v>
      </c>
      <c r="G83" s="47">
        <v>44006</v>
      </c>
      <c r="H83" s="26"/>
      <c r="I83" s="26">
        <v>4.6500000000000004</v>
      </c>
      <c r="J83" s="26">
        <v>4094.4063926940653</v>
      </c>
      <c r="K83" s="26">
        <f t="shared" si="3"/>
        <v>800.83333333333348</v>
      </c>
      <c r="L83" s="26"/>
      <c r="M83" s="26"/>
      <c r="N83" s="26">
        <f t="shared" si="5"/>
        <v>4895.2397260273992</v>
      </c>
      <c r="O83" s="26">
        <f t="shared" si="4"/>
        <v>800.83333333333348</v>
      </c>
      <c r="P83" s="26"/>
      <c r="Q83" s="26"/>
      <c r="R83" s="26">
        <f t="shared" si="6"/>
        <v>5696.0730593607332</v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  <c r="ID83" s="25"/>
      <c r="IE83" s="25"/>
      <c r="IF83" s="25"/>
      <c r="IG83" s="25"/>
      <c r="IH83" s="25"/>
      <c r="II83" s="25"/>
      <c r="IJ83" s="25"/>
      <c r="IK83" s="25"/>
      <c r="IL83" s="25"/>
      <c r="IM83" s="25"/>
      <c r="IN83" s="25"/>
      <c r="IO83" s="25"/>
      <c r="IP83" s="25"/>
      <c r="IQ83" s="25"/>
      <c r="IR83" s="25"/>
      <c r="IS83" s="25"/>
      <c r="IT83" s="25"/>
      <c r="IU83" s="25"/>
      <c r="IV83" s="25"/>
      <c r="IW83" s="25"/>
      <c r="IX83" s="25"/>
      <c r="IY83" s="25"/>
      <c r="IZ83" s="25"/>
      <c r="JA83" s="25"/>
      <c r="JB83" s="25"/>
      <c r="JC83" s="25"/>
      <c r="JD83" s="25"/>
      <c r="JE83" s="25"/>
      <c r="JF83" s="25"/>
      <c r="JG83" s="25"/>
      <c r="JH83" s="25"/>
      <c r="JI83" s="25"/>
      <c r="JJ83" s="25"/>
      <c r="JK83" s="25"/>
      <c r="JL83" s="25"/>
      <c r="JM83" s="25"/>
      <c r="JN83" s="25"/>
      <c r="JO83" s="25"/>
      <c r="JP83" s="25"/>
      <c r="JQ83" s="25"/>
      <c r="JR83" s="25"/>
      <c r="JS83" s="25"/>
    </row>
    <row r="84" spans="1:279" x14ac:dyDescent="0.3">
      <c r="A84" s="25"/>
      <c r="B84" s="25" t="s">
        <v>40</v>
      </c>
      <c r="C84" s="25" t="s">
        <v>466</v>
      </c>
      <c r="D84" s="26" t="s">
        <v>465</v>
      </c>
      <c r="E84" s="26">
        <v>1200000</v>
      </c>
      <c r="F84" s="47">
        <v>43642</v>
      </c>
      <c r="G84" s="47">
        <v>44008</v>
      </c>
      <c r="H84" s="26"/>
      <c r="I84" s="26">
        <v>6.4</v>
      </c>
      <c r="J84" s="26">
        <v>33391.050228310502</v>
      </c>
      <c r="K84" s="26">
        <f t="shared" si="3"/>
        <v>6613.3333333333339</v>
      </c>
      <c r="L84" s="26"/>
      <c r="M84" s="26"/>
      <c r="N84" s="26">
        <f t="shared" si="5"/>
        <v>40004.383561643837</v>
      </c>
      <c r="O84" s="26">
        <f t="shared" si="4"/>
        <v>6613.3333333333339</v>
      </c>
      <c r="P84" s="26"/>
      <c r="Q84" s="26"/>
      <c r="R84" s="26">
        <f t="shared" si="6"/>
        <v>46617.716894977173</v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25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  <c r="IX84" s="25"/>
      <c r="IY84" s="25"/>
      <c r="IZ84" s="25"/>
      <c r="JA84" s="25"/>
      <c r="JB84" s="25"/>
      <c r="JC84" s="25"/>
      <c r="JD84" s="25"/>
      <c r="JE84" s="25"/>
      <c r="JF84" s="25"/>
      <c r="JG84" s="25"/>
      <c r="JH84" s="25"/>
      <c r="JI84" s="25"/>
      <c r="JJ84" s="25"/>
      <c r="JK84" s="25"/>
      <c r="JL84" s="25"/>
      <c r="JM84" s="25"/>
      <c r="JN84" s="25"/>
      <c r="JO84" s="25"/>
      <c r="JP84" s="25"/>
      <c r="JQ84" s="25"/>
      <c r="JR84" s="25"/>
      <c r="JS84" s="25"/>
    </row>
    <row r="85" spans="1:279" x14ac:dyDescent="0.3">
      <c r="A85" s="25"/>
      <c r="B85" s="25" t="s">
        <v>40</v>
      </c>
      <c r="C85" s="25" t="s">
        <v>464</v>
      </c>
      <c r="D85" s="26" t="s">
        <v>463</v>
      </c>
      <c r="E85" s="26">
        <v>320000</v>
      </c>
      <c r="F85" s="47">
        <v>43642</v>
      </c>
      <c r="G85" s="47">
        <v>44008</v>
      </c>
      <c r="H85" s="26"/>
      <c r="I85" s="26">
        <v>6.4</v>
      </c>
      <c r="J85" s="26">
        <v>8904.2800608828002</v>
      </c>
      <c r="K85" s="26">
        <f t="shared" si="3"/>
        <v>1763.5555555555554</v>
      </c>
      <c r="L85" s="26"/>
      <c r="M85" s="26"/>
      <c r="N85" s="26">
        <f t="shared" si="5"/>
        <v>10667.835616438355</v>
      </c>
      <c r="O85" s="26">
        <f t="shared" si="4"/>
        <v>1763.5555555555554</v>
      </c>
      <c r="P85" s="26"/>
      <c r="Q85" s="26"/>
      <c r="R85" s="26">
        <f t="shared" si="6"/>
        <v>12431.39117199391</v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  <c r="ID85" s="25"/>
      <c r="IE85" s="25"/>
      <c r="IF85" s="25"/>
      <c r="IG85" s="25"/>
      <c r="IH85" s="25"/>
      <c r="II85" s="25"/>
      <c r="IJ85" s="25"/>
      <c r="IK85" s="25"/>
      <c r="IL85" s="25"/>
      <c r="IM85" s="25"/>
      <c r="IN85" s="25"/>
      <c r="IO85" s="25"/>
      <c r="IP85" s="25"/>
      <c r="IQ85" s="25"/>
      <c r="IR85" s="25"/>
      <c r="IS85" s="25"/>
      <c r="IT85" s="25"/>
      <c r="IU85" s="25"/>
      <c r="IV85" s="25"/>
      <c r="IW85" s="25"/>
      <c r="IX85" s="25"/>
      <c r="IY85" s="25"/>
      <c r="IZ85" s="25"/>
      <c r="JA85" s="25"/>
      <c r="JB85" s="25"/>
      <c r="JC85" s="25"/>
      <c r="JD85" s="25"/>
      <c r="JE85" s="25"/>
      <c r="JF85" s="25"/>
      <c r="JG85" s="25"/>
      <c r="JH85" s="25"/>
      <c r="JI85" s="25"/>
      <c r="JJ85" s="25"/>
      <c r="JK85" s="25"/>
      <c r="JL85" s="25"/>
      <c r="JM85" s="25"/>
      <c r="JN85" s="25"/>
      <c r="JO85" s="25"/>
      <c r="JP85" s="25"/>
      <c r="JQ85" s="25"/>
      <c r="JR85" s="25"/>
      <c r="JS85" s="25"/>
    </row>
    <row r="86" spans="1:279" x14ac:dyDescent="0.3">
      <c r="A86" s="25"/>
      <c r="B86" s="25" t="s">
        <v>143</v>
      </c>
      <c r="C86" s="25" t="s">
        <v>462</v>
      </c>
      <c r="D86" s="26" t="s">
        <v>461</v>
      </c>
      <c r="E86" s="26">
        <v>1400055.56</v>
      </c>
      <c r="F86" s="47">
        <v>43619</v>
      </c>
      <c r="G86" s="47">
        <v>43985</v>
      </c>
      <c r="H86" s="26"/>
      <c r="I86" s="26">
        <v>6.9</v>
      </c>
      <c r="J86" s="26">
        <v>48088.712012118733</v>
      </c>
      <c r="K86" s="26">
        <f t="shared" ref="K86:K149" si="7">(+$E86*$I86%)/360*31</f>
        <v>8318.6634523333341</v>
      </c>
      <c r="L86" s="26"/>
      <c r="M86" s="26"/>
      <c r="N86" s="26">
        <f t="shared" si="5"/>
        <v>56407.375464452067</v>
      </c>
      <c r="O86" s="26">
        <f t="shared" si="4"/>
        <v>8318.6634523333341</v>
      </c>
      <c r="P86" s="26"/>
      <c r="Q86" s="26"/>
      <c r="R86" s="26">
        <f t="shared" si="6"/>
        <v>64726.038916785401</v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25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  <c r="IX86" s="25"/>
      <c r="IY86" s="25"/>
      <c r="IZ86" s="25"/>
      <c r="JA86" s="25"/>
      <c r="JB86" s="25"/>
      <c r="JC86" s="25"/>
      <c r="JD86" s="25"/>
      <c r="JE86" s="25"/>
      <c r="JF86" s="25"/>
      <c r="JG86" s="25"/>
      <c r="JH86" s="25"/>
      <c r="JI86" s="25"/>
      <c r="JJ86" s="25"/>
      <c r="JK86" s="25"/>
      <c r="JL86" s="25"/>
      <c r="JM86" s="25"/>
      <c r="JN86" s="25"/>
      <c r="JO86" s="25"/>
      <c r="JP86" s="25"/>
      <c r="JQ86" s="25"/>
      <c r="JR86" s="25"/>
      <c r="JS86" s="25"/>
    </row>
    <row r="87" spans="1:279" x14ac:dyDescent="0.3">
      <c r="A87" s="25"/>
      <c r="B87" s="25" t="s">
        <v>127</v>
      </c>
      <c r="C87" s="25" t="s">
        <v>460</v>
      </c>
      <c r="D87" s="26" t="s">
        <v>459</v>
      </c>
      <c r="E87" s="26">
        <v>400000</v>
      </c>
      <c r="F87" s="47">
        <v>43633</v>
      </c>
      <c r="G87" s="47">
        <v>43999</v>
      </c>
      <c r="H87" s="26"/>
      <c r="I87" s="26">
        <v>5.9</v>
      </c>
      <c r="J87" s="26">
        <v>10842.709284627092</v>
      </c>
      <c r="K87" s="26">
        <f t="shared" si="7"/>
        <v>2032.2222222222222</v>
      </c>
      <c r="L87" s="26"/>
      <c r="M87" s="26"/>
      <c r="N87" s="26">
        <f t="shared" si="5"/>
        <v>12874.931506849314</v>
      </c>
      <c r="O87" s="26">
        <f t="shared" si="4"/>
        <v>2032.2222222222222</v>
      </c>
      <c r="P87" s="26"/>
      <c r="Q87" s="26"/>
      <c r="R87" s="26">
        <f t="shared" si="6"/>
        <v>14907.153729071537</v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M87" s="25"/>
      <c r="IN87" s="25"/>
      <c r="IO87" s="25"/>
      <c r="IP87" s="25"/>
      <c r="IQ87" s="25"/>
      <c r="IR87" s="25"/>
      <c r="IS87" s="25"/>
      <c r="IT87" s="25"/>
      <c r="IU87" s="25"/>
      <c r="IV87" s="25"/>
      <c r="IW87" s="25"/>
      <c r="IX87" s="25"/>
      <c r="IY87" s="25"/>
      <c r="IZ87" s="25"/>
      <c r="JA87" s="25"/>
      <c r="JB87" s="25"/>
      <c r="JC87" s="25"/>
      <c r="JD87" s="25"/>
      <c r="JE87" s="25"/>
      <c r="JF87" s="25"/>
      <c r="JG87" s="25"/>
      <c r="JH87" s="25"/>
      <c r="JI87" s="25"/>
      <c r="JJ87" s="25"/>
      <c r="JK87" s="25"/>
      <c r="JL87" s="25"/>
      <c r="JM87" s="25"/>
      <c r="JN87" s="25"/>
      <c r="JO87" s="25"/>
      <c r="JP87" s="25"/>
      <c r="JQ87" s="25"/>
      <c r="JR87" s="25"/>
      <c r="JS87" s="25"/>
    </row>
    <row r="88" spans="1:279" x14ac:dyDescent="0.3">
      <c r="A88" s="25"/>
      <c r="B88" s="25" t="s">
        <v>127</v>
      </c>
      <c r="C88" s="25" t="s">
        <v>458</v>
      </c>
      <c r="D88" s="26" t="s">
        <v>457</v>
      </c>
      <c r="E88" s="26">
        <v>140000</v>
      </c>
      <c r="F88" s="47">
        <v>43633</v>
      </c>
      <c r="G88" s="47">
        <v>43999</v>
      </c>
      <c r="H88" s="26"/>
      <c r="I88" s="26">
        <v>5.9</v>
      </c>
      <c r="J88" s="26">
        <v>3794.9482496194823</v>
      </c>
      <c r="K88" s="26">
        <f t="shared" si="7"/>
        <v>711.27777777777771</v>
      </c>
      <c r="L88" s="26"/>
      <c r="M88" s="26"/>
      <c r="N88" s="26">
        <f t="shared" si="5"/>
        <v>4506.2260273972597</v>
      </c>
      <c r="O88" s="26">
        <f t="shared" si="4"/>
        <v>711.27777777777771</v>
      </c>
      <c r="P88" s="26"/>
      <c r="Q88" s="26"/>
      <c r="R88" s="26">
        <f t="shared" si="6"/>
        <v>5217.5038051750371</v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25"/>
      <c r="IH88" s="25"/>
      <c r="II88" s="25"/>
      <c r="IJ88" s="25"/>
      <c r="IK88" s="25"/>
      <c r="IL88" s="25"/>
      <c r="IM88" s="25"/>
      <c r="IN88" s="25"/>
      <c r="IO88" s="25"/>
      <c r="IP88" s="25"/>
      <c r="IQ88" s="25"/>
      <c r="IR88" s="25"/>
      <c r="IS88" s="25"/>
      <c r="IT88" s="25"/>
      <c r="IU88" s="25"/>
      <c r="IV88" s="25"/>
      <c r="IW88" s="25"/>
      <c r="IX88" s="25"/>
      <c r="IY88" s="25"/>
      <c r="IZ88" s="25"/>
      <c r="JA88" s="25"/>
      <c r="JB88" s="25"/>
      <c r="JC88" s="25"/>
      <c r="JD88" s="25"/>
      <c r="JE88" s="25"/>
      <c r="JF88" s="25"/>
      <c r="JG88" s="25"/>
      <c r="JH88" s="25"/>
      <c r="JI88" s="25"/>
      <c r="JJ88" s="25"/>
      <c r="JK88" s="25"/>
      <c r="JL88" s="25"/>
      <c r="JM88" s="25"/>
      <c r="JN88" s="25"/>
      <c r="JO88" s="25"/>
      <c r="JP88" s="25"/>
      <c r="JQ88" s="25"/>
      <c r="JR88" s="25"/>
      <c r="JS88" s="25"/>
    </row>
    <row r="89" spans="1:279" x14ac:dyDescent="0.3">
      <c r="A89" s="25"/>
      <c r="B89" s="25" t="s">
        <v>22</v>
      </c>
      <c r="C89" s="25" t="s">
        <v>456</v>
      </c>
      <c r="D89" s="26" t="s">
        <v>455</v>
      </c>
      <c r="E89" s="26">
        <v>1100000</v>
      </c>
      <c r="F89" s="47">
        <v>43617</v>
      </c>
      <c r="G89" s="47">
        <v>43983</v>
      </c>
      <c r="H89" s="26"/>
      <c r="I89" s="26">
        <v>6.6</v>
      </c>
      <c r="J89" s="26">
        <v>36537.579908675798</v>
      </c>
      <c r="K89" s="26">
        <f t="shared" si="7"/>
        <v>6251.6666666666661</v>
      </c>
      <c r="L89" s="26"/>
      <c r="M89" s="26"/>
      <c r="N89" s="26">
        <f t="shared" si="5"/>
        <v>42789.246575342462</v>
      </c>
      <c r="O89" s="26">
        <f t="shared" si="4"/>
        <v>6251.6666666666661</v>
      </c>
      <c r="P89" s="26"/>
      <c r="Q89" s="26"/>
      <c r="R89" s="26">
        <f t="shared" si="6"/>
        <v>49040.913242009126</v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  <c r="IK89" s="25"/>
      <c r="IL89" s="25"/>
      <c r="IM89" s="25"/>
      <c r="IN89" s="25"/>
      <c r="IO89" s="25"/>
      <c r="IP89" s="25"/>
      <c r="IQ89" s="25"/>
      <c r="IR89" s="25"/>
      <c r="IS89" s="25"/>
      <c r="IT89" s="25"/>
      <c r="IU89" s="25"/>
      <c r="IV89" s="25"/>
      <c r="IW89" s="25"/>
      <c r="IX89" s="25"/>
      <c r="IY89" s="25"/>
      <c r="IZ89" s="25"/>
      <c r="JA89" s="25"/>
      <c r="JB89" s="25"/>
      <c r="JC89" s="25"/>
      <c r="JD89" s="25"/>
      <c r="JE89" s="25"/>
      <c r="JF89" s="25"/>
      <c r="JG89" s="25"/>
      <c r="JH89" s="25"/>
      <c r="JI89" s="25"/>
      <c r="JJ89" s="25"/>
      <c r="JK89" s="25"/>
      <c r="JL89" s="25"/>
      <c r="JM89" s="25"/>
      <c r="JN89" s="25"/>
      <c r="JO89" s="25"/>
      <c r="JP89" s="25"/>
      <c r="JQ89" s="25"/>
      <c r="JR89" s="25"/>
      <c r="JS89" s="25"/>
    </row>
    <row r="90" spans="1:279" x14ac:dyDescent="0.3">
      <c r="A90" s="25"/>
      <c r="B90" s="25" t="s">
        <v>138</v>
      </c>
      <c r="C90" s="25" t="s">
        <v>454</v>
      </c>
      <c r="D90" s="26" t="s">
        <v>453</v>
      </c>
      <c r="E90" s="26">
        <v>300000</v>
      </c>
      <c r="F90" s="47">
        <v>43623</v>
      </c>
      <c r="G90" s="47">
        <v>43989</v>
      </c>
      <c r="H90" s="26"/>
      <c r="I90" s="26">
        <v>6.49</v>
      </c>
      <c r="J90" s="26">
        <v>9478.6598173515995</v>
      </c>
      <c r="K90" s="26">
        <f t="shared" si="7"/>
        <v>1676.5833333333335</v>
      </c>
      <c r="L90" s="26"/>
      <c r="M90" s="26"/>
      <c r="N90" s="26">
        <f t="shared" si="5"/>
        <v>11155.243150684933</v>
      </c>
      <c r="O90" s="26">
        <f t="shared" si="4"/>
        <v>1676.5833333333335</v>
      </c>
      <c r="P90" s="26"/>
      <c r="Q90" s="26"/>
      <c r="R90" s="26">
        <f t="shared" si="6"/>
        <v>12831.826484018267</v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  <c r="IX90" s="25"/>
      <c r="IY90" s="25"/>
      <c r="IZ90" s="25"/>
      <c r="JA90" s="25"/>
      <c r="JB90" s="25"/>
      <c r="JC90" s="25"/>
      <c r="JD90" s="25"/>
      <c r="JE90" s="25"/>
      <c r="JF90" s="25"/>
      <c r="JG90" s="25"/>
      <c r="JH90" s="25"/>
      <c r="JI90" s="25"/>
      <c r="JJ90" s="25"/>
      <c r="JK90" s="25"/>
      <c r="JL90" s="25"/>
      <c r="JM90" s="25"/>
      <c r="JN90" s="25"/>
      <c r="JO90" s="25"/>
      <c r="JP90" s="25"/>
      <c r="JQ90" s="25"/>
      <c r="JR90" s="25"/>
      <c r="JS90" s="25"/>
    </row>
    <row r="91" spans="1:279" x14ac:dyDescent="0.3">
      <c r="A91" s="25" t="s">
        <v>452</v>
      </c>
      <c r="B91" s="25" t="s">
        <v>103</v>
      </c>
      <c r="C91" s="25" t="s">
        <v>451</v>
      </c>
      <c r="D91" s="26" t="s">
        <v>450</v>
      </c>
      <c r="E91" s="26">
        <v>537381.17000000004</v>
      </c>
      <c r="F91" s="47">
        <v>43659</v>
      </c>
      <c r="G91" s="47">
        <v>44025</v>
      </c>
      <c r="H91" s="26"/>
      <c r="I91" s="26">
        <v>5.9</v>
      </c>
      <c r="J91" s="26">
        <v>12308.196312178843</v>
      </c>
      <c r="K91" s="26">
        <f t="shared" si="7"/>
        <v>2730.1948886944447</v>
      </c>
      <c r="L91" s="26"/>
      <c r="M91" s="26"/>
      <c r="N91" s="26">
        <f t="shared" si="5"/>
        <v>15038.391200873288</v>
      </c>
      <c r="O91" s="26">
        <f t="shared" si="4"/>
        <v>2730.1948886944447</v>
      </c>
      <c r="P91" s="26"/>
      <c r="Q91" s="26"/>
      <c r="R91" s="26">
        <f t="shared" si="6"/>
        <v>17768.586089567732</v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  <c r="IK91" s="25"/>
      <c r="IL91" s="25"/>
      <c r="IM91" s="25"/>
      <c r="IN91" s="25"/>
      <c r="IO91" s="25"/>
      <c r="IP91" s="25"/>
      <c r="IQ91" s="25"/>
      <c r="IR91" s="25"/>
      <c r="IS91" s="25"/>
      <c r="IT91" s="25"/>
      <c r="IU91" s="25"/>
      <c r="IV91" s="25"/>
      <c r="IW91" s="25"/>
      <c r="IX91" s="25"/>
      <c r="IY91" s="25"/>
      <c r="IZ91" s="25"/>
      <c r="JA91" s="25"/>
      <c r="JB91" s="25"/>
      <c r="JC91" s="25"/>
      <c r="JD91" s="25"/>
      <c r="JE91" s="25"/>
      <c r="JF91" s="25"/>
      <c r="JG91" s="25"/>
      <c r="JH91" s="25"/>
      <c r="JI91" s="25"/>
      <c r="JJ91" s="25"/>
      <c r="JK91" s="25"/>
      <c r="JL91" s="25"/>
      <c r="JM91" s="25"/>
      <c r="JN91" s="25"/>
      <c r="JO91" s="25"/>
      <c r="JP91" s="25"/>
      <c r="JQ91" s="25"/>
      <c r="JR91" s="25"/>
      <c r="JS91" s="25"/>
    </row>
    <row r="92" spans="1:279" x14ac:dyDescent="0.3">
      <c r="A92" s="25" t="s">
        <v>429</v>
      </c>
      <c r="B92" s="25" t="s">
        <v>85</v>
      </c>
      <c r="C92" s="25" t="s">
        <v>449</v>
      </c>
      <c r="D92" s="26" t="s">
        <v>448</v>
      </c>
      <c r="E92" s="26">
        <v>75139</v>
      </c>
      <c r="F92" s="47">
        <v>43670</v>
      </c>
      <c r="G92" s="47">
        <v>44036</v>
      </c>
      <c r="H92" s="26"/>
      <c r="I92" s="26">
        <f>VLOOKUP(C92,[4]Hoja2!D:F,3,FALSE)</f>
        <v>7.4</v>
      </c>
      <c r="J92" s="26">
        <v>1990.9547663622529</v>
      </c>
      <c r="K92" s="26">
        <f t="shared" si="7"/>
        <v>478.80240555555565</v>
      </c>
      <c r="L92" s="26"/>
      <c r="M92" s="26"/>
      <c r="N92" s="26">
        <f t="shared" si="5"/>
        <v>2469.7571719178086</v>
      </c>
      <c r="O92" s="26">
        <f t="shared" ref="O92:O155" si="8">(+$E92*$I92%)/360*31</f>
        <v>478.80240555555565</v>
      </c>
      <c r="P92" s="26"/>
      <c r="Q92" s="26"/>
      <c r="R92" s="26">
        <f t="shared" si="6"/>
        <v>2948.5595774733642</v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  <c r="IX92" s="25"/>
      <c r="IY92" s="25"/>
      <c r="IZ92" s="25"/>
      <c r="JA92" s="25"/>
      <c r="JB92" s="25"/>
      <c r="JC92" s="25"/>
      <c r="JD92" s="25"/>
      <c r="JE92" s="25"/>
      <c r="JF92" s="25"/>
      <c r="JG92" s="25"/>
      <c r="JH92" s="25"/>
      <c r="JI92" s="25"/>
      <c r="JJ92" s="25"/>
      <c r="JK92" s="25"/>
      <c r="JL92" s="25"/>
      <c r="JM92" s="25"/>
      <c r="JN92" s="25"/>
      <c r="JO92" s="25"/>
      <c r="JP92" s="25"/>
      <c r="JQ92" s="25"/>
      <c r="JR92" s="25"/>
      <c r="JS92" s="25"/>
    </row>
    <row r="93" spans="1:279" x14ac:dyDescent="0.3">
      <c r="A93" s="25" t="s">
        <v>429</v>
      </c>
      <c r="B93" s="25" t="s">
        <v>85</v>
      </c>
      <c r="C93" s="25" t="s">
        <v>447</v>
      </c>
      <c r="D93" s="26" t="s">
        <v>446</v>
      </c>
      <c r="E93" s="26">
        <v>220000</v>
      </c>
      <c r="F93" s="47">
        <v>43670</v>
      </c>
      <c r="G93" s="47">
        <v>44036</v>
      </c>
      <c r="H93" s="26"/>
      <c r="I93" s="26">
        <f>VLOOKUP(C93,[4]Hoja2!D:F,3,FALSE)</f>
        <v>7.4</v>
      </c>
      <c r="J93" s="26">
        <v>5829.3302891933045</v>
      </c>
      <c r="K93" s="26">
        <f t="shared" si="7"/>
        <v>1401.8888888888891</v>
      </c>
      <c r="L93" s="26"/>
      <c r="M93" s="26"/>
      <c r="N93" s="26">
        <f t="shared" si="5"/>
        <v>7231.219178082194</v>
      </c>
      <c r="O93" s="26">
        <f t="shared" si="8"/>
        <v>1401.8888888888891</v>
      </c>
      <c r="P93" s="26"/>
      <c r="Q93" s="26"/>
      <c r="R93" s="26">
        <f t="shared" si="6"/>
        <v>8633.1080669710827</v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  <c r="IK93" s="25"/>
      <c r="IL93" s="25"/>
      <c r="IM93" s="25"/>
      <c r="IN93" s="25"/>
      <c r="IO93" s="25"/>
      <c r="IP93" s="25"/>
      <c r="IQ93" s="25"/>
      <c r="IR93" s="25"/>
      <c r="IS93" s="25"/>
      <c r="IT93" s="25"/>
      <c r="IU93" s="25"/>
      <c r="IV93" s="25"/>
      <c r="IW93" s="25"/>
      <c r="IX93" s="25"/>
      <c r="IY93" s="25"/>
      <c r="IZ93" s="25"/>
      <c r="JA93" s="25"/>
      <c r="JB93" s="25"/>
      <c r="JC93" s="25"/>
      <c r="JD93" s="25"/>
      <c r="JE93" s="25"/>
      <c r="JF93" s="25"/>
      <c r="JG93" s="25"/>
      <c r="JH93" s="25"/>
      <c r="JI93" s="25"/>
      <c r="JJ93" s="25"/>
      <c r="JK93" s="25"/>
      <c r="JL93" s="25"/>
      <c r="JM93" s="25"/>
      <c r="JN93" s="25"/>
      <c r="JO93" s="25"/>
      <c r="JP93" s="25"/>
      <c r="JQ93" s="25"/>
      <c r="JR93" s="25"/>
      <c r="JS93" s="25"/>
    </row>
    <row r="94" spans="1:279" x14ac:dyDescent="0.3">
      <c r="A94" s="25" t="s">
        <v>432</v>
      </c>
      <c r="B94" s="25" t="s">
        <v>25</v>
      </c>
      <c r="C94" s="25" t="s">
        <v>445</v>
      </c>
      <c r="D94" s="26" t="s">
        <v>695</v>
      </c>
      <c r="E94" s="26">
        <v>150000</v>
      </c>
      <c r="F94" s="47">
        <v>43647</v>
      </c>
      <c r="G94" s="47">
        <v>44013</v>
      </c>
      <c r="H94" s="26"/>
      <c r="I94" s="26">
        <v>4.4000000000000004</v>
      </c>
      <c r="J94" s="26">
        <v>2779.1324200913245</v>
      </c>
      <c r="K94" s="26">
        <f t="shared" si="7"/>
        <v>568.33333333333337</v>
      </c>
      <c r="L94" s="26"/>
      <c r="M94" s="26"/>
      <c r="N94" s="26">
        <f t="shared" si="5"/>
        <v>3347.465753424658</v>
      </c>
      <c r="O94" s="26">
        <f t="shared" si="8"/>
        <v>568.33333333333337</v>
      </c>
      <c r="P94" s="26"/>
      <c r="Q94" s="26"/>
      <c r="R94" s="26">
        <f t="shared" si="6"/>
        <v>3915.7990867579915</v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25"/>
      <c r="IH94" s="25"/>
      <c r="II94" s="25"/>
      <c r="IJ94" s="25"/>
      <c r="IK94" s="25"/>
      <c r="IL94" s="25"/>
      <c r="IM94" s="25"/>
      <c r="IN94" s="25"/>
      <c r="IO94" s="25"/>
      <c r="IP94" s="25"/>
      <c r="IQ94" s="25"/>
      <c r="IR94" s="25"/>
      <c r="IS94" s="25"/>
      <c r="IT94" s="25"/>
      <c r="IU94" s="25"/>
      <c r="IV94" s="25"/>
      <c r="IW94" s="25"/>
      <c r="IX94" s="25"/>
      <c r="IY94" s="25"/>
      <c r="IZ94" s="25"/>
      <c r="JA94" s="25"/>
      <c r="JB94" s="25"/>
      <c r="JC94" s="25"/>
      <c r="JD94" s="25"/>
      <c r="JE94" s="25"/>
      <c r="JF94" s="25"/>
      <c r="JG94" s="25"/>
      <c r="JH94" s="25"/>
      <c r="JI94" s="25"/>
      <c r="JJ94" s="25"/>
      <c r="JK94" s="25"/>
      <c r="JL94" s="25"/>
      <c r="JM94" s="25"/>
      <c r="JN94" s="25"/>
      <c r="JO94" s="25"/>
      <c r="JP94" s="25"/>
      <c r="JQ94" s="25"/>
      <c r="JR94" s="25"/>
      <c r="JS94" s="25"/>
    </row>
    <row r="95" spans="1:279" x14ac:dyDescent="0.3">
      <c r="A95" s="25" t="s">
        <v>443</v>
      </c>
      <c r="B95" s="25" t="s">
        <v>82</v>
      </c>
      <c r="C95" s="25" t="s">
        <v>696</v>
      </c>
      <c r="D95" s="26" t="s">
        <v>697</v>
      </c>
      <c r="E95" s="26">
        <v>42652.99</v>
      </c>
      <c r="F95" s="47">
        <v>43676</v>
      </c>
      <c r="G95" s="47">
        <v>43894</v>
      </c>
      <c r="H95" s="26"/>
      <c r="I95" s="26">
        <f>VLOOKUP(C95,[4]Hoja2!D:F,3,FALSE)</f>
        <v>6.15</v>
      </c>
      <c r="J95" s="26">
        <v>975.20023997146131</v>
      </c>
      <c r="K95" s="26">
        <f t="shared" si="7"/>
        <v>225.88312620833335</v>
      </c>
      <c r="L95" s="26"/>
      <c r="M95" s="26"/>
      <c r="N95" s="26">
        <f t="shared" si="5"/>
        <v>1201.0833661797947</v>
      </c>
      <c r="O95" s="26">
        <f t="shared" si="8"/>
        <v>225.88312620833335</v>
      </c>
      <c r="P95" s="26"/>
      <c r="Q95" s="26"/>
      <c r="R95" s="26">
        <f t="shared" si="6"/>
        <v>1426.966492388128</v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25"/>
      <c r="IG95" s="25"/>
      <c r="IH95" s="25"/>
      <c r="II95" s="25"/>
      <c r="IJ95" s="25"/>
      <c r="IK95" s="25"/>
      <c r="IL95" s="25"/>
      <c r="IM95" s="25"/>
      <c r="IN95" s="25"/>
      <c r="IO95" s="25"/>
      <c r="IP95" s="25"/>
      <c r="IQ95" s="25"/>
      <c r="IR95" s="25"/>
      <c r="IS95" s="25"/>
      <c r="IT95" s="25"/>
      <c r="IU95" s="25"/>
      <c r="IV95" s="25"/>
      <c r="IW95" s="25"/>
      <c r="IX95" s="25"/>
      <c r="IY95" s="25"/>
      <c r="IZ95" s="25"/>
      <c r="JA95" s="25"/>
      <c r="JB95" s="25"/>
      <c r="JC95" s="25"/>
      <c r="JD95" s="25"/>
      <c r="JE95" s="25"/>
      <c r="JF95" s="25"/>
      <c r="JG95" s="25"/>
      <c r="JH95" s="25"/>
      <c r="JI95" s="25"/>
      <c r="JJ95" s="25"/>
      <c r="JK95" s="25"/>
      <c r="JL95" s="25"/>
      <c r="JM95" s="25"/>
      <c r="JN95" s="25"/>
      <c r="JO95" s="25"/>
      <c r="JP95" s="25"/>
      <c r="JQ95" s="25"/>
      <c r="JR95" s="25"/>
      <c r="JS95" s="25"/>
    </row>
    <row r="96" spans="1:279" x14ac:dyDescent="0.3">
      <c r="A96" s="25" t="s">
        <v>443</v>
      </c>
      <c r="B96" s="25" t="s">
        <v>82</v>
      </c>
      <c r="C96" s="25" t="s">
        <v>442</v>
      </c>
      <c r="D96" s="26" t="s">
        <v>441</v>
      </c>
      <c r="E96" s="26">
        <v>53900</v>
      </c>
      <c r="F96" s="47">
        <v>43677</v>
      </c>
      <c r="G96" s="47">
        <v>44038</v>
      </c>
      <c r="H96" s="26"/>
      <c r="I96" s="26">
        <v>6.15</v>
      </c>
      <c r="J96" s="26">
        <v>1168.7747374429225</v>
      </c>
      <c r="K96" s="26">
        <f t="shared" si="7"/>
        <v>285.44541666666669</v>
      </c>
      <c r="L96" s="26"/>
      <c r="M96" s="26"/>
      <c r="N96" s="26">
        <f t="shared" si="5"/>
        <v>1454.2201541095892</v>
      </c>
      <c r="O96" s="26">
        <f t="shared" si="8"/>
        <v>285.44541666666669</v>
      </c>
      <c r="P96" s="26"/>
      <c r="Q96" s="26"/>
      <c r="R96" s="26">
        <f t="shared" si="6"/>
        <v>1739.6655707762559</v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25"/>
      <c r="IH96" s="25"/>
      <c r="II96" s="25"/>
      <c r="IJ96" s="25"/>
      <c r="IK96" s="25"/>
      <c r="IL96" s="25"/>
      <c r="IM96" s="25"/>
      <c r="IN96" s="25"/>
      <c r="IO96" s="25"/>
      <c r="IP96" s="25"/>
      <c r="IQ96" s="25"/>
      <c r="IR96" s="25"/>
      <c r="IS96" s="25"/>
      <c r="IT96" s="25"/>
      <c r="IU96" s="25"/>
      <c r="IV96" s="25"/>
      <c r="IW96" s="25"/>
      <c r="IX96" s="25"/>
      <c r="IY96" s="25"/>
      <c r="IZ96" s="25"/>
      <c r="JA96" s="25"/>
      <c r="JB96" s="25"/>
      <c r="JC96" s="25"/>
      <c r="JD96" s="25"/>
      <c r="JE96" s="25"/>
      <c r="JF96" s="25"/>
      <c r="JG96" s="25"/>
      <c r="JH96" s="25"/>
      <c r="JI96" s="25"/>
      <c r="JJ96" s="25"/>
      <c r="JK96" s="25"/>
      <c r="JL96" s="25"/>
      <c r="JM96" s="25"/>
      <c r="JN96" s="25"/>
      <c r="JO96" s="25"/>
      <c r="JP96" s="25"/>
      <c r="JQ96" s="25"/>
      <c r="JR96" s="25"/>
      <c r="JS96" s="25"/>
    </row>
    <row r="97" spans="1:279" x14ac:dyDescent="0.3">
      <c r="A97" s="25" t="s">
        <v>440</v>
      </c>
      <c r="B97" s="25" t="s">
        <v>7</v>
      </c>
      <c r="C97" s="25" t="s">
        <v>439</v>
      </c>
      <c r="D97" s="26" t="s">
        <v>438</v>
      </c>
      <c r="E97" s="26">
        <v>500000</v>
      </c>
      <c r="F97" s="47">
        <v>43671</v>
      </c>
      <c r="G97" s="47">
        <v>44037</v>
      </c>
      <c r="H97" s="26"/>
      <c r="I97" s="26">
        <f>VLOOKUP(C97,[4]Hoja2!D:F,3,FALSE)</f>
        <v>6.9</v>
      </c>
      <c r="J97" s="26">
        <v>12258.789954337899</v>
      </c>
      <c r="K97" s="26">
        <f t="shared" si="7"/>
        <v>2970.833333333333</v>
      </c>
      <c r="L97" s="26"/>
      <c r="M97" s="26"/>
      <c r="N97" s="26">
        <f t="shared" si="5"/>
        <v>15229.623287671231</v>
      </c>
      <c r="O97" s="26">
        <f t="shared" si="8"/>
        <v>2970.833333333333</v>
      </c>
      <c r="P97" s="26"/>
      <c r="Q97" s="26"/>
      <c r="R97" s="26">
        <f t="shared" si="6"/>
        <v>18200.456621004563</v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M97" s="25"/>
      <c r="IN97" s="25"/>
      <c r="IO97" s="25"/>
      <c r="IP97" s="25"/>
      <c r="IQ97" s="25"/>
      <c r="IR97" s="25"/>
      <c r="IS97" s="25"/>
      <c r="IT97" s="25"/>
      <c r="IU97" s="25"/>
      <c r="IV97" s="25"/>
      <c r="IW97" s="25"/>
      <c r="IX97" s="25"/>
      <c r="IY97" s="25"/>
      <c r="IZ97" s="25"/>
      <c r="JA97" s="25"/>
      <c r="JB97" s="25"/>
      <c r="JC97" s="25"/>
      <c r="JD97" s="25"/>
      <c r="JE97" s="25"/>
      <c r="JF97" s="25"/>
      <c r="JG97" s="25"/>
      <c r="JH97" s="25"/>
      <c r="JI97" s="25"/>
      <c r="JJ97" s="25"/>
      <c r="JK97" s="25"/>
      <c r="JL97" s="25"/>
      <c r="JM97" s="25"/>
      <c r="JN97" s="25"/>
      <c r="JO97" s="25"/>
      <c r="JP97" s="25"/>
      <c r="JQ97" s="25"/>
      <c r="JR97" s="25"/>
      <c r="JS97" s="25"/>
    </row>
    <row r="98" spans="1:279" x14ac:dyDescent="0.3">
      <c r="A98" s="25" t="s">
        <v>437</v>
      </c>
      <c r="B98" s="25" t="s">
        <v>106</v>
      </c>
      <c r="C98" s="25" t="s">
        <v>436</v>
      </c>
      <c r="D98" s="26" t="s">
        <v>435</v>
      </c>
      <c r="E98" s="26">
        <v>537381.16</v>
      </c>
      <c r="F98" s="47">
        <v>43659</v>
      </c>
      <c r="G98" s="47">
        <v>44025</v>
      </c>
      <c r="H98" s="26"/>
      <c r="I98" s="26">
        <f>VLOOKUP(C98,[4]Hoja2!D:F,3,FALSE)</f>
        <v>5.9</v>
      </c>
      <c r="J98" s="26">
        <v>12308.196083138511</v>
      </c>
      <c r="K98" s="26">
        <f t="shared" si="7"/>
        <v>2730.1948378888892</v>
      </c>
      <c r="L98" s="26"/>
      <c r="M98" s="26"/>
      <c r="N98" s="26">
        <f t="shared" si="5"/>
        <v>15038.3909210274</v>
      </c>
      <c r="O98" s="26">
        <f t="shared" si="8"/>
        <v>2730.1948378888892</v>
      </c>
      <c r="P98" s="26"/>
      <c r="Q98" s="26"/>
      <c r="R98" s="26">
        <f t="shared" si="6"/>
        <v>17768.585758916288</v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25"/>
      <c r="IH98" s="25"/>
      <c r="II98" s="25"/>
      <c r="IJ98" s="25"/>
      <c r="IK98" s="25"/>
      <c r="IL98" s="25"/>
      <c r="IM98" s="25"/>
      <c r="IN98" s="25"/>
      <c r="IO98" s="25"/>
      <c r="IP98" s="25"/>
      <c r="IQ98" s="25"/>
      <c r="IR98" s="25"/>
      <c r="IS98" s="25"/>
      <c r="IT98" s="25"/>
      <c r="IU98" s="25"/>
      <c r="IV98" s="25"/>
      <c r="IW98" s="25"/>
      <c r="IX98" s="25"/>
      <c r="IY98" s="25"/>
      <c r="IZ98" s="25"/>
      <c r="JA98" s="25"/>
      <c r="JB98" s="25"/>
      <c r="JC98" s="25"/>
      <c r="JD98" s="25"/>
      <c r="JE98" s="25"/>
      <c r="JF98" s="25"/>
      <c r="JG98" s="25"/>
      <c r="JH98" s="25"/>
      <c r="JI98" s="25"/>
      <c r="JJ98" s="25"/>
      <c r="JK98" s="25"/>
      <c r="JL98" s="25"/>
      <c r="JM98" s="25"/>
      <c r="JN98" s="25"/>
      <c r="JO98" s="25"/>
      <c r="JP98" s="25"/>
      <c r="JQ98" s="25"/>
      <c r="JR98" s="25"/>
      <c r="JS98" s="25"/>
    </row>
    <row r="99" spans="1:279" x14ac:dyDescent="0.3">
      <c r="A99" s="25" t="s">
        <v>419</v>
      </c>
      <c r="B99" s="25" t="s">
        <v>40</v>
      </c>
      <c r="C99" s="25" t="s">
        <v>434</v>
      </c>
      <c r="D99" s="26" t="s">
        <v>433</v>
      </c>
      <c r="E99" s="26">
        <v>1100000</v>
      </c>
      <c r="F99" s="47">
        <v>43658</v>
      </c>
      <c r="G99" s="47">
        <v>44024</v>
      </c>
      <c r="H99" s="26"/>
      <c r="I99" s="26">
        <f>VLOOKUP(C99,[4]Hoja2!D:F,3,FALSE)</f>
        <v>6.4</v>
      </c>
      <c r="J99" s="26">
        <v>27522.435312024354</v>
      </c>
      <c r="K99" s="26">
        <f t="shared" si="7"/>
        <v>6062.2222222222217</v>
      </c>
      <c r="L99" s="26"/>
      <c r="M99" s="26"/>
      <c r="N99" s="26">
        <f t="shared" si="5"/>
        <v>33584.657534246573</v>
      </c>
      <c r="O99" s="26">
        <f t="shared" si="8"/>
        <v>6062.2222222222217</v>
      </c>
      <c r="P99" s="26"/>
      <c r="Q99" s="26"/>
      <c r="R99" s="26">
        <f t="shared" si="6"/>
        <v>39646.879756468792</v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M99" s="25"/>
      <c r="IN99" s="25"/>
      <c r="IO99" s="25"/>
      <c r="IP99" s="25"/>
      <c r="IQ99" s="25"/>
      <c r="IR99" s="25"/>
      <c r="IS99" s="25"/>
      <c r="IT99" s="25"/>
      <c r="IU99" s="25"/>
      <c r="IV99" s="25"/>
      <c r="IW99" s="25"/>
      <c r="IX99" s="25"/>
      <c r="IY99" s="25"/>
      <c r="IZ99" s="25"/>
      <c r="JA99" s="25"/>
      <c r="JB99" s="25"/>
      <c r="JC99" s="25"/>
      <c r="JD99" s="25"/>
      <c r="JE99" s="25"/>
      <c r="JF99" s="25"/>
      <c r="JG99" s="25"/>
      <c r="JH99" s="25"/>
      <c r="JI99" s="25"/>
      <c r="JJ99" s="25"/>
      <c r="JK99" s="25"/>
      <c r="JL99" s="25"/>
      <c r="JM99" s="25"/>
      <c r="JN99" s="25"/>
      <c r="JO99" s="25"/>
      <c r="JP99" s="25"/>
      <c r="JQ99" s="25"/>
      <c r="JR99" s="25"/>
      <c r="JS99" s="25"/>
    </row>
    <row r="100" spans="1:279" x14ac:dyDescent="0.3">
      <c r="A100" s="25" t="s">
        <v>419</v>
      </c>
      <c r="B100" s="25" t="s">
        <v>40</v>
      </c>
      <c r="C100" s="25" t="s">
        <v>698</v>
      </c>
      <c r="D100" s="26" t="s">
        <v>699</v>
      </c>
      <c r="E100" s="26">
        <v>2170000</v>
      </c>
      <c r="F100" s="47">
        <v>43658</v>
      </c>
      <c r="G100" s="47">
        <v>44024</v>
      </c>
      <c r="H100" s="26"/>
      <c r="I100" s="26">
        <f>VLOOKUP(C100,[4]Hoja2!D:F,3,FALSE)</f>
        <v>6.4</v>
      </c>
      <c r="J100" s="26">
        <v>54294.258751902591</v>
      </c>
      <c r="K100" s="26">
        <f t="shared" si="7"/>
        <v>11959.111111111111</v>
      </c>
      <c r="L100" s="26"/>
      <c r="M100" s="26"/>
      <c r="N100" s="26">
        <f t="shared" si="5"/>
        <v>66253.369863013708</v>
      </c>
      <c r="O100" s="26">
        <f t="shared" si="8"/>
        <v>11959.111111111111</v>
      </c>
      <c r="P100" s="26"/>
      <c r="Q100" s="26"/>
      <c r="R100" s="26">
        <f t="shared" si="6"/>
        <v>78212.480974124817</v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25"/>
      <c r="IH100" s="25"/>
      <c r="II100" s="25"/>
      <c r="IJ100" s="25"/>
      <c r="IK100" s="25"/>
      <c r="IL100" s="25"/>
      <c r="IM100" s="25"/>
      <c r="IN100" s="25"/>
      <c r="IO100" s="25"/>
      <c r="IP100" s="25"/>
      <c r="IQ100" s="25"/>
      <c r="IR100" s="25"/>
      <c r="IS100" s="25"/>
      <c r="IT100" s="25"/>
      <c r="IU100" s="25"/>
      <c r="IV100" s="25"/>
      <c r="IW100" s="25"/>
      <c r="IX100" s="25"/>
      <c r="IY100" s="25"/>
      <c r="IZ100" s="25"/>
      <c r="JA100" s="25"/>
      <c r="JB100" s="25"/>
      <c r="JC100" s="25"/>
      <c r="JD100" s="25"/>
      <c r="JE100" s="25"/>
      <c r="JF100" s="25"/>
      <c r="JG100" s="25"/>
      <c r="JH100" s="25"/>
      <c r="JI100" s="25"/>
      <c r="JJ100" s="25"/>
      <c r="JK100" s="25"/>
      <c r="JL100" s="25"/>
      <c r="JM100" s="25"/>
      <c r="JN100" s="25"/>
      <c r="JO100" s="25"/>
      <c r="JP100" s="25"/>
      <c r="JQ100" s="25"/>
      <c r="JR100" s="25"/>
      <c r="JS100" s="25"/>
    </row>
    <row r="101" spans="1:279" x14ac:dyDescent="0.3">
      <c r="A101" s="25" t="s">
        <v>414</v>
      </c>
      <c r="B101" s="25" t="s">
        <v>74</v>
      </c>
      <c r="C101" s="25" t="s">
        <v>700</v>
      </c>
      <c r="D101" s="26" t="s">
        <v>701</v>
      </c>
      <c r="E101" s="26">
        <v>134000</v>
      </c>
      <c r="F101" s="47">
        <v>43644</v>
      </c>
      <c r="G101" s="47">
        <v>43763</v>
      </c>
      <c r="H101" s="26"/>
      <c r="I101" s="26">
        <v>3.4</v>
      </c>
      <c r="J101" s="26">
        <v>379.67010654490082</v>
      </c>
      <c r="K101" s="26">
        <f t="shared" si="7"/>
        <v>392.32222222222219</v>
      </c>
      <c r="L101" s="26"/>
      <c r="M101" s="26"/>
      <c r="N101" s="26">
        <f t="shared" si="5"/>
        <v>771.99232876712301</v>
      </c>
      <c r="O101" s="26">
        <f t="shared" si="8"/>
        <v>392.32222222222219</v>
      </c>
      <c r="P101" s="26"/>
      <c r="Q101" s="26"/>
      <c r="R101" s="26">
        <f t="shared" si="6"/>
        <v>1164.3145509893452</v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M101" s="25"/>
      <c r="IN101" s="25"/>
      <c r="IO101" s="25"/>
      <c r="IP101" s="25"/>
      <c r="IQ101" s="25"/>
      <c r="IR101" s="25"/>
      <c r="IS101" s="25"/>
      <c r="IT101" s="25"/>
      <c r="IU101" s="25"/>
      <c r="IV101" s="25"/>
      <c r="IW101" s="25"/>
      <c r="IX101" s="25"/>
      <c r="IY101" s="25"/>
      <c r="IZ101" s="25"/>
      <c r="JA101" s="25"/>
      <c r="JB101" s="25"/>
      <c r="JC101" s="25"/>
      <c r="JD101" s="25"/>
      <c r="JE101" s="25"/>
      <c r="JF101" s="25"/>
      <c r="JG101" s="25"/>
      <c r="JH101" s="25"/>
      <c r="JI101" s="25"/>
      <c r="JJ101" s="25"/>
      <c r="JK101" s="25"/>
      <c r="JL101" s="25"/>
      <c r="JM101" s="25"/>
      <c r="JN101" s="25"/>
      <c r="JO101" s="25"/>
      <c r="JP101" s="25"/>
      <c r="JQ101" s="25"/>
      <c r="JR101" s="25"/>
      <c r="JS101" s="25"/>
    </row>
    <row r="102" spans="1:279" x14ac:dyDescent="0.3">
      <c r="A102" s="25" t="s">
        <v>429</v>
      </c>
      <c r="B102" s="25" t="s">
        <v>85</v>
      </c>
      <c r="C102" s="25" t="s">
        <v>702</v>
      </c>
      <c r="D102" s="25" t="s">
        <v>703</v>
      </c>
      <c r="E102" s="42">
        <v>200000</v>
      </c>
      <c r="F102" s="25" t="s">
        <v>426</v>
      </c>
      <c r="G102" s="25" t="s">
        <v>425</v>
      </c>
      <c r="H102" s="26"/>
      <c r="I102" s="26">
        <v>7.4</v>
      </c>
      <c r="J102" s="26">
        <v>5015.5555555555566</v>
      </c>
      <c r="K102" s="26">
        <f t="shared" si="7"/>
        <v>1274.4444444444446</v>
      </c>
      <c r="L102" s="26"/>
      <c r="M102" s="26"/>
      <c r="N102" s="26">
        <f t="shared" si="5"/>
        <v>6290.0000000000009</v>
      </c>
      <c r="O102" s="26">
        <f t="shared" si="8"/>
        <v>1274.4444444444446</v>
      </c>
      <c r="P102" s="26"/>
      <c r="Q102" s="26"/>
      <c r="R102" s="26">
        <f t="shared" si="6"/>
        <v>7564.4444444444453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  <c r="IS102" s="25"/>
      <c r="IT102" s="25"/>
      <c r="IU102" s="25"/>
      <c r="IV102" s="25"/>
      <c r="IW102" s="25"/>
      <c r="IX102" s="25"/>
      <c r="IY102" s="25"/>
      <c r="IZ102" s="25"/>
      <c r="JA102" s="25"/>
      <c r="JB102" s="25"/>
      <c r="JC102" s="25"/>
      <c r="JD102" s="25"/>
      <c r="JE102" s="25"/>
      <c r="JF102" s="25"/>
      <c r="JG102" s="25"/>
      <c r="JH102" s="25"/>
      <c r="JI102" s="25"/>
      <c r="JJ102" s="25"/>
      <c r="JK102" s="25"/>
      <c r="JL102" s="25"/>
      <c r="JM102" s="25"/>
      <c r="JN102" s="25"/>
      <c r="JO102" s="25"/>
      <c r="JP102" s="25"/>
      <c r="JQ102" s="25"/>
      <c r="JR102" s="25"/>
      <c r="JS102" s="25"/>
    </row>
    <row r="103" spans="1:279" x14ac:dyDescent="0.3">
      <c r="A103" s="25" t="s">
        <v>429</v>
      </c>
      <c r="B103" s="25" t="s">
        <v>85</v>
      </c>
      <c r="C103" s="25" t="s">
        <v>226</v>
      </c>
      <c r="D103" s="25" t="s">
        <v>704</v>
      </c>
      <c r="E103" s="42">
        <v>415230</v>
      </c>
      <c r="F103" s="25" t="s">
        <v>426</v>
      </c>
      <c r="G103" s="25" t="s">
        <v>425</v>
      </c>
      <c r="H103" s="26"/>
      <c r="I103" s="26">
        <v>7.4</v>
      </c>
      <c r="J103" s="26">
        <v>8040.9956666666685</v>
      </c>
      <c r="K103" s="26">
        <f t="shared" si="7"/>
        <v>2645.9378333333339</v>
      </c>
      <c r="L103" s="26">
        <f>[3]dc!J144</f>
        <v>0</v>
      </c>
      <c r="M103" s="26"/>
      <c r="N103" s="26">
        <f t="shared" si="5"/>
        <v>10686.933500000003</v>
      </c>
      <c r="O103" s="26">
        <f t="shared" si="8"/>
        <v>2645.9378333333339</v>
      </c>
      <c r="P103" s="26">
        <f>[3]dc!N144</f>
        <v>0</v>
      </c>
      <c r="Q103" s="26"/>
      <c r="R103" s="26">
        <f t="shared" si="6"/>
        <v>13332.871333333336</v>
      </c>
      <c r="S103" s="25" t="s">
        <v>705</v>
      </c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  <c r="IS103" s="25"/>
      <c r="IT103" s="25"/>
      <c r="IU103" s="25"/>
      <c r="IV103" s="25"/>
      <c r="IW103" s="25"/>
      <c r="IX103" s="25"/>
      <c r="IY103" s="25"/>
      <c r="IZ103" s="25"/>
      <c r="JA103" s="25"/>
      <c r="JB103" s="25"/>
      <c r="JC103" s="25"/>
      <c r="JD103" s="25"/>
      <c r="JE103" s="25"/>
      <c r="JF103" s="25"/>
      <c r="JG103" s="25"/>
      <c r="JH103" s="25"/>
      <c r="JI103" s="25"/>
      <c r="JJ103" s="25"/>
      <c r="JK103" s="25"/>
      <c r="JL103" s="25"/>
      <c r="JM103" s="25"/>
      <c r="JN103" s="25"/>
      <c r="JO103" s="25"/>
      <c r="JP103" s="25"/>
      <c r="JQ103" s="25"/>
      <c r="JR103" s="25"/>
      <c r="JS103" s="25"/>
    </row>
    <row r="104" spans="1:279" x14ac:dyDescent="0.3">
      <c r="A104" s="25" t="s">
        <v>432</v>
      </c>
      <c r="B104" s="25" t="s">
        <v>25</v>
      </c>
      <c r="C104" s="25" t="s">
        <v>431</v>
      </c>
      <c r="D104" s="25" t="s">
        <v>430</v>
      </c>
      <c r="E104" s="42">
        <v>100000</v>
      </c>
      <c r="F104" s="25" t="s">
        <v>426</v>
      </c>
      <c r="G104" s="25" t="s">
        <v>425</v>
      </c>
      <c r="H104" s="26"/>
      <c r="I104" s="26">
        <v>4.4000000000000004</v>
      </c>
      <c r="J104" s="26">
        <v>1491.1111111111109</v>
      </c>
      <c r="K104" s="26">
        <f t="shared" si="7"/>
        <v>378.88888888888886</v>
      </c>
      <c r="L104" s="26"/>
      <c r="M104" s="26"/>
      <c r="N104" s="26">
        <f t="shared" si="5"/>
        <v>1869.9999999999998</v>
      </c>
      <c r="O104" s="26">
        <f t="shared" si="8"/>
        <v>378.88888888888886</v>
      </c>
      <c r="P104" s="26"/>
      <c r="Q104" s="26"/>
      <c r="R104" s="26">
        <f t="shared" si="6"/>
        <v>2248.8888888888887</v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25"/>
      <c r="IH104" s="25"/>
      <c r="II104" s="25"/>
      <c r="IJ104" s="25"/>
      <c r="IK104" s="25"/>
      <c r="IL104" s="25"/>
      <c r="IM104" s="25"/>
      <c r="IN104" s="25"/>
      <c r="IO104" s="25"/>
      <c r="IP104" s="25"/>
      <c r="IQ104" s="25"/>
      <c r="IR104" s="25"/>
      <c r="IS104" s="25"/>
      <c r="IT104" s="25"/>
      <c r="IU104" s="25"/>
      <c r="IV104" s="25"/>
      <c r="IW104" s="25"/>
      <c r="IX104" s="25"/>
      <c r="IY104" s="25"/>
      <c r="IZ104" s="25"/>
      <c r="JA104" s="25"/>
      <c r="JB104" s="25"/>
      <c r="JC104" s="25"/>
      <c r="JD104" s="25"/>
      <c r="JE104" s="25"/>
      <c r="JF104" s="25"/>
      <c r="JG104" s="25"/>
      <c r="JH104" s="25"/>
      <c r="JI104" s="25"/>
      <c r="JJ104" s="25"/>
      <c r="JK104" s="25"/>
      <c r="JL104" s="25"/>
      <c r="JM104" s="25"/>
      <c r="JN104" s="25"/>
      <c r="JO104" s="25"/>
      <c r="JP104" s="25"/>
      <c r="JQ104" s="25"/>
      <c r="JR104" s="25"/>
      <c r="JS104" s="25"/>
    </row>
    <row r="105" spans="1:279" x14ac:dyDescent="0.3">
      <c r="A105" s="25" t="s">
        <v>419</v>
      </c>
      <c r="B105" s="25" t="s">
        <v>177</v>
      </c>
      <c r="C105" s="25" t="s">
        <v>706</v>
      </c>
      <c r="D105" s="25" t="s">
        <v>707</v>
      </c>
      <c r="E105" s="42">
        <v>50000</v>
      </c>
      <c r="F105" s="25" t="s">
        <v>416</v>
      </c>
      <c r="G105" s="25" t="s">
        <v>415</v>
      </c>
      <c r="H105" s="26"/>
      <c r="I105" s="26">
        <v>5.9</v>
      </c>
      <c r="J105" s="26">
        <v>499.86222222222216</v>
      </c>
      <c r="K105" s="26">
        <f t="shared" si="7"/>
        <v>254.02777777777777</v>
      </c>
      <c r="L105" s="26"/>
      <c r="M105" s="26"/>
      <c r="N105" s="26">
        <f t="shared" si="5"/>
        <v>753.88999999999987</v>
      </c>
      <c r="O105" s="26">
        <f t="shared" si="8"/>
        <v>254.02777777777777</v>
      </c>
      <c r="P105" s="26"/>
      <c r="Q105" s="26"/>
      <c r="R105" s="26">
        <f t="shared" si="6"/>
        <v>1007.9177777777777</v>
      </c>
      <c r="S105" s="25" t="s">
        <v>708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M105" s="25"/>
      <c r="IN105" s="25"/>
      <c r="IO105" s="25"/>
      <c r="IP105" s="25"/>
      <c r="IQ105" s="25"/>
      <c r="IR105" s="25"/>
      <c r="IS105" s="25"/>
      <c r="IT105" s="25"/>
      <c r="IU105" s="25"/>
      <c r="IV105" s="25"/>
      <c r="IW105" s="25"/>
      <c r="IX105" s="25"/>
      <c r="IY105" s="25"/>
      <c r="IZ105" s="25"/>
      <c r="JA105" s="25"/>
      <c r="JB105" s="25"/>
      <c r="JC105" s="25"/>
      <c r="JD105" s="25"/>
      <c r="JE105" s="25"/>
      <c r="JF105" s="25"/>
      <c r="JG105" s="25"/>
      <c r="JH105" s="25"/>
      <c r="JI105" s="25"/>
      <c r="JJ105" s="25"/>
      <c r="JK105" s="25"/>
      <c r="JL105" s="25"/>
      <c r="JM105" s="25"/>
      <c r="JN105" s="25"/>
      <c r="JO105" s="25"/>
      <c r="JP105" s="25"/>
      <c r="JQ105" s="25"/>
      <c r="JR105" s="25"/>
      <c r="JS105" s="25"/>
    </row>
    <row r="106" spans="1:279" x14ac:dyDescent="0.3">
      <c r="A106" s="25" t="s">
        <v>429</v>
      </c>
      <c r="B106" s="25" t="s">
        <v>71</v>
      </c>
      <c r="C106" s="25" t="s">
        <v>428</v>
      </c>
      <c r="D106" s="25" t="s">
        <v>427</v>
      </c>
      <c r="E106" s="42">
        <v>100000</v>
      </c>
      <c r="F106" s="25" t="s">
        <v>426</v>
      </c>
      <c r="G106" s="25" t="s">
        <v>425</v>
      </c>
      <c r="H106" s="26"/>
      <c r="I106" s="26">
        <v>7.4</v>
      </c>
      <c r="J106" s="26">
        <v>2507.7777777777783</v>
      </c>
      <c r="K106" s="26">
        <f t="shared" si="7"/>
        <v>637.22222222222229</v>
      </c>
      <c r="L106" s="26"/>
      <c r="M106" s="26"/>
      <c r="N106" s="26">
        <f t="shared" si="5"/>
        <v>3145.0000000000005</v>
      </c>
      <c r="O106" s="26">
        <f t="shared" si="8"/>
        <v>637.22222222222229</v>
      </c>
      <c r="P106" s="26"/>
      <c r="Q106" s="26"/>
      <c r="R106" s="26">
        <f t="shared" si="6"/>
        <v>3782.2222222222226</v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  <c r="IS106" s="25"/>
      <c r="IT106" s="25"/>
      <c r="IU106" s="25"/>
      <c r="IV106" s="25"/>
      <c r="IW106" s="25"/>
      <c r="IX106" s="25"/>
      <c r="IY106" s="25"/>
      <c r="IZ106" s="25"/>
      <c r="JA106" s="25"/>
      <c r="JB106" s="25"/>
      <c r="JC106" s="25"/>
      <c r="JD106" s="25"/>
      <c r="JE106" s="25"/>
      <c r="JF106" s="25"/>
      <c r="JG106" s="25"/>
      <c r="JH106" s="25"/>
      <c r="JI106" s="25"/>
      <c r="JJ106" s="25"/>
      <c r="JK106" s="25"/>
      <c r="JL106" s="25"/>
      <c r="JM106" s="25"/>
      <c r="JN106" s="25"/>
      <c r="JO106" s="25"/>
      <c r="JP106" s="25"/>
      <c r="JQ106" s="25"/>
      <c r="JR106" s="25"/>
      <c r="JS106" s="25"/>
    </row>
    <row r="107" spans="1:279" x14ac:dyDescent="0.3">
      <c r="A107" s="25" t="s">
        <v>424</v>
      </c>
      <c r="B107" s="25" t="s">
        <v>64</v>
      </c>
      <c r="C107" s="25" t="s">
        <v>423</v>
      </c>
      <c r="D107" s="25" t="s">
        <v>422</v>
      </c>
      <c r="E107" s="42">
        <v>250000</v>
      </c>
      <c r="F107" s="25" t="s">
        <v>421</v>
      </c>
      <c r="G107" s="25" t="s">
        <v>420</v>
      </c>
      <c r="H107" s="26"/>
      <c r="I107" s="26">
        <v>4.9000000000000004</v>
      </c>
      <c r="J107" s="26">
        <v>4151.3888888888887</v>
      </c>
      <c r="K107" s="26">
        <f t="shared" si="7"/>
        <v>1054.8611111111111</v>
      </c>
      <c r="L107" s="26"/>
      <c r="M107" s="26"/>
      <c r="N107" s="26">
        <f t="shared" si="5"/>
        <v>5206.25</v>
      </c>
      <c r="O107" s="26">
        <f t="shared" si="8"/>
        <v>1054.8611111111111</v>
      </c>
      <c r="P107" s="26"/>
      <c r="Q107" s="26"/>
      <c r="R107" s="26">
        <f t="shared" si="6"/>
        <v>6261.1111111111113</v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M107" s="25"/>
      <c r="IN107" s="25"/>
      <c r="IO107" s="25"/>
      <c r="IP107" s="25"/>
      <c r="IQ107" s="25"/>
      <c r="IR107" s="25"/>
      <c r="IS107" s="25"/>
      <c r="IT107" s="25"/>
      <c r="IU107" s="25"/>
      <c r="IV107" s="25"/>
      <c r="IW107" s="25"/>
      <c r="IX107" s="25"/>
      <c r="IY107" s="25"/>
      <c r="IZ107" s="25"/>
      <c r="JA107" s="25"/>
      <c r="JB107" s="25"/>
      <c r="JC107" s="25"/>
      <c r="JD107" s="25"/>
      <c r="JE107" s="25"/>
      <c r="JF107" s="25"/>
      <c r="JG107" s="25"/>
      <c r="JH107" s="25"/>
      <c r="JI107" s="25"/>
      <c r="JJ107" s="25"/>
      <c r="JK107" s="25"/>
      <c r="JL107" s="25"/>
      <c r="JM107" s="25"/>
      <c r="JN107" s="25"/>
      <c r="JO107" s="25"/>
      <c r="JP107" s="25"/>
      <c r="JQ107" s="25"/>
      <c r="JR107" s="25"/>
      <c r="JS107" s="25"/>
    </row>
    <row r="108" spans="1:279" x14ac:dyDescent="0.3">
      <c r="A108" s="25" t="s">
        <v>419</v>
      </c>
      <c r="B108" s="25" t="s">
        <v>40</v>
      </c>
      <c r="C108" s="25" t="s">
        <v>418</v>
      </c>
      <c r="D108" s="25" t="s">
        <v>417</v>
      </c>
      <c r="E108" s="42">
        <v>2170000</v>
      </c>
      <c r="F108" s="25" t="s">
        <v>416</v>
      </c>
      <c r="G108" s="25" t="s">
        <v>415</v>
      </c>
      <c r="H108" s="26"/>
      <c r="I108" s="26">
        <v>6.4</v>
      </c>
      <c r="J108" s="26">
        <v>47064.888888888891</v>
      </c>
      <c r="K108" s="26">
        <f t="shared" si="7"/>
        <v>11959.111111111111</v>
      </c>
      <c r="L108" s="26"/>
      <c r="M108" s="26"/>
      <c r="N108" s="26">
        <f t="shared" si="5"/>
        <v>59024</v>
      </c>
      <c r="O108" s="26">
        <f t="shared" si="8"/>
        <v>11959.111111111111</v>
      </c>
      <c r="P108" s="26"/>
      <c r="Q108" s="26"/>
      <c r="R108" s="26">
        <f t="shared" si="6"/>
        <v>70983.111111111109</v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25"/>
      <c r="IH108" s="25"/>
      <c r="II108" s="25"/>
      <c r="IJ108" s="25"/>
      <c r="IK108" s="25"/>
      <c r="IL108" s="25"/>
      <c r="IM108" s="25"/>
      <c r="IN108" s="25"/>
      <c r="IO108" s="25"/>
      <c r="IP108" s="25"/>
      <c r="IQ108" s="25"/>
      <c r="IR108" s="25"/>
      <c r="IS108" s="25"/>
      <c r="IT108" s="25"/>
      <c r="IU108" s="25"/>
      <c r="IV108" s="25"/>
      <c r="IW108" s="25"/>
      <c r="IX108" s="25"/>
      <c r="IY108" s="25"/>
      <c r="IZ108" s="25"/>
      <c r="JA108" s="25"/>
      <c r="JB108" s="25"/>
      <c r="JC108" s="25"/>
      <c r="JD108" s="25"/>
      <c r="JE108" s="25"/>
      <c r="JF108" s="25"/>
      <c r="JG108" s="25"/>
      <c r="JH108" s="25"/>
      <c r="JI108" s="25"/>
      <c r="JJ108" s="25"/>
      <c r="JK108" s="25"/>
      <c r="JL108" s="25"/>
      <c r="JM108" s="25"/>
      <c r="JN108" s="25"/>
      <c r="JO108" s="25"/>
      <c r="JP108" s="25"/>
      <c r="JQ108" s="25"/>
      <c r="JR108" s="25"/>
      <c r="JS108" s="25"/>
    </row>
    <row r="109" spans="1:279" x14ac:dyDescent="0.3">
      <c r="A109" s="25" t="s">
        <v>414</v>
      </c>
      <c r="B109" s="25" t="s">
        <v>50</v>
      </c>
      <c r="C109" s="25" t="s">
        <v>413</v>
      </c>
      <c r="D109" s="25" t="s">
        <v>412</v>
      </c>
      <c r="E109" s="42">
        <v>150000</v>
      </c>
      <c r="F109" s="25" t="s">
        <v>411</v>
      </c>
      <c r="G109" s="25" t="s">
        <v>410</v>
      </c>
      <c r="H109" s="26"/>
      <c r="I109" s="26">
        <v>4.9000000000000004</v>
      </c>
      <c r="J109" s="26">
        <v>2490.8333333333335</v>
      </c>
      <c r="K109" s="26">
        <f t="shared" si="7"/>
        <v>632.91666666666674</v>
      </c>
      <c r="L109" s="26"/>
      <c r="M109" s="26"/>
      <c r="N109" s="26">
        <f t="shared" si="5"/>
        <v>3123.75</v>
      </c>
      <c r="O109" s="26">
        <f t="shared" si="8"/>
        <v>632.91666666666674</v>
      </c>
      <c r="P109" s="26"/>
      <c r="Q109" s="26"/>
      <c r="R109" s="26">
        <f t="shared" si="6"/>
        <v>3756.666666666667</v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5"/>
      <c r="IT109" s="25"/>
      <c r="IU109" s="25"/>
      <c r="IV109" s="25"/>
      <c r="IW109" s="25"/>
      <c r="IX109" s="25"/>
      <c r="IY109" s="25"/>
      <c r="IZ109" s="25"/>
      <c r="JA109" s="25"/>
      <c r="JB109" s="25"/>
      <c r="JC109" s="25"/>
      <c r="JD109" s="25"/>
      <c r="JE109" s="25"/>
      <c r="JF109" s="25"/>
      <c r="JG109" s="25"/>
      <c r="JH109" s="25"/>
      <c r="JI109" s="25"/>
      <c r="JJ109" s="25"/>
      <c r="JK109" s="25"/>
      <c r="JL109" s="25"/>
      <c r="JM109" s="25"/>
      <c r="JN109" s="25"/>
      <c r="JO109" s="25"/>
      <c r="JP109" s="25"/>
      <c r="JQ109" s="25"/>
      <c r="JR109" s="25"/>
      <c r="JS109" s="25"/>
    </row>
    <row r="110" spans="1:279" x14ac:dyDescent="0.3">
      <c r="A110" s="25" t="s">
        <v>419</v>
      </c>
      <c r="B110" s="25" t="s">
        <v>37</v>
      </c>
      <c r="C110" s="25" t="s">
        <v>709</v>
      </c>
      <c r="D110" s="25" t="s">
        <v>710</v>
      </c>
      <c r="E110" s="42">
        <v>650000</v>
      </c>
      <c r="F110" s="25" t="s">
        <v>416</v>
      </c>
      <c r="G110" s="25" t="s">
        <v>415</v>
      </c>
      <c r="H110" s="26"/>
      <c r="I110" s="26">
        <v>6.9</v>
      </c>
      <c r="J110" s="26">
        <v>7599.5866666666698</v>
      </c>
      <c r="K110" s="26">
        <f t="shared" si="7"/>
        <v>3862.0833333333339</v>
      </c>
      <c r="L110" s="26"/>
      <c r="M110" s="26"/>
      <c r="N110" s="26">
        <f t="shared" si="5"/>
        <v>11461.670000000004</v>
      </c>
      <c r="O110" s="26">
        <f t="shared" si="8"/>
        <v>3862.0833333333339</v>
      </c>
      <c r="P110" s="26"/>
      <c r="Q110" s="26"/>
      <c r="R110" s="26">
        <f t="shared" si="6"/>
        <v>15323.753333333338</v>
      </c>
      <c r="S110" s="25" t="s">
        <v>708</v>
      </c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  <c r="IS110" s="25"/>
      <c r="IT110" s="25"/>
      <c r="IU110" s="25"/>
      <c r="IV110" s="25"/>
      <c r="IW110" s="25"/>
      <c r="IX110" s="25"/>
      <c r="IY110" s="25"/>
      <c r="IZ110" s="25"/>
      <c r="JA110" s="25"/>
      <c r="JB110" s="25"/>
      <c r="JC110" s="25"/>
      <c r="JD110" s="25"/>
      <c r="JE110" s="25"/>
      <c r="JF110" s="25"/>
      <c r="JG110" s="25"/>
      <c r="JH110" s="25"/>
      <c r="JI110" s="25"/>
      <c r="JJ110" s="25"/>
      <c r="JK110" s="25"/>
      <c r="JL110" s="25"/>
      <c r="JM110" s="25"/>
      <c r="JN110" s="25"/>
      <c r="JO110" s="25"/>
      <c r="JP110" s="25"/>
      <c r="JQ110" s="25"/>
      <c r="JR110" s="25"/>
      <c r="JS110" s="25"/>
    </row>
    <row r="111" spans="1:279" x14ac:dyDescent="0.3">
      <c r="A111" s="25" t="s">
        <v>407</v>
      </c>
      <c r="B111" s="25" t="s">
        <v>56</v>
      </c>
      <c r="C111" s="25" t="s">
        <v>409</v>
      </c>
      <c r="D111" s="25" t="s">
        <v>408</v>
      </c>
      <c r="E111" s="42">
        <v>200000</v>
      </c>
      <c r="F111" s="25" t="s">
        <v>404</v>
      </c>
      <c r="G111" s="25" t="s">
        <v>403</v>
      </c>
      <c r="H111" s="26"/>
      <c r="I111" s="26">
        <v>5.65</v>
      </c>
      <c r="J111" s="26">
        <v>3829.4444444444443</v>
      </c>
      <c r="K111" s="26">
        <f t="shared" si="7"/>
        <v>973.05555555555554</v>
      </c>
      <c r="L111" s="26"/>
      <c r="M111" s="26"/>
      <c r="N111" s="26">
        <f t="shared" si="5"/>
        <v>4802.5</v>
      </c>
      <c r="O111" s="26">
        <f t="shared" si="8"/>
        <v>973.05555555555554</v>
      </c>
      <c r="P111" s="26"/>
      <c r="Q111" s="26"/>
      <c r="R111" s="26">
        <f t="shared" si="6"/>
        <v>5775.5555555555557</v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M111" s="25"/>
      <c r="IN111" s="25"/>
      <c r="IO111" s="25"/>
      <c r="IP111" s="25"/>
      <c r="IQ111" s="25"/>
      <c r="IR111" s="25"/>
      <c r="IS111" s="25"/>
      <c r="IT111" s="25"/>
      <c r="IU111" s="25"/>
      <c r="IV111" s="25"/>
      <c r="IW111" s="25"/>
      <c r="IX111" s="25"/>
      <c r="IY111" s="25"/>
      <c r="IZ111" s="25"/>
      <c r="JA111" s="25"/>
      <c r="JB111" s="25"/>
      <c r="JC111" s="25"/>
      <c r="JD111" s="25"/>
      <c r="JE111" s="25"/>
      <c r="JF111" s="25"/>
      <c r="JG111" s="25"/>
      <c r="JH111" s="25"/>
      <c r="JI111" s="25"/>
      <c r="JJ111" s="25"/>
      <c r="JK111" s="25"/>
      <c r="JL111" s="25"/>
      <c r="JM111" s="25"/>
      <c r="JN111" s="25"/>
      <c r="JO111" s="25"/>
      <c r="JP111" s="25"/>
      <c r="JQ111" s="25"/>
      <c r="JR111" s="25"/>
      <c r="JS111" s="25"/>
    </row>
    <row r="112" spans="1:279" x14ac:dyDescent="0.3">
      <c r="A112" s="25" t="s">
        <v>407</v>
      </c>
      <c r="B112" s="25" t="s">
        <v>53</v>
      </c>
      <c r="C112" s="25" t="s">
        <v>406</v>
      </c>
      <c r="D112" s="25" t="s">
        <v>405</v>
      </c>
      <c r="E112" s="42">
        <v>200000</v>
      </c>
      <c r="F112" s="25" t="s">
        <v>404</v>
      </c>
      <c r="G112" s="25" t="s">
        <v>403</v>
      </c>
      <c r="H112" s="26"/>
      <c r="I112" s="26">
        <v>5.65</v>
      </c>
      <c r="J112" s="26">
        <v>3829.4444444444443</v>
      </c>
      <c r="K112" s="26">
        <f t="shared" si="7"/>
        <v>973.05555555555554</v>
      </c>
      <c r="L112" s="26"/>
      <c r="M112" s="26"/>
      <c r="N112" s="26">
        <f t="shared" si="5"/>
        <v>4802.5</v>
      </c>
      <c r="O112" s="26">
        <f t="shared" si="8"/>
        <v>973.05555555555554</v>
      </c>
      <c r="P112" s="26"/>
      <c r="Q112" s="26"/>
      <c r="R112" s="26">
        <f t="shared" si="6"/>
        <v>5775.5555555555557</v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25"/>
      <c r="IH112" s="25"/>
      <c r="II112" s="25"/>
      <c r="IJ112" s="25"/>
      <c r="IK112" s="25"/>
      <c r="IL112" s="25"/>
      <c r="IM112" s="25"/>
      <c r="IN112" s="25"/>
      <c r="IO112" s="25"/>
      <c r="IP112" s="25"/>
      <c r="IQ112" s="25"/>
      <c r="IR112" s="25"/>
      <c r="IS112" s="25"/>
      <c r="IT112" s="25"/>
      <c r="IU112" s="25"/>
      <c r="IV112" s="25"/>
      <c r="IW112" s="25"/>
      <c r="IX112" s="25"/>
      <c r="IY112" s="25"/>
      <c r="IZ112" s="25"/>
      <c r="JA112" s="25"/>
      <c r="JB112" s="25"/>
      <c r="JC112" s="25"/>
      <c r="JD112" s="25"/>
      <c r="JE112" s="25"/>
      <c r="JF112" s="25"/>
      <c r="JG112" s="25"/>
      <c r="JH112" s="25"/>
      <c r="JI112" s="25"/>
      <c r="JJ112" s="25"/>
      <c r="JK112" s="25"/>
      <c r="JL112" s="25"/>
      <c r="JM112" s="25"/>
      <c r="JN112" s="25"/>
      <c r="JO112" s="25"/>
      <c r="JP112" s="25"/>
      <c r="JQ112" s="25"/>
      <c r="JR112" s="25"/>
      <c r="JS112" s="25"/>
    </row>
    <row r="113" spans="1:279" ht="26.4" x14ac:dyDescent="0.3">
      <c r="A113" s="76">
        <v>5031</v>
      </c>
      <c r="B113" s="76" t="s">
        <v>7</v>
      </c>
      <c r="C113" s="76" t="s">
        <v>402</v>
      </c>
      <c r="D113" s="76" t="s">
        <v>401</v>
      </c>
      <c r="E113" s="77">
        <v>300000</v>
      </c>
      <c r="F113" s="31">
        <v>43703</v>
      </c>
      <c r="G113" s="31">
        <v>44069</v>
      </c>
      <c r="H113" s="26"/>
      <c r="I113" s="26">
        <v>6.9</v>
      </c>
      <c r="J113" s="26">
        <v>5462.5</v>
      </c>
      <c r="K113" s="26">
        <f t="shared" si="7"/>
        <v>1782.5</v>
      </c>
      <c r="L113" s="26"/>
      <c r="M113" s="26"/>
      <c r="N113" s="26">
        <f t="shared" si="5"/>
        <v>7245</v>
      </c>
      <c r="O113" s="26">
        <f t="shared" si="8"/>
        <v>1782.5</v>
      </c>
      <c r="P113" s="26"/>
      <c r="Q113" s="26"/>
      <c r="R113" s="26">
        <f t="shared" si="6"/>
        <v>9027.5</v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M113" s="25"/>
      <c r="IN113" s="25"/>
      <c r="IO113" s="25"/>
      <c r="IP113" s="25"/>
      <c r="IQ113" s="25"/>
      <c r="IR113" s="25"/>
      <c r="IS113" s="25"/>
      <c r="IT113" s="25"/>
      <c r="IU113" s="25"/>
      <c r="IV113" s="25"/>
      <c r="IW113" s="25"/>
      <c r="IX113" s="25"/>
      <c r="IY113" s="25"/>
      <c r="IZ113" s="25"/>
      <c r="JA113" s="25"/>
      <c r="JB113" s="25"/>
      <c r="JC113" s="25"/>
      <c r="JD113" s="25"/>
      <c r="JE113" s="25"/>
      <c r="JF113" s="25"/>
      <c r="JG113" s="25"/>
      <c r="JH113" s="25"/>
      <c r="JI113" s="25"/>
      <c r="JJ113" s="25"/>
      <c r="JK113" s="25"/>
      <c r="JL113" s="25"/>
      <c r="JM113" s="25"/>
      <c r="JN113" s="25"/>
      <c r="JO113" s="25"/>
      <c r="JP113" s="25"/>
      <c r="JQ113" s="25"/>
      <c r="JR113" s="25"/>
      <c r="JS113" s="25"/>
    </row>
    <row r="114" spans="1:279" ht="26.4" x14ac:dyDescent="0.3">
      <c r="A114" s="76">
        <v>5040</v>
      </c>
      <c r="B114" s="76" t="s">
        <v>59</v>
      </c>
      <c r="C114" s="76" t="s">
        <v>400</v>
      </c>
      <c r="D114" s="76" t="s">
        <v>711</v>
      </c>
      <c r="E114" s="77">
        <v>440000</v>
      </c>
      <c r="F114" s="31">
        <v>43704</v>
      </c>
      <c r="G114" s="31">
        <v>44070</v>
      </c>
      <c r="H114" s="26"/>
      <c r="I114" s="26">
        <v>6.4</v>
      </c>
      <c r="J114" s="26">
        <v>7352.8888888888896</v>
      </c>
      <c r="K114" s="26">
        <f t="shared" si="7"/>
        <v>2424.8888888888891</v>
      </c>
      <c r="L114" s="26"/>
      <c r="M114" s="26"/>
      <c r="N114" s="26">
        <f t="shared" si="5"/>
        <v>9777.7777777777792</v>
      </c>
      <c r="O114" s="26">
        <f t="shared" si="8"/>
        <v>2424.8888888888891</v>
      </c>
      <c r="P114" s="26"/>
      <c r="Q114" s="26"/>
      <c r="R114" s="26">
        <f t="shared" si="6"/>
        <v>12202.666666666668</v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25"/>
      <c r="IH114" s="25"/>
      <c r="II114" s="25"/>
      <c r="IJ114" s="25"/>
      <c r="IK114" s="25"/>
      <c r="IL114" s="25"/>
      <c r="IM114" s="25"/>
      <c r="IN114" s="25"/>
      <c r="IO114" s="25"/>
      <c r="IP114" s="25"/>
      <c r="IQ114" s="25"/>
      <c r="IR114" s="25"/>
      <c r="IS114" s="25"/>
      <c r="IT114" s="25"/>
      <c r="IU114" s="25"/>
      <c r="IV114" s="25"/>
      <c r="IW114" s="25"/>
      <c r="IX114" s="25"/>
      <c r="IY114" s="25"/>
      <c r="IZ114" s="25"/>
      <c r="JA114" s="25"/>
      <c r="JB114" s="25"/>
      <c r="JC114" s="25"/>
      <c r="JD114" s="25"/>
      <c r="JE114" s="25"/>
      <c r="JF114" s="25"/>
      <c r="JG114" s="25"/>
      <c r="JH114" s="25"/>
      <c r="JI114" s="25"/>
      <c r="JJ114" s="25"/>
      <c r="JK114" s="25"/>
      <c r="JL114" s="25"/>
      <c r="JM114" s="25"/>
      <c r="JN114" s="25"/>
      <c r="JO114" s="25"/>
      <c r="JP114" s="25"/>
      <c r="JQ114" s="25"/>
      <c r="JR114" s="25"/>
      <c r="JS114" s="25"/>
    </row>
    <row r="115" spans="1:279" ht="26.4" x14ac:dyDescent="0.3">
      <c r="A115" s="78">
        <v>5063</v>
      </c>
      <c r="B115" s="78" t="s">
        <v>25</v>
      </c>
      <c r="C115" s="78" t="s">
        <v>398</v>
      </c>
      <c r="D115" s="78" t="s">
        <v>397</v>
      </c>
      <c r="E115" s="79">
        <v>173000</v>
      </c>
      <c r="F115" s="31">
        <v>43709</v>
      </c>
      <c r="G115" s="31">
        <v>44075</v>
      </c>
      <c r="H115" s="26"/>
      <c r="I115" s="26">
        <v>4.4000000000000004</v>
      </c>
      <c r="J115" s="26">
        <v>1903</v>
      </c>
      <c r="K115" s="26">
        <f t="shared" si="7"/>
        <v>655.47777777777787</v>
      </c>
      <c r="L115" s="26"/>
      <c r="M115" s="26"/>
      <c r="N115" s="26">
        <f t="shared" si="5"/>
        <v>2558.4777777777781</v>
      </c>
      <c r="O115" s="26">
        <f t="shared" si="8"/>
        <v>655.47777777777787</v>
      </c>
      <c r="P115" s="26"/>
      <c r="Q115" s="26"/>
      <c r="R115" s="26">
        <f t="shared" si="6"/>
        <v>3213.9555555555562</v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M115" s="25"/>
      <c r="IN115" s="25"/>
      <c r="IO115" s="25"/>
      <c r="IP115" s="25"/>
      <c r="IQ115" s="25"/>
      <c r="IR115" s="25"/>
      <c r="IS115" s="25"/>
      <c r="IT115" s="25"/>
      <c r="IU115" s="25"/>
      <c r="IV115" s="25"/>
      <c r="IW115" s="25"/>
      <c r="IX115" s="25"/>
      <c r="IY115" s="25"/>
      <c r="IZ115" s="25"/>
      <c r="JA115" s="25"/>
      <c r="JB115" s="25"/>
      <c r="JC115" s="25"/>
      <c r="JD115" s="25"/>
      <c r="JE115" s="25"/>
      <c r="JF115" s="25"/>
      <c r="JG115" s="25"/>
      <c r="JH115" s="25"/>
      <c r="JI115" s="25"/>
      <c r="JJ115" s="25"/>
      <c r="JK115" s="25"/>
      <c r="JL115" s="25"/>
      <c r="JM115" s="25"/>
      <c r="JN115" s="25"/>
      <c r="JO115" s="25"/>
      <c r="JP115" s="25"/>
      <c r="JQ115" s="25"/>
      <c r="JR115" s="25"/>
      <c r="JS115" s="25"/>
    </row>
    <row r="116" spans="1:279" ht="26.4" x14ac:dyDescent="0.3">
      <c r="A116" s="78">
        <v>5050</v>
      </c>
      <c r="B116" s="78" t="s">
        <v>31</v>
      </c>
      <c r="C116" s="78" t="s">
        <v>396</v>
      </c>
      <c r="D116" s="78" t="s">
        <v>395</v>
      </c>
      <c r="E116" s="79">
        <v>220000</v>
      </c>
      <c r="F116" s="31">
        <v>43711</v>
      </c>
      <c r="G116" s="31">
        <v>44076</v>
      </c>
      <c r="H116" s="26"/>
      <c r="I116" s="26">
        <v>5.9</v>
      </c>
      <c r="J116" s="26">
        <v>3172.8888888888887</v>
      </c>
      <c r="K116" s="26">
        <f t="shared" si="7"/>
        <v>1117.7222222222222</v>
      </c>
      <c r="L116" s="26"/>
      <c r="M116" s="26"/>
      <c r="N116" s="26">
        <f t="shared" si="5"/>
        <v>4290.6111111111113</v>
      </c>
      <c r="O116" s="26">
        <f t="shared" si="8"/>
        <v>1117.7222222222222</v>
      </c>
      <c r="P116" s="26"/>
      <c r="Q116" s="26"/>
      <c r="R116" s="26">
        <f t="shared" si="6"/>
        <v>5408.3333333333339</v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25"/>
      <c r="IH116" s="25"/>
      <c r="II116" s="25"/>
      <c r="IJ116" s="25"/>
      <c r="IK116" s="25"/>
      <c r="IL116" s="25"/>
      <c r="IM116" s="25"/>
      <c r="IN116" s="25"/>
      <c r="IO116" s="25"/>
      <c r="IP116" s="25"/>
      <c r="IQ116" s="25"/>
      <c r="IR116" s="25"/>
      <c r="IS116" s="25"/>
      <c r="IT116" s="25"/>
      <c r="IU116" s="25"/>
      <c r="IV116" s="25"/>
      <c r="IW116" s="25"/>
      <c r="IX116" s="25"/>
      <c r="IY116" s="25"/>
      <c r="IZ116" s="25"/>
      <c r="JA116" s="25"/>
      <c r="JB116" s="25"/>
      <c r="JC116" s="25"/>
      <c r="JD116" s="25"/>
      <c r="JE116" s="25"/>
      <c r="JF116" s="25"/>
      <c r="JG116" s="25"/>
      <c r="JH116" s="25"/>
      <c r="JI116" s="25"/>
      <c r="JJ116" s="25"/>
      <c r="JK116" s="25"/>
      <c r="JL116" s="25"/>
      <c r="JM116" s="25"/>
      <c r="JN116" s="25"/>
      <c r="JO116" s="25"/>
      <c r="JP116" s="25"/>
      <c r="JQ116" s="25"/>
      <c r="JR116" s="25"/>
      <c r="JS116" s="25"/>
    </row>
    <row r="117" spans="1:279" ht="26.4" x14ac:dyDescent="0.3">
      <c r="A117" s="78">
        <v>5050</v>
      </c>
      <c r="B117" s="78" t="s">
        <v>34</v>
      </c>
      <c r="C117" s="78" t="s">
        <v>394</v>
      </c>
      <c r="D117" s="78" t="s">
        <v>393</v>
      </c>
      <c r="E117" s="79">
        <v>300000</v>
      </c>
      <c r="F117" s="31">
        <v>43711</v>
      </c>
      <c r="G117" s="31">
        <v>44077</v>
      </c>
      <c r="H117" s="26"/>
      <c r="I117" s="26">
        <v>5.9</v>
      </c>
      <c r="J117" s="26">
        <v>4326.6666666666661</v>
      </c>
      <c r="K117" s="26">
        <f t="shared" si="7"/>
        <v>1524.1666666666665</v>
      </c>
      <c r="L117" s="26"/>
      <c r="M117" s="26"/>
      <c r="N117" s="26">
        <f t="shared" si="5"/>
        <v>5850.8333333333321</v>
      </c>
      <c r="O117" s="26">
        <f t="shared" si="8"/>
        <v>1524.1666666666665</v>
      </c>
      <c r="P117" s="26"/>
      <c r="Q117" s="26"/>
      <c r="R117" s="26">
        <f t="shared" si="6"/>
        <v>7374.9999999999982</v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M117" s="25"/>
      <c r="IN117" s="25"/>
      <c r="IO117" s="25"/>
      <c r="IP117" s="25"/>
      <c r="IQ117" s="25"/>
      <c r="IR117" s="25"/>
      <c r="IS117" s="25"/>
      <c r="IT117" s="25"/>
      <c r="IU117" s="25"/>
      <c r="IV117" s="25"/>
      <c r="IW117" s="25"/>
      <c r="IX117" s="25"/>
      <c r="IY117" s="25"/>
      <c r="IZ117" s="25"/>
      <c r="JA117" s="25"/>
      <c r="JB117" s="25"/>
      <c r="JC117" s="25"/>
      <c r="JD117" s="25"/>
      <c r="JE117" s="25"/>
      <c r="JF117" s="25"/>
      <c r="JG117" s="25"/>
      <c r="JH117" s="25"/>
      <c r="JI117" s="25"/>
      <c r="JJ117" s="25"/>
      <c r="JK117" s="25"/>
      <c r="JL117" s="25"/>
      <c r="JM117" s="25"/>
      <c r="JN117" s="25"/>
      <c r="JO117" s="25"/>
      <c r="JP117" s="25"/>
      <c r="JQ117" s="25"/>
      <c r="JR117" s="25"/>
      <c r="JS117" s="25"/>
    </row>
    <row r="118" spans="1:279" ht="26.4" x14ac:dyDescent="0.3">
      <c r="A118" s="78">
        <v>5062</v>
      </c>
      <c r="B118" s="78" t="s">
        <v>390</v>
      </c>
      <c r="C118" s="78" t="s">
        <v>392</v>
      </c>
      <c r="D118" s="78" t="s">
        <v>391</v>
      </c>
      <c r="E118" s="79">
        <v>100000</v>
      </c>
      <c r="F118" s="31">
        <v>43709</v>
      </c>
      <c r="G118" s="31">
        <v>44078</v>
      </c>
      <c r="H118" s="26"/>
      <c r="I118" s="26">
        <v>5.9</v>
      </c>
      <c r="J118" s="26">
        <v>1475</v>
      </c>
      <c r="K118" s="26">
        <f t="shared" si="7"/>
        <v>508.05555555555554</v>
      </c>
      <c r="L118" s="26"/>
      <c r="M118" s="26"/>
      <c r="N118" s="26">
        <f t="shared" si="5"/>
        <v>1983.0555555555557</v>
      </c>
      <c r="O118" s="26">
        <f t="shared" si="8"/>
        <v>508.05555555555554</v>
      </c>
      <c r="P118" s="26"/>
      <c r="Q118" s="26"/>
      <c r="R118" s="26">
        <f t="shared" si="6"/>
        <v>2491.1111111111113</v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  <c r="IX118" s="25"/>
      <c r="IY118" s="25"/>
      <c r="IZ118" s="25"/>
      <c r="JA118" s="25"/>
      <c r="JB118" s="25"/>
      <c r="JC118" s="25"/>
      <c r="JD118" s="25"/>
      <c r="JE118" s="25"/>
      <c r="JF118" s="25"/>
      <c r="JG118" s="25"/>
      <c r="JH118" s="25"/>
      <c r="JI118" s="25"/>
      <c r="JJ118" s="25"/>
      <c r="JK118" s="25"/>
      <c r="JL118" s="25"/>
      <c r="JM118" s="25"/>
      <c r="JN118" s="25"/>
      <c r="JO118" s="25"/>
      <c r="JP118" s="25"/>
      <c r="JQ118" s="25"/>
      <c r="JR118" s="25"/>
      <c r="JS118" s="25"/>
    </row>
    <row r="119" spans="1:279" ht="26.4" x14ac:dyDescent="0.3">
      <c r="A119" s="78">
        <v>5062</v>
      </c>
      <c r="B119" s="78" t="s">
        <v>390</v>
      </c>
      <c r="C119" s="78" t="s">
        <v>389</v>
      </c>
      <c r="D119" s="78" t="s">
        <v>388</v>
      </c>
      <c r="E119" s="79">
        <v>950000</v>
      </c>
      <c r="F119" s="31">
        <v>43709</v>
      </c>
      <c r="G119" s="31">
        <v>44079</v>
      </c>
      <c r="H119" s="26"/>
      <c r="I119" s="26">
        <v>5.9</v>
      </c>
      <c r="J119" s="26">
        <v>14012.500000000002</v>
      </c>
      <c r="K119" s="26">
        <f t="shared" si="7"/>
        <v>4826.5277777777783</v>
      </c>
      <c r="L119" s="26"/>
      <c r="M119" s="26"/>
      <c r="N119" s="26">
        <f t="shared" si="5"/>
        <v>18839.027777777781</v>
      </c>
      <c r="O119" s="26">
        <f t="shared" si="8"/>
        <v>4826.5277777777783</v>
      </c>
      <c r="P119" s="26"/>
      <c r="Q119" s="26"/>
      <c r="R119" s="26">
        <f t="shared" si="6"/>
        <v>23665.555555555558</v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M119" s="25"/>
      <c r="IN119" s="25"/>
      <c r="IO119" s="25"/>
      <c r="IP119" s="25"/>
      <c r="IQ119" s="25"/>
      <c r="IR119" s="25"/>
      <c r="IS119" s="25"/>
      <c r="IT119" s="25"/>
      <c r="IU119" s="25"/>
      <c r="IV119" s="25"/>
      <c r="IW119" s="25"/>
      <c r="IX119" s="25"/>
      <c r="IY119" s="25"/>
      <c r="IZ119" s="25"/>
      <c r="JA119" s="25"/>
      <c r="JB119" s="25"/>
      <c r="JC119" s="25"/>
      <c r="JD119" s="25"/>
      <c r="JE119" s="25"/>
      <c r="JF119" s="25"/>
      <c r="JG119" s="25"/>
      <c r="JH119" s="25"/>
      <c r="JI119" s="25"/>
      <c r="JJ119" s="25"/>
      <c r="JK119" s="25"/>
      <c r="JL119" s="25"/>
      <c r="JM119" s="25"/>
      <c r="JN119" s="25"/>
      <c r="JO119" s="25"/>
      <c r="JP119" s="25"/>
      <c r="JQ119" s="25"/>
      <c r="JR119" s="25"/>
      <c r="JS119" s="25"/>
    </row>
    <row r="120" spans="1:279" ht="26.4" x14ac:dyDescent="0.3">
      <c r="A120" s="78">
        <v>5056</v>
      </c>
      <c r="B120" s="78" t="s">
        <v>47</v>
      </c>
      <c r="C120" s="78" t="s">
        <v>387</v>
      </c>
      <c r="D120" s="78" t="s">
        <v>386</v>
      </c>
      <c r="E120" s="79">
        <v>160000</v>
      </c>
      <c r="F120" s="31">
        <v>43709</v>
      </c>
      <c r="G120" s="31">
        <v>44080</v>
      </c>
      <c r="H120" s="26"/>
      <c r="I120" s="26">
        <v>6.4</v>
      </c>
      <c r="J120" s="26">
        <v>2560</v>
      </c>
      <c r="K120" s="26">
        <f t="shared" si="7"/>
        <v>881.77777777777771</v>
      </c>
      <c r="L120" s="26"/>
      <c r="M120" s="26"/>
      <c r="N120" s="26">
        <f t="shared" si="5"/>
        <v>3441.7777777777778</v>
      </c>
      <c r="O120" s="26">
        <f t="shared" si="8"/>
        <v>881.77777777777771</v>
      </c>
      <c r="P120" s="26"/>
      <c r="Q120" s="26"/>
      <c r="R120" s="26">
        <f t="shared" si="6"/>
        <v>4323.5555555555557</v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25"/>
      <c r="IH120" s="25"/>
      <c r="II120" s="25"/>
      <c r="IJ120" s="25"/>
      <c r="IK120" s="25"/>
      <c r="IL120" s="25"/>
      <c r="IM120" s="25"/>
      <c r="IN120" s="25"/>
      <c r="IO120" s="25"/>
      <c r="IP120" s="25"/>
      <c r="IQ120" s="25"/>
      <c r="IR120" s="25"/>
      <c r="IS120" s="25"/>
      <c r="IT120" s="25"/>
      <c r="IU120" s="25"/>
      <c r="IV120" s="25"/>
      <c r="IW120" s="25"/>
      <c r="IX120" s="25"/>
      <c r="IY120" s="25"/>
      <c r="IZ120" s="25"/>
      <c r="JA120" s="25"/>
      <c r="JB120" s="25"/>
      <c r="JC120" s="25"/>
      <c r="JD120" s="25"/>
      <c r="JE120" s="25"/>
      <c r="JF120" s="25"/>
      <c r="JG120" s="25"/>
      <c r="JH120" s="25"/>
      <c r="JI120" s="25"/>
      <c r="JJ120" s="25"/>
      <c r="JK120" s="25"/>
      <c r="JL120" s="25"/>
      <c r="JM120" s="25"/>
      <c r="JN120" s="25"/>
      <c r="JO120" s="25"/>
      <c r="JP120" s="25"/>
      <c r="JQ120" s="25"/>
      <c r="JR120" s="25"/>
      <c r="JS120" s="25"/>
    </row>
    <row r="121" spans="1:279" ht="26.4" x14ac:dyDescent="0.3">
      <c r="A121" s="78">
        <v>5063</v>
      </c>
      <c r="B121" s="78" t="s">
        <v>77</v>
      </c>
      <c r="C121" s="78" t="s">
        <v>385</v>
      </c>
      <c r="D121" s="78" t="s">
        <v>384</v>
      </c>
      <c r="E121" s="79">
        <v>240000</v>
      </c>
      <c r="F121" s="31">
        <v>43668</v>
      </c>
      <c r="G121" s="31">
        <v>44081</v>
      </c>
      <c r="H121" s="26"/>
      <c r="I121" s="26">
        <v>5.4</v>
      </c>
      <c r="J121" s="26">
        <v>4680.0000000000009</v>
      </c>
      <c r="K121" s="26">
        <f t="shared" si="7"/>
        <v>1116.0000000000002</v>
      </c>
      <c r="L121" s="26"/>
      <c r="M121" s="26"/>
      <c r="N121" s="26">
        <f t="shared" si="5"/>
        <v>5796.0000000000009</v>
      </c>
      <c r="O121" s="26">
        <f t="shared" si="8"/>
        <v>1116.0000000000002</v>
      </c>
      <c r="P121" s="26"/>
      <c r="Q121" s="26"/>
      <c r="R121" s="26">
        <f t="shared" si="6"/>
        <v>6912.0000000000009</v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5"/>
      <c r="IT121" s="25"/>
      <c r="IU121" s="25"/>
      <c r="IV121" s="25"/>
      <c r="IW121" s="25"/>
      <c r="IX121" s="25"/>
      <c r="IY121" s="25"/>
      <c r="IZ121" s="25"/>
      <c r="JA121" s="25"/>
      <c r="JB121" s="25"/>
      <c r="JC121" s="25"/>
      <c r="JD121" s="25"/>
      <c r="JE121" s="25"/>
      <c r="JF121" s="25"/>
      <c r="JG121" s="25"/>
      <c r="JH121" s="25"/>
      <c r="JI121" s="25"/>
      <c r="JJ121" s="25"/>
      <c r="JK121" s="25"/>
      <c r="JL121" s="25"/>
      <c r="JM121" s="25"/>
      <c r="JN121" s="25"/>
      <c r="JO121" s="25"/>
      <c r="JP121" s="25"/>
      <c r="JQ121" s="25"/>
      <c r="JR121" s="25"/>
      <c r="JS121" s="25"/>
    </row>
    <row r="122" spans="1:279" ht="26.4" x14ac:dyDescent="0.3">
      <c r="A122" s="78">
        <v>5057</v>
      </c>
      <c r="B122" s="78" t="s">
        <v>22</v>
      </c>
      <c r="C122" s="78" t="s">
        <v>383</v>
      </c>
      <c r="D122" s="78" t="s">
        <v>382</v>
      </c>
      <c r="E122" s="79">
        <v>600000</v>
      </c>
      <c r="F122" s="31">
        <v>43728</v>
      </c>
      <c r="G122" s="31">
        <v>44082</v>
      </c>
      <c r="H122" s="26"/>
      <c r="I122" s="26">
        <v>6.6</v>
      </c>
      <c r="J122" s="26">
        <v>7810</v>
      </c>
      <c r="K122" s="26">
        <f t="shared" si="7"/>
        <v>3410</v>
      </c>
      <c r="L122" s="26"/>
      <c r="M122" s="26"/>
      <c r="N122" s="26">
        <f t="shared" si="5"/>
        <v>11220</v>
      </c>
      <c r="O122" s="26">
        <f t="shared" si="8"/>
        <v>3410</v>
      </c>
      <c r="P122" s="26"/>
      <c r="Q122" s="26"/>
      <c r="R122" s="26">
        <f t="shared" si="6"/>
        <v>14630</v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  <c r="IX122" s="25"/>
      <c r="IY122" s="25"/>
      <c r="IZ122" s="25"/>
      <c r="JA122" s="25"/>
      <c r="JB122" s="25"/>
      <c r="JC122" s="25"/>
      <c r="JD122" s="25"/>
      <c r="JE122" s="25"/>
      <c r="JF122" s="25"/>
      <c r="JG122" s="25"/>
      <c r="JH122" s="25"/>
      <c r="JI122" s="25"/>
      <c r="JJ122" s="25"/>
      <c r="JK122" s="25"/>
      <c r="JL122" s="25"/>
      <c r="JM122" s="25"/>
      <c r="JN122" s="25"/>
      <c r="JO122" s="25"/>
      <c r="JP122" s="25"/>
      <c r="JQ122" s="25"/>
      <c r="JR122" s="25"/>
      <c r="JS122" s="25"/>
    </row>
    <row r="123" spans="1:279" ht="26.4" x14ac:dyDescent="0.3">
      <c r="A123" s="78">
        <v>5060</v>
      </c>
      <c r="B123" s="78" t="s">
        <v>37</v>
      </c>
      <c r="C123" s="78" t="s">
        <v>381</v>
      </c>
      <c r="D123" s="78" t="s">
        <v>380</v>
      </c>
      <c r="E123" s="79">
        <v>650000</v>
      </c>
      <c r="F123" s="31">
        <v>43710</v>
      </c>
      <c r="G123" s="31">
        <v>44083</v>
      </c>
      <c r="H123" s="26"/>
      <c r="I123" s="26">
        <v>2.9</v>
      </c>
      <c r="J123" s="26">
        <v>4660.1388888888887</v>
      </c>
      <c r="K123" s="26">
        <f t="shared" si="7"/>
        <v>1623.1944444444446</v>
      </c>
      <c r="L123" s="26"/>
      <c r="M123" s="26"/>
      <c r="N123" s="26">
        <f t="shared" si="5"/>
        <v>6283.333333333333</v>
      </c>
      <c r="O123" s="26">
        <f t="shared" si="8"/>
        <v>1623.1944444444446</v>
      </c>
      <c r="P123" s="26"/>
      <c r="Q123" s="26"/>
      <c r="R123" s="26">
        <f t="shared" si="6"/>
        <v>7906.5277777777774</v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5"/>
      <c r="IT123" s="25"/>
      <c r="IU123" s="25"/>
      <c r="IV123" s="25"/>
      <c r="IW123" s="25"/>
      <c r="IX123" s="25"/>
      <c r="IY123" s="25"/>
      <c r="IZ123" s="25"/>
      <c r="JA123" s="25"/>
      <c r="JB123" s="25"/>
      <c r="JC123" s="25"/>
      <c r="JD123" s="25"/>
      <c r="JE123" s="25"/>
      <c r="JF123" s="25"/>
      <c r="JG123" s="25"/>
      <c r="JH123" s="25"/>
      <c r="JI123" s="25"/>
      <c r="JJ123" s="25"/>
      <c r="JK123" s="25"/>
      <c r="JL123" s="25"/>
      <c r="JM123" s="25"/>
      <c r="JN123" s="25"/>
      <c r="JO123" s="25"/>
      <c r="JP123" s="25"/>
      <c r="JQ123" s="25"/>
      <c r="JR123" s="25"/>
      <c r="JS123" s="25"/>
    </row>
    <row r="124" spans="1:279" ht="26.4" x14ac:dyDescent="0.3">
      <c r="A124" s="78">
        <v>5060</v>
      </c>
      <c r="B124" s="78" t="s">
        <v>19</v>
      </c>
      <c r="C124" s="78" t="s">
        <v>379</v>
      </c>
      <c r="D124" s="78" t="s">
        <v>378</v>
      </c>
      <c r="E124" s="79">
        <v>330000</v>
      </c>
      <c r="F124" s="31">
        <v>43732</v>
      </c>
      <c r="G124" s="31">
        <v>44084</v>
      </c>
      <c r="H124" s="26"/>
      <c r="I124" s="26">
        <v>1.9</v>
      </c>
      <c r="J124" s="26">
        <v>1166.9166666666667</v>
      </c>
      <c r="K124" s="26">
        <f t="shared" si="7"/>
        <v>539.91666666666674</v>
      </c>
      <c r="L124" s="26"/>
      <c r="M124" s="26"/>
      <c r="N124" s="26">
        <f t="shared" si="5"/>
        <v>1706.8333333333335</v>
      </c>
      <c r="O124" s="26">
        <f t="shared" si="8"/>
        <v>539.91666666666674</v>
      </c>
      <c r="P124" s="26"/>
      <c r="Q124" s="26"/>
      <c r="R124" s="26">
        <f t="shared" si="6"/>
        <v>2246.75</v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  <c r="IX124" s="25"/>
      <c r="IY124" s="25"/>
      <c r="IZ124" s="25"/>
      <c r="JA124" s="25"/>
      <c r="JB124" s="25"/>
      <c r="JC124" s="25"/>
      <c r="JD124" s="25"/>
      <c r="JE124" s="25"/>
      <c r="JF124" s="25"/>
      <c r="JG124" s="25"/>
      <c r="JH124" s="25"/>
      <c r="JI124" s="25"/>
      <c r="JJ124" s="25"/>
      <c r="JK124" s="25"/>
      <c r="JL124" s="25"/>
      <c r="JM124" s="25"/>
      <c r="JN124" s="25"/>
      <c r="JO124" s="25"/>
      <c r="JP124" s="25"/>
      <c r="JQ124" s="25"/>
      <c r="JR124" s="25"/>
      <c r="JS124" s="25"/>
    </row>
    <row r="125" spans="1:279" ht="26.4" x14ac:dyDescent="0.3">
      <c r="A125" s="78">
        <v>5063</v>
      </c>
      <c r="B125" s="78" t="s">
        <v>13</v>
      </c>
      <c r="C125" s="78" t="s">
        <v>377</v>
      </c>
      <c r="D125" s="78" t="s">
        <v>376</v>
      </c>
      <c r="E125" s="79">
        <v>50000</v>
      </c>
      <c r="F125" s="31">
        <v>43733</v>
      </c>
      <c r="G125" s="31">
        <v>44085</v>
      </c>
      <c r="H125" s="26"/>
      <c r="I125" s="26">
        <v>4.6500000000000004</v>
      </c>
      <c r="J125" s="26">
        <v>426.25000000000011</v>
      </c>
      <c r="K125" s="26">
        <f t="shared" si="7"/>
        <v>200.20833333333337</v>
      </c>
      <c r="L125" s="26"/>
      <c r="M125" s="26"/>
      <c r="N125" s="26">
        <f t="shared" si="5"/>
        <v>626.45833333333348</v>
      </c>
      <c r="O125" s="26">
        <f t="shared" si="8"/>
        <v>200.20833333333337</v>
      </c>
      <c r="P125" s="26"/>
      <c r="Q125" s="26"/>
      <c r="R125" s="26">
        <f t="shared" si="6"/>
        <v>826.66666666666686</v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5"/>
      <c r="IT125" s="25"/>
      <c r="IU125" s="25"/>
      <c r="IV125" s="25"/>
      <c r="IW125" s="25"/>
      <c r="IX125" s="25"/>
      <c r="IY125" s="25"/>
      <c r="IZ125" s="25"/>
      <c r="JA125" s="25"/>
      <c r="JB125" s="25"/>
      <c r="JC125" s="25"/>
      <c r="JD125" s="25"/>
      <c r="JE125" s="25"/>
      <c r="JF125" s="25"/>
      <c r="JG125" s="25"/>
      <c r="JH125" s="25"/>
      <c r="JI125" s="25"/>
      <c r="JJ125" s="25"/>
      <c r="JK125" s="25"/>
      <c r="JL125" s="25"/>
      <c r="JM125" s="25"/>
      <c r="JN125" s="25"/>
      <c r="JO125" s="25"/>
      <c r="JP125" s="25"/>
      <c r="JQ125" s="25"/>
      <c r="JR125" s="25"/>
      <c r="JS125" s="25"/>
    </row>
    <row r="126" spans="1:279" ht="26.4" x14ac:dyDescent="0.3">
      <c r="A126" s="78">
        <v>5063</v>
      </c>
      <c r="B126" s="78" t="s">
        <v>13</v>
      </c>
      <c r="C126" s="78" t="s">
        <v>375</v>
      </c>
      <c r="D126" s="78" t="s">
        <v>374</v>
      </c>
      <c r="E126" s="79">
        <v>200000</v>
      </c>
      <c r="F126" s="31">
        <v>43735</v>
      </c>
      <c r="G126" s="31">
        <v>44086</v>
      </c>
      <c r="H126" s="26"/>
      <c r="I126" s="26">
        <v>8.9</v>
      </c>
      <c r="J126" s="26">
        <v>3164.4444444444453</v>
      </c>
      <c r="K126" s="26">
        <f t="shared" si="7"/>
        <v>1532.7777777777783</v>
      </c>
      <c r="L126" s="26"/>
      <c r="M126" s="26"/>
      <c r="N126" s="26">
        <f t="shared" si="5"/>
        <v>4697.2222222222235</v>
      </c>
      <c r="O126" s="26">
        <f t="shared" si="8"/>
        <v>1532.7777777777783</v>
      </c>
      <c r="P126" s="26"/>
      <c r="Q126" s="26"/>
      <c r="R126" s="26">
        <f t="shared" si="6"/>
        <v>6230.0000000000018</v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  <c r="IX126" s="25"/>
      <c r="IY126" s="25"/>
      <c r="IZ126" s="25"/>
      <c r="JA126" s="25"/>
      <c r="JB126" s="25"/>
      <c r="JC126" s="25"/>
      <c r="JD126" s="25"/>
      <c r="JE126" s="25"/>
      <c r="JF126" s="25"/>
      <c r="JG126" s="25"/>
      <c r="JH126" s="25"/>
      <c r="JI126" s="25"/>
      <c r="JJ126" s="25"/>
      <c r="JK126" s="25"/>
      <c r="JL126" s="25"/>
      <c r="JM126" s="25"/>
      <c r="JN126" s="25"/>
      <c r="JO126" s="25"/>
      <c r="JP126" s="25"/>
      <c r="JQ126" s="25"/>
      <c r="JR126" s="25"/>
      <c r="JS126" s="25"/>
    </row>
    <row r="127" spans="1:279" ht="26.4" x14ac:dyDescent="0.3">
      <c r="A127" s="78">
        <v>5057</v>
      </c>
      <c r="B127" s="78" t="s">
        <v>74</v>
      </c>
      <c r="C127" s="78" t="s">
        <v>373</v>
      </c>
      <c r="D127" s="78" t="s">
        <v>372</v>
      </c>
      <c r="E127" s="79">
        <v>170000</v>
      </c>
      <c r="F127" s="31">
        <v>43739</v>
      </c>
      <c r="G127" s="31">
        <v>44105</v>
      </c>
      <c r="H127" s="26"/>
      <c r="I127" s="26">
        <v>3.4</v>
      </c>
      <c r="J127" s="26">
        <v>963.33333333333348</v>
      </c>
      <c r="K127" s="26">
        <f t="shared" si="7"/>
        <v>497.72222222222229</v>
      </c>
      <c r="L127" s="26"/>
      <c r="M127" s="26"/>
      <c r="N127" s="26">
        <f t="shared" si="5"/>
        <v>1461.0555555555557</v>
      </c>
      <c r="O127" s="26">
        <f t="shared" si="8"/>
        <v>497.72222222222229</v>
      </c>
      <c r="P127" s="26"/>
      <c r="Q127" s="26"/>
      <c r="R127" s="26">
        <f t="shared" si="6"/>
        <v>1958.7777777777778</v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5"/>
      <c r="IT127" s="25"/>
      <c r="IU127" s="25"/>
      <c r="IV127" s="25"/>
      <c r="IW127" s="25"/>
      <c r="IX127" s="25"/>
      <c r="IY127" s="25"/>
      <c r="IZ127" s="25"/>
      <c r="JA127" s="25"/>
      <c r="JB127" s="25"/>
      <c r="JC127" s="25"/>
      <c r="JD127" s="25"/>
      <c r="JE127" s="25"/>
      <c r="JF127" s="25"/>
      <c r="JG127" s="25"/>
      <c r="JH127" s="25"/>
      <c r="JI127" s="25"/>
      <c r="JJ127" s="25"/>
      <c r="JK127" s="25"/>
      <c r="JL127" s="25"/>
      <c r="JM127" s="25"/>
      <c r="JN127" s="25"/>
      <c r="JO127" s="25"/>
      <c r="JP127" s="25"/>
      <c r="JQ127" s="25"/>
      <c r="JR127" s="25"/>
      <c r="JS127" s="25"/>
    </row>
    <row r="128" spans="1:279" ht="26.4" x14ac:dyDescent="0.3">
      <c r="A128" s="78">
        <v>5063</v>
      </c>
      <c r="B128" s="78" t="s">
        <v>25</v>
      </c>
      <c r="C128" s="78" t="s">
        <v>371</v>
      </c>
      <c r="D128" s="78" t="s">
        <v>370</v>
      </c>
      <c r="E128" s="79">
        <v>188000</v>
      </c>
      <c r="F128" s="31">
        <v>43739</v>
      </c>
      <c r="G128" s="31">
        <v>44105</v>
      </c>
      <c r="H128" s="26"/>
      <c r="I128" s="26">
        <v>4.4000000000000004</v>
      </c>
      <c r="J128" s="26">
        <v>1378.6666666666667</v>
      </c>
      <c r="K128" s="26">
        <f t="shared" si="7"/>
        <v>712.31111111111113</v>
      </c>
      <c r="L128" s="26"/>
      <c r="M128" s="26"/>
      <c r="N128" s="26">
        <f t="shared" si="5"/>
        <v>2090.9777777777781</v>
      </c>
      <c r="O128" s="26">
        <f t="shared" si="8"/>
        <v>712.31111111111113</v>
      </c>
      <c r="P128" s="26"/>
      <c r="Q128" s="26"/>
      <c r="R128" s="26">
        <f t="shared" si="6"/>
        <v>2803.2888888888892</v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A128" s="25"/>
      <c r="JB128" s="25"/>
      <c r="JC128" s="25"/>
      <c r="JD128" s="25"/>
      <c r="JE128" s="25"/>
      <c r="JF128" s="25"/>
      <c r="JG128" s="25"/>
      <c r="JH128" s="25"/>
      <c r="JI128" s="25"/>
      <c r="JJ128" s="25"/>
      <c r="JK128" s="25"/>
      <c r="JL128" s="25"/>
      <c r="JM128" s="25"/>
      <c r="JN128" s="25"/>
      <c r="JO128" s="25"/>
      <c r="JP128" s="25"/>
      <c r="JQ128" s="25"/>
      <c r="JR128" s="25"/>
      <c r="JS128" s="25"/>
    </row>
    <row r="129" spans="1:279" ht="26.4" x14ac:dyDescent="0.3">
      <c r="A129" s="78">
        <v>5005</v>
      </c>
      <c r="B129" s="78" t="s">
        <v>10</v>
      </c>
      <c r="C129" s="78" t="s">
        <v>369</v>
      </c>
      <c r="D129" s="78" t="s">
        <v>368</v>
      </c>
      <c r="E129" s="79">
        <v>300000</v>
      </c>
      <c r="F129" s="31">
        <v>43739</v>
      </c>
      <c r="G129" s="31">
        <v>44105</v>
      </c>
      <c r="H129" s="26"/>
      <c r="I129" s="26">
        <v>0.4</v>
      </c>
      <c r="J129" s="26">
        <v>200</v>
      </c>
      <c r="K129" s="26">
        <f t="shared" si="7"/>
        <v>103.33333333333334</v>
      </c>
      <c r="L129" s="26"/>
      <c r="M129" s="26"/>
      <c r="N129" s="26">
        <f t="shared" si="5"/>
        <v>303.33333333333337</v>
      </c>
      <c r="O129" s="26">
        <f t="shared" si="8"/>
        <v>103.33333333333334</v>
      </c>
      <c r="P129" s="26"/>
      <c r="Q129" s="26"/>
      <c r="R129" s="26">
        <f t="shared" si="6"/>
        <v>406.66666666666674</v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5"/>
      <c r="IT129" s="25"/>
      <c r="IU129" s="25"/>
      <c r="IV129" s="25"/>
      <c r="IW129" s="25"/>
      <c r="IX129" s="25"/>
      <c r="IY129" s="25"/>
      <c r="IZ129" s="25"/>
      <c r="JA129" s="25"/>
      <c r="JB129" s="25"/>
      <c r="JC129" s="25"/>
      <c r="JD129" s="25"/>
      <c r="JE129" s="25"/>
      <c r="JF129" s="25"/>
      <c r="JG129" s="25"/>
      <c r="JH129" s="25"/>
      <c r="JI129" s="25"/>
      <c r="JJ129" s="25"/>
      <c r="JK129" s="25"/>
      <c r="JL129" s="25"/>
      <c r="JM129" s="25"/>
      <c r="JN129" s="25"/>
      <c r="JO129" s="25"/>
      <c r="JP129" s="25"/>
      <c r="JQ129" s="25"/>
      <c r="JR129" s="25"/>
      <c r="JS129" s="25"/>
    </row>
    <row r="130" spans="1:279" ht="26.4" x14ac:dyDescent="0.3">
      <c r="A130" s="78">
        <v>5063</v>
      </c>
      <c r="B130" s="78" t="s">
        <v>77</v>
      </c>
      <c r="C130" s="78" t="s">
        <v>367</v>
      </c>
      <c r="D130" s="78" t="s">
        <v>366</v>
      </c>
      <c r="E130" s="79">
        <v>50000</v>
      </c>
      <c r="F130" s="31">
        <v>43745</v>
      </c>
      <c r="G130" s="31">
        <v>44111</v>
      </c>
      <c r="H130" s="26"/>
      <c r="I130" s="26">
        <v>5.4</v>
      </c>
      <c r="J130" s="26">
        <v>450.00000000000006</v>
      </c>
      <c r="K130" s="26">
        <f t="shared" si="7"/>
        <v>232.50000000000003</v>
      </c>
      <c r="L130" s="26"/>
      <c r="M130" s="26"/>
      <c r="N130" s="26">
        <f t="shared" si="5"/>
        <v>682.50000000000011</v>
      </c>
      <c r="O130" s="26">
        <f t="shared" si="8"/>
        <v>232.50000000000003</v>
      </c>
      <c r="P130" s="26"/>
      <c r="Q130" s="26"/>
      <c r="R130" s="26">
        <f t="shared" si="6"/>
        <v>915.00000000000011</v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  <c r="IX130" s="25"/>
      <c r="IY130" s="25"/>
      <c r="IZ130" s="25"/>
      <c r="JA130" s="25"/>
      <c r="JB130" s="25"/>
      <c r="JC130" s="25"/>
      <c r="JD130" s="25"/>
      <c r="JE130" s="25"/>
      <c r="JF130" s="25"/>
      <c r="JG130" s="25"/>
      <c r="JH130" s="25"/>
      <c r="JI130" s="25"/>
      <c r="JJ130" s="25"/>
      <c r="JK130" s="25"/>
      <c r="JL130" s="25"/>
      <c r="JM130" s="25"/>
      <c r="JN130" s="25"/>
      <c r="JO130" s="25"/>
      <c r="JP130" s="25"/>
      <c r="JQ130" s="25"/>
      <c r="JR130" s="25"/>
      <c r="JS130" s="25"/>
    </row>
    <row r="131" spans="1:279" ht="26.4" x14ac:dyDescent="0.3">
      <c r="A131" s="78">
        <v>5060</v>
      </c>
      <c r="B131" s="78" t="s">
        <v>16</v>
      </c>
      <c r="C131" s="78" t="s">
        <v>365</v>
      </c>
      <c r="D131" s="78" t="s">
        <v>364</v>
      </c>
      <c r="E131" s="79">
        <v>25000</v>
      </c>
      <c r="F131" s="31">
        <v>43748</v>
      </c>
      <c r="G131" s="31">
        <v>44114</v>
      </c>
      <c r="H131" s="26"/>
      <c r="I131" s="26">
        <v>1.9</v>
      </c>
      <c r="J131" s="26">
        <v>67.291666666666671</v>
      </c>
      <c r="K131" s="26">
        <f t="shared" si="7"/>
        <v>40.902777777777779</v>
      </c>
      <c r="L131" s="26"/>
      <c r="M131" s="26"/>
      <c r="N131" s="26">
        <f t="shared" si="5"/>
        <v>108.19444444444446</v>
      </c>
      <c r="O131" s="26">
        <f t="shared" si="8"/>
        <v>40.902777777777779</v>
      </c>
      <c r="P131" s="26"/>
      <c r="Q131" s="26"/>
      <c r="R131" s="26">
        <f t="shared" si="6"/>
        <v>149.09722222222223</v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5"/>
      <c r="IT131" s="25"/>
      <c r="IU131" s="25"/>
      <c r="IV131" s="25"/>
      <c r="IW131" s="25"/>
      <c r="IX131" s="25"/>
      <c r="IY131" s="25"/>
      <c r="IZ131" s="25"/>
      <c r="JA131" s="25"/>
      <c r="JB131" s="25"/>
      <c r="JC131" s="25"/>
      <c r="JD131" s="25"/>
      <c r="JE131" s="25"/>
      <c r="JF131" s="25"/>
      <c r="JG131" s="25"/>
      <c r="JH131" s="25"/>
      <c r="JI131" s="25"/>
      <c r="JJ131" s="25"/>
      <c r="JK131" s="25"/>
      <c r="JL131" s="25"/>
      <c r="JM131" s="25"/>
      <c r="JN131" s="25"/>
      <c r="JO131" s="25"/>
      <c r="JP131" s="25"/>
      <c r="JQ131" s="25"/>
      <c r="JR131" s="25"/>
      <c r="JS131" s="25"/>
    </row>
    <row r="132" spans="1:279" ht="26.4" x14ac:dyDescent="0.3">
      <c r="A132" s="78">
        <v>5060</v>
      </c>
      <c r="B132" s="78" t="s">
        <v>19</v>
      </c>
      <c r="C132" s="78" t="s">
        <v>363</v>
      </c>
      <c r="D132" s="78" t="s">
        <v>362</v>
      </c>
      <c r="E132" s="79">
        <v>25000</v>
      </c>
      <c r="F132" s="31">
        <v>43748</v>
      </c>
      <c r="G132" s="31">
        <v>44114</v>
      </c>
      <c r="H132" s="26"/>
      <c r="I132" s="26">
        <v>1.9</v>
      </c>
      <c r="J132" s="26">
        <v>67.291666666666671</v>
      </c>
      <c r="K132" s="26">
        <f t="shared" si="7"/>
        <v>40.902777777777779</v>
      </c>
      <c r="L132" s="26"/>
      <c r="M132" s="26"/>
      <c r="N132" s="26">
        <f t="shared" si="5"/>
        <v>108.19444444444446</v>
      </c>
      <c r="O132" s="26">
        <f t="shared" si="8"/>
        <v>40.902777777777779</v>
      </c>
      <c r="P132" s="26"/>
      <c r="Q132" s="26"/>
      <c r="R132" s="26">
        <f t="shared" si="6"/>
        <v>149.09722222222223</v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  <c r="IX132" s="25"/>
      <c r="IY132" s="25"/>
      <c r="IZ132" s="25"/>
      <c r="JA132" s="25"/>
      <c r="JB132" s="25"/>
      <c r="JC132" s="25"/>
      <c r="JD132" s="25"/>
      <c r="JE132" s="25"/>
      <c r="JF132" s="25"/>
      <c r="JG132" s="25"/>
      <c r="JH132" s="25"/>
      <c r="JI132" s="25"/>
      <c r="JJ132" s="25"/>
      <c r="JK132" s="25"/>
      <c r="JL132" s="25"/>
      <c r="JM132" s="25"/>
      <c r="JN132" s="25"/>
      <c r="JO132" s="25"/>
      <c r="JP132" s="25"/>
      <c r="JQ132" s="25"/>
      <c r="JR132" s="25"/>
      <c r="JS132" s="25"/>
    </row>
    <row r="133" spans="1:279" ht="26.4" x14ac:dyDescent="0.3">
      <c r="A133" s="78">
        <v>5031</v>
      </c>
      <c r="B133" s="78" t="s">
        <v>329</v>
      </c>
      <c r="C133" s="78" t="s">
        <v>361</v>
      </c>
      <c r="D133" s="78" t="s">
        <v>360</v>
      </c>
      <c r="E133" s="79">
        <v>750000</v>
      </c>
      <c r="F133" s="31">
        <v>43748</v>
      </c>
      <c r="G133" s="31">
        <v>44114</v>
      </c>
      <c r="H133" s="26"/>
      <c r="I133" s="26">
        <v>5.5</v>
      </c>
      <c r="J133" s="26">
        <v>5843.75</v>
      </c>
      <c r="K133" s="26">
        <f t="shared" si="7"/>
        <v>3552.083333333333</v>
      </c>
      <c r="L133" s="26"/>
      <c r="M133" s="26"/>
      <c r="N133" s="26">
        <f t="shared" si="5"/>
        <v>9395.8333333333321</v>
      </c>
      <c r="O133" s="26">
        <f t="shared" si="8"/>
        <v>3552.083333333333</v>
      </c>
      <c r="P133" s="26"/>
      <c r="Q133" s="26"/>
      <c r="R133" s="26">
        <f t="shared" si="6"/>
        <v>12947.916666666664</v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5"/>
      <c r="IT133" s="25"/>
      <c r="IU133" s="25"/>
      <c r="IV133" s="25"/>
      <c r="IW133" s="25"/>
      <c r="IX133" s="25"/>
      <c r="IY133" s="25"/>
      <c r="IZ133" s="25"/>
      <c r="JA133" s="25"/>
      <c r="JB133" s="25"/>
      <c r="JC133" s="25"/>
      <c r="JD133" s="25"/>
      <c r="JE133" s="25"/>
      <c r="JF133" s="25"/>
      <c r="JG133" s="25"/>
      <c r="JH133" s="25"/>
      <c r="JI133" s="25"/>
      <c r="JJ133" s="25"/>
      <c r="JK133" s="25"/>
      <c r="JL133" s="25"/>
      <c r="JM133" s="25"/>
      <c r="JN133" s="25"/>
      <c r="JO133" s="25"/>
      <c r="JP133" s="25"/>
      <c r="JQ133" s="25"/>
      <c r="JR133" s="25"/>
      <c r="JS133" s="25"/>
    </row>
    <row r="134" spans="1:279" ht="26.4" x14ac:dyDescent="0.3">
      <c r="A134" s="78">
        <v>5062</v>
      </c>
      <c r="B134" s="78" t="s">
        <v>359</v>
      </c>
      <c r="C134" s="78" t="s">
        <v>358</v>
      </c>
      <c r="D134" s="78" t="s">
        <v>357</v>
      </c>
      <c r="E134" s="79">
        <v>200000</v>
      </c>
      <c r="F134" s="31">
        <v>43750</v>
      </c>
      <c r="G134" s="31">
        <v>44116</v>
      </c>
      <c r="H134" s="26"/>
      <c r="I134" s="26">
        <v>6.4</v>
      </c>
      <c r="J134" s="26">
        <v>1742.2222222222222</v>
      </c>
      <c r="K134" s="26">
        <f t="shared" si="7"/>
        <v>1102.2222222222222</v>
      </c>
      <c r="L134" s="26"/>
      <c r="M134" s="26"/>
      <c r="N134" s="26">
        <f t="shared" ref="N134:N179" si="9">+J134+K134+L134+M134</f>
        <v>2844.4444444444443</v>
      </c>
      <c r="O134" s="26">
        <f t="shared" si="8"/>
        <v>1102.2222222222222</v>
      </c>
      <c r="P134" s="26"/>
      <c r="Q134" s="26"/>
      <c r="R134" s="26">
        <f t="shared" ref="R134:R179" si="10">+N134+O134+P134+Q134</f>
        <v>3946.6666666666665</v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  <c r="IX134" s="25"/>
      <c r="IY134" s="25"/>
      <c r="IZ134" s="25"/>
      <c r="JA134" s="25"/>
      <c r="JB134" s="25"/>
      <c r="JC134" s="25"/>
      <c r="JD134" s="25"/>
      <c r="JE134" s="25"/>
      <c r="JF134" s="25"/>
      <c r="JG134" s="25"/>
      <c r="JH134" s="25"/>
      <c r="JI134" s="25"/>
      <c r="JJ134" s="25"/>
      <c r="JK134" s="25"/>
      <c r="JL134" s="25"/>
      <c r="JM134" s="25"/>
      <c r="JN134" s="25"/>
      <c r="JO134" s="25"/>
      <c r="JP134" s="25"/>
      <c r="JQ134" s="25"/>
      <c r="JR134" s="25"/>
      <c r="JS134" s="25"/>
    </row>
    <row r="135" spans="1:279" ht="26.4" x14ac:dyDescent="0.3">
      <c r="A135" s="78">
        <v>5057</v>
      </c>
      <c r="B135" s="78" t="s">
        <v>74</v>
      </c>
      <c r="C135" s="78" t="s">
        <v>356</v>
      </c>
      <c r="D135" s="78" t="s">
        <v>355</v>
      </c>
      <c r="E135" s="79">
        <v>134000</v>
      </c>
      <c r="F135" s="31">
        <v>43763</v>
      </c>
      <c r="G135" s="31">
        <v>44129</v>
      </c>
      <c r="H135" s="26"/>
      <c r="I135" s="26">
        <v>3.4</v>
      </c>
      <c r="J135" s="26">
        <v>455.59999999999997</v>
      </c>
      <c r="K135" s="26">
        <f t="shared" si="7"/>
        <v>392.32222222222219</v>
      </c>
      <c r="L135" s="26"/>
      <c r="M135" s="26"/>
      <c r="N135" s="26">
        <f t="shared" si="9"/>
        <v>847.92222222222222</v>
      </c>
      <c r="O135" s="26">
        <f t="shared" si="8"/>
        <v>392.32222222222219</v>
      </c>
      <c r="P135" s="26"/>
      <c r="Q135" s="26"/>
      <c r="R135" s="26">
        <f t="shared" si="10"/>
        <v>1240.2444444444445</v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  <c r="IK135" s="25"/>
      <c r="IL135" s="25"/>
      <c r="IM135" s="25"/>
      <c r="IN135" s="25"/>
      <c r="IO135" s="25"/>
      <c r="IP135" s="25"/>
      <c r="IQ135" s="25"/>
      <c r="IR135" s="25"/>
      <c r="IS135" s="25"/>
      <c r="IT135" s="25"/>
      <c r="IU135" s="25"/>
      <c r="IV135" s="25"/>
      <c r="IW135" s="25"/>
      <c r="IX135" s="25"/>
      <c r="IY135" s="25"/>
      <c r="IZ135" s="25"/>
      <c r="JA135" s="25"/>
      <c r="JB135" s="25"/>
      <c r="JC135" s="25"/>
      <c r="JD135" s="25"/>
      <c r="JE135" s="25"/>
      <c r="JF135" s="25"/>
      <c r="JG135" s="25"/>
      <c r="JH135" s="25"/>
      <c r="JI135" s="25"/>
      <c r="JJ135" s="25"/>
      <c r="JK135" s="25"/>
      <c r="JL135" s="25"/>
      <c r="JM135" s="25"/>
      <c r="JN135" s="25"/>
      <c r="JO135" s="25"/>
      <c r="JP135" s="25"/>
      <c r="JQ135" s="25"/>
      <c r="JR135" s="25"/>
      <c r="JS135" s="25"/>
    </row>
    <row r="136" spans="1:279" ht="26.4" x14ac:dyDescent="0.3">
      <c r="A136" s="78">
        <v>5057</v>
      </c>
      <c r="B136" s="78" t="s">
        <v>74</v>
      </c>
      <c r="C136" s="78" t="s">
        <v>354</v>
      </c>
      <c r="D136" s="78" t="s">
        <v>353</v>
      </c>
      <c r="E136" s="79">
        <v>118000</v>
      </c>
      <c r="F136" s="31">
        <v>43768</v>
      </c>
      <c r="G136" s="31">
        <v>44134</v>
      </c>
      <c r="H136" s="26"/>
      <c r="I136" s="26">
        <v>3.4</v>
      </c>
      <c r="J136" s="26">
        <v>345.47777777777782</v>
      </c>
      <c r="K136" s="26">
        <f t="shared" si="7"/>
        <v>345.47777777777782</v>
      </c>
      <c r="L136" s="26"/>
      <c r="M136" s="26"/>
      <c r="N136" s="26">
        <f t="shared" si="9"/>
        <v>690.95555555555563</v>
      </c>
      <c r="O136" s="26">
        <f t="shared" si="8"/>
        <v>345.47777777777782</v>
      </c>
      <c r="P136" s="26"/>
      <c r="Q136" s="26"/>
      <c r="R136" s="26">
        <f t="shared" si="10"/>
        <v>1036.4333333333334</v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A136" s="25"/>
      <c r="JB136" s="25"/>
      <c r="JC136" s="25"/>
      <c r="JD136" s="25"/>
      <c r="JE136" s="25"/>
      <c r="JF136" s="25"/>
      <c r="JG136" s="25"/>
      <c r="JH136" s="25"/>
      <c r="JI136" s="25"/>
      <c r="JJ136" s="25"/>
      <c r="JK136" s="25"/>
      <c r="JL136" s="25"/>
      <c r="JM136" s="25"/>
      <c r="JN136" s="25"/>
      <c r="JO136" s="25"/>
      <c r="JP136" s="25"/>
      <c r="JQ136" s="25"/>
      <c r="JR136" s="25"/>
      <c r="JS136" s="25"/>
    </row>
    <row r="137" spans="1:279" ht="26.4" x14ac:dyDescent="0.3">
      <c r="A137" s="78">
        <v>5063</v>
      </c>
      <c r="B137" s="78" t="s">
        <v>77</v>
      </c>
      <c r="C137" s="78" t="s">
        <v>352</v>
      </c>
      <c r="D137" s="78" t="s">
        <v>351</v>
      </c>
      <c r="E137" s="79">
        <v>120000</v>
      </c>
      <c r="F137" s="31">
        <v>43768</v>
      </c>
      <c r="G137" s="31">
        <v>44134</v>
      </c>
      <c r="H137" s="26"/>
      <c r="I137" s="26">
        <v>5.4</v>
      </c>
      <c r="J137" s="26">
        <v>558.00000000000011</v>
      </c>
      <c r="K137" s="26">
        <f t="shared" si="7"/>
        <v>558.00000000000011</v>
      </c>
      <c r="L137" s="26"/>
      <c r="M137" s="26"/>
      <c r="N137" s="26">
        <f t="shared" si="9"/>
        <v>1116.0000000000002</v>
      </c>
      <c r="O137" s="26">
        <f t="shared" si="8"/>
        <v>558.00000000000011</v>
      </c>
      <c r="P137" s="26"/>
      <c r="Q137" s="26"/>
      <c r="R137" s="26">
        <f t="shared" si="10"/>
        <v>1674.0000000000005</v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  <c r="IK137" s="25"/>
      <c r="IL137" s="25"/>
      <c r="IM137" s="25"/>
      <c r="IN137" s="25"/>
      <c r="IO137" s="25"/>
      <c r="IP137" s="25"/>
      <c r="IQ137" s="25"/>
      <c r="IR137" s="25"/>
      <c r="IS137" s="25"/>
      <c r="IT137" s="25"/>
      <c r="IU137" s="25"/>
      <c r="IV137" s="25"/>
      <c r="IW137" s="25"/>
      <c r="IX137" s="25"/>
      <c r="IY137" s="25"/>
      <c r="IZ137" s="25"/>
      <c r="JA137" s="25"/>
      <c r="JB137" s="25"/>
      <c r="JC137" s="25"/>
      <c r="JD137" s="25"/>
      <c r="JE137" s="25"/>
      <c r="JF137" s="25"/>
      <c r="JG137" s="25"/>
      <c r="JH137" s="25"/>
      <c r="JI137" s="25"/>
      <c r="JJ137" s="25"/>
      <c r="JK137" s="25"/>
      <c r="JL137" s="25"/>
      <c r="JM137" s="25"/>
      <c r="JN137" s="25"/>
      <c r="JO137" s="25"/>
      <c r="JP137" s="25"/>
      <c r="JQ137" s="25"/>
      <c r="JR137" s="25"/>
      <c r="JS137" s="25"/>
    </row>
    <row r="138" spans="1:279" ht="26.4" x14ac:dyDescent="0.3">
      <c r="A138" s="78">
        <v>5005</v>
      </c>
      <c r="B138" s="78" t="s">
        <v>10</v>
      </c>
      <c r="C138" s="78" t="s">
        <v>350</v>
      </c>
      <c r="D138" s="78" t="s">
        <v>349</v>
      </c>
      <c r="E138" s="79">
        <v>1030000</v>
      </c>
      <c r="F138" s="31">
        <v>43775</v>
      </c>
      <c r="G138" s="31">
        <v>44099</v>
      </c>
      <c r="H138" s="26"/>
      <c r="I138" s="26">
        <v>0.4</v>
      </c>
      <c r="J138" s="26">
        <v>755.33333333333337</v>
      </c>
      <c r="K138" s="26">
        <f t="shared" si="7"/>
        <v>354.77777777777777</v>
      </c>
      <c r="L138" s="26"/>
      <c r="M138" s="26"/>
      <c r="N138" s="26">
        <f t="shared" si="9"/>
        <v>1110.1111111111111</v>
      </c>
      <c r="O138" s="26">
        <f t="shared" si="8"/>
        <v>354.77777777777777</v>
      </c>
      <c r="P138" s="26"/>
      <c r="Q138" s="26"/>
      <c r="R138" s="26">
        <f t="shared" si="10"/>
        <v>1464.8888888888889</v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  <c r="IX138" s="25"/>
      <c r="IY138" s="25"/>
      <c r="IZ138" s="25"/>
      <c r="JA138" s="25"/>
      <c r="JB138" s="25"/>
      <c r="JC138" s="25"/>
      <c r="JD138" s="25"/>
      <c r="JE138" s="25"/>
      <c r="JF138" s="25"/>
      <c r="JG138" s="25"/>
      <c r="JH138" s="25"/>
      <c r="JI138" s="25"/>
      <c r="JJ138" s="25"/>
      <c r="JK138" s="25"/>
      <c r="JL138" s="25"/>
      <c r="JM138" s="25"/>
      <c r="JN138" s="25"/>
      <c r="JO138" s="25"/>
      <c r="JP138" s="25"/>
      <c r="JQ138" s="25"/>
      <c r="JR138" s="25"/>
      <c r="JS138" s="25"/>
    </row>
    <row r="139" spans="1:279" ht="26.4" x14ac:dyDescent="0.3">
      <c r="A139" s="78">
        <v>5004</v>
      </c>
      <c r="B139" s="78" t="s">
        <v>336</v>
      </c>
      <c r="C139" s="78" t="s">
        <v>348</v>
      </c>
      <c r="D139" s="78" t="s">
        <v>347</v>
      </c>
      <c r="E139" s="79">
        <v>38000</v>
      </c>
      <c r="F139" s="31">
        <v>43774</v>
      </c>
      <c r="G139" s="31">
        <v>44140</v>
      </c>
      <c r="H139" s="26"/>
      <c r="I139" s="26">
        <v>5.9</v>
      </c>
      <c r="J139" s="26">
        <v>155.69444444444446</v>
      </c>
      <c r="K139" s="26">
        <f t="shared" si="7"/>
        <v>193.0611111111111</v>
      </c>
      <c r="L139" s="26"/>
      <c r="M139" s="26"/>
      <c r="N139" s="26">
        <f t="shared" si="9"/>
        <v>348.75555555555559</v>
      </c>
      <c r="O139" s="26">
        <f t="shared" si="8"/>
        <v>193.0611111111111</v>
      </c>
      <c r="P139" s="26"/>
      <c r="Q139" s="26"/>
      <c r="R139" s="26">
        <f t="shared" si="10"/>
        <v>541.81666666666672</v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  <c r="IK139" s="25"/>
      <c r="IL139" s="25"/>
      <c r="IM139" s="25"/>
      <c r="IN139" s="25"/>
      <c r="IO139" s="25"/>
      <c r="IP139" s="25"/>
      <c r="IQ139" s="25"/>
      <c r="IR139" s="25"/>
      <c r="IS139" s="25"/>
      <c r="IT139" s="25"/>
      <c r="IU139" s="25"/>
      <c r="IV139" s="25"/>
      <c r="IW139" s="25"/>
      <c r="IX139" s="25"/>
      <c r="IY139" s="25"/>
      <c r="IZ139" s="25"/>
      <c r="JA139" s="25"/>
      <c r="JB139" s="25"/>
      <c r="JC139" s="25"/>
      <c r="JD139" s="25"/>
      <c r="JE139" s="25"/>
      <c r="JF139" s="25"/>
      <c r="JG139" s="25"/>
      <c r="JH139" s="25"/>
      <c r="JI139" s="25"/>
      <c r="JJ139" s="25"/>
      <c r="JK139" s="25"/>
      <c r="JL139" s="25"/>
      <c r="JM139" s="25"/>
      <c r="JN139" s="25"/>
      <c r="JO139" s="25"/>
      <c r="JP139" s="25"/>
      <c r="JQ139" s="25"/>
      <c r="JR139" s="25"/>
      <c r="JS139" s="25"/>
    </row>
    <row r="140" spans="1:279" ht="26.4" x14ac:dyDescent="0.3">
      <c r="A140" s="78">
        <v>5063</v>
      </c>
      <c r="B140" s="78" t="s">
        <v>77</v>
      </c>
      <c r="C140" s="78" t="s">
        <v>346</v>
      </c>
      <c r="D140" s="78" t="s">
        <v>345</v>
      </c>
      <c r="E140" s="79">
        <v>80000</v>
      </c>
      <c r="F140" s="31">
        <v>43772</v>
      </c>
      <c r="G140" s="31">
        <v>44138</v>
      </c>
      <c r="H140" s="26"/>
      <c r="I140" s="26">
        <v>5.4</v>
      </c>
      <c r="J140" s="26">
        <v>324.00000000000006</v>
      </c>
      <c r="K140" s="26">
        <f t="shared" si="7"/>
        <v>372.00000000000006</v>
      </c>
      <c r="L140" s="26"/>
      <c r="M140" s="26"/>
      <c r="N140" s="26">
        <f t="shared" si="9"/>
        <v>696.00000000000011</v>
      </c>
      <c r="O140" s="26">
        <f t="shared" si="8"/>
        <v>372.00000000000006</v>
      </c>
      <c r="P140" s="26"/>
      <c r="Q140" s="26"/>
      <c r="R140" s="26">
        <f t="shared" si="10"/>
        <v>1068.0000000000002</v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  <c r="IX140" s="25"/>
      <c r="IY140" s="25"/>
      <c r="IZ140" s="25"/>
      <c r="JA140" s="25"/>
      <c r="JB140" s="25"/>
      <c r="JC140" s="25"/>
      <c r="JD140" s="25"/>
      <c r="JE140" s="25"/>
      <c r="JF140" s="25"/>
      <c r="JG140" s="25"/>
      <c r="JH140" s="25"/>
      <c r="JI140" s="25"/>
      <c r="JJ140" s="25"/>
      <c r="JK140" s="25"/>
      <c r="JL140" s="25"/>
      <c r="JM140" s="25"/>
      <c r="JN140" s="25"/>
      <c r="JO140" s="25"/>
      <c r="JP140" s="25"/>
      <c r="JQ140" s="25"/>
      <c r="JR140" s="25"/>
      <c r="JS140" s="25"/>
    </row>
    <row r="141" spans="1:279" ht="26.4" x14ac:dyDescent="0.3">
      <c r="A141" s="78">
        <v>5060</v>
      </c>
      <c r="B141" s="78" t="s">
        <v>19</v>
      </c>
      <c r="C141" s="78" t="s">
        <v>344</v>
      </c>
      <c r="D141" s="78" t="s">
        <v>343</v>
      </c>
      <c r="E141" s="79">
        <v>78000</v>
      </c>
      <c r="F141" s="31">
        <v>43771</v>
      </c>
      <c r="G141" s="31">
        <v>44137</v>
      </c>
      <c r="H141" s="26"/>
      <c r="I141" s="26">
        <v>1.9</v>
      </c>
      <c r="J141" s="26">
        <v>115.26666666666665</v>
      </c>
      <c r="K141" s="26">
        <f t="shared" si="7"/>
        <v>127.61666666666666</v>
      </c>
      <c r="L141" s="26"/>
      <c r="M141" s="26"/>
      <c r="N141" s="26">
        <f t="shared" si="9"/>
        <v>242.88333333333333</v>
      </c>
      <c r="O141" s="26">
        <f t="shared" si="8"/>
        <v>127.61666666666666</v>
      </c>
      <c r="P141" s="26"/>
      <c r="Q141" s="26"/>
      <c r="R141" s="26">
        <f t="shared" si="10"/>
        <v>370.5</v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  <c r="IK141" s="25"/>
      <c r="IL141" s="25"/>
      <c r="IM141" s="25"/>
      <c r="IN141" s="25"/>
      <c r="IO141" s="25"/>
      <c r="IP141" s="25"/>
      <c r="IQ141" s="25"/>
      <c r="IR141" s="25"/>
      <c r="IS141" s="25"/>
      <c r="IT141" s="25"/>
      <c r="IU141" s="25"/>
      <c r="IV141" s="25"/>
      <c r="IW141" s="25"/>
      <c r="IX141" s="25"/>
      <c r="IY141" s="25"/>
      <c r="IZ141" s="25"/>
      <c r="JA141" s="25"/>
      <c r="JB141" s="25"/>
      <c r="JC141" s="25"/>
      <c r="JD141" s="25"/>
      <c r="JE141" s="25"/>
      <c r="JF141" s="25"/>
      <c r="JG141" s="25"/>
      <c r="JH141" s="25"/>
      <c r="JI141" s="25"/>
      <c r="JJ141" s="25"/>
      <c r="JK141" s="25"/>
      <c r="JL141" s="25"/>
      <c r="JM141" s="25"/>
      <c r="JN141" s="25"/>
      <c r="JO141" s="25"/>
      <c r="JP141" s="25"/>
      <c r="JQ141" s="25"/>
      <c r="JR141" s="25"/>
      <c r="JS141" s="25"/>
    </row>
    <row r="142" spans="1:279" ht="26.4" x14ac:dyDescent="0.3">
      <c r="A142" s="78">
        <v>5063</v>
      </c>
      <c r="B142" s="78" t="s">
        <v>25</v>
      </c>
      <c r="C142" s="78" t="s">
        <v>342</v>
      </c>
      <c r="D142" s="78" t="s">
        <v>341</v>
      </c>
      <c r="E142" s="79">
        <v>138000</v>
      </c>
      <c r="F142" s="31">
        <v>43770</v>
      </c>
      <c r="G142" s="31">
        <v>44136</v>
      </c>
      <c r="H142" s="26"/>
      <c r="I142" s="26">
        <v>4.4000000000000004</v>
      </c>
      <c r="J142" s="26">
        <v>489.13333333333344</v>
      </c>
      <c r="K142" s="26">
        <f t="shared" si="7"/>
        <v>522.86666666666679</v>
      </c>
      <c r="L142" s="26"/>
      <c r="M142" s="26"/>
      <c r="N142" s="26">
        <f t="shared" si="9"/>
        <v>1012.0000000000002</v>
      </c>
      <c r="O142" s="26">
        <f t="shared" si="8"/>
        <v>522.86666666666679</v>
      </c>
      <c r="P142" s="26"/>
      <c r="Q142" s="26"/>
      <c r="R142" s="26">
        <f t="shared" si="10"/>
        <v>1534.866666666667</v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  <c r="IX142" s="25"/>
      <c r="IY142" s="25"/>
      <c r="IZ142" s="25"/>
      <c r="JA142" s="25"/>
      <c r="JB142" s="25"/>
      <c r="JC142" s="25"/>
      <c r="JD142" s="25"/>
      <c r="JE142" s="25"/>
      <c r="JF142" s="25"/>
      <c r="JG142" s="25"/>
      <c r="JH142" s="25"/>
      <c r="JI142" s="25"/>
      <c r="JJ142" s="25"/>
      <c r="JK142" s="25"/>
      <c r="JL142" s="25"/>
      <c r="JM142" s="25"/>
      <c r="JN142" s="25"/>
      <c r="JO142" s="25"/>
      <c r="JP142" s="25"/>
      <c r="JQ142" s="25"/>
      <c r="JR142" s="25"/>
      <c r="JS142" s="25"/>
    </row>
    <row r="143" spans="1:279" ht="26.4" x14ac:dyDescent="0.3">
      <c r="A143" s="78">
        <v>5063</v>
      </c>
      <c r="B143" s="78" t="s">
        <v>712</v>
      </c>
      <c r="C143" s="78" t="s">
        <v>713</v>
      </c>
      <c r="D143" s="78" t="s">
        <v>714</v>
      </c>
      <c r="E143" s="79">
        <v>250000</v>
      </c>
      <c r="F143" s="31">
        <v>43783</v>
      </c>
      <c r="G143" s="31">
        <v>44149</v>
      </c>
      <c r="H143" s="26"/>
      <c r="I143" s="26">
        <v>4.0999999999999996</v>
      </c>
      <c r="J143" s="26">
        <v>455.55555555555549</v>
      </c>
      <c r="K143" s="26">
        <f t="shared" si="7"/>
        <v>882.6388888888888</v>
      </c>
      <c r="L143" s="26"/>
      <c r="M143" s="26"/>
      <c r="N143" s="26">
        <f t="shared" si="9"/>
        <v>1338.1944444444443</v>
      </c>
      <c r="O143" s="26">
        <f t="shared" si="8"/>
        <v>882.6388888888888</v>
      </c>
      <c r="P143" s="26">
        <v>-1741.1</v>
      </c>
      <c r="Q143" s="26">
        <v>-479.73</v>
      </c>
      <c r="R143" s="26">
        <f t="shared" si="10"/>
        <v>3.333333333102928E-3</v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  <c r="IK143" s="25"/>
      <c r="IL143" s="25"/>
      <c r="IM143" s="25"/>
      <c r="IN143" s="25"/>
      <c r="IO143" s="25"/>
      <c r="IP143" s="25"/>
      <c r="IQ143" s="25"/>
      <c r="IR143" s="25"/>
      <c r="IS143" s="25"/>
      <c r="IT143" s="25"/>
      <c r="IU143" s="25"/>
      <c r="IV143" s="25"/>
      <c r="IW143" s="25"/>
      <c r="IX143" s="25"/>
      <c r="IY143" s="25"/>
      <c r="IZ143" s="25"/>
      <c r="JA143" s="25"/>
      <c r="JB143" s="25"/>
      <c r="JC143" s="25"/>
      <c r="JD143" s="25"/>
      <c r="JE143" s="25"/>
      <c r="JF143" s="25"/>
      <c r="JG143" s="25"/>
      <c r="JH143" s="25"/>
      <c r="JI143" s="25"/>
      <c r="JJ143" s="25"/>
      <c r="JK143" s="25"/>
      <c r="JL143" s="25"/>
      <c r="JM143" s="25"/>
      <c r="JN143" s="25"/>
      <c r="JO143" s="25"/>
      <c r="JP143" s="25"/>
      <c r="JQ143" s="25"/>
      <c r="JR143" s="25"/>
      <c r="JS143" s="25"/>
    </row>
    <row r="144" spans="1:279" ht="26.4" x14ac:dyDescent="0.3">
      <c r="A144" s="78">
        <v>5060</v>
      </c>
      <c r="B144" s="78" t="s">
        <v>40</v>
      </c>
      <c r="C144" s="78" t="s">
        <v>340</v>
      </c>
      <c r="D144" s="78" t="s">
        <v>339</v>
      </c>
      <c r="E144" s="79">
        <v>727000</v>
      </c>
      <c r="F144" s="31">
        <v>43784</v>
      </c>
      <c r="G144" s="31">
        <v>44150</v>
      </c>
      <c r="H144" s="26"/>
      <c r="I144" s="26">
        <v>6.4</v>
      </c>
      <c r="J144" s="26">
        <v>1938.6666666666665</v>
      </c>
      <c r="K144" s="26">
        <f t="shared" si="7"/>
        <v>4006.5777777777776</v>
      </c>
      <c r="L144" s="26"/>
      <c r="M144" s="26"/>
      <c r="N144" s="26">
        <f t="shared" si="9"/>
        <v>5945.2444444444445</v>
      </c>
      <c r="O144" s="26">
        <f t="shared" si="8"/>
        <v>4006.5777777777776</v>
      </c>
      <c r="P144" s="26"/>
      <c r="Q144" s="26"/>
      <c r="R144" s="26">
        <f t="shared" si="10"/>
        <v>9951.8222222222212</v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A144" s="25"/>
      <c r="JB144" s="25"/>
      <c r="JC144" s="25"/>
      <c r="JD144" s="25"/>
      <c r="JE144" s="25"/>
      <c r="JF144" s="25"/>
      <c r="JG144" s="25"/>
      <c r="JH144" s="25"/>
      <c r="JI144" s="25"/>
      <c r="JJ144" s="25"/>
      <c r="JK144" s="25"/>
      <c r="JL144" s="25"/>
      <c r="JM144" s="25"/>
      <c r="JN144" s="25"/>
      <c r="JO144" s="25"/>
      <c r="JP144" s="25"/>
      <c r="JQ144" s="25"/>
      <c r="JR144" s="25"/>
      <c r="JS144" s="25"/>
    </row>
    <row r="145" spans="1:279" ht="26.4" x14ac:dyDescent="0.3">
      <c r="A145" s="78">
        <v>5063</v>
      </c>
      <c r="B145" s="78" t="s">
        <v>715</v>
      </c>
      <c r="C145" s="78" t="s">
        <v>716</v>
      </c>
      <c r="D145" s="78" t="s">
        <v>717</v>
      </c>
      <c r="E145" s="79">
        <v>5000000</v>
      </c>
      <c r="F145" s="31">
        <v>43789</v>
      </c>
      <c r="G145" s="31">
        <v>44155</v>
      </c>
      <c r="H145" s="26"/>
      <c r="I145" s="26">
        <v>4.0999999999999996</v>
      </c>
      <c r="J145" s="26">
        <v>5694.4444444444434</v>
      </c>
      <c r="K145" s="26">
        <f t="shared" si="7"/>
        <v>17652.777777777774</v>
      </c>
      <c r="L145" s="26"/>
      <c r="M145" s="26"/>
      <c r="N145" s="26">
        <f t="shared" si="9"/>
        <v>23347.222222222219</v>
      </c>
      <c r="O145" s="26">
        <f t="shared" si="8"/>
        <v>17652.777777777774</v>
      </c>
      <c r="P145" s="26">
        <v>-31452.052</v>
      </c>
      <c r="Q145" s="26">
        <v>-9547.9500000000007</v>
      </c>
      <c r="R145" s="26">
        <f t="shared" si="10"/>
        <v>-2.0000000076834112E-3</v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  <c r="HW145" s="25"/>
      <c r="HX145" s="25"/>
      <c r="HY145" s="25"/>
      <c r="HZ145" s="25"/>
      <c r="IA145" s="25"/>
      <c r="IB145" s="25"/>
      <c r="IC145" s="25"/>
      <c r="ID145" s="25"/>
      <c r="IE145" s="25"/>
      <c r="IF145" s="25"/>
      <c r="IG145" s="25"/>
      <c r="IH145" s="25"/>
      <c r="II145" s="25"/>
      <c r="IJ145" s="25"/>
      <c r="IK145" s="25"/>
      <c r="IL145" s="25"/>
      <c r="IM145" s="25"/>
      <c r="IN145" s="25"/>
      <c r="IO145" s="25"/>
      <c r="IP145" s="25"/>
      <c r="IQ145" s="25"/>
      <c r="IR145" s="25"/>
      <c r="IS145" s="25"/>
      <c r="IT145" s="25"/>
      <c r="IU145" s="25"/>
      <c r="IV145" s="25"/>
      <c r="IW145" s="25"/>
      <c r="IX145" s="25"/>
      <c r="IY145" s="25"/>
      <c r="IZ145" s="25"/>
      <c r="JA145" s="25"/>
      <c r="JB145" s="25"/>
      <c r="JC145" s="25"/>
      <c r="JD145" s="25"/>
      <c r="JE145" s="25"/>
      <c r="JF145" s="25"/>
      <c r="JG145" s="25"/>
      <c r="JH145" s="25"/>
      <c r="JI145" s="25"/>
      <c r="JJ145" s="25"/>
      <c r="JK145" s="25"/>
      <c r="JL145" s="25"/>
      <c r="JM145" s="25"/>
      <c r="JN145" s="25"/>
      <c r="JO145" s="25"/>
      <c r="JP145" s="25"/>
      <c r="JQ145" s="25"/>
      <c r="JR145" s="25"/>
      <c r="JS145" s="25"/>
    </row>
    <row r="146" spans="1:279" ht="26.4" x14ac:dyDescent="0.3">
      <c r="A146" s="78">
        <v>5063</v>
      </c>
      <c r="B146" s="78" t="s">
        <v>718</v>
      </c>
      <c r="C146" s="78" t="s">
        <v>719</v>
      </c>
      <c r="D146" s="78" t="s">
        <v>720</v>
      </c>
      <c r="E146" s="79">
        <v>5000000</v>
      </c>
      <c r="F146" s="31">
        <v>43789</v>
      </c>
      <c r="G146" s="31">
        <v>44155</v>
      </c>
      <c r="H146" s="26"/>
      <c r="I146" s="26">
        <v>4.0999999999999996</v>
      </c>
      <c r="J146" s="26">
        <v>5694.4444444444434</v>
      </c>
      <c r="K146" s="26">
        <f t="shared" si="7"/>
        <v>17652.777777777774</v>
      </c>
      <c r="L146" s="26"/>
      <c r="M146" s="26"/>
      <c r="N146" s="26">
        <f t="shared" si="9"/>
        <v>23347.222222222219</v>
      </c>
      <c r="O146" s="26">
        <f t="shared" si="8"/>
        <v>17652.777777777774</v>
      </c>
      <c r="P146" s="26">
        <v>-31452.05</v>
      </c>
      <c r="Q146" s="26">
        <v>-9547.9500000000007</v>
      </c>
      <c r="R146" s="26">
        <f t="shared" si="10"/>
        <v>0</v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25"/>
      <c r="IH146" s="25"/>
      <c r="II146" s="25"/>
      <c r="IJ146" s="25"/>
      <c r="IK146" s="25"/>
      <c r="IL146" s="25"/>
      <c r="IM146" s="25"/>
      <c r="IN146" s="25"/>
      <c r="IO146" s="25"/>
      <c r="IP146" s="25"/>
      <c r="IQ146" s="25"/>
      <c r="IR146" s="25"/>
      <c r="IS146" s="25"/>
      <c r="IT146" s="25"/>
      <c r="IU146" s="25"/>
      <c r="IV146" s="25"/>
      <c r="IW146" s="25"/>
      <c r="IX146" s="25"/>
      <c r="IY146" s="25"/>
      <c r="IZ146" s="25"/>
      <c r="JA146" s="25"/>
      <c r="JB146" s="25"/>
      <c r="JC146" s="25"/>
      <c r="JD146" s="25"/>
      <c r="JE146" s="25"/>
      <c r="JF146" s="25"/>
      <c r="JG146" s="25"/>
      <c r="JH146" s="25"/>
      <c r="JI146" s="25"/>
      <c r="JJ146" s="25"/>
      <c r="JK146" s="25"/>
      <c r="JL146" s="25"/>
      <c r="JM146" s="25"/>
      <c r="JN146" s="25"/>
      <c r="JO146" s="25"/>
      <c r="JP146" s="25"/>
      <c r="JQ146" s="25"/>
      <c r="JR146" s="25"/>
      <c r="JS146" s="25"/>
    </row>
    <row r="147" spans="1:279" ht="26.4" x14ac:dyDescent="0.3">
      <c r="A147" s="78">
        <v>5004</v>
      </c>
      <c r="B147" s="78" t="s">
        <v>336</v>
      </c>
      <c r="C147" s="78" t="s">
        <v>338</v>
      </c>
      <c r="D147" s="78" t="s">
        <v>337</v>
      </c>
      <c r="E147" s="79">
        <v>100000</v>
      </c>
      <c r="F147" s="31">
        <v>43792</v>
      </c>
      <c r="G147" s="31">
        <v>44158</v>
      </c>
      <c r="H147" s="26"/>
      <c r="I147" s="26">
        <v>5.9</v>
      </c>
      <c r="J147" s="26">
        <v>278.61111111111114</v>
      </c>
      <c r="K147" s="26">
        <f t="shared" si="7"/>
        <v>508.05555555555554</v>
      </c>
      <c r="L147" s="26"/>
      <c r="M147" s="26"/>
      <c r="N147" s="26">
        <f t="shared" si="9"/>
        <v>786.66666666666674</v>
      </c>
      <c r="O147" s="26">
        <f t="shared" si="8"/>
        <v>508.05555555555554</v>
      </c>
      <c r="P147" s="26"/>
      <c r="Q147" s="26"/>
      <c r="R147" s="26">
        <f t="shared" si="10"/>
        <v>1294.7222222222222</v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  <c r="IK147" s="25"/>
      <c r="IL147" s="25"/>
      <c r="IM147" s="25"/>
      <c r="IN147" s="25"/>
      <c r="IO147" s="25"/>
      <c r="IP147" s="25"/>
      <c r="IQ147" s="25"/>
      <c r="IR147" s="25"/>
      <c r="IS147" s="25"/>
      <c r="IT147" s="25"/>
      <c r="IU147" s="25"/>
      <c r="IV147" s="25"/>
      <c r="IW147" s="25"/>
      <c r="IX147" s="25"/>
      <c r="IY147" s="25"/>
      <c r="IZ147" s="25"/>
      <c r="JA147" s="25"/>
      <c r="JB147" s="25"/>
      <c r="JC147" s="25"/>
      <c r="JD147" s="25"/>
      <c r="JE147" s="25"/>
      <c r="JF147" s="25"/>
      <c r="JG147" s="25"/>
      <c r="JH147" s="25"/>
      <c r="JI147" s="25"/>
      <c r="JJ147" s="25"/>
      <c r="JK147" s="25"/>
      <c r="JL147" s="25"/>
      <c r="JM147" s="25"/>
      <c r="JN147" s="25"/>
      <c r="JO147" s="25"/>
      <c r="JP147" s="25"/>
      <c r="JQ147" s="25"/>
      <c r="JR147" s="25"/>
      <c r="JS147" s="25"/>
    </row>
    <row r="148" spans="1:279" ht="26.4" x14ac:dyDescent="0.3">
      <c r="A148" s="78">
        <v>5004</v>
      </c>
      <c r="B148" s="78" t="s">
        <v>336</v>
      </c>
      <c r="C148" s="78" t="s">
        <v>335</v>
      </c>
      <c r="D148" s="78" t="s">
        <v>334</v>
      </c>
      <c r="E148" s="79">
        <v>94477.4</v>
      </c>
      <c r="F148" s="31">
        <v>43792</v>
      </c>
      <c r="G148" s="31">
        <v>44158</v>
      </c>
      <c r="H148" s="26"/>
      <c r="I148" s="26">
        <v>5.9</v>
      </c>
      <c r="J148" s="26">
        <v>263.22453388888891</v>
      </c>
      <c r="K148" s="26">
        <f t="shared" si="7"/>
        <v>479.99767944444449</v>
      </c>
      <c r="L148" s="26"/>
      <c r="M148" s="26"/>
      <c r="N148" s="26">
        <f t="shared" si="9"/>
        <v>743.22221333333346</v>
      </c>
      <c r="O148" s="26">
        <f t="shared" si="8"/>
        <v>479.99767944444449</v>
      </c>
      <c r="P148" s="26"/>
      <c r="Q148" s="26"/>
      <c r="R148" s="26">
        <f t="shared" si="10"/>
        <v>1223.2198927777779</v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A148" s="25"/>
      <c r="JB148" s="25"/>
      <c r="JC148" s="25"/>
      <c r="JD148" s="25"/>
      <c r="JE148" s="25"/>
      <c r="JF148" s="25"/>
      <c r="JG148" s="25"/>
      <c r="JH148" s="25"/>
      <c r="JI148" s="25"/>
      <c r="JJ148" s="25"/>
      <c r="JK148" s="25"/>
      <c r="JL148" s="25"/>
      <c r="JM148" s="25"/>
      <c r="JN148" s="25"/>
      <c r="JO148" s="25"/>
      <c r="JP148" s="25"/>
      <c r="JQ148" s="25"/>
      <c r="JR148" s="25"/>
      <c r="JS148" s="25"/>
    </row>
    <row r="149" spans="1:279" ht="26.4" x14ac:dyDescent="0.3">
      <c r="A149" s="78">
        <v>5004</v>
      </c>
      <c r="B149" s="78" t="s">
        <v>117</v>
      </c>
      <c r="C149" s="78" t="s">
        <v>333</v>
      </c>
      <c r="D149" s="78" t="s">
        <v>332</v>
      </c>
      <c r="E149" s="79">
        <v>100000</v>
      </c>
      <c r="F149" s="31">
        <v>43792</v>
      </c>
      <c r="G149" s="31">
        <v>44158</v>
      </c>
      <c r="H149" s="26"/>
      <c r="I149" s="26">
        <v>5.85</v>
      </c>
      <c r="J149" s="26">
        <v>276.25</v>
      </c>
      <c r="K149" s="26">
        <f t="shared" si="7"/>
        <v>503.75</v>
      </c>
      <c r="L149" s="26"/>
      <c r="M149" s="26"/>
      <c r="N149" s="26">
        <f t="shared" si="9"/>
        <v>780</v>
      </c>
      <c r="O149" s="26">
        <f t="shared" si="8"/>
        <v>503.75</v>
      </c>
      <c r="P149" s="26"/>
      <c r="Q149" s="26"/>
      <c r="R149" s="26">
        <f t="shared" si="10"/>
        <v>1283.75</v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  <c r="HW149" s="25"/>
      <c r="HX149" s="25"/>
      <c r="HY149" s="25"/>
      <c r="HZ149" s="25"/>
      <c r="IA149" s="25"/>
      <c r="IB149" s="25"/>
      <c r="IC149" s="25"/>
      <c r="ID149" s="25"/>
      <c r="IE149" s="25"/>
      <c r="IF149" s="25"/>
      <c r="IG149" s="25"/>
      <c r="IH149" s="25"/>
      <c r="II149" s="25"/>
      <c r="IJ149" s="25"/>
      <c r="IK149" s="25"/>
      <c r="IL149" s="25"/>
      <c r="IM149" s="25"/>
      <c r="IN149" s="25"/>
      <c r="IO149" s="25"/>
      <c r="IP149" s="25"/>
      <c r="IQ149" s="25"/>
      <c r="IR149" s="25"/>
      <c r="IS149" s="25"/>
      <c r="IT149" s="25"/>
      <c r="IU149" s="25"/>
      <c r="IV149" s="25"/>
      <c r="IW149" s="25"/>
      <c r="IX149" s="25"/>
      <c r="IY149" s="25"/>
      <c r="IZ149" s="25"/>
      <c r="JA149" s="25"/>
      <c r="JB149" s="25"/>
      <c r="JC149" s="25"/>
      <c r="JD149" s="25"/>
      <c r="JE149" s="25"/>
      <c r="JF149" s="25"/>
      <c r="JG149" s="25"/>
      <c r="JH149" s="25"/>
      <c r="JI149" s="25"/>
      <c r="JJ149" s="25"/>
      <c r="JK149" s="25"/>
      <c r="JL149" s="25"/>
      <c r="JM149" s="25"/>
      <c r="JN149" s="25"/>
      <c r="JO149" s="25"/>
      <c r="JP149" s="25"/>
      <c r="JQ149" s="25"/>
      <c r="JR149" s="25"/>
      <c r="JS149" s="25"/>
    </row>
    <row r="150" spans="1:279" ht="26.4" x14ac:dyDescent="0.3">
      <c r="A150" s="78">
        <v>5004</v>
      </c>
      <c r="B150" s="78" t="s">
        <v>117</v>
      </c>
      <c r="C150" s="78" t="s">
        <v>331</v>
      </c>
      <c r="D150" s="78" t="s">
        <v>330</v>
      </c>
      <c r="E150" s="79">
        <v>150000</v>
      </c>
      <c r="F150" s="31">
        <v>43793</v>
      </c>
      <c r="G150" s="31">
        <v>44159</v>
      </c>
      <c r="H150" s="26"/>
      <c r="I150" s="26">
        <v>5.85</v>
      </c>
      <c r="J150" s="26">
        <v>390</v>
      </c>
      <c r="K150" s="26">
        <f t="shared" ref="K150" si="11">(+$E150*$I150%)/360*31</f>
        <v>755.625</v>
      </c>
      <c r="L150" s="26"/>
      <c r="M150" s="26"/>
      <c r="N150" s="26">
        <f t="shared" si="9"/>
        <v>1145.625</v>
      </c>
      <c r="O150" s="26">
        <f t="shared" si="8"/>
        <v>755.625</v>
      </c>
      <c r="P150" s="26"/>
      <c r="Q150" s="26"/>
      <c r="R150" s="26">
        <f t="shared" si="10"/>
        <v>1901.25</v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25"/>
      <c r="IH150" s="25"/>
      <c r="II150" s="25"/>
      <c r="IJ150" s="25"/>
      <c r="IK150" s="25"/>
      <c r="IL150" s="25"/>
      <c r="IM150" s="25"/>
      <c r="IN150" s="25"/>
      <c r="IO150" s="25"/>
      <c r="IP150" s="25"/>
      <c r="IQ150" s="25"/>
      <c r="IR150" s="25"/>
      <c r="IS150" s="25"/>
      <c r="IT150" s="25"/>
      <c r="IU150" s="25"/>
      <c r="IV150" s="25"/>
      <c r="IW150" s="25"/>
      <c r="IX150" s="25"/>
      <c r="IY150" s="25"/>
      <c r="IZ150" s="25"/>
      <c r="JA150" s="25"/>
      <c r="JB150" s="25"/>
      <c r="JC150" s="25"/>
      <c r="JD150" s="25"/>
      <c r="JE150" s="25"/>
      <c r="JF150" s="25"/>
      <c r="JG150" s="25"/>
      <c r="JH150" s="25"/>
      <c r="JI150" s="25"/>
      <c r="JJ150" s="25"/>
      <c r="JK150" s="25"/>
      <c r="JL150" s="25"/>
      <c r="JM150" s="25"/>
      <c r="JN150" s="25"/>
      <c r="JO150" s="25"/>
      <c r="JP150" s="25"/>
      <c r="JQ150" s="25"/>
      <c r="JR150" s="25"/>
      <c r="JS150" s="25"/>
    </row>
    <row r="151" spans="1:279" x14ac:dyDescent="0.3">
      <c r="A151" s="25">
        <v>5031</v>
      </c>
      <c r="B151" s="25" t="s">
        <v>329</v>
      </c>
      <c r="C151" s="25" t="s">
        <v>328</v>
      </c>
      <c r="D151" s="25" t="s">
        <v>327</v>
      </c>
      <c r="E151" s="80">
        <v>249387.92</v>
      </c>
      <c r="F151" s="31">
        <v>43801</v>
      </c>
      <c r="G151" s="31">
        <v>44166</v>
      </c>
      <c r="H151" s="26"/>
      <c r="I151" s="26">
        <v>6.4</v>
      </c>
      <c r="J151" s="26"/>
      <c r="K151" s="26">
        <f>(+$E151*$I151%)/360*1</f>
        <v>44.335630222222221</v>
      </c>
      <c r="L151" s="26"/>
      <c r="M151" s="26"/>
      <c r="N151" s="26">
        <f t="shared" si="9"/>
        <v>44.335630222222221</v>
      </c>
      <c r="O151" s="26">
        <f t="shared" si="8"/>
        <v>1374.4045368888887</v>
      </c>
      <c r="P151" s="26"/>
      <c r="Q151" s="26"/>
      <c r="R151" s="26">
        <f t="shared" si="10"/>
        <v>1418.7401671111111</v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  <c r="HW151" s="25"/>
      <c r="HX151" s="25"/>
      <c r="HY151" s="25"/>
      <c r="HZ151" s="25"/>
      <c r="IA151" s="25"/>
      <c r="IB151" s="25"/>
      <c r="IC151" s="25"/>
      <c r="ID151" s="25"/>
      <c r="IE151" s="25"/>
      <c r="IF151" s="25"/>
      <c r="IG151" s="25"/>
      <c r="IH151" s="25"/>
      <c r="II151" s="25"/>
      <c r="IJ151" s="25"/>
      <c r="IK151" s="25"/>
      <c r="IL151" s="25"/>
      <c r="IM151" s="25"/>
      <c r="IN151" s="25"/>
      <c r="IO151" s="25"/>
      <c r="IP151" s="25"/>
      <c r="IQ151" s="25"/>
      <c r="IR151" s="25"/>
      <c r="IS151" s="25"/>
      <c r="IT151" s="25"/>
      <c r="IU151" s="25"/>
      <c r="IV151" s="25"/>
      <c r="IW151" s="25"/>
      <c r="IX151" s="25"/>
      <c r="IY151" s="25"/>
      <c r="IZ151" s="25"/>
      <c r="JA151" s="25"/>
      <c r="JB151" s="25"/>
      <c r="JC151" s="25"/>
      <c r="JD151" s="25"/>
      <c r="JE151" s="25"/>
      <c r="JF151" s="25"/>
      <c r="JG151" s="25"/>
      <c r="JH151" s="25"/>
      <c r="JI151" s="25"/>
      <c r="JJ151" s="25"/>
      <c r="JK151" s="25"/>
      <c r="JL151" s="25"/>
      <c r="JM151" s="25"/>
      <c r="JN151" s="25"/>
      <c r="JO151" s="25"/>
      <c r="JP151" s="25"/>
      <c r="JQ151" s="25"/>
      <c r="JR151" s="25"/>
      <c r="JS151" s="25"/>
    </row>
    <row r="152" spans="1:279" x14ac:dyDescent="0.3">
      <c r="A152" s="25">
        <v>5063</v>
      </c>
      <c r="B152" s="25" t="s">
        <v>25</v>
      </c>
      <c r="C152" s="25" t="s">
        <v>326</v>
      </c>
      <c r="D152" s="25" t="s">
        <v>325</v>
      </c>
      <c r="E152" s="80">
        <v>138000</v>
      </c>
      <c r="F152" s="31">
        <v>43800</v>
      </c>
      <c r="G152" s="31">
        <v>44166</v>
      </c>
      <c r="H152" s="26"/>
      <c r="I152" s="26">
        <v>4.4000000000000004</v>
      </c>
      <c r="J152" s="26"/>
      <c r="K152" s="26">
        <f>(+$E152*$I152%)/360*1</f>
        <v>16.866666666666671</v>
      </c>
      <c r="L152" s="26"/>
      <c r="M152" s="26"/>
      <c r="N152" s="26">
        <f t="shared" si="9"/>
        <v>16.866666666666671</v>
      </c>
      <c r="O152" s="26">
        <f t="shared" si="8"/>
        <v>522.86666666666679</v>
      </c>
      <c r="P152" s="26"/>
      <c r="Q152" s="26"/>
      <c r="R152" s="26">
        <f t="shared" si="10"/>
        <v>539.73333333333346</v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25"/>
      <c r="IH152" s="25"/>
      <c r="II152" s="25"/>
      <c r="IJ152" s="25"/>
      <c r="IK152" s="25"/>
      <c r="IL152" s="25"/>
      <c r="IM152" s="25"/>
      <c r="IN152" s="25"/>
      <c r="IO152" s="25"/>
      <c r="IP152" s="25"/>
      <c r="IQ152" s="25"/>
      <c r="IR152" s="25"/>
      <c r="IS152" s="25"/>
      <c r="IT152" s="25"/>
      <c r="IU152" s="25"/>
      <c r="IV152" s="25"/>
      <c r="IW152" s="25"/>
      <c r="IX152" s="25"/>
      <c r="IY152" s="25"/>
      <c r="IZ152" s="25"/>
      <c r="JA152" s="25"/>
      <c r="JB152" s="25"/>
      <c r="JC152" s="25"/>
      <c r="JD152" s="25"/>
      <c r="JE152" s="25"/>
      <c r="JF152" s="25"/>
      <c r="JG152" s="25"/>
      <c r="JH152" s="25"/>
      <c r="JI152" s="25"/>
      <c r="JJ152" s="25"/>
      <c r="JK152" s="25"/>
      <c r="JL152" s="25"/>
      <c r="JM152" s="25"/>
      <c r="JN152" s="25"/>
      <c r="JO152" s="25"/>
      <c r="JP152" s="25"/>
      <c r="JQ152" s="25"/>
      <c r="JR152" s="25"/>
      <c r="JS152" s="25"/>
    </row>
    <row r="153" spans="1:279" x14ac:dyDescent="0.3">
      <c r="A153" s="25">
        <v>5040</v>
      </c>
      <c r="B153" s="25" t="s">
        <v>508</v>
      </c>
      <c r="C153" s="25" t="s">
        <v>721</v>
      </c>
      <c r="D153" s="25" t="s">
        <v>722</v>
      </c>
      <c r="E153" s="80">
        <v>236600</v>
      </c>
      <c r="F153" s="31">
        <v>43800</v>
      </c>
      <c r="G153" s="31">
        <v>43800</v>
      </c>
      <c r="H153" s="26"/>
      <c r="I153" s="26">
        <v>4.9000000000000004</v>
      </c>
      <c r="J153" s="26"/>
      <c r="K153" s="26">
        <f>(+$E153*$I153%)/360*1</f>
        <v>32.203888888888891</v>
      </c>
      <c r="L153" s="26"/>
      <c r="M153" s="26"/>
      <c r="N153" s="26">
        <f t="shared" si="9"/>
        <v>32.203888888888891</v>
      </c>
      <c r="O153" s="26">
        <f t="shared" si="8"/>
        <v>998.32055555555564</v>
      </c>
      <c r="P153" s="26"/>
      <c r="Q153" s="26"/>
      <c r="R153" s="26">
        <f t="shared" si="10"/>
        <v>1030.5244444444445</v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  <c r="HW153" s="25"/>
      <c r="HX153" s="25"/>
      <c r="HY153" s="25"/>
      <c r="HZ153" s="25"/>
      <c r="IA153" s="25"/>
      <c r="IB153" s="25"/>
      <c r="IC153" s="25"/>
      <c r="ID153" s="25"/>
      <c r="IE153" s="25"/>
      <c r="IF153" s="25"/>
      <c r="IG153" s="25"/>
      <c r="IH153" s="25"/>
      <c r="II153" s="25"/>
      <c r="IJ153" s="25"/>
      <c r="IK153" s="25"/>
      <c r="IL153" s="25"/>
      <c r="IM153" s="25"/>
      <c r="IN153" s="25"/>
      <c r="IO153" s="25"/>
      <c r="IP153" s="25"/>
      <c r="IQ153" s="25"/>
      <c r="IR153" s="25"/>
      <c r="IS153" s="25"/>
      <c r="IT153" s="25"/>
      <c r="IU153" s="25"/>
      <c r="IV153" s="25"/>
      <c r="IW153" s="25"/>
      <c r="IX153" s="25"/>
      <c r="IY153" s="25"/>
      <c r="IZ153" s="25"/>
      <c r="JA153" s="25"/>
      <c r="JB153" s="25"/>
      <c r="JC153" s="25"/>
      <c r="JD153" s="25"/>
      <c r="JE153" s="25"/>
      <c r="JF153" s="25"/>
      <c r="JG153" s="25"/>
      <c r="JH153" s="25"/>
      <c r="JI153" s="25"/>
      <c r="JJ153" s="25"/>
      <c r="JK153" s="25"/>
      <c r="JL153" s="25"/>
      <c r="JM153" s="25"/>
      <c r="JN153" s="25"/>
      <c r="JO153" s="25"/>
      <c r="JP153" s="25"/>
      <c r="JQ153" s="25"/>
      <c r="JR153" s="25"/>
      <c r="JS153" s="25"/>
    </row>
    <row r="154" spans="1:279" x14ac:dyDescent="0.3">
      <c r="A154" s="25">
        <v>5005</v>
      </c>
      <c r="B154" s="25" t="s">
        <v>10</v>
      </c>
      <c r="C154" s="25" t="s">
        <v>324</v>
      </c>
      <c r="D154" s="25" t="s">
        <v>323</v>
      </c>
      <c r="E154" s="80">
        <v>1400000</v>
      </c>
      <c r="F154" s="31">
        <v>43803</v>
      </c>
      <c r="G154" s="31">
        <v>44169</v>
      </c>
      <c r="H154" s="26"/>
      <c r="I154" s="26">
        <v>0.4</v>
      </c>
      <c r="J154" s="26"/>
      <c r="K154" s="26">
        <f>(+$E154*$I154%)/360*4</f>
        <v>62.222222222222221</v>
      </c>
      <c r="L154" s="26"/>
      <c r="M154" s="26"/>
      <c r="N154" s="26">
        <f t="shared" si="9"/>
        <v>62.222222222222221</v>
      </c>
      <c r="O154" s="26">
        <f t="shared" si="8"/>
        <v>482.22222222222223</v>
      </c>
      <c r="P154" s="26"/>
      <c r="Q154" s="26"/>
      <c r="R154" s="26">
        <f t="shared" si="10"/>
        <v>544.44444444444446</v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25"/>
      <c r="IH154" s="25"/>
      <c r="II154" s="25"/>
      <c r="IJ154" s="25"/>
      <c r="IK154" s="25"/>
      <c r="IL154" s="25"/>
      <c r="IM154" s="25"/>
      <c r="IN154" s="25"/>
      <c r="IO154" s="25"/>
      <c r="IP154" s="25"/>
      <c r="IQ154" s="25"/>
      <c r="IR154" s="25"/>
      <c r="IS154" s="25"/>
      <c r="IT154" s="25"/>
      <c r="IU154" s="25"/>
      <c r="IV154" s="25"/>
      <c r="IW154" s="25"/>
      <c r="IX154" s="25"/>
      <c r="IY154" s="25"/>
      <c r="IZ154" s="25"/>
      <c r="JA154" s="25"/>
      <c r="JB154" s="25"/>
      <c r="JC154" s="25"/>
      <c r="JD154" s="25"/>
      <c r="JE154" s="25"/>
      <c r="JF154" s="25"/>
      <c r="JG154" s="25"/>
      <c r="JH154" s="25"/>
      <c r="JI154" s="25"/>
      <c r="JJ154" s="25"/>
      <c r="JK154" s="25"/>
      <c r="JL154" s="25"/>
      <c r="JM154" s="25"/>
      <c r="JN154" s="25"/>
      <c r="JO154" s="25"/>
      <c r="JP154" s="25"/>
      <c r="JQ154" s="25"/>
      <c r="JR154" s="25"/>
      <c r="JS154" s="25"/>
    </row>
    <row r="155" spans="1:279" x14ac:dyDescent="0.3">
      <c r="A155" s="25">
        <v>5056</v>
      </c>
      <c r="B155" s="25" t="s">
        <v>322</v>
      </c>
      <c r="C155" s="25" t="s">
        <v>321</v>
      </c>
      <c r="D155" s="25" t="s">
        <v>320</v>
      </c>
      <c r="E155" s="80">
        <v>33000</v>
      </c>
      <c r="F155" s="31">
        <v>43811</v>
      </c>
      <c r="G155" s="31">
        <v>44177</v>
      </c>
      <c r="H155" s="26"/>
      <c r="I155" s="26">
        <v>6.4</v>
      </c>
      <c r="J155" s="26"/>
      <c r="K155" s="26">
        <f>(+$E155*$I155%)/360*12</f>
        <v>70.399999999999991</v>
      </c>
      <c r="L155" s="26"/>
      <c r="M155" s="26"/>
      <c r="N155" s="26">
        <f t="shared" si="9"/>
        <v>70.399999999999991</v>
      </c>
      <c r="O155" s="26">
        <f t="shared" si="8"/>
        <v>181.86666666666665</v>
      </c>
      <c r="P155" s="26"/>
      <c r="Q155" s="26"/>
      <c r="R155" s="26">
        <f t="shared" si="10"/>
        <v>252.26666666666665</v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  <c r="HW155" s="25"/>
      <c r="HX155" s="25"/>
      <c r="HY155" s="25"/>
      <c r="HZ155" s="25"/>
      <c r="IA155" s="25"/>
      <c r="IB155" s="25"/>
      <c r="IC155" s="25"/>
      <c r="ID155" s="25"/>
      <c r="IE155" s="25"/>
      <c r="IF155" s="25"/>
      <c r="IG155" s="25"/>
      <c r="IH155" s="25"/>
      <c r="II155" s="25"/>
      <c r="IJ155" s="25"/>
      <c r="IK155" s="25"/>
      <c r="IL155" s="25"/>
      <c r="IM155" s="25"/>
      <c r="IN155" s="25"/>
      <c r="IO155" s="25"/>
      <c r="IP155" s="25"/>
      <c r="IQ155" s="25"/>
      <c r="IR155" s="25"/>
      <c r="IS155" s="25"/>
      <c r="IT155" s="25"/>
      <c r="IU155" s="25"/>
      <c r="IV155" s="25"/>
      <c r="IW155" s="25"/>
      <c r="IX155" s="25"/>
      <c r="IY155" s="25"/>
      <c r="IZ155" s="25"/>
      <c r="JA155" s="25"/>
      <c r="JB155" s="25"/>
      <c r="JC155" s="25"/>
      <c r="JD155" s="25"/>
      <c r="JE155" s="25"/>
      <c r="JF155" s="25"/>
      <c r="JG155" s="25"/>
      <c r="JH155" s="25"/>
      <c r="JI155" s="25"/>
      <c r="JJ155" s="25"/>
      <c r="JK155" s="25"/>
      <c r="JL155" s="25"/>
      <c r="JM155" s="25"/>
      <c r="JN155" s="25"/>
      <c r="JO155" s="25"/>
      <c r="JP155" s="25"/>
      <c r="JQ155" s="25"/>
      <c r="JR155" s="25"/>
      <c r="JS155" s="25"/>
    </row>
    <row r="156" spans="1:279" x14ac:dyDescent="0.3">
      <c r="A156" s="25">
        <v>5005</v>
      </c>
      <c r="B156" s="25" t="s">
        <v>265</v>
      </c>
      <c r="C156" s="25" t="s">
        <v>319</v>
      </c>
      <c r="D156" s="25" t="s">
        <v>318</v>
      </c>
      <c r="E156" s="80">
        <v>30000</v>
      </c>
      <c r="F156" s="31">
        <v>43815</v>
      </c>
      <c r="G156" s="31">
        <v>44181</v>
      </c>
      <c r="H156" s="26"/>
      <c r="I156" s="26">
        <v>6.9</v>
      </c>
      <c r="J156" s="26"/>
      <c r="K156" s="26">
        <f>(+$E156*$I156%)/360*16</f>
        <v>92</v>
      </c>
      <c r="L156" s="26"/>
      <c r="M156" s="26"/>
      <c r="N156" s="26">
        <f t="shared" si="9"/>
        <v>92</v>
      </c>
      <c r="O156" s="26">
        <f t="shared" ref="O156:O172" si="12">(+$E156*$I156%)/360*31</f>
        <v>178.25</v>
      </c>
      <c r="P156" s="26"/>
      <c r="Q156" s="26"/>
      <c r="R156" s="26">
        <f t="shared" si="10"/>
        <v>270.25</v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25"/>
      <c r="IH156" s="25"/>
      <c r="II156" s="25"/>
      <c r="IJ156" s="25"/>
      <c r="IK156" s="25"/>
      <c r="IL156" s="25"/>
      <c r="IM156" s="25"/>
      <c r="IN156" s="25"/>
      <c r="IO156" s="25"/>
      <c r="IP156" s="25"/>
      <c r="IQ156" s="25"/>
      <c r="IR156" s="25"/>
      <c r="IS156" s="25"/>
      <c r="IT156" s="25"/>
      <c r="IU156" s="25"/>
      <c r="IV156" s="25"/>
      <c r="IW156" s="25"/>
      <c r="IX156" s="25"/>
      <c r="IY156" s="25"/>
      <c r="IZ156" s="25"/>
      <c r="JA156" s="25"/>
      <c r="JB156" s="25"/>
      <c r="JC156" s="25"/>
      <c r="JD156" s="25"/>
      <c r="JE156" s="25"/>
      <c r="JF156" s="25"/>
      <c r="JG156" s="25"/>
      <c r="JH156" s="25"/>
      <c r="JI156" s="25"/>
      <c r="JJ156" s="25"/>
      <c r="JK156" s="25"/>
      <c r="JL156" s="25"/>
      <c r="JM156" s="25"/>
      <c r="JN156" s="25"/>
      <c r="JO156" s="25"/>
      <c r="JP156" s="25"/>
      <c r="JQ156" s="25"/>
      <c r="JR156" s="25"/>
      <c r="JS156" s="25"/>
    </row>
    <row r="157" spans="1:279" x14ac:dyDescent="0.3">
      <c r="A157" s="25">
        <v>5061</v>
      </c>
      <c r="B157" s="25" t="s">
        <v>317</v>
      </c>
      <c r="C157" s="25" t="s">
        <v>316</v>
      </c>
      <c r="D157" s="25" t="s">
        <v>315</v>
      </c>
      <c r="E157" s="80">
        <v>200000</v>
      </c>
      <c r="F157" s="31">
        <v>43816</v>
      </c>
      <c r="G157" s="31">
        <v>44182</v>
      </c>
      <c r="H157" s="26"/>
      <c r="I157" s="26">
        <v>5.65</v>
      </c>
      <c r="J157" s="26"/>
      <c r="K157" s="26">
        <f>(+$E157*$I157%)/360*17</f>
        <v>533.61111111111109</v>
      </c>
      <c r="L157" s="26"/>
      <c r="M157" s="26"/>
      <c r="N157" s="26">
        <f t="shared" si="9"/>
        <v>533.61111111111109</v>
      </c>
      <c r="O157" s="26">
        <f t="shared" si="12"/>
        <v>973.05555555555554</v>
      </c>
      <c r="P157" s="26"/>
      <c r="Q157" s="26"/>
      <c r="R157" s="26">
        <f t="shared" si="10"/>
        <v>1506.6666666666665</v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  <c r="IB157" s="25"/>
      <c r="IC157" s="25"/>
      <c r="ID157" s="25"/>
      <c r="IE157" s="25"/>
      <c r="IF157" s="25"/>
      <c r="IG157" s="25"/>
      <c r="IH157" s="25"/>
      <c r="II157" s="25"/>
      <c r="IJ157" s="25"/>
      <c r="IK157" s="25"/>
      <c r="IL157" s="25"/>
      <c r="IM157" s="25"/>
      <c r="IN157" s="25"/>
      <c r="IO157" s="25"/>
      <c r="IP157" s="25"/>
      <c r="IQ157" s="25"/>
      <c r="IR157" s="25"/>
      <c r="IS157" s="25"/>
      <c r="IT157" s="25"/>
      <c r="IU157" s="25"/>
      <c r="IV157" s="25"/>
      <c r="IW157" s="25"/>
      <c r="IX157" s="25"/>
      <c r="IY157" s="25"/>
      <c r="IZ157" s="25"/>
      <c r="JA157" s="25"/>
      <c r="JB157" s="25"/>
      <c r="JC157" s="25"/>
      <c r="JD157" s="25"/>
      <c r="JE157" s="25"/>
      <c r="JF157" s="25"/>
      <c r="JG157" s="25"/>
      <c r="JH157" s="25"/>
      <c r="JI157" s="25"/>
      <c r="JJ157" s="25"/>
      <c r="JK157" s="25"/>
      <c r="JL157" s="25"/>
      <c r="JM157" s="25"/>
      <c r="JN157" s="25"/>
      <c r="JO157" s="25"/>
      <c r="JP157" s="25"/>
      <c r="JQ157" s="25"/>
      <c r="JR157" s="25"/>
      <c r="JS157" s="25"/>
    </row>
    <row r="158" spans="1:279" x14ac:dyDescent="0.3">
      <c r="A158" s="25">
        <v>5031</v>
      </c>
      <c r="B158" s="25" t="s">
        <v>329</v>
      </c>
      <c r="C158" s="25" t="s">
        <v>723</v>
      </c>
      <c r="D158" s="25" t="s">
        <v>724</v>
      </c>
      <c r="E158" s="80">
        <v>500000</v>
      </c>
      <c r="F158" s="31">
        <v>43819</v>
      </c>
      <c r="G158" s="31">
        <v>44185</v>
      </c>
      <c r="H158" s="26"/>
      <c r="I158" s="26">
        <v>5.4</v>
      </c>
      <c r="J158" s="26"/>
      <c r="K158" s="26">
        <f>(+$E158*$I158%)/360*20</f>
        <v>1500.0000000000002</v>
      </c>
      <c r="L158" s="26"/>
      <c r="M158" s="26"/>
      <c r="N158" s="26">
        <f t="shared" si="9"/>
        <v>1500.0000000000002</v>
      </c>
      <c r="O158" s="26">
        <f t="shared" si="12"/>
        <v>2325.0000000000005</v>
      </c>
      <c r="P158" s="26"/>
      <c r="Q158" s="26"/>
      <c r="R158" s="26">
        <f t="shared" si="10"/>
        <v>3825.0000000000009</v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25"/>
      <c r="IH158" s="25"/>
      <c r="II158" s="25"/>
      <c r="IJ158" s="25"/>
      <c r="IK158" s="25"/>
      <c r="IL158" s="25"/>
      <c r="IM158" s="25"/>
      <c r="IN158" s="25"/>
      <c r="IO158" s="25"/>
      <c r="IP158" s="25"/>
      <c r="IQ158" s="25"/>
      <c r="IR158" s="25"/>
      <c r="IS158" s="25"/>
      <c r="IT158" s="25"/>
      <c r="IU158" s="25"/>
      <c r="IV158" s="25"/>
      <c r="IW158" s="25"/>
      <c r="IX158" s="25"/>
      <c r="IY158" s="25"/>
      <c r="IZ158" s="25"/>
      <c r="JA158" s="25"/>
      <c r="JB158" s="25"/>
      <c r="JC158" s="25"/>
      <c r="JD158" s="25"/>
      <c r="JE158" s="25"/>
      <c r="JF158" s="25"/>
      <c r="JG158" s="25"/>
      <c r="JH158" s="25"/>
      <c r="JI158" s="25"/>
      <c r="JJ158" s="25"/>
      <c r="JK158" s="25"/>
      <c r="JL158" s="25"/>
      <c r="JM158" s="25"/>
      <c r="JN158" s="25"/>
      <c r="JO158" s="25"/>
      <c r="JP158" s="25"/>
      <c r="JQ158" s="25"/>
      <c r="JR158" s="25"/>
      <c r="JS158" s="25"/>
    </row>
    <row r="159" spans="1:279" x14ac:dyDescent="0.3">
      <c r="A159" s="25">
        <v>5060</v>
      </c>
      <c r="B159" s="25" t="s">
        <v>233</v>
      </c>
      <c r="C159" s="25" t="s">
        <v>314</v>
      </c>
      <c r="D159" s="25" t="s">
        <v>313</v>
      </c>
      <c r="E159" s="80">
        <v>170000</v>
      </c>
      <c r="F159" s="31">
        <v>43822</v>
      </c>
      <c r="G159" s="31">
        <v>44186</v>
      </c>
      <c r="H159" s="26"/>
      <c r="I159" s="26">
        <v>5.65</v>
      </c>
      <c r="J159" s="26"/>
      <c r="K159" s="26">
        <f t="shared" ref="K159:K166" si="13">(+$E159*$I159%)/360*21</f>
        <v>560.29166666666674</v>
      </c>
      <c r="L159" s="26"/>
      <c r="M159" s="26"/>
      <c r="N159" s="26">
        <f t="shared" si="9"/>
        <v>560.29166666666674</v>
      </c>
      <c r="O159" s="26">
        <f t="shared" si="12"/>
        <v>827.09722222222229</v>
      </c>
      <c r="P159" s="26"/>
      <c r="Q159" s="26"/>
      <c r="R159" s="26">
        <f t="shared" si="10"/>
        <v>1387.3888888888891</v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  <c r="HW159" s="25"/>
      <c r="HX159" s="25"/>
      <c r="HY159" s="25"/>
      <c r="HZ159" s="25"/>
      <c r="IA159" s="25"/>
      <c r="IB159" s="25"/>
      <c r="IC159" s="25"/>
      <c r="ID159" s="25"/>
      <c r="IE159" s="25"/>
      <c r="IF159" s="25"/>
      <c r="IG159" s="25"/>
      <c r="IH159" s="25"/>
      <c r="II159" s="25"/>
      <c r="IJ159" s="25"/>
      <c r="IK159" s="25"/>
      <c r="IL159" s="25"/>
      <c r="IM159" s="25"/>
      <c r="IN159" s="25"/>
      <c r="IO159" s="25"/>
      <c r="IP159" s="25"/>
      <c r="IQ159" s="25"/>
      <c r="IR159" s="25"/>
      <c r="IS159" s="25"/>
      <c r="IT159" s="25"/>
      <c r="IU159" s="25"/>
      <c r="IV159" s="25"/>
      <c r="IW159" s="25"/>
      <c r="IX159" s="25"/>
      <c r="IY159" s="25"/>
      <c r="IZ159" s="25"/>
      <c r="JA159" s="25"/>
      <c r="JB159" s="25"/>
      <c r="JC159" s="25"/>
      <c r="JD159" s="25"/>
      <c r="JE159" s="25"/>
      <c r="JF159" s="25"/>
      <c r="JG159" s="25"/>
      <c r="JH159" s="25"/>
      <c r="JI159" s="25"/>
      <c r="JJ159" s="25"/>
      <c r="JK159" s="25"/>
      <c r="JL159" s="25"/>
      <c r="JM159" s="25"/>
      <c r="JN159" s="25"/>
      <c r="JO159" s="25"/>
      <c r="JP159" s="25"/>
      <c r="JQ159" s="25"/>
      <c r="JR159" s="25"/>
      <c r="JS159" s="25"/>
    </row>
    <row r="160" spans="1:279" x14ac:dyDescent="0.3">
      <c r="A160" s="25">
        <v>5060</v>
      </c>
      <c r="B160" s="25" t="s">
        <v>233</v>
      </c>
      <c r="C160" s="25" t="s">
        <v>312</v>
      </c>
      <c r="D160" s="25" t="s">
        <v>311</v>
      </c>
      <c r="E160" s="80">
        <v>254800</v>
      </c>
      <c r="F160" s="31">
        <v>43822</v>
      </c>
      <c r="G160" s="31">
        <v>44186</v>
      </c>
      <c r="H160" s="26"/>
      <c r="I160" s="26">
        <v>5.65</v>
      </c>
      <c r="J160" s="26"/>
      <c r="K160" s="26">
        <f t="shared" si="13"/>
        <v>839.77833333333331</v>
      </c>
      <c r="L160" s="26"/>
      <c r="M160" s="26"/>
      <c r="N160" s="26">
        <f t="shared" si="9"/>
        <v>839.77833333333331</v>
      </c>
      <c r="O160" s="26">
        <f t="shared" si="12"/>
        <v>1239.6727777777778</v>
      </c>
      <c r="P160" s="26"/>
      <c r="Q160" s="26"/>
      <c r="R160" s="26">
        <f t="shared" si="10"/>
        <v>2079.451111111111</v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25"/>
      <c r="IH160" s="25"/>
      <c r="II160" s="25"/>
      <c r="IJ160" s="25"/>
      <c r="IK160" s="25"/>
      <c r="IL160" s="25"/>
      <c r="IM160" s="25"/>
      <c r="IN160" s="25"/>
      <c r="IO160" s="25"/>
      <c r="IP160" s="25"/>
      <c r="IQ160" s="25"/>
      <c r="IR160" s="25"/>
      <c r="IS160" s="25"/>
      <c r="IT160" s="25"/>
      <c r="IU160" s="25"/>
      <c r="IV160" s="25"/>
      <c r="IW160" s="25"/>
      <c r="IX160" s="25"/>
      <c r="IY160" s="25"/>
      <c r="IZ160" s="25"/>
      <c r="JA160" s="25"/>
      <c r="JB160" s="25"/>
      <c r="JC160" s="25"/>
      <c r="JD160" s="25"/>
      <c r="JE160" s="25"/>
      <c r="JF160" s="25"/>
      <c r="JG160" s="25"/>
      <c r="JH160" s="25"/>
      <c r="JI160" s="25"/>
      <c r="JJ160" s="25"/>
      <c r="JK160" s="25"/>
      <c r="JL160" s="25"/>
      <c r="JM160" s="25"/>
      <c r="JN160" s="25"/>
      <c r="JO160" s="25"/>
      <c r="JP160" s="25"/>
      <c r="JQ160" s="25"/>
      <c r="JR160" s="25"/>
      <c r="JS160" s="25"/>
    </row>
    <row r="161" spans="1:279" x14ac:dyDescent="0.3">
      <c r="A161" s="25">
        <v>5060</v>
      </c>
      <c r="B161" s="25" t="s">
        <v>233</v>
      </c>
      <c r="C161" s="25" t="s">
        <v>310</v>
      </c>
      <c r="D161" s="25" t="s">
        <v>309</v>
      </c>
      <c r="E161" s="80">
        <v>126000</v>
      </c>
      <c r="F161" s="31">
        <v>43822</v>
      </c>
      <c r="G161" s="31">
        <v>44186</v>
      </c>
      <c r="H161" s="26"/>
      <c r="I161" s="26">
        <v>5.65</v>
      </c>
      <c r="J161" s="26"/>
      <c r="K161" s="26">
        <f t="shared" si="13"/>
        <v>415.27499999999998</v>
      </c>
      <c r="L161" s="26"/>
      <c r="M161" s="26"/>
      <c r="N161" s="26">
        <f t="shared" si="9"/>
        <v>415.27499999999998</v>
      </c>
      <c r="O161" s="26">
        <f t="shared" si="12"/>
        <v>613.02499999999998</v>
      </c>
      <c r="P161" s="26"/>
      <c r="Q161" s="26"/>
      <c r="R161" s="26">
        <f t="shared" si="10"/>
        <v>1028.3</v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  <c r="HV161" s="25"/>
      <c r="HW161" s="25"/>
      <c r="HX161" s="25"/>
      <c r="HY161" s="25"/>
      <c r="HZ161" s="25"/>
      <c r="IA161" s="25"/>
      <c r="IB161" s="25"/>
      <c r="IC161" s="25"/>
      <c r="ID161" s="25"/>
      <c r="IE161" s="25"/>
      <c r="IF161" s="25"/>
      <c r="IG161" s="25"/>
      <c r="IH161" s="25"/>
      <c r="II161" s="25"/>
      <c r="IJ161" s="25"/>
      <c r="IK161" s="25"/>
      <c r="IL161" s="25"/>
      <c r="IM161" s="25"/>
      <c r="IN161" s="25"/>
      <c r="IO161" s="25"/>
      <c r="IP161" s="25"/>
      <c r="IQ161" s="25"/>
      <c r="IR161" s="25"/>
      <c r="IS161" s="25"/>
      <c r="IT161" s="25"/>
      <c r="IU161" s="25"/>
      <c r="IV161" s="25"/>
      <c r="IW161" s="25"/>
      <c r="IX161" s="25"/>
      <c r="IY161" s="25"/>
      <c r="IZ161" s="25"/>
      <c r="JA161" s="25"/>
      <c r="JB161" s="25"/>
      <c r="JC161" s="25"/>
      <c r="JD161" s="25"/>
      <c r="JE161" s="25"/>
      <c r="JF161" s="25"/>
      <c r="JG161" s="25"/>
      <c r="JH161" s="25"/>
      <c r="JI161" s="25"/>
      <c r="JJ161" s="25"/>
      <c r="JK161" s="25"/>
      <c r="JL161" s="25"/>
      <c r="JM161" s="25"/>
      <c r="JN161" s="25"/>
      <c r="JO161" s="25"/>
      <c r="JP161" s="25"/>
      <c r="JQ161" s="25"/>
      <c r="JR161" s="25"/>
      <c r="JS161" s="25"/>
    </row>
    <row r="162" spans="1:279" x14ac:dyDescent="0.3">
      <c r="A162" s="25">
        <v>5060</v>
      </c>
      <c r="B162" s="25" t="s">
        <v>233</v>
      </c>
      <c r="C162" s="25" t="s">
        <v>308</v>
      </c>
      <c r="D162" s="25" t="s">
        <v>307</v>
      </c>
      <c r="E162" s="80">
        <v>275000</v>
      </c>
      <c r="F162" s="31">
        <v>43822</v>
      </c>
      <c r="G162" s="31">
        <v>44186</v>
      </c>
      <c r="H162" s="26"/>
      <c r="I162" s="26">
        <v>5.65</v>
      </c>
      <c r="J162" s="26"/>
      <c r="K162" s="26">
        <f t="shared" si="13"/>
        <v>906.35416666666663</v>
      </c>
      <c r="L162" s="26"/>
      <c r="M162" s="26"/>
      <c r="N162" s="26">
        <f t="shared" si="9"/>
        <v>906.35416666666663</v>
      </c>
      <c r="O162" s="26">
        <f t="shared" si="12"/>
        <v>1337.9513888888889</v>
      </c>
      <c r="P162" s="26"/>
      <c r="Q162" s="26"/>
      <c r="R162" s="26">
        <f t="shared" si="10"/>
        <v>2244.3055555555557</v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25"/>
      <c r="IH162" s="25"/>
      <c r="II162" s="25"/>
      <c r="IJ162" s="25"/>
      <c r="IK162" s="25"/>
      <c r="IL162" s="25"/>
      <c r="IM162" s="25"/>
      <c r="IN162" s="25"/>
      <c r="IO162" s="25"/>
      <c r="IP162" s="25"/>
      <c r="IQ162" s="25"/>
      <c r="IR162" s="25"/>
      <c r="IS162" s="25"/>
      <c r="IT162" s="25"/>
      <c r="IU162" s="25"/>
      <c r="IV162" s="25"/>
      <c r="IW162" s="25"/>
      <c r="IX162" s="25"/>
      <c r="IY162" s="25"/>
      <c r="IZ162" s="25"/>
      <c r="JA162" s="25"/>
      <c r="JB162" s="25"/>
      <c r="JC162" s="25"/>
      <c r="JD162" s="25"/>
      <c r="JE162" s="25"/>
      <c r="JF162" s="25"/>
      <c r="JG162" s="25"/>
      <c r="JH162" s="25"/>
      <c r="JI162" s="25"/>
      <c r="JJ162" s="25"/>
      <c r="JK162" s="25"/>
      <c r="JL162" s="25"/>
      <c r="JM162" s="25"/>
      <c r="JN162" s="25"/>
      <c r="JO162" s="25"/>
      <c r="JP162" s="25"/>
      <c r="JQ162" s="25"/>
      <c r="JR162" s="25"/>
      <c r="JS162" s="25"/>
    </row>
    <row r="163" spans="1:279" x14ac:dyDescent="0.3">
      <c r="A163" s="25">
        <v>5060</v>
      </c>
      <c r="B163" s="25" t="s">
        <v>233</v>
      </c>
      <c r="C163" s="25" t="s">
        <v>306</v>
      </c>
      <c r="D163" s="25" t="s">
        <v>305</v>
      </c>
      <c r="E163" s="80">
        <v>206000</v>
      </c>
      <c r="F163" s="31">
        <v>43822</v>
      </c>
      <c r="G163" s="31">
        <v>44186</v>
      </c>
      <c r="H163" s="26"/>
      <c r="I163" s="26">
        <v>5.65</v>
      </c>
      <c r="J163" s="26"/>
      <c r="K163" s="26">
        <f t="shared" si="13"/>
        <v>678.94166666666672</v>
      </c>
      <c r="L163" s="26"/>
      <c r="M163" s="26"/>
      <c r="N163" s="26">
        <f t="shared" si="9"/>
        <v>678.94166666666672</v>
      </c>
      <c r="O163" s="26">
        <f t="shared" si="12"/>
        <v>1002.2472222222223</v>
      </c>
      <c r="P163" s="26"/>
      <c r="Q163" s="26"/>
      <c r="R163" s="26">
        <f t="shared" si="10"/>
        <v>1681.1888888888889</v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  <c r="HV163" s="25"/>
      <c r="HW163" s="25"/>
      <c r="HX163" s="25"/>
      <c r="HY163" s="25"/>
      <c r="HZ163" s="25"/>
      <c r="IA163" s="25"/>
      <c r="IB163" s="25"/>
      <c r="IC163" s="25"/>
      <c r="ID163" s="25"/>
      <c r="IE163" s="25"/>
      <c r="IF163" s="25"/>
      <c r="IG163" s="25"/>
      <c r="IH163" s="25"/>
      <c r="II163" s="25"/>
      <c r="IJ163" s="25"/>
      <c r="IK163" s="25"/>
      <c r="IL163" s="25"/>
      <c r="IM163" s="25"/>
      <c r="IN163" s="25"/>
      <c r="IO163" s="25"/>
      <c r="IP163" s="25"/>
      <c r="IQ163" s="25"/>
      <c r="IR163" s="25"/>
      <c r="IS163" s="25"/>
      <c r="IT163" s="25"/>
      <c r="IU163" s="25"/>
      <c r="IV163" s="25"/>
      <c r="IW163" s="25"/>
      <c r="IX163" s="25"/>
      <c r="IY163" s="25"/>
      <c r="IZ163" s="25"/>
      <c r="JA163" s="25"/>
      <c r="JB163" s="25"/>
      <c r="JC163" s="25"/>
      <c r="JD163" s="25"/>
      <c r="JE163" s="25"/>
      <c r="JF163" s="25"/>
      <c r="JG163" s="25"/>
      <c r="JH163" s="25"/>
      <c r="JI163" s="25"/>
      <c r="JJ163" s="25"/>
      <c r="JK163" s="25"/>
      <c r="JL163" s="25"/>
      <c r="JM163" s="25"/>
      <c r="JN163" s="25"/>
      <c r="JO163" s="25"/>
      <c r="JP163" s="25"/>
      <c r="JQ163" s="25"/>
      <c r="JR163" s="25"/>
      <c r="JS163" s="25"/>
    </row>
    <row r="164" spans="1:279" x14ac:dyDescent="0.3">
      <c r="A164" s="25">
        <v>5060</v>
      </c>
      <c r="B164" s="25" t="s">
        <v>233</v>
      </c>
      <c r="C164" s="25" t="s">
        <v>304</v>
      </c>
      <c r="D164" s="25" t="s">
        <v>303</v>
      </c>
      <c r="E164" s="80">
        <v>130000</v>
      </c>
      <c r="F164" s="31">
        <v>43822</v>
      </c>
      <c r="G164" s="31">
        <v>44186</v>
      </c>
      <c r="H164" s="26"/>
      <c r="I164" s="26">
        <v>5.65</v>
      </c>
      <c r="J164" s="26"/>
      <c r="K164" s="26">
        <f t="shared" si="13"/>
        <v>428.45833333333337</v>
      </c>
      <c r="L164" s="26"/>
      <c r="M164" s="26"/>
      <c r="N164" s="26">
        <f t="shared" si="9"/>
        <v>428.45833333333337</v>
      </c>
      <c r="O164" s="26">
        <f t="shared" si="12"/>
        <v>632.48611111111109</v>
      </c>
      <c r="P164" s="26"/>
      <c r="Q164" s="26"/>
      <c r="R164" s="26">
        <f t="shared" si="10"/>
        <v>1060.9444444444443</v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25"/>
      <c r="IH164" s="25"/>
      <c r="II164" s="25"/>
      <c r="IJ164" s="25"/>
      <c r="IK164" s="25"/>
      <c r="IL164" s="25"/>
      <c r="IM164" s="25"/>
      <c r="IN164" s="25"/>
      <c r="IO164" s="25"/>
      <c r="IP164" s="25"/>
      <c r="IQ164" s="25"/>
      <c r="IR164" s="25"/>
      <c r="IS164" s="25"/>
      <c r="IT164" s="25"/>
      <c r="IU164" s="25"/>
      <c r="IV164" s="25"/>
      <c r="IW164" s="25"/>
      <c r="IX164" s="25"/>
      <c r="IY164" s="25"/>
      <c r="IZ164" s="25"/>
      <c r="JA164" s="25"/>
      <c r="JB164" s="25"/>
      <c r="JC164" s="25"/>
      <c r="JD164" s="25"/>
      <c r="JE164" s="25"/>
      <c r="JF164" s="25"/>
      <c r="JG164" s="25"/>
      <c r="JH164" s="25"/>
      <c r="JI164" s="25"/>
      <c r="JJ164" s="25"/>
      <c r="JK164" s="25"/>
      <c r="JL164" s="25"/>
      <c r="JM164" s="25"/>
      <c r="JN164" s="25"/>
      <c r="JO164" s="25"/>
      <c r="JP164" s="25"/>
      <c r="JQ164" s="25"/>
      <c r="JR164" s="25"/>
      <c r="JS164" s="25"/>
    </row>
    <row r="165" spans="1:279" x14ac:dyDescent="0.3">
      <c r="A165" s="25">
        <v>5060</v>
      </c>
      <c r="B165" s="25" t="s">
        <v>233</v>
      </c>
      <c r="C165" s="25" t="s">
        <v>302</v>
      </c>
      <c r="D165" s="25" t="s">
        <v>301</v>
      </c>
      <c r="E165" s="80">
        <v>51138.69</v>
      </c>
      <c r="F165" s="31">
        <v>43822</v>
      </c>
      <c r="G165" s="31">
        <v>44186</v>
      </c>
      <c r="H165" s="26"/>
      <c r="I165" s="26">
        <v>5.65</v>
      </c>
      <c r="J165" s="26"/>
      <c r="K165" s="26">
        <f t="shared" si="13"/>
        <v>168.54459912500002</v>
      </c>
      <c r="L165" s="26"/>
      <c r="M165" s="26"/>
      <c r="N165" s="26">
        <f t="shared" si="9"/>
        <v>168.54459912500002</v>
      </c>
      <c r="O165" s="26">
        <f t="shared" si="12"/>
        <v>248.80393204166671</v>
      </c>
      <c r="P165" s="26"/>
      <c r="Q165" s="26"/>
      <c r="R165" s="26">
        <f t="shared" si="10"/>
        <v>417.3485311666667</v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  <c r="HV165" s="25"/>
      <c r="HW165" s="25"/>
      <c r="HX165" s="25"/>
      <c r="HY165" s="25"/>
      <c r="HZ165" s="25"/>
      <c r="IA165" s="25"/>
      <c r="IB165" s="25"/>
      <c r="IC165" s="25"/>
      <c r="ID165" s="25"/>
      <c r="IE165" s="25"/>
      <c r="IF165" s="25"/>
      <c r="IG165" s="25"/>
      <c r="IH165" s="25"/>
      <c r="II165" s="25"/>
      <c r="IJ165" s="25"/>
      <c r="IK165" s="25"/>
      <c r="IL165" s="25"/>
      <c r="IM165" s="25"/>
      <c r="IN165" s="25"/>
      <c r="IO165" s="25"/>
      <c r="IP165" s="25"/>
      <c r="IQ165" s="25"/>
      <c r="IR165" s="25"/>
      <c r="IS165" s="25"/>
      <c r="IT165" s="25"/>
      <c r="IU165" s="25"/>
      <c r="IV165" s="25"/>
      <c r="IW165" s="25"/>
      <c r="IX165" s="25"/>
      <c r="IY165" s="25"/>
      <c r="IZ165" s="25"/>
      <c r="JA165" s="25"/>
      <c r="JB165" s="25"/>
      <c r="JC165" s="25"/>
      <c r="JD165" s="25"/>
      <c r="JE165" s="25"/>
      <c r="JF165" s="25"/>
      <c r="JG165" s="25"/>
      <c r="JH165" s="25"/>
      <c r="JI165" s="25"/>
      <c r="JJ165" s="25"/>
      <c r="JK165" s="25"/>
      <c r="JL165" s="25"/>
      <c r="JM165" s="25"/>
      <c r="JN165" s="25"/>
      <c r="JO165" s="25"/>
      <c r="JP165" s="25"/>
      <c r="JQ165" s="25"/>
      <c r="JR165" s="25"/>
      <c r="JS165" s="25"/>
    </row>
    <row r="166" spans="1:279" x14ac:dyDescent="0.3">
      <c r="A166" s="25">
        <v>5060</v>
      </c>
      <c r="B166" s="25" t="s">
        <v>233</v>
      </c>
      <c r="C166" s="25" t="s">
        <v>300</v>
      </c>
      <c r="D166" s="25" t="s">
        <v>299</v>
      </c>
      <c r="E166" s="80">
        <v>200000</v>
      </c>
      <c r="F166" s="31">
        <v>43822</v>
      </c>
      <c r="G166" s="31">
        <v>44186</v>
      </c>
      <c r="H166" s="26"/>
      <c r="I166" s="26">
        <v>5.65</v>
      </c>
      <c r="J166" s="26"/>
      <c r="K166" s="26">
        <f t="shared" si="13"/>
        <v>659.16666666666663</v>
      </c>
      <c r="L166" s="26"/>
      <c r="M166" s="26"/>
      <c r="N166" s="26">
        <f t="shared" si="9"/>
        <v>659.16666666666663</v>
      </c>
      <c r="O166" s="26">
        <f t="shared" si="12"/>
        <v>973.05555555555554</v>
      </c>
      <c r="P166" s="26"/>
      <c r="Q166" s="26"/>
      <c r="R166" s="26">
        <f t="shared" si="10"/>
        <v>1632.2222222222222</v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25"/>
      <c r="IH166" s="25"/>
      <c r="II166" s="25"/>
      <c r="IJ166" s="25"/>
      <c r="IK166" s="25"/>
      <c r="IL166" s="25"/>
      <c r="IM166" s="25"/>
      <c r="IN166" s="25"/>
      <c r="IO166" s="25"/>
      <c r="IP166" s="25"/>
      <c r="IQ166" s="25"/>
      <c r="IR166" s="25"/>
      <c r="IS166" s="25"/>
      <c r="IT166" s="25"/>
      <c r="IU166" s="25"/>
      <c r="IV166" s="25"/>
      <c r="IW166" s="25"/>
      <c r="IX166" s="25"/>
      <c r="IY166" s="25"/>
      <c r="IZ166" s="25"/>
      <c r="JA166" s="25"/>
      <c r="JB166" s="25"/>
      <c r="JC166" s="25"/>
      <c r="JD166" s="25"/>
      <c r="JE166" s="25"/>
      <c r="JF166" s="25"/>
      <c r="JG166" s="25"/>
      <c r="JH166" s="25"/>
      <c r="JI166" s="25"/>
      <c r="JJ166" s="25"/>
      <c r="JK166" s="25"/>
      <c r="JL166" s="25"/>
      <c r="JM166" s="25"/>
      <c r="JN166" s="25"/>
      <c r="JO166" s="25"/>
      <c r="JP166" s="25"/>
      <c r="JQ166" s="25"/>
      <c r="JR166" s="25"/>
      <c r="JS166" s="25"/>
    </row>
    <row r="167" spans="1:279" x14ac:dyDescent="0.3">
      <c r="A167" s="25">
        <v>5063</v>
      </c>
      <c r="B167" s="25" t="s">
        <v>25</v>
      </c>
      <c r="C167" s="25" t="s">
        <v>298</v>
      </c>
      <c r="D167" s="25" t="s">
        <v>297</v>
      </c>
      <c r="E167" s="80">
        <v>160000</v>
      </c>
      <c r="F167" s="31">
        <v>43832</v>
      </c>
      <c r="G167" s="31">
        <v>44198</v>
      </c>
      <c r="H167" s="26"/>
      <c r="I167" s="26">
        <v>4.4000000000000004</v>
      </c>
      <c r="J167" s="26"/>
      <c r="K167" s="26"/>
      <c r="L167" s="26"/>
      <c r="M167" s="26"/>
      <c r="N167" s="26"/>
      <c r="O167" s="26">
        <f>(+$E167*$I167%)/360*29</f>
        <v>567.1111111111112</v>
      </c>
      <c r="P167" s="26"/>
      <c r="Q167" s="26"/>
      <c r="R167" s="26">
        <f t="shared" si="10"/>
        <v>567.1111111111112</v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  <c r="HW167" s="25"/>
      <c r="HX167" s="25"/>
      <c r="HY167" s="25"/>
      <c r="HZ167" s="25"/>
      <c r="IA167" s="25"/>
      <c r="IB167" s="25"/>
      <c r="IC167" s="25"/>
      <c r="ID167" s="25"/>
      <c r="IE167" s="25"/>
      <c r="IF167" s="25"/>
      <c r="IG167" s="25"/>
      <c r="IH167" s="25"/>
      <c r="II167" s="25"/>
      <c r="IJ167" s="25"/>
      <c r="IK167" s="25"/>
      <c r="IL167" s="25"/>
      <c r="IM167" s="25"/>
      <c r="IN167" s="25"/>
      <c r="IO167" s="25"/>
      <c r="IP167" s="25"/>
      <c r="IQ167" s="25"/>
      <c r="IR167" s="25"/>
      <c r="IS167" s="25"/>
      <c r="IT167" s="25"/>
      <c r="IU167" s="25"/>
      <c r="IV167" s="25"/>
      <c r="IW167" s="25"/>
      <c r="IX167" s="25"/>
      <c r="IY167" s="25"/>
      <c r="IZ167" s="25"/>
      <c r="JA167" s="25"/>
      <c r="JB167" s="25"/>
      <c r="JC167" s="25"/>
      <c r="JD167" s="25"/>
      <c r="JE167" s="25"/>
      <c r="JF167" s="25"/>
      <c r="JG167" s="25"/>
      <c r="JH167" s="25"/>
      <c r="JI167" s="25"/>
      <c r="JJ167" s="25"/>
      <c r="JK167" s="25"/>
      <c r="JL167" s="25"/>
      <c r="JM167" s="25"/>
      <c r="JN167" s="25"/>
      <c r="JO167" s="25"/>
      <c r="JP167" s="25"/>
      <c r="JQ167" s="25"/>
      <c r="JR167" s="25"/>
      <c r="JS167" s="25"/>
    </row>
    <row r="168" spans="1:279" x14ac:dyDescent="0.3">
      <c r="A168" s="25">
        <v>5060</v>
      </c>
      <c r="B168" s="25" t="s">
        <v>19</v>
      </c>
      <c r="C168" s="25" t="s">
        <v>296</v>
      </c>
      <c r="D168" s="25" t="s">
        <v>295</v>
      </c>
      <c r="E168" s="80">
        <v>60000</v>
      </c>
      <c r="F168" s="31">
        <v>43837</v>
      </c>
      <c r="G168" s="31">
        <v>44203</v>
      </c>
      <c r="H168" s="26"/>
      <c r="I168" s="26">
        <v>1.9</v>
      </c>
      <c r="J168" s="26"/>
      <c r="K168" s="26"/>
      <c r="L168" s="26"/>
      <c r="M168" s="26"/>
      <c r="N168" s="26"/>
      <c r="O168" s="26">
        <f>(+$E168*$I168%)/360*24</f>
        <v>76</v>
      </c>
      <c r="P168" s="26"/>
      <c r="Q168" s="26"/>
      <c r="R168" s="26">
        <f t="shared" si="10"/>
        <v>76</v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25"/>
      <c r="IH168" s="25"/>
      <c r="II168" s="25"/>
      <c r="IJ168" s="25"/>
      <c r="IK168" s="25"/>
      <c r="IL168" s="25"/>
      <c r="IM168" s="25"/>
      <c r="IN168" s="25"/>
      <c r="IO168" s="25"/>
      <c r="IP168" s="25"/>
      <c r="IQ168" s="25"/>
      <c r="IR168" s="25"/>
      <c r="IS168" s="25"/>
      <c r="IT168" s="25"/>
      <c r="IU168" s="25"/>
      <c r="IV168" s="25"/>
      <c r="IW168" s="25"/>
      <c r="IX168" s="25"/>
      <c r="IY168" s="25"/>
      <c r="IZ168" s="25"/>
      <c r="JA168" s="25"/>
      <c r="JB168" s="25"/>
      <c r="JC168" s="25"/>
      <c r="JD168" s="25"/>
      <c r="JE168" s="25"/>
      <c r="JF168" s="25"/>
      <c r="JG168" s="25"/>
      <c r="JH168" s="25"/>
      <c r="JI168" s="25"/>
      <c r="JJ168" s="25"/>
      <c r="JK168" s="25"/>
      <c r="JL168" s="25"/>
      <c r="JM168" s="25"/>
      <c r="JN168" s="25"/>
      <c r="JO168" s="25"/>
      <c r="JP168" s="25"/>
      <c r="JQ168" s="25"/>
      <c r="JR168" s="25"/>
      <c r="JS168" s="25"/>
    </row>
    <row r="169" spans="1:279" x14ac:dyDescent="0.3">
      <c r="A169" s="25">
        <v>5060</v>
      </c>
      <c r="B169" s="25" t="s">
        <v>16</v>
      </c>
      <c r="C169" s="25" t="s">
        <v>294</v>
      </c>
      <c r="D169" s="25" t="s">
        <v>293</v>
      </c>
      <c r="E169" s="80">
        <v>60000</v>
      </c>
      <c r="F169" s="31">
        <v>43838</v>
      </c>
      <c r="G169" s="31">
        <v>44204</v>
      </c>
      <c r="H169" s="26"/>
      <c r="I169" s="26">
        <v>1.9</v>
      </c>
      <c r="J169" s="26"/>
      <c r="K169" s="26"/>
      <c r="L169" s="26"/>
      <c r="M169" s="26"/>
      <c r="N169" s="26"/>
      <c r="O169" s="26">
        <f>(+$E169*$I169%)/360*23</f>
        <v>72.833333333333329</v>
      </c>
      <c r="P169" s="26"/>
      <c r="Q169" s="26"/>
      <c r="R169" s="26">
        <f t="shared" si="10"/>
        <v>72.833333333333329</v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J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  <c r="HA169" s="25"/>
      <c r="HB169" s="25"/>
      <c r="HC169" s="25"/>
      <c r="HD169" s="25"/>
      <c r="HE169" s="25"/>
      <c r="HF169" s="25"/>
      <c r="HG169" s="25"/>
      <c r="HH169" s="25"/>
      <c r="HI169" s="25"/>
      <c r="HJ169" s="25"/>
      <c r="HK169" s="25"/>
      <c r="HL169" s="25"/>
      <c r="HM169" s="25"/>
      <c r="HN169" s="25"/>
      <c r="HO169" s="25"/>
      <c r="HP169" s="25"/>
      <c r="HQ169" s="25"/>
      <c r="HR169" s="25"/>
      <c r="HS169" s="25"/>
      <c r="HT169" s="25"/>
      <c r="HU169" s="25"/>
      <c r="HV169" s="25"/>
      <c r="HW169" s="25"/>
      <c r="HX169" s="25"/>
      <c r="HY169" s="25"/>
      <c r="HZ169" s="25"/>
      <c r="IA169" s="25"/>
      <c r="IB169" s="25"/>
      <c r="IC169" s="25"/>
      <c r="ID169" s="25"/>
      <c r="IE169" s="25"/>
      <c r="IF169" s="25"/>
      <c r="IG169" s="25"/>
      <c r="IH169" s="25"/>
      <c r="II169" s="25"/>
      <c r="IJ169" s="25"/>
      <c r="IK169" s="25"/>
      <c r="IL169" s="25"/>
      <c r="IM169" s="25"/>
      <c r="IN169" s="25"/>
      <c r="IO169" s="25"/>
      <c r="IP169" s="25"/>
      <c r="IQ169" s="25"/>
      <c r="IR169" s="25"/>
      <c r="IS169" s="25"/>
      <c r="IT169" s="25"/>
      <c r="IU169" s="25"/>
      <c r="IV169" s="25"/>
      <c r="IW169" s="25"/>
      <c r="IX169" s="25"/>
      <c r="IY169" s="25"/>
      <c r="IZ169" s="25"/>
      <c r="JA169" s="25"/>
      <c r="JB169" s="25"/>
      <c r="JC169" s="25"/>
      <c r="JD169" s="25"/>
      <c r="JE169" s="25"/>
      <c r="JF169" s="25"/>
      <c r="JG169" s="25"/>
      <c r="JH169" s="25"/>
      <c r="JI169" s="25"/>
      <c r="JJ169" s="25"/>
      <c r="JK169" s="25"/>
      <c r="JL169" s="25"/>
      <c r="JM169" s="25"/>
      <c r="JN169" s="25"/>
      <c r="JO169" s="25"/>
      <c r="JP169" s="25"/>
      <c r="JQ169" s="25"/>
      <c r="JR169" s="25"/>
      <c r="JS169" s="25"/>
    </row>
    <row r="170" spans="1:279" x14ac:dyDescent="0.3">
      <c r="A170" s="25">
        <v>5060</v>
      </c>
      <c r="B170" s="25" t="s">
        <v>233</v>
      </c>
      <c r="C170" s="25" t="s">
        <v>292</v>
      </c>
      <c r="D170" s="25" t="s">
        <v>291</v>
      </c>
      <c r="E170" s="80">
        <v>59000</v>
      </c>
      <c r="F170" s="31">
        <v>43846</v>
      </c>
      <c r="G170" s="31">
        <v>44212</v>
      </c>
      <c r="H170" s="26"/>
      <c r="I170" s="26">
        <v>5.65</v>
      </c>
      <c r="J170" s="26"/>
      <c r="K170" s="26"/>
      <c r="L170" s="26"/>
      <c r="M170" s="26"/>
      <c r="N170" s="26"/>
      <c r="O170" s="26">
        <f>(+$E170*$I170%)/360*25</f>
        <v>231.49305555555557</v>
      </c>
      <c r="P170" s="26"/>
      <c r="Q170" s="26"/>
      <c r="R170" s="26">
        <f t="shared" si="10"/>
        <v>231.49305555555557</v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  <c r="IS170" s="25"/>
      <c r="IT170" s="25"/>
      <c r="IU170" s="25"/>
      <c r="IV170" s="25"/>
      <c r="IW170" s="25"/>
      <c r="IX170" s="25"/>
      <c r="IY170" s="25"/>
      <c r="IZ170" s="25"/>
      <c r="JA170" s="25"/>
      <c r="JB170" s="25"/>
      <c r="JC170" s="25"/>
      <c r="JD170" s="25"/>
      <c r="JE170" s="25"/>
      <c r="JF170" s="25"/>
      <c r="JG170" s="25"/>
      <c r="JH170" s="25"/>
      <c r="JI170" s="25"/>
      <c r="JJ170" s="25"/>
      <c r="JK170" s="25"/>
      <c r="JL170" s="25"/>
      <c r="JM170" s="25"/>
      <c r="JN170" s="25"/>
      <c r="JO170" s="25"/>
      <c r="JP170" s="25"/>
      <c r="JQ170" s="25"/>
      <c r="JR170" s="25"/>
      <c r="JS170" s="25"/>
    </row>
    <row r="171" spans="1:279" x14ac:dyDescent="0.3">
      <c r="A171" s="25">
        <v>5060</v>
      </c>
      <c r="B171" s="25" t="s">
        <v>19</v>
      </c>
      <c r="C171" s="25" t="s">
        <v>290</v>
      </c>
      <c r="D171" s="25" t="s">
        <v>289</v>
      </c>
      <c r="E171" s="80">
        <v>50000</v>
      </c>
      <c r="F171" s="31">
        <v>43846</v>
      </c>
      <c r="G171" s="31">
        <v>44212</v>
      </c>
      <c r="H171" s="26"/>
      <c r="I171" s="26">
        <v>1.9</v>
      </c>
      <c r="J171" s="26"/>
      <c r="K171" s="26"/>
      <c r="L171" s="26"/>
      <c r="M171" s="26"/>
      <c r="N171" s="26"/>
      <c r="O171" s="26">
        <f>(+$E171*$I171%)/360*25</f>
        <v>65.972222222222214</v>
      </c>
      <c r="P171" s="26"/>
      <c r="Q171" s="26"/>
      <c r="R171" s="26">
        <f t="shared" si="10"/>
        <v>65.972222222222214</v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J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  <c r="HA171" s="25"/>
      <c r="HB171" s="25"/>
      <c r="HC171" s="25"/>
      <c r="HD171" s="25"/>
      <c r="HE171" s="25"/>
      <c r="HF171" s="25"/>
      <c r="HG171" s="25"/>
      <c r="HH171" s="25"/>
      <c r="HI171" s="25"/>
      <c r="HJ171" s="25"/>
      <c r="HK171" s="25"/>
      <c r="HL171" s="25"/>
      <c r="HM171" s="25"/>
      <c r="HN171" s="25"/>
      <c r="HO171" s="25"/>
      <c r="HP171" s="25"/>
      <c r="HQ171" s="25"/>
      <c r="HR171" s="25"/>
      <c r="HS171" s="25"/>
      <c r="HT171" s="25"/>
      <c r="HU171" s="25"/>
      <c r="HV171" s="25"/>
      <c r="HW171" s="25"/>
      <c r="HX171" s="25"/>
      <c r="HY171" s="25"/>
      <c r="HZ171" s="25"/>
      <c r="IA171" s="25"/>
      <c r="IB171" s="25"/>
      <c r="IC171" s="25"/>
      <c r="ID171" s="25"/>
      <c r="IE171" s="25"/>
      <c r="IF171" s="25"/>
      <c r="IG171" s="25"/>
      <c r="IH171" s="25"/>
      <c r="II171" s="25"/>
      <c r="IJ171" s="25"/>
      <c r="IK171" s="25"/>
      <c r="IL171" s="25"/>
      <c r="IM171" s="25"/>
      <c r="IN171" s="25"/>
      <c r="IO171" s="25"/>
      <c r="IP171" s="25"/>
      <c r="IQ171" s="25"/>
      <c r="IR171" s="25"/>
      <c r="IS171" s="25"/>
      <c r="IT171" s="25"/>
      <c r="IU171" s="25"/>
      <c r="IV171" s="25"/>
      <c r="IW171" s="25"/>
      <c r="IX171" s="25"/>
      <c r="IY171" s="25"/>
      <c r="IZ171" s="25"/>
      <c r="JA171" s="25"/>
      <c r="JB171" s="25"/>
      <c r="JC171" s="25"/>
      <c r="JD171" s="25"/>
      <c r="JE171" s="25"/>
      <c r="JF171" s="25"/>
      <c r="JG171" s="25"/>
      <c r="JH171" s="25"/>
      <c r="JI171" s="25"/>
      <c r="JJ171" s="25"/>
      <c r="JK171" s="25"/>
      <c r="JL171" s="25"/>
      <c r="JM171" s="25"/>
      <c r="JN171" s="25"/>
      <c r="JO171" s="25"/>
      <c r="JP171" s="25"/>
      <c r="JQ171" s="25"/>
      <c r="JR171" s="25"/>
      <c r="JS171" s="25"/>
    </row>
    <row r="172" spans="1:279" x14ac:dyDescent="0.3">
      <c r="A172" s="25">
        <v>5055</v>
      </c>
      <c r="B172" s="25" t="s">
        <v>56</v>
      </c>
      <c r="C172" s="25" t="s">
        <v>288</v>
      </c>
      <c r="D172" s="25" t="s">
        <v>287</v>
      </c>
      <c r="E172" s="80">
        <v>746000</v>
      </c>
      <c r="F172" s="31">
        <v>43851</v>
      </c>
      <c r="G172" s="31">
        <v>44206</v>
      </c>
      <c r="H172" s="26"/>
      <c r="I172" s="26">
        <v>7.55</v>
      </c>
      <c r="J172" s="26"/>
      <c r="K172" s="26"/>
      <c r="L172" s="26"/>
      <c r="M172" s="26"/>
      <c r="N172" s="26"/>
      <c r="O172" s="26">
        <f>(+$E172*$I172%)/360*21</f>
        <v>3285.5083333333332</v>
      </c>
      <c r="P172" s="26"/>
      <c r="Q172" s="26"/>
      <c r="R172" s="26">
        <f t="shared" si="10"/>
        <v>3285.5083333333332</v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25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25"/>
      <c r="IH172" s="25"/>
      <c r="II172" s="25"/>
      <c r="IJ172" s="25"/>
      <c r="IK172" s="25"/>
      <c r="IL172" s="25"/>
      <c r="IM172" s="25"/>
      <c r="IN172" s="25"/>
      <c r="IO172" s="25"/>
      <c r="IP172" s="25"/>
      <c r="IQ172" s="25"/>
      <c r="IR172" s="25"/>
      <c r="IS172" s="25"/>
      <c r="IT172" s="25"/>
      <c r="IU172" s="25"/>
      <c r="IV172" s="25"/>
      <c r="IW172" s="25"/>
      <c r="IX172" s="25"/>
      <c r="IY172" s="25"/>
      <c r="IZ172" s="25"/>
      <c r="JA172" s="25"/>
      <c r="JB172" s="25"/>
      <c r="JC172" s="25"/>
      <c r="JD172" s="25"/>
      <c r="JE172" s="25"/>
      <c r="JF172" s="25"/>
      <c r="JG172" s="25"/>
      <c r="JH172" s="25"/>
      <c r="JI172" s="25"/>
      <c r="JJ172" s="25"/>
      <c r="JK172" s="25"/>
      <c r="JL172" s="25"/>
      <c r="JM172" s="25"/>
      <c r="JN172" s="25"/>
      <c r="JO172" s="25"/>
      <c r="JP172" s="25"/>
      <c r="JQ172" s="25"/>
      <c r="JR172" s="25"/>
      <c r="JS172" s="25"/>
    </row>
    <row r="173" spans="1:279" x14ac:dyDescent="0.3">
      <c r="A173" s="25">
        <v>5055</v>
      </c>
      <c r="B173" s="25" t="s">
        <v>56</v>
      </c>
      <c r="C173" s="25" t="s">
        <v>286</v>
      </c>
      <c r="D173" s="25" t="s">
        <v>285</v>
      </c>
      <c r="E173" s="80">
        <v>50000</v>
      </c>
      <c r="F173" s="31">
        <v>43851</v>
      </c>
      <c r="G173" s="31">
        <v>44210</v>
      </c>
      <c r="H173" s="26"/>
      <c r="I173" s="26">
        <v>5.65</v>
      </c>
      <c r="J173" s="26"/>
      <c r="K173" s="26"/>
      <c r="L173" s="26"/>
      <c r="M173" s="26"/>
      <c r="N173" s="26"/>
      <c r="O173" s="26">
        <f>(+$E173*$I173%)/360*17</f>
        <v>133.40277777777777</v>
      </c>
      <c r="P173" s="26"/>
      <c r="Q173" s="26"/>
      <c r="R173" s="26">
        <f t="shared" si="10"/>
        <v>133.40277777777777</v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J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  <c r="HA173" s="25"/>
      <c r="HB173" s="25"/>
      <c r="HC173" s="25"/>
      <c r="HD173" s="25"/>
      <c r="HE173" s="25"/>
      <c r="HF173" s="25"/>
      <c r="HG173" s="25"/>
      <c r="HH173" s="25"/>
      <c r="HI173" s="25"/>
      <c r="HJ173" s="25"/>
      <c r="HK173" s="25"/>
      <c r="HL173" s="25"/>
      <c r="HM173" s="25"/>
      <c r="HN173" s="25"/>
      <c r="HO173" s="25"/>
      <c r="HP173" s="25"/>
      <c r="HQ173" s="25"/>
      <c r="HR173" s="25"/>
      <c r="HS173" s="25"/>
      <c r="HT173" s="25"/>
      <c r="HU173" s="25"/>
      <c r="HV173" s="25"/>
      <c r="HW173" s="25"/>
      <c r="HX173" s="25"/>
      <c r="HY173" s="25"/>
      <c r="HZ173" s="25"/>
      <c r="IA173" s="25"/>
      <c r="IB173" s="25"/>
      <c r="IC173" s="25"/>
      <c r="ID173" s="25"/>
      <c r="IE173" s="25"/>
      <c r="IF173" s="25"/>
      <c r="IG173" s="25"/>
      <c r="IH173" s="25"/>
      <c r="II173" s="25"/>
      <c r="IJ173" s="25"/>
      <c r="IK173" s="25"/>
      <c r="IL173" s="25"/>
      <c r="IM173" s="25"/>
      <c r="IN173" s="25"/>
      <c r="IO173" s="25"/>
      <c r="IP173" s="25"/>
      <c r="IQ173" s="25"/>
      <c r="IR173" s="25"/>
      <c r="IS173" s="25"/>
      <c r="IT173" s="25"/>
      <c r="IU173" s="25"/>
      <c r="IV173" s="25"/>
      <c r="IW173" s="25"/>
      <c r="IX173" s="25"/>
      <c r="IY173" s="25"/>
      <c r="IZ173" s="25"/>
      <c r="JA173" s="25"/>
      <c r="JB173" s="25"/>
      <c r="JC173" s="25"/>
      <c r="JD173" s="25"/>
      <c r="JE173" s="25"/>
      <c r="JF173" s="25"/>
      <c r="JG173" s="25"/>
      <c r="JH173" s="25"/>
      <c r="JI173" s="25"/>
      <c r="JJ173" s="25"/>
      <c r="JK173" s="25"/>
      <c r="JL173" s="25"/>
      <c r="JM173" s="25"/>
      <c r="JN173" s="25"/>
      <c r="JO173" s="25"/>
      <c r="JP173" s="25"/>
      <c r="JQ173" s="25"/>
      <c r="JR173" s="25"/>
      <c r="JS173" s="25"/>
    </row>
    <row r="174" spans="1:279" x14ac:dyDescent="0.3">
      <c r="A174" s="25">
        <v>5055</v>
      </c>
      <c r="B174" s="25" t="s">
        <v>56</v>
      </c>
      <c r="C174" s="25" t="s">
        <v>284</v>
      </c>
      <c r="D174" s="25" t="s">
        <v>283</v>
      </c>
      <c r="E174" s="80">
        <v>220000</v>
      </c>
      <c r="F174" s="31">
        <v>43852</v>
      </c>
      <c r="G174" s="31">
        <v>44218</v>
      </c>
      <c r="H174" s="26"/>
      <c r="I174" s="26">
        <v>5.65</v>
      </c>
      <c r="J174" s="26"/>
      <c r="K174" s="26"/>
      <c r="L174" s="26"/>
      <c r="M174" s="26"/>
      <c r="N174" s="26"/>
      <c r="O174" s="26">
        <f>(+$E174*$I174%)/360*9</f>
        <v>310.75</v>
      </c>
      <c r="P174" s="26"/>
      <c r="Q174" s="26"/>
      <c r="R174" s="26">
        <f t="shared" si="10"/>
        <v>310.75</v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25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25"/>
      <c r="IH174" s="25"/>
      <c r="II174" s="25"/>
      <c r="IJ174" s="25"/>
      <c r="IK174" s="25"/>
      <c r="IL174" s="25"/>
      <c r="IM174" s="25"/>
      <c r="IN174" s="25"/>
      <c r="IO174" s="25"/>
      <c r="IP174" s="25"/>
      <c r="IQ174" s="25"/>
      <c r="IR174" s="25"/>
      <c r="IS174" s="25"/>
      <c r="IT174" s="25"/>
      <c r="IU174" s="25"/>
      <c r="IV174" s="25"/>
      <c r="IW174" s="25"/>
      <c r="IX174" s="25"/>
      <c r="IY174" s="25"/>
      <c r="IZ174" s="25"/>
      <c r="JA174" s="25"/>
      <c r="JB174" s="25"/>
      <c r="JC174" s="25"/>
      <c r="JD174" s="25"/>
      <c r="JE174" s="25"/>
      <c r="JF174" s="25"/>
      <c r="JG174" s="25"/>
      <c r="JH174" s="25"/>
      <c r="JI174" s="25"/>
      <c r="JJ174" s="25"/>
      <c r="JK174" s="25"/>
      <c r="JL174" s="25"/>
      <c r="JM174" s="25"/>
      <c r="JN174" s="25"/>
      <c r="JO174" s="25"/>
      <c r="JP174" s="25"/>
      <c r="JQ174" s="25"/>
      <c r="JR174" s="25"/>
      <c r="JS174" s="25"/>
    </row>
    <row r="175" spans="1:279" x14ac:dyDescent="0.3">
      <c r="A175" s="25">
        <v>5060</v>
      </c>
      <c r="B175" s="25" t="s">
        <v>16</v>
      </c>
      <c r="C175" s="25" t="s">
        <v>282</v>
      </c>
      <c r="D175" s="25" t="s">
        <v>281</v>
      </c>
      <c r="E175" s="80">
        <v>60000</v>
      </c>
      <c r="F175" s="31">
        <v>43852</v>
      </c>
      <c r="G175" s="31">
        <v>44218</v>
      </c>
      <c r="H175" s="26"/>
      <c r="I175" s="26">
        <v>1.9</v>
      </c>
      <c r="J175" s="26"/>
      <c r="K175" s="26"/>
      <c r="L175" s="26"/>
      <c r="M175" s="26"/>
      <c r="N175" s="26"/>
      <c r="O175" s="26">
        <f>(+$E175*$I175%)/360*9</f>
        <v>28.5</v>
      </c>
      <c r="P175" s="26"/>
      <c r="Q175" s="26"/>
      <c r="R175" s="26">
        <f t="shared" si="10"/>
        <v>28.5</v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  <c r="HX175" s="25"/>
      <c r="HY175" s="25"/>
      <c r="HZ175" s="25"/>
      <c r="IA175" s="25"/>
      <c r="IB175" s="25"/>
      <c r="IC175" s="25"/>
      <c r="ID175" s="25"/>
      <c r="IE175" s="25"/>
      <c r="IF175" s="25"/>
      <c r="IG175" s="25"/>
      <c r="IH175" s="25"/>
      <c r="II175" s="25"/>
      <c r="IJ175" s="25"/>
      <c r="IK175" s="25"/>
      <c r="IL175" s="25"/>
      <c r="IM175" s="25"/>
      <c r="IN175" s="25"/>
      <c r="IO175" s="25"/>
      <c r="IP175" s="25"/>
      <c r="IQ175" s="25"/>
      <c r="IR175" s="25"/>
      <c r="IS175" s="25"/>
      <c r="IT175" s="25"/>
      <c r="IU175" s="25"/>
      <c r="IV175" s="25"/>
      <c r="IW175" s="25"/>
      <c r="IX175" s="25"/>
      <c r="IY175" s="25"/>
      <c r="IZ175" s="25"/>
      <c r="JA175" s="25"/>
      <c r="JB175" s="25"/>
      <c r="JC175" s="25"/>
      <c r="JD175" s="25"/>
      <c r="JE175" s="25"/>
      <c r="JF175" s="25"/>
      <c r="JG175" s="25"/>
      <c r="JH175" s="25"/>
      <c r="JI175" s="25"/>
      <c r="JJ175" s="25"/>
      <c r="JK175" s="25"/>
      <c r="JL175" s="25"/>
      <c r="JM175" s="25"/>
      <c r="JN175" s="25"/>
      <c r="JO175" s="25"/>
      <c r="JP175" s="25"/>
      <c r="JQ175" s="25"/>
      <c r="JR175" s="25"/>
      <c r="JS175" s="25"/>
    </row>
    <row r="176" spans="1:279" x14ac:dyDescent="0.3">
      <c r="A176" s="25">
        <v>5055</v>
      </c>
      <c r="B176" s="25" t="s">
        <v>56</v>
      </c>
      <c r="C176" s="25" t="s">
        <v>280</v>
      </c>
      <c r="D176" s="25" t="s">
        <v>279</v>
      </c>
      <c r="E176" s="80">
        <v>2200000</v>
      </c>
      <c r="F176" s="31">
        <v>43848</v>
      </c>
      <c r="G176" s="31">
        <v>44214</v>
      </c>
      <c r="H176" s="26"/>
      <c r="I176" s="26">
        <v>6.85</v>
      </c>
      <c r="J176" s="26"/>
      <c r="K176" s="26"/>
      <c r="L176" s="26"/>
      <c r="M176" s="26"/>
      <c r="N176" s="26"/>
      <c r="O176" s="26">
        <f>(+$E176*$I176%)/360*13</f>
        <v>5441.9444444444434</v>
      </c>
      <c r="P176" s="26"/>
      <c r="Q176" s="26"/>
      <c r="R176" s="26">
        <f t="shared" si="10"/>
        <v>5441.9444444444434</v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25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  <c r="HA176" s="25"/>
      <c r="HB176" s="25"/>
      <c r="HC176" s="25"/>
      <c r="HD176" s="25"/>
      <c r="HE176" s="25"/>
      <c r="HF176" s="25"/>
      <c r="HG176" s="25"/>
      <c r="HH176" s="25"/>
      <c r="HI176" s="25"/>
      <c r="HJ176" s="25"/>
      <c r="HK176" s="25"/>
      <c r="HL176" s="25"/>
      <c r="HM176" s="25"/>
      <c r="HN176" s="25"/>
      <c r="HO176" s="25"/>
      <c r="HP176" s="25"/>
      <c r="HQ176" s="25"/>
      <c r="HR176" s="25"/>
      <c r="HS176" s="25"/>
      <c r="HT176" s="25"/>
      <c r="HU176" s="25"/>
      <c r="HV176" s="25"/>
      <c r="HW176" s="25"/>
      <c r="HX176" s="25"/>
      <c r="HY176" s="25"/>
      <c r="HZ176" s="25"/>
      <c r="IA176" s="25"/>
      <c r="IB176" s="25"/>
      <c r="IC176" s="25"/>
      <c r="ID176" s="25"/>
      <c r="IE176" s="25"/>
      <c r="IF176" s="25"/>
      <c r="IG176" s="25"/>
      <c r="IH176" s="25"/>
      <c r="II176" s="25"/>
      <c r="IJ176" s="25"/>
      <c r="IK176" s="25"/>
      <c r="IL176" s="25"/>
      <c r="IM176" s="25"/>
      <c r="IN176" s="25"/>
      <c r="IO176" s="25"/>
      <c r="IP176" s="25"/>
      <c r="IQ176" s="25"/>
      <c r="IR176" s="25"/>
      <c r="IS176" s="25"/>
      <c r="IT176" s="25"/>
      <c r="IU176" s="25"/>
      <c r="IV176" s="25"/>
      <c r="IW176" s="25"/>
      <c r="IX176" s="25"/>
      <c r="IY176" s="25"/>
      <c r="IZ176" s="25"/>
      <c r="JA176" s="25"/>
      <c r="JB176" s="25"/>
      <c r="JC176" s="25"/>
      <c r="JD176" s="25"/>
      <c r="JE176" s="25"/>
      <c r="JF176" s="25"/>
      <c r="JG176" s="25"/>
      <c r="JH176" s="25"/>
      <c r="JI176" s="25"/>
      <c r="JJ176" s="25"/>
      <c r="JK176" s="25"/>
      <c r="JL176" s="25"/>
      <c r="JM176" s="25"/>
      <c r="JN176" s="25"/>
      <c r="JO176" s="25"/>
      <c r="JP176" s="25"/>
      <c r="JQ176" s="25"/>
      <c r="JR176" s="25"/>
      <c r="JS176" s="25"/>
    </row>
    <row r="177" spans="1:279" x14ac:dyDescent="0.3">
      <c r="A177" s="25"/>
      <c r="B177" s="25"/>
      <c r="C177" s="25"/>
      <c r="D177" s="25"/>
      <c r="E177" s="80"/>
      <c r="F177" s="31"/>
      <c r="G177" s="31"/>
      <c r="H177" s="26"/>
      <c r="I177" s="26"/>
      <c r="J177" s="26"/>
      <c r="K177" s="26"/>
      <c r="L177" s="26"/>
      <c r="M177" s="26"/>
      <c r="N177" s="26"/>
      <c r="O177" s="26">
        <f t="shared" ref="O177" si="14">(+$E177*$I177%)/360*25</f>
        <v>0</v>
      </c>
      <c r="P177" s="26"/>
      <c r="Q177" s="26"/>
      <c r="R177" s="26">
        <f t="shared" si="10"/>
        <v>0</v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  <c r="HA177" s="25"/>
      <c r="HB177" s="25"/>
      <c r="HC177" s="25"/>
      <c r="HD177" s="25"/>
      <c r="HE177" s="25"/>
      <c r="HF177" s="25"/>
      <c r="HG177" s="25"/>
      <c r="HH177" s="25"/>
      <c r="HI177" s="25"/>
      <c r="HJ177" s="25"/>
      <c r="HK177" s="25"/>
      <c r="HL177" s="25"/>
      <c r="HM177" s="25"/>
      <c r="HN177" s="25"/>
      <c r="HO177" s="25"/>
      <c r="HP177" s="25"/>
      <c r="HQ177" s="25"/>
      <c r="HR177" s="25"/>
      <c r="HS177" s="25"/>
      <c r="HT177" s="25"/>
      <c r="HU177" s="25"/>
      <c r="HV177" s="25"/>
      <c r="HW177" s="25"/>
      <c r="HX177" s="25"/>
      <c r="HY177" s="25"/>
      <c r="HZ177" s="25"/>
      <c r="IA177" s="25"/>
      <c r="IB177" s="25"/>
      <c r="IC177" s="25"/>
      <c r="ID177" s="25"/>
      <c r="IE177" s="25"/>
      <c r="IF177" s="25"/>
      <c r="IG177" s="25"/>
      <c r="IH177" s="25"/>
      <c r="II177" s="25"/>
      <c r="IJ177" s="25"/>
      <c r="IK177" s="25"/>
      <c r="IL177" s="25"/>
      <c r="IM177" s="25"/>
      <c r="IN177" s="25"/>
      <c r="IO177" s="25"/>
      <c r="IP177" s="25"/>
      <c r="IQ177" s="25"/>
      <c r="IR177" s="25"/>
      <c r="IS177" s="25"/>
      <c r="IT177" s="25"/>
      <c r="IU177" s="25"/>
      <c r="IV177" s="25"/>
      <c r="IW177" s="25"/>
      <c r="IX177" s="25"/>
      <c r="IY177" s="25"/>
      <c r="IZ177" s="25"/>
      <c r="JA177" s="25"/>
      <c r="JB177" s="25"/>
      <c r="JC177" s="25"/>
      <c r="JD177" s="25"/>
      <c r="JE177" s="25"/>
      <c r="JF177" s="25"/>
      <c r="JG177" s="25"/>
      <c r="JH177" s="25"/>
      <c r="JI177" s="25"/>
      <c r="JJ177" s="25"/>
      <c r="JK177" s="25"/>
      <c r="JL177" s="25"/>
      <c r="JM177" s="25"/>
      <c r="JN177" s="25"/>
      <c r="JO177" s="25"/>
      <c r="JP177" s="25"/>
      <c r="JQ177" s="25"/>
      <c r="JR177" s="25"/>
      <c r="JS177" s="25"/>
    </row>
    <row r="178" spans="1:279" x14ac:dyDescent="0.3">
      <c r="A178" s="25"/>
      <c r="B178" s="25">
        <v>10398</v>
      </c>
      <c r="C178" s="25"/>
      <c r="D178" s="25" t="s">
        <v>725</v>
      </c>
      <c r="E178" s="80"/>
      <c r="F178" s="31"/>
      <c r="G178" s="31"/>
      <c r="H178" s="26"/>
      <c r="I178" s="26"/>
      <c r="J178" s="26"/>
      <c r="K178" s="26"/>
      <c r="L178" s="26"/>
      <c r="M178" s="26"/>
      <c r="N178" s="26"/>
      <c r="O178" s="26"/>
      <c r="P178" s="26">
        <v>-10193.84</v>
      </c>
      <c r="Q178" s="26">
        <v>10193.84</v>
      </c>
      <c r="R178" s="26">
        <f t="shared" si="10"/>
        <v>0</v>
      </c>
      <c r="S178" s="25"/>
      <c r="T178" s="25" t="s">
        <v>726</v>
      </c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25"/>
      <c r="IH178" s="25"/>
      <c r="II178" s="25"/>
      <c r="IJ178" s="25"/>
      <c r="IK178" s="25"/>
      <c r="IL178" s="25"/>
      <c r="IM178" s="25"/>
      <c r="IN178" s="25"/>
      <c r="IO178" s="25"/>
      <c r="IP178" s="25"/>
      <c r="IQ178" s="25"/>
      <c r="IR178" s="25"/>
      <c r="IS178" s="25"/>
      <c r="IT178" s="25"/>
      <c r="IU178" s="25"/>
      <c r="IV178" s="25"/>
      <c r="IW178" s="25"/>
      <c r="IX178" s="25"/>
      <c r="IY178" s="25"/>
      <c r="IZ178" s="25"/>
      <c r="JA178" s="25"/>
      <c r="JB178" s="25"/>
      <c r="JC178" s="25"/>
      <c r="JD178" s="25"/>
      <c r="JE178" s="25"/>
      <c r="JF178" s="25"/>
      <c r="JG178" s="25"/>
      <c r="JH178" s="25"/>
      <c r="JI178" s="25"/>
      <c r="JJ178" s="25"/>
      <c r="JK178" s="25"/>
      <c r="JL178" s="25"/>
      <c r="JM178" s="25"/>
      <c r="JN178" s="25"/>
      <c r="JO178" s="25"/>
      <c r="JP178" s="25"/>
      <c r="JQ178" s="25"/>
      <c r="JR178" s="25"/>
      <c r="JS178" s="25"/>
    </row>
    <row r="179" spans="1:279" x14ac:dyDescent="0.3">
      <c r="A179" s="81"/>
      <c r="B179" s="81"/>
      <c r="C179" s="81"/>
      <c r="D179" s="81"/>
      <c r="E179" s="82"/>
      <c r="F179" s="83"/>
      <c r="G179" s="83"/>
      <c r="H179" s="27"/>
      <c r="I179" s="27"/>
      <c r="J179" s="27">
        <v>0</v>
      </c>
      <c r="K179" s="84"/>
      <c r="L179" s="84"/>
      <c r="M179" s="84"/>
      <c r="N179" s="27">
        <f t="shared" si="9"/>
        <v>0</v>
      </c>
      <c r="O179" s="84"/>
      <c r="P179" s="84"/>
      <c r="Q179" s="84"/>
      <c r="R179" s="27">
        <f t="shared" si="10"/>
        <v>0</v>
      </c>
      <c r="S179" s="85"/>
      <c r="T179" s="85"/>
    </row>
    <row r="180" spans="1:279" ht="15" thickBot="1" x14ac:dyDescent="0.35">
      <c r="A180" s="86" t="s">
        <v>4</v>
      </c>
      <c r="B180" s="86"/>
      <c r="C180" s="86"/>
      <c r="D180" s="16"/>
      <c r="E180" s="16">
        <f>SUM(E6:E179)</f>
        <v>63541842.899999999</v>
      </c>
      <c r="F180" s="87"/>
      <c r="G180" s="87"/>
      <c r="H180" s="16"/>
      <c r="I180" s="16">
        <f>AVERAGE(I6:I101)</f>
        <v>5.4449999999999941</v>
      </c>
      <c r="J180" s="16">
        <f t="shared" ref="J180:Q180" si="15">SUM(J6:J179)</f>
        <v>1299761.3479847705</v>
      </c>
      <c r="K180" s="16">
        <f t="shared" si="15"/>
        <v>258167.81899997222</v>
      </c>
      <c r="L180" s="16">
        <f t="shared" si="15"/>
        <v>-202201.47</v>
      </c>
      <c r="M180" s="16">
        <f t="shared" si="15"/>
        <v>-4659.1430214775537</v>
      </c>
      <c r="N180" s="16">
        <f t="shared" si="15"/>
        <v>1351068.553963264</v>
      </c>
      <c r="O180" s="16">
        <f t="shared" si="15"/>
        <v>254404.02066349998</v>
      </c>
      <c r="P180" s="16">
        <f t="shared" si="15"/>
        <v>-301215.04200000002</v>
      </c>
      <c r="Q180" s="16">
        <f t="shared" si="15"/>
        <v>-11463.16</v>
      </c>
      <c r="R180" s="16">
        <f>SUM(R6:R179)</f>
        <v>1292794.3726267652</v>
      </c>
      <c r="S180" s="16"/>
      <c r="T180" s="16"/>
    </row>
    <row r="181" spans="1:279" ht="15" thickTop="1" x14ac:dyDescent="0.3"/>
    <row r="182" spans="1:279" x14ac:dyDescent="0.3">
      <c r="P182" s="6"/>
    </row>
    <row r="183" spans="1:279" x14ac:dyDescent="0.3">
      <c r="K183" s="11"/>
      <c r="N183" s="6"/>
      <c r="O183" s="11"/>
      <c r="Q183" s="3"/>
    </row>
    <row r="184" spans="1:279" x14ac:dyDescent="0.3">
      <c r="J184" s="6"/>
      <c r="N184" s="6"/>
      <c r="Q184" s="6"/>
      <c r="R184" s="6"/>
    </row>
    <row r="185" spans="1:279" x14ac:dyDescent="0.3">
      <c r="J185" s="6"/>
      <c r="N185" s="6"/>
      <c r="R185" s="6"/>
    </row>
    <row r="188" spans="1:279" x14ac:dyDescent="0.3">
      <c r="H188" s="3">
        <v>55676916</v>
      </c>
      <c r="I188" s="7">
        <f>+I180%</f>
        <v>5.4449999999999943E-2</v>
      </c>
      <c r="J188" s="3">
        <f>+H188*I188/365*31</f>
        <v>257479.04208821891</v>
      </c>
    </row>
    <row r="190" spans="1:279" x14ac:dyDescent="0.3">
      <c r="H190" s="6">
        <f>+E180*I180%/365</f>
        <v>9479.0502627534133</v>
      </c>
      <c r="I190" s="3">
        <f>+H190*31</f>
        <v>293850.55814535584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292A-9948-47D6-9676-41D36AC7E041}">
  <dimension ref="A2:X186"/>
  <sheetViews>
    <sheetView topLeftCell="G175" workbookViewId="0">
      <selection activeCell="S192" sqref="S192"/>
    </sheetView>
  </sheetViews>
  <sheetFormatPr baseColWidth="10" defaultRowHeight="14.4" x14ac:dyDescent="0.3"/>
  <cols>
    <col min="14" max="14" width="13" bestFit="1" customWidth="1"/>
    <col min="15" max="18" width="0" hidden="1" customWidth="1"/>
    <col min="22" max="22" width="13" bestFit="1" customWidth="1"/>
  </cols>
  <sheetData>
    <row r="2" spans="1:24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9">
        <v>44135</v>
      </c>
      <c r="P2" s="488"/>
      <c r="Q2" s="488"/>
      <c r="R2" s="488"/>
      <c r="S2" s="489">
        <v>44165</v>
      </c>
      <c r="T2" s="488"/>
      <c r="U2" s="488"/>
      <c r="V2" s="488"/>
      <c r="W2" s="488"/>
      <c r="X2" s="488"/>
    </row>
    <row r="3" spans="1:24" ht="28.8" x14ac:dyDescent="0.3">
      <c r="A3" s="495" t="s">
        <v>497</v>
      </c>
      <c r="B3" s="496" t="s">
        <v>496</v>
      </c>
      <c r="C3" s="496" t="s">
        <v>495</v>
      </c>
      <c r="D3" s="497" t="s">
        <v>494</v>
      </c>
      <c r="E3" s="497" t="s">
        <v>493</v>
      </c>
      <c r="F3" s="498" t="s">
        <v>492</v>
      </c>
      <c r="G3" s="498" t="s">
        <v>491</v>
      </c>
      <c r="H3" s="497"/>
      <c r="I3" s="499" t="s">
        <v>490</v>
      </c>
      <c r="J3" s="501" t="s">
        <v>484</v>
      </c>
      <c r="K3" s="501" t="s">
        <v>487</v>
      </c>
      <c r="L3" s="501" t="s">
        <v>486</v>
      </c>
      <c r="M3" s="501" t="s">
        <v>485</v>
      </c>
      <c r="N3" s="501" t="s">
        <v>484</v>
      </c>
      <c r="O3" s="536" t="s">
        <v>487</v>
      </c>
      <c r="P3" s="536" t="s">
        <v>486</v>
      </c>
      <c r="Q3" s="536" t="s">
        <v>485</v>
      </c>
      <c r="R3" s="536" t="s">
        <v>484</v>
      </c>
      <c r="S3" s="542" t="s">
        <v>487</v>
      </c>
      <c r="T3" s="542" t="s">
        <v>486</v>
      </c>
      <c r="U3" s="542" t="s">
        <v>485</v>
      </c>
      <c r="V3" s="542" t="s">
        <v>484</v>
      </c>
      <c r="W3" s="500" t="s">
        <v>483</v>
      </c>
      <c r="X3" s="488"/>
    </row>
    <row r="4" spans="1:24" ht="57.6" x14ac:dyDescent="0.3">
      <c r="A4" s="508">
        <v>5057</v>
      </c>
      <c r="B4" s="509" t="s">
        <v>74</v>
      </c>
      <c r="C4" s="509" t="s">
        <v>373</v>
      </c>
      <c r="D4" s="509" t="s">
        <v>372</v>
      </c>
      <c r="E4" s="510">
        <v>170000</v>
      </c>
      <c r="F4" s="511">
        <v>43739</v>
      </c>
      <c r="G4" s="511">
        <v>44105</v>
      </c>
      <c r="H4" s="507"/>
      <c r="I4" s="507">
        <v>3.4</v>
      </c>
      <c r="J4" s="503">
        <v>5358.3767123287671</v>
      </c>
      <c r="K4" s="503">
        <v>475.0684931506849</v>
      </c>
      <c r="L4" s="503"/>
      <c r="M4" s="503"/>
      <c r="N4" s="503">
        <v>5833.4452054794519</v>
      </c>
      <c r="O4" s="503"/>
      <c r="P4" s="503">
        <v>-5780</v>
      </c>
      <c r="Q4" s="503">
        <v>-53.45</v>
      </c>
      <c r="R4" s="503">
        <v>-4.7945205480601771E-3</v>
      </c>
      <c r="S4" s="503"/>
      <c r="T4" s="503"/>
      <c r="U4" s="503"/>
      <c r="V4" s="503">
        <v>-4.7945205480601771E-3</v>
      </c>
      <c r="W4" s="506" t="s">
        <v>218</v>
      </c>
      <c r="X4" s="493"/>
    </row>
    <row r="5" spans="1:24" ht="57.6" x14ac:dyDescent="0.3">
      <c r="A5" s="508">
        <v>5063</v>
      </c>
      <c r="B5" s="509" t="s">
        <v>25</v>
      </c>
      <c r="C5" s="509" t="s">
        <v>371</v>
      </c>
      <c r="D5" s="509" t="s">
        <v>370</v>
      </c>
      <c r="E5" s="510">
        <v>188000</v>
      </c>
      <c r="F5" s="511">
        <v>43739</v>
      </c>
      <c r="G5" s="511">
        <v>44105</v>
      </c>
      <c r="H5" s="507"/>
      <c r="I5" s="507">
        <v>4.4000000000000004</v>
      </c>
      <c r="J5" s="503">
        <v>7668.597260273973</v>
      </c>
      <c r="K5" s="503">
        <v>679.89041095890411</v>
      </c>
      <c r="L5" s="503"/>
      <c r="M5" s="503"/>
      <c r="N5" s="503">
        <v>8348.4876712328769</v>
      </c>
      <c r="O5" s="503"/>
      <c r="P5" s="503">
        <v>-8272</v>
      </c>
      <c r="Q5" s="503">
        <v>-76.489999999999995</v>
      </c>
      <c r="R5" s="503">
        <v>-2.3287671231031482E-3</v>
      </c>
      <c r="S5" s="503"/>
      <c r="T5" s="503"/>
      <c r="U5" s="503"/>
      <c r="V5" s="503">
        <v>-2.3287671231031482E-3</v>
      </c>
      <c r="W5" s="506" t="s">
        <v>218</v>
      </c>
      <c r="X5" s="493"/>
    </row>
    <row r="6" spans="1:24" ht="57.6" x14ac:dyDescent="0.3">
      <c r="A6" s="508">
        <v>5005</v>
      </c>
      <c r="B6" s="509" t="s">
        <v>10</v>
      </c>
      <c r="C6" s="509" t="s">
        <v>369</v>
      </c>
      <c r="D6" s="509" t="s">
        <v>368</v>
      </c>
      <c r="E6" s="510">
        <v>300000</v>
      </c>
      <c r="F6" s="511">
        <v>43739</v>
      </c>
      <c r="G6" s="511">
        <v>44105</v>
      </c>
      <c r="H6" s="507"/>
      <c r="I6" s="507">
        <v>0.4</v>
      </c>
      <c r="J6" s="503">
        <v>1112.4657534246576</v>
      </c>
      <c r="K6" s="503">
        <v>98.630136986301366</v>
      </c>
      <c r="L6" s="503"/>
      <c r="M6" s="503"/>
      <c r="N6" s="503">
        <v>1211.0958904109589</v>
      </c>
      <c r="O6" s="503"/>
      <c r="P6" s="503">
        <v>-1200</v>
      </c>
      <c r="Q6" s="503">
        <v>-11.1</v>
      </c>
      <c r="R6" s="503">
        <v>-4.1095890411266822E-3</v>
      </c>
      <c r="S6" s="503"/>
      <c r="T6" s="503"/>
      <c r="U6" s="503"/>
      <c r="V6" s="503">
        <v>-4.1095890411266822E-3</v>
      </c>
      <c r="W6" s="506" t="s">
        <v>218</v>
      </c>
      <c r="X6" s="493"/>
    </row>
    <row r="7" spans="1:24" ht="57.6" x14ac:dyDescent="0.3">
      <c r="A7" s="508">
        <v>5063</v>
      </c>
      <c r="B7" s="509" t="s">
        <v>77</v>
      </c>
      <c r="C7" s="509" t="s">
        <v>367</v>
      </c>
      <c r="D7" s="509" t="s">
        <v>366</v>
      </c>
      <c r="E7" s="510">
        <v>50000</v>
      </c>
      <c r="F7" s="511">
        <v>43745</v>
      </c>
      <c r="G7" s="511">
        <v>44111</v>
      </c>
      <c r="H7" s="507"/>
      <c r="I7" s="507">
        <v>5.4</v>
      </c>
      <c r="J7" s="503">
        <v>2503.0479452054797</v>
      </c>
      <c r="K7" s="503">
        <v>221.91780821917808</v>
      </c>
      <c r="L7" s="503"/>
      <c r="M7" s="503"/>
      <c r="N7" s="503">
        <v>2724.9657534246576</v>
      </c>
      <c r="O7" s="503">
        <v>44.38356164383562</v>
      </c>
      <c r="P7" s="503">
        <v>-2700</v>
      </c>
      <c r="Q7" s="503">
        <v>-69.349999999999994</v>
      </c>
      <c r="R7" s="503">
        <v>-6.8493150692461313E-4</v>
      </c>
      <c r="S7" s="503"/>
      <c r="T7" s="503"/>
      <c r="U7" s="503"/>
      <c r="V7" s="503">
        <v>-6.8493150692461313E-4</v>
      </c>
      <c r="W7" s="506" t="s">
        <v>218</v>
      </c>
      <c r="X7" s="493"/>
    </row>
    <row r="8" spans="1:24" ht="57.6" x14ac:dyDescent="0.3">
      <c r="A8" s="508">
        <v>5060</v>
      </c>
      <c r="B8" s="509" t="s">
        <v>16</v>
      </c>
      <c r="C8" s="509" t="s">
        <v>365</v>
      </c>
      <c r="D8" s="509" t="s">
        <v>364</v>
      </c>
      <c r="E8" s="510">
        <v>25000</v>
      </c>
      <c r="F8" s="511">
        <v>43748</v>
      </c>
      <c r="G8" s="511">
        <v>44114</v>
      </c>
      <c r="H8" s="507"/>
      <c r="I8" s="507">
        <v>1.9</v>
      </c>
      <c r="J8" s="503">
        <v>428.47602739726034</v>
      </c>
      <c r="K8" s="503">
        <v>39.041095890410965</v>
      </c>
      <c r="L8" s="503"/>
      <c r="M8" s="503"/>
      <c r="N8" s="503">
        <v>467.51712328767132</v>
      </c>
      <c r="O8" s="503">
        <v>11.712328767123289</v>
      </c>
      <c r="P8" s="503">
        <v>-475</v>
      </c>
      <c r="Q8" s="503">
        <v>-4.2300000000000004</v>
      </c>
      <c r="R8" s="503">
        <v>-5.479452054082401E-4</v>
      </c>
      <c r="S8" s="503"/>
      <c r="T8" s="503"/>
      <c r="U8" s="503"/>
      <c r="V8" s="503">
        <v>-5.479452054082401E-4</v>
      </c>
      <c r="W8" s="506" t="s">
        <v>218</v>
      </c>
      <c r="X8" s="493"/>
    </row>
    <row r="9" spans="1:24" ht="57.6" x14ac:dyDescent="0.3">
      <c r="A9" s="508">
        <v>5060</v>
      </c>
      <c r="B9" s="509" t="s">
        <v>19</v>
      </c>
      <c r="C9" s="509" t="s">
        <v>363</v>
      </c>
      <c r="D9" s="509" t="s">
        <v>362</v>
      </c>
      <c r="E9" s="510">
        <v>25000</v>
      </c>
      <c r="F9" s="511">
        <v>43748</v>
      </c>
      <c r="G9" s="511">
        <v>44114</v>
      </c>
      <c r="H9" s="507"/>
      <c r="I9" s="507">
        <v>1.9</v>
      </c>
      <c r="J9" s="503">
        <v>428.47602739726034</v>
      </c>
      <c r="K9" s="503">
        <v>39.041095890410965</v>
      </c>
      <c r="L9" s="503"/>
      <c r="M9" s="503"/>
      <c r="N9" s="503">
        <v>467.51712328767132</v>
      </c>
      <c r="O9" s="503">
        <v>11.712328767123289</v>
      </c>
      <c r="P9" s="503">
        <v>-475</v>
      </c>
      <c r="Q9" s="503">
        <v>-4.2300000000000004</v>
      </c>
      <c r="R9" s="503">
        <v>-5.479452054082401E-4</v>
      </c>
      <c r="S9" s="503"/>
      <c r="T9" s="503"/>
      <c r="U9" s="503"/>
      <c r="V9" s="503">
        <v>-5.479452054082401E-4</v>
      </c>
      <c r="W9" s="506" t="s">
        <v>218</v>
      </c>
      <c r="X9" s="493"/>
    </row>
    <row r="10" spans="1:24" ht="57.6" x14ac:dyDescent="0.3">
      <c r="A10" s="508">
        <v>5062</v>
      </c>
      <c r="B10" s="509" t="s">
        <v>359</v>
      </c>
      <c r="C10" s="509" t="s">
        <v>358</v>
      </c>
      <c r="D10" s="509" t="s">
        <v>357</v>
      </c>
      <c r="E10" s="510">
        <v>200000</v>
      </c>
      <c r="F10" s="511">
        <v>43750</v>
      </c>
      <c r="G10" s="511">
        <v>44116</v>
      </c>
      <c r="H10" s="507"/>
      <c r="I10" s="507">
        <v>6.4</v>
      </c>
      <c r="J10" s="503">
        <v>11475.190258751902</v>
      </c>
      <c r="K10" s="503">
        <v>1052.0547945205478</v>
      </c>
      <c r="L10" s="503"/>
      <c r="M10" s="503"/>
      <c r="N10" s="503">
        <v>12527.245053272449</v>
      </c>
      <c r="O10" s="503">
        <v>385.7534246575342</v>
      </c>
      <c r="P10" s="503">
        <v>-12800</v>
      </c>
      <c r="Q10" s="503">
        <v>-113</v>
      </c>
      <c r="R10" s="503">
        <v>-1.5220700170175405E-3</v>
      </c>
      <c r="S10" s="503"/>
      <c r="T10" s="503"/>
      <c r="U10" s="503"/>
      <c r="V10" s="503">
        <v>-1.5220700170175405E-3</v>
      </c>
      <c r="W10" s="506" t="s">
        <v>218</v>
      </c>
      <c r="X10" s="493"/>
    </row>
    <row r="11" spans="1:24" ht="57.6" x14ac:dyDescent="0.3">
      <c r="A11" s="508">
        <v>5057</v>
      </c>
      <c r="B11" s="509" t="s">
        <v>74</v>
      </c>
      <c r="C11" s="509" t="s">
        <v>354</v>
      </c>
      <c r="D11" s="509" t="s">
        <v>353</v>
      </c>
      <c r="E11" s="510">
        <v>118000</v>
      </c>
      <c r="F11" s="511">
        <v>43768</v>
      </c>
      <c r="G11" s="511">
        <v>44134</v>
      </c>
      <c r="H11" s="507"/>
      <c r="I11" s="507">
        <v>3.4</v>
      </c>
      <c r="J11" s="503">
        <v>3396.1549467275499</v>
      </c>
      <c r="K11" s="503">
        <v>329.75342465753425</v>
      </c>
      <c r="L11" s="503"/>
      <c r="M11" s="503"/>
      <c r="N11" s="503">
        <v>3725.9083713850841</v>
      </c>
      <c r="O11" s="503">
        <v>318.76164383561644</v>
      </c>
      <c r="P11" s="503">
        <v>-4012</v>
      </c>
      <c r="Q11" s="503">
        <v>-32.67</v>
      </c>
      <c r="R11" s="503">
        <v>1.5220700404938725E-5</v>
      </c>
      <c r="S11" s="503"/>
      <c r="T11" s="503"/>
      <c r="U11" s="503"/>
      <c r="V11" s="503">
        <v>1.5220700404938725E-5</v>
      </c>
      <c r="W11" s="506" t="s">
        <v>218</v>
      </c>
      <c r="X11" s="493"/>
    </row>
    <row r="12" spans="1:24" ht="57.6" x14ac:dyDescent="0.3">
      <c r="A12" s="508">
        <v>5063</v>
      </c>
      <c r="B12" s="509" t="s">
        <v>77</v>
      </c>
      <c r="C12" s="509" t="s">
        <v>352</v>
      </c>
      <c r="D12" s="509" t="s">
        <v>351</v>
      </c>
      <c r="E12" s="510">
        <v>120000</v>
      </c>
      <c r="F12" s="511">
        <v>43768</v>
      </c>
      <c r="G12" s="511">
        <v>44134</v>
      </c>
      <c r="H12" s="507"/>
      <c r="I12" s="507">
        <v>5.4</v>
      </c>
      <c r="J12" s="503">
        <v>5485.3150684931516</v>
      </c>
      <c r="K12" s="503">
        <v>532.60273972602738</v>
      </c>
      <c r="L12" s="503"/>
      <c r="M12" s="503"/>
      <c r="N12" s="503">
        <v>6017.9178082191793</v>
      </c>
      <c r="O12" s="503">
        <v>514.8493150684933</v>
      </c>
      <c r="P12" s="503">
        <v>-6480</v>
      </c>
      <c r="Q12" s="503">
        <v>-52.77</v>
      </c>
      <c r="R12" s="503">
        <v>-2.8767123272004369E-3</v>
      </c>
      <c r="S12" s="503"/>
      <c r="T12" s="503"/>
      <c r="U12" s="503"/>
      <c r="V12" s="503">
        <v>-2.8767123272004369E-3</v>
      </c>
      <c r="W12" s="506" t="s">
        <v>218</v>
      </c>
      <c r="X12" s="493"/>
    </row>
    <row r="13" spans="1:24" ht="57.6" x14ac:dyDescent="0.3">
      <c r="A13" s="508">
        <v>5004</v>
      </c>
      <c r="B13" s="509" t="s">
        <v>336</v>
      </c>
      <c r="C13" s="509" t="s">
        <v>348</v>
      </c>
      <c r="D13" s="509" t="s">
        <v>347</v>
      </c>
      <c r="E13" s="510">
        <v>38000</v>
      </c>
      <c r="F13" s="511">
        <v>43774</v>
      </c>
      <c r="G13" s="511">
        <v>44140</v>
      </c>
      <c r="H13" s="507"/>
      <c r="I13" s="507">
        <v>5.9</v>
      </c>
      <c r="J13" s="503">
        <v>1860.4846270928465</v>
      </c>
      <c r="K13" s="503">
        <v>184.27397260273972</v>
      </c>
      <c r="L13" s="503"/>
      <c r="M13" s="503"/>
      <c r="N13" s="503">
        <v>2044.7585996955863</v>
      </c>
      <c r="O13" s="503">
        <v>190.41643835616438</v>
      </c>
      <c r="P13" s="503"/>
      <c r="Q13" s="503"/>
      <c r="R13" s="503">
        <v>2235.1750380517506</v>
      </c>
      <c r="S13" s="503">
        <v>30.712328767123289</v>
      </c>
      <c r="T13" s="503">
        <v>-2242</v>
      </c>
      <c r="U13" s="503">
        <v>-23.89</v>
      </c>
      <c r="V13" s="503">
        <v>-2.6331811260575932E-3</v>
      </c>
      <c r="W13" s="506" t="s">
        <v>218</v>
      </c>
      <c r="X13" s="493"/>
    </row>
    <row r="14" spans="1:24" ht="57.6" x14ac:dyDescent="0.3">
      <c r="A14" s="508">
        <v>5063</v>
      </c>
      <c r="B14" s="509" t="s">
        <v>77</v>
      </c>
      <c r="C14" s="509" t="s">
        <v>346</v>
      </c>
      <c r="D14" s="509" t="s">
        <v>345</v>
      </c>
      <c r="E14" s="510">
        <v>80000</v>
      </c>
      <c r="F14" s="511">
        <v>43772</v>
      </c>
      <c r="G14" s="511">
        <v>44138</v>
      </c>
      <c r="H14" s="507"/>
      <c r="I14" s="507">
        <v>5.4</v>
      </c>
      <c r="J14" s="503">
        <v>3608.8767123287676</v>
      </c>
      <c r="K14" s="503">
        <v>355.0684931506849</v>
      </c>
      <c r="L14" s="503"/>
      <c r="M14" s="503"/>
      <c r="N14" s="503">
        <v>3963.9452054794524</v>
      </c>
      <c r="O14" s="503">
        <v>366.90410958904118</v>
      </c>
      <c r="P14" s="503"/>
      <c r="Q14" s="503"/>
      <c r="R14" s="503">
        <v>4330.8493150684935</v>
      </c>
      <c r="S14" s="503">
        <v>35.5068493150685</v>
      </c>
      <c r="T14" s="503">
        <v>-4320</v>
      </c>
      <c r="U14" s="503">
        <v>-46.36</v>
      </c>
      <c r="V14" s="503">
        <v>-3.8356164380815017E-3</v>
      </c>
      <c r="W14" s="506" t="s">
        <v>218</v>
      </c>
      <c r="X14" s="493"/>
    </row>
    <row r="15" spans="1:24" ht="57.6" x14ac:dyDescent="0.3">
      <c r="A15" s="508">
        <v>5060</v>
      </c>
      <c r="B15" s="509" t="s">
        <v>19</v>
      </c>
      <c r="C15" s="509" t="s">
        <v>344</v>
      </c>
      <c r="D15" s="509" t="s">
        <v>343</v>
      </c>
      <c r="E15" s="510">
        <v>78000</v>
      </c>
      <c r="F15" s="511">
        <v>43771</v>
      </c>
      <c r="G15" s="511">
        <v>44137</v>
      </c>
      <c r="H15" s="507"/>
      <c r="I15" s="507">
        <v>1.9</v>
      </c>
      <c r="J15" s="503">
        <v>1242.1618721461189</v>
      </c>
      <c r="K15" s="503">
        <v>121.8082191780822</v>
      </c>
      <c r="L15" s="503"/>
      <c r="M15" s="503"/>
      <c r="N15" s="503">
        <v>1363.9700913242011</v>
      </c>
      <c r="O15" s="503">
        <v>125.86849315068494</v>
      </c>
      <c r="P15" s="503"/>
      <c r="Q15" s="503"/>
      <c r="R15" s="503">
        <v>1489.8385844748861</v>
      </c>
      <c r="S15" s="503">
        <v>8.1205479452054803</v>
      </c>
      <c r="T15" s="503">
        <v>-1482</v>
      </c>
      <c r="U15" s="503">
        <v>-15.96</v>
      </c>
      <c r="V15" s="503">
        <v>-8.6757990830932386E-4</v>
      </c>
      <c r="W15" s="506" t="s">
        <v>218</v>
      </c>
      <c r="X15" s="493"/>
    </row>
    <row r="16" spans="1:24" ht="57.6" x14ac:dyDescent="0.3">
      <c r="A16" s="508">
        <v>5063</v>
      </c>
      <c r="B16" s="509" t="s">
        <v>25</v>
      </c>
      <c r="C16" s="509" t="s">
        <v>342</v>
      </c>
      <c r="D16" s="509" t="s">
        <v>341</v>
      </c>
      <c r="E16" s="510">
        <v>138000</v>
      </c>
      <c r="F16" s="511">
        <v>43770</v>
      </c>
      <c r="G16" s="511">
        <v>44136</v>
      </c>
      <c r="H16" s="507"/>
      <c r="I16" s="507">
        <v>4.4000000000000004</v>
      </c>
      <c r="J16" s="503">
        <v>5106.210045662101</v>
      </c>
      <c r="K16" s="503">
        <v>499.06849315068496</v>
      </c>
      <c r="L16" s="503"/>
      <c r="M16" s="503"/>
      <c r="N16" s="503">
        <v>5605.2785388127859</v>
      </c>
      <c r="O16" s="503">
        <v>515.7041095890412</v>
      </c>
      <c r="P16" s="503"/>
      <c r="Q16" s="503"/>
      <c r="R16" s="503">
        <v>6120.9826484018267</v>
      </c>
      <c r="S16" s="503">
        <v>16.635616438356166</v>
      </c>
      <c r="T16" s="503">
        <v>-6072</v>
      </c>
      <c r="U16" s="503">
        <v>-65.62</v>
      </c>
      <c r="V16" s="503">
        <v>-1.7351598172581362E-3</v>
      </c>
      <c r="W16" s="506" t="s">
        <v>218</v>
      </c>
      <c r="X16" s="493"/>
    </row>
    <row r="17" spans="1:24" ht="57.6" x14ac:dyDescent="0.3">
      <c r="A17" s="508">
        <v>5060</v>
      </c>
      <c r="B17" s="509" t="s">
        <v>40</v>
      </c>
      <c r="C17" s="509" t="s">
        <v>340</v>
      </c>
      <c r="D17" s="509" t="s">
        <v>339</v>
      </c>
      <c r="E17" s="510">
        <v>727000</v>
      </c>
      <c r="F17" s="511">
        <v>43784</v>
      </c>
      <c r="G17" s="511">
        <v>44150</v>
      </c>
      <c r="H17" s="507"/>
      <c r="I17" s="507">
        <v>6.4</v>
      </c>
      <c r="J17" s="503">
        <v>37318.005479452047</v>
      </c>
      <c r="K17" s="503">
        <v>3824.2191780821918</v>
      </c>
      <c r="L17" s="503"/>
      <c r="M17" s="503"/>
      <c r="N17" s="503">
        <v>41142.224657534236</v>
      </c>
      <c r="O17" s="503">
        <v>3951.6931506849314</v>
      </c>
      <c r="P17" s="503"/>
      <c r="Q17" s="503"/>
      <c r="R17" s="503">
        <v>45093.917808219165</v>
      </c>
      <c r="S17" s="503">
        <v>1912.1095890410959</v>
      </c>
      <c r="T17" s="503">
        <v>-46528</v>
      </c>
      <c r="U17" s="503">
        <v>-478.03</v>
      </c>
      <c r="V17" s="503">
        <v>-2.6027397409507103E-3</v>
      </c>
      <c r="W17" s="506" t="s">
        <v>218</v>
      </c>
      <c r="X17" s="493"/>
    </row>
    <row r="18" spans="1:24" ht="57.6" x14ac:dyDescent="0.3">
      <c r="A18" s="508">
        <v>5004</v>
      </c>
      <c r="B18" s="509" t="s">
        <v>336</v>
      </c>
      <c r="C18" s="509" t="s">
        <v>338</v>
      </c>
      <c r="D18" s="509" t="s">
        <v>337</v>
      </c>
      <c r="E18" s="510">
        <v>100000</v>
      </c>
      <c r="F18" s="511">
        <v>43792</v>
      </c>
      <c r="G18" s="511">
        <v>44158</v>
      </c>
      <c r="H18" s="507"/>
      <c r="I18" s="507">
        <v>5.9</v>
      </c>
      <c r="J18" s="503">
        <v>4764.9010654490103</v>
      </c>
      <c r="K18" s="503">
        <v>484.93150684931504</v>
      </c>
      <c r="L18" s="503"/>
      <c r="M18" s="503"/>
      <c r="N18" s="503">
        <v>5249.8325722983254</v>
      </c>
      <c r="O18" s="503">
        <v>501.09589041095887</v>
      </c>
      <c r="P18" s="503"/>
      <c r="Q18" s="503"/>
      <c r="R18" s="503">
        <v>5750.9284627092838</v>
      </c>
      <c r="S18" s="503">
        <v>371.78082191780817</v>
      </c>
      <c r="T18" s="503">
        <v>-5900</v>
      </c>
      <c r="U18" s="503">
        <v>-222.71</v>
      </c>
      <c r="V18" s="503">
        <v>-7.153729083881899E-4</v>
      </c>
      <c r="W18" s="506" t="s">
        <v>218</v>
      </c>
      <c r="X18" s="493"/>
    </row>
    <row r="19" spans="1:24" ht="57.6" x14ac:dyDescent="0.3">
      <c r="A19" s="508">
        <v>5004</v>
      </c>
      <c r="B19" s="509" t="s">
        <v>336</v>
      </c>
      <c r="C19" s="509" t="s">
        <v>335</v>
      </c>
      <c r="D19" s="509" t="s">
        <v>334</v>
      </c>
      <c r="E19" s="510">
        <v>94477.4</v>
      </c>
      <c r="F19" s="511">
        <v>43792</v>
      </c>
      <c r="G19" s="511">
        <v>44158</v>
      </c>
      <c r="H19" s="507"/>
      <c r="I19" s="507">
        <v>5.9</v>
      </c>
      <c r="J19" s="503">
        <v>4501.7546392085242</v>
      </c>
      <c r="K19" s="503">
        <v>458.15067945205476</v>
      </c>
      <c r="L19" s="503"/>
      <c r="M19" s="503"/>
      <c r="N19" s="503">
        <v>4959.9053186605788</v>
      </c>
      <c r="O19" s="503">
        <v>473.42236876712332</v>
      </c>
      <c r="P19" s="503"/>
      <c r="Q19" s="503"/>
      <c r="R19" s="503">
        <v>5433.3276874277017</v>
      </c>
      <c r="S19" s="503">
        <v>351.24885424657538</v>
      </c>
      <c r="T19" s="503">
        <v>-5574.17</v>
      </c>
      <c r="U19" s="503">
        <v>-210.41</v>
      </c>
      <c r="V19" s="503">
        <v>-3.4583257230735853E-3</v>
      </c>
      <c r="W19" s="506" t="s">
        <v>218</v>
      </c>
      <c r="X19" s="493"/>
    </row>
    <row r="20" spans="1:24" ht="57.6" x14ac:dyDescent="0.3">
      <c r="A20" s="508">
        <v>5004</v>
      </c>
      <c r="B20" s="509" t="s">
        <v>117</v>
      </c>
      <c r="C20" s="509" t="s">
        <v>333</v>
      </c>
      <c r="D20" s="509" t="s">
        <v>332</v>
      </c>
      <c r="E20" s="510">
        <v>100000</v>
      </c>
      <c r="F20" s="511">
        <v>43792</v>
      </c>
      <c r="G20" s="511">
        <v>44158</v>
      </c>
      <c r="H20" s="507"/>
      <c r="I20" s="507">
        <v>5.85</v>
      </c>
      <c r="J20" s="503">
        <v>4724.5205479452061</v>
      </c>
      <c r="K20" s="503">
        <v>480.82191780821915</v>
      </c>
      <c r="L20" s="503"/>
      <c r="M20" s="503"/>
      <c r="N20" s="503">
        <v>5205.3424657534251</v>
      </c>
      <c r="O20" s="503">
        <v>496.84931506849313</v>
      </c>
      <c r="P20" s="503"/>
      <c r="Q20" s="503"/>
      <c r="R20" s="503">
        <v>5702.1917808219187</v>
      </c>
      <c r="S20" s="503">
        <v>368.63013698630135</v>
      </c>
      <c r="T20" s="503">
        <v>-5850</v>
      </c>
      <c r="U20" s="503">
        <v>-220.82</v>
      </c>
      <c r="V20" s="503">
        <v>1.917808219957351E-3</v>
      </c>
      <c r="W20" s="506" t="s">
        <v>218</v>
      </c>
      <c r="X20" s="493"/>
    </row>
    <row r="21" spans="1:24" ht="57.6" x14ac:dyDescent="0.3">
      <c r="A21" s="508">
        <v>5004</v>
      </c>
      <c r="B21" s="509" t="s">
        <v>117</v>
      </c>
      <c r="C21" s="509" t="s">
        <v>331</v>
      </c>
      <c r="D21" s="509" t="s">
        <v>330</v>
      </c>
      <c r="E21" s="510">
        <v>150000</v>
      </c>
      <c r="F21" s="511">
        <v>43793</v>
      </c>
      <c r="G21" s="511">
        <v>44159</v>
      </c>
      <c r="H21" s="507"/>
      <c r="I21" s="507">
        <v>5.85</v>
      </c>
      <c r="J21" s="503">
        <v>7062.4058219178078</v>
      </c>
      <c r="K21" s="503">
        <v>721.23287671232879</v>
      </c>
      <c r="L21" s="503"/>
      <c r="M21" s="503"/>
      <c r="N21" s="503">
        <v>7783.6386986301368</v>
      </c>
      <c r="O21" s="503">
        <v>745.27397260273972</v>
      </c>
      <c r="P21" s="503"/>
      <c r="Q21" s="503"/>
      <c r="R21" s="503">
        <v>8528.9126712328762</v>
      </c>
      <c r="S21" s="503">
        <v>576.98630136986299</v>
      </c>
      <c r="T21" s="503">
        <v>-8775</v>
      </c>
      <c r="U21" s="503">
        <v>-330.9</v>
      </c>
      <c r="V21" s="503">
        <v>-1.0273972606000825E-3</v>
      </c>
      <c r="W21" s="506" t="s">
        <v>218</v>
      </c>
      <c r="X21" s="493"/>
    </row>
    <row r="22" spans="1:24" x14ac:dyDescent="0.3">
      <c r="A22" s="505">
        <v>5055</v>
      </c>
      <c r="B22" s="506" t="s">
        <v>159</v>
      </c>
      <c r="C22" s="506" t="s">
        <v>288</v>
      </c>
      <c r="D22" s="506" t="s">
        <v>287</v>
      </c>
      <c r="E22" s="504">
        <v>746000</v>
      </c>
      <c r="F22" s="511">
        <v>43851</v>
      </c>
      <c r="G22" s="511">
        <v>44206</v>
      </c>
      <c r="H22" s="507"/>
      <c r="I22" s="507">
        <v>7.55</v>
      </c>
      <c r="J22" s="503">
        <v>36412.776636225266</v>
      </c>
      <c r="K22" s="503">
        <v>4629.2876712328771</v>
      </c>
      <c r="L22" s="503"/>
      <c r="M22" s="503"/>
      <c r="N22" s="503">
        <v>41042.064307458146</v>
      </c>
      <c r="O22" s="503">
        <v>4783.597260273973</v>
      </c>
      <c r="P22" s="503"/>
      <c r="Q22" s="503"/>
      <c r="R22" s="503">
        <v>45825.661567732117</v>
      </c>
      <c r="S22" s="503">
        <v>771.54794520547955</v>
      </c>
      <c r="T22" s="503">
        <v>-46447.19</v>
      </c>
      <c r="U22" s="503">
        <v>-150.02000000000001</v>
      </c>
      <c r="V22" s="503">
        <v>-4.87062406619998E-4</v>
      </c>
      <c r="W22" s="506" t="s">
        <v>825</v>
      </c>
      <c r="X22" s="493"/>
    </row>
    <row r="23" spans="1:24" x14ac:dyDescent="0.3">
      <c r="A23" s="505">
        <v>5060</v>
      </c>
      <c r="B23" s="506" t="s">
        <v>40</v>
      </c>
      <c r="C23" s="506" t="s">
        <v>66</v>
      </c>
      <c r="D23" s="506" t="s">
        <v>65</v>
      </c>
      <c r="E23" s="504">
        <v>2170000</v>
      </c>
      <c r="F23" s="511">
        <v>44058</v>
      </c>
      <c r="G23" s="511">
        <v>44423</v>
      </c>
      <c r="H23" s="507"/>
      <c r="I23" s="504">
        <v>6.4</v>
      </c>
      <c r="J23" s="503">
        <v>6087.8904109589039</v>
      </c>
      <c r="K23" s="503">
        <v>11414.794520547945</v>
      </c>
      <c r="L23" s="503"/>
      <c r="M23" s="503"/>
      <c r="N23" s="503">
        <v>17502.684931506847</v>
      </c>
      <c r="O23" s="503">
        <v>11795.287671232876</v>
      </c>
      <c r="P23" s="503">
        <v>-28917.48</v>
      </c>
      <c r="Q23" s="493"/>
      <c r="R23" s="503">
        <v>380.49260273972322</v>
      </c>
      <c r="S23" s="503">
        <v>0</v>
      </c>
      <c r="T23" s="503"/>
      <c r="U23" s="503">
        <v>-380.49</v>
      </c>
      <c r="V23" s="503">
        <v>2.6027397232155636E-3</v>
      </c>
      <c r="W23" s="506" t="s">
        <v>826</v>
      </c>
      <c r="X23" s="493"/>
    </row>
    <row r="24" spans="1:24" x14ac:dyDescent="0.3">
      <c r="A24" s="505">
        <v>5001</v>
      </c>
      <c r="B24" s="506" t="s">
        <v>64</v>
      </c>
      <c r="C24" s="506" t="s">
        <v>63</v>
      </c>
      <c r="D24" s="506" t="s">
        <v>62</v>
      </c>
      <c r="E24" s="504">
        <v>250000</v>
      </c>
      <c r="F24" s="511">
        <v>44068</v>
      </c>
      <c r="G24" s="511">
        <v>44433</v>
      </c>
      <c r="H24" s="507"/>
      <c r="I24" s="504">
        <v>4.9000000000000004</v>
      </c>
      <c r="J24" s="503">
        <v>201.36986301369862</v>
      </c>
      <c r="K24" s="503">
        <v>1006.8493150684931</v>
      </c>
      <c r="L24" s="503"/>
      <c r="M24" s="503"/>
      <c r="N24" s="503">
        <v>1208.2191780821918</v>
      </c>
      <c r="O24" s="503">
        <v>1040.4109589041095</v>
      </c>
      <c r="P24" s="503"/>
      <c r="Q24" s="503"/>
      <c r="R24" s="503">
        <v>2248.6301369863013</v>
      </c>
      <c r="S24" s="503">
        <v>1006.8493150684931</v>
      </c>
      <c r="T24" s="503">
        <v>-1510.27</v>
      </c>
      <c r="U24" s="503">
        <v>-1745.21</v>
      </c>
      <c r="V24" s="503">
        <v>-5.4794520565337734E-4</v>
      </c>
      <c r="W24" s="506" t="s">
        <v>827</v>
      </c>
      <c r="X24" s="488"/>
    </row>
    <row r="25" spans="1:24" x14ac:dyDescent="0.3">
      <c r="A25" s="505">
        <v>5063</v>
      </c>
      <c r="B25" s="506" t="s">
        <v>25</v>
      </c>
      <c r="C25" s="506" t="s">
        <v>326</v>
      </c>
      <c r="D25" s="506" t="s">
        <v>325</v>
      </c>
      <c r="E25" s="504">
        <v>138000</v>
      </c>
      <c r="F25" s="511">
        <v>43800</v>
      </c>
      <c r="G25" s="511">
        <v>44166</v>
      </c>
      <c r="H25" s="507"/>
      <c r="I25" s="507">
        <v>4.4000000000000004</v>
      </c>
      <c r="J25" s="503">
        <v>4111.0767123287678</v>
      </c>
      <c r="K25" s="503">
        <v>499.06849315068496</v>
      </c>
      <c r="L25" s="503"/>
      <c r="M25" s="503"/>
      <c r="N25" s="503">
        <v>4610.1452054794527</v>
      </c>
      <c r="O25" s="503">
        <v>515.7041095890412</v>
      </c>
      <c r="P25" s="503"/>
      <c r="Q25" s="503"/>
      <c r="R25" s="503">
        <v>5125.8493150684935</v>
      </c>
      <c r="S25" s="503">
        <v>499.06849315068496</v>
      </c>
      <c r="T25" s="503"/>
      <c r="U25" s="503"/>
      <c r="V25" s="503">
        <v>5624.9178082191784</v>
      </c>
      <c r="W25" s="506"/>
      <c r="X25" s="488"/>
    </row>
    <row r="26" spans="1:24" x14ac:dyDescent="0.3">
      <c r="A26" s="505">
        <v>5005</v>
      </c>
      <c r="B26" s="506" t="s">
        <v>10</v>
      </c>
      <c r="C26" s="506" t="s">
        <v>324</v>
      </c>
      <c r="D26" s="506" t="s">
        <v>323</v>
      </c>
      <c r="E26" s="504">
        <v>1400000</v>
      </c>
      <c r="F26" s="511">
        <v>43803</v>
      </c>
      <c r="G26" s="511">
        <v>44169</v>
      </c>
      <c r="H26" s="507"/>
      <c r="I26" s="507">
        <v>0.4</v>
      </c>
      <c r="J26" s="503">
        <v>3838.1735159817358</v>
      </c>
      <c r="K26" s="503">
        <v>460.27397260273972</v>
      </c>
      <c r="L26" s="503"/>
      <c r="M26" s="503"/>
      <c r="N26" s="503">
        <v>4298.4474885844756</v>
      </c>
      <c r="O26" s="503">
        <v>475.61643835616434</v>
      </c>
      <c r="P26" s="503"/>
      <c r="Q26" s="503"/>
      <c r="R26" s="503">
        <v>4774.0639269406402</v>
      </c>
      <c r="S26" s="503">
        <v>460.27397260273972</v>
      </c>
      <c r="T26" s="503"/>
      <c r="U26" s="503"/>
      <c r="V26" s="503">
        <v>5234.3378995433795</v>
      </c>
      <c r="W26" s="506"/>
      <c r="X26" s="488"/>
    </row>
    <row r="27" spans="1:24" x14ac:dyDescent="0.3">
      <c r="A27" s="505">
        <v>5056</v>
      </c>
      <c r="B27" s="506" t="s">
        <v>322</v>
      </c>
      <c r="C27" s="506" t="s">
        <v>321</v>
      </c>
      <c r="D27" s="506" t="s">
        <v>320</v>
      </c>
      <c r="E27" s="504">
        <v>33000</v>
      </c>
      <c r="F27" s="511">
        <v>43811</v>
      </c>
      <c r="G27" s="511">
        <v>44177</v>
      </c>
      <c r="H27" s="507"/>
      <c r="I27" s="507">
        <v>6.4</v>
      </c>
      <c r="J27" s="503">
        <v>1494.4730593607305</v>
      </c>
      <c r="K27" s="503">
        <v>173.58904109589042</v>
      </c>
      <c r="L27" s="503"/>
      <c r="M27" s="503"/>
      <c r="N27" s="503">
        <v>1668.062100456621</v>
      </c>
      <c r="O27" s="503">
        <v>179.37534246575342</v>
      </c>
      <c r="P27" s="503"/>
      <c r="Q27" s="503"/>
      <c r="R27" s="503">
        <v>1847.4374429223744</v>
      </c>
      <c r="S27" s="503">
        <v>173.58904109589042</v>
      </c>
      <c r="T27" s="503"/>
      <c r="U27" s="503"/>
      <c r="V27" s="503">
        <v>2021.0264840182649</v>
      </c>
      <c r="W27" s="506"/>
      <c r="X27" s="488"/>
    </row>
    <row r="28" spans="1:24" x14ac:dyDescent="0.3">
      <c r="A28" s="505">
        <v>5005</v>
      </c>
      <c r="B28" s="506" t="s">
        <v>265</v>
      </c>
      <c r="C28" s="506" t="s">
        <v>319</v>
      </c>
      <c r="D28" s="506" t="s">
        <v>318</v>
      </c>
      <c r="E28" s="504">
        <v>30000</v>
      </c>
      <c r="F28" s="511">
        <v>43815</v>
      </c>
      <c r="G28" s="511">
        <v>44181</v>
      </c>
      <c r="H28" s="507"/>
      <c r="I28" s="507">
        <v>6.9</v>
      </c>
      <c r="J28" s="503">
        <v>1487.7534246575344</v>
      </c>
      <c r="K28" s="503">
        <v>170.13698630136986</v>
      </c>
      <c r="L28" s="503"/>
      <c r="M28" s="503"/>
      <c r="N28" s="503">
        <v>1657.8904109589043</v>
      </c>
      <c r="O28" s="503">
        <v>175.80821917808217</v>
      </c>
      <c r="P28" s="503"/>
      <c r="Q28" s="503"/>
      <c r="R28" s="503">
        <v>1833.6986301369866</v>
      </c>
      <c r="S28" s="503">
        <v>170.13698630136986</v>
      </c>
      <c r="T28" s="503"/>
      <c r="U28" s="503"/>
      <c r="V28" s="503">
        <v>2003.8356164383565</v>
      </c>
      <c r="W28" s="506"/>
      <c r="X28" s="488"/>
    </row>
    <row r="29" spans="1:24" x14ac:dyDescent="0.3">
      <c r="A29" s="505">
        <v>5061</v>
      </c>
      <c r="B29" s="506" t="s">
        <v>317</v>
      </c>
      <c r="C29" s="506" t="s">
        <v>316</v>
      </c>
      <c r="D29" s="506" t="s">
        <v>315</v>
      </c>
      <c r="E29" s="504">
        <v>200000</v>
      </c>
      <c r="F29" s="511">
        <v>43816</v>
      </c>
      <c r="G29" s="511">
        <v>44182</v>
      </c>
      <c r="H29" s="507"/>
      <c r="I29" s="507">
        <v>5.65</v>
      </c>
      <c r="J29" s="503">
        <v>8152.9414003044139</v>
      </c>
      <c r="K29" s="503">
        <v>928.76712328767121</v>
      </c>
      <c r="L29" s="503"/>
      <c r="M29" s="503"/>
      <c r="N29" s="503">
        <v>9081.7085235920858</v>
      </c>
      <c r="O29" s="503">
        <v>959.72602739726028</v>
      </c>
      <c r="P29" s="503"/>
      <c r="Q29" s="503"/>
      <c r="R29" s="503">
        <v>10041.434550989346</v>
      </c>
      <c r="S29" s="503">
        <v>928.76712328767121</v>
      </c>
      <c r="T29" s="503"/>
      <c r="U29" s="503"/>
      <c r="V29" s="503">
        <v>10970.201674277017</v>
      </c>
      <c r="W29" s="506"/>
      <c r="X29" s="488"/>
    </row>
    <row r="30" spans="1:24" x14ac:dyDescent="0.3">
      <c r="A30" s="505">
        <v>5060</v>
      </c>
      <c r="B30" s="506" t="s">
        <v>233</v>
      </c>
      <c r="C30" s="506" t="s">
        <v>314</v>
      </c>
      <c r="D30" s="506" t="s">
        <v>313</v>
      </c>
      <c r="E30" s="504">
        <v>170000</v>
      </c>
      <c r="F30" s="511">
        <v>43822</v>
      </c>
      <c r="G30" s="511">
        <v>44186</v>
      </c>
      <c r="H30" s="507"/>
      <c r="I30" s="507">
        <v>5.65</v>
      </c>
      <c r="J30" s="503">
        <v>7036.7224124809745</v>
      </c>
      <c r="K30" s="503">
        <v>789.45205479452056</v>
      </c>
      <c r="L30" s="503"/>
      <c r="M30" s="503"/>
      <c r="N30" s="503">
        <v>7826.1744672754949</v>
      </c>
      <c r="O30" s="503">
        <v>815.76712328767132</v>
      </c>
      <c r="P30" s="503"/>
      <c r="Q30" s="503"/>
      <c r="R30" s="503">
        <v>8641.9415905631668</v>
      </c>
      <c r="S30" s="503">
        <v>789.45205479452056</v>
      </c>
      <c r="T30" s="503"/>
      <c r="U30" s="503"/>
      <c r="V30" s="503">
        <v>9431.393645357688</v>
      </c>
      <c r="W30" s="506"/>
      <c r="X30" s="488"/>
    </row>
    <row r="31" spans="1:24" x14ac:dyDescent="0.3">
      <c r="A31" s="505">
        <v>5060</v>
      </c>
      <c r="B31" s="506" t="s">
        <v>233</v>
      </c>
      <c r="C31" s="506" t="s">
        <v>312</v>
      </c>
      <c r="D31" s="506" t="s">
        <v>311</v>
      </c>
      <c r="E31" s="504">
        <v>254800</v>
      </c>
      <c r="F31" s="511">
        <v>43822</v>
      </c>
      <c r="G31" s="511">
        <v>44186</v>
      </c>
      <c r="H31" s="507"/>
      <c r="I31" s="507">
        <v>5.65</v>
      </c>
      <c r="J31" s="503">
        <v>10546.805121765603</v>
      </c>
      <c r="K31" s="503">
        <v>1183.2493150684932</v>
      </c>
      <c r="L31" s="503"/>
      <c r="M31" s="503"/>
      <c r="N31" s="503">
        <v>11730.054436834096</v>
      </c>
      <c r="O31" s="503">
        <v>1222.6909589041097</v>
      </c>
      <c r="P31" s="503"/>
      <c r="Q31" s="503"/>
      <c r="R31" s="503">
        <v>12952.745395738206</v>
      </c>
      <c r="S31" s="503">
        <v>1183.2493150684932</v>
      </c>
      <c r="T31" s="503"/>
      <c r="U31" s="503"/>
      <c r="V31" s="503">
        <v>14135.994710806699</v>
      </c>
      <c r="W31" s="506"/>
      <c r="X31" s="488"/>
    </row>
    <row r="32" spans="1:24" x14ac:dyDescent="0.3">
      <c r="A32" s="505">
        <v>5060</v>
      </c>
      <c r="B32" s="506" t="s">
        <v>233</v>
      </c>
      <c r="C32" s="506" t="s">
        <v>310</v>
      </c>
      <c r="D32" s="506" t="s">
        <v>309</v>
      </c>
      <c r="E32" s="504">
        <v>126000</v>
      </c>
      <c r="F32" s="511">
        <v>43822</v>
      </c>
      <c r="G32" s="511">
        <v>44186</v>
      </c>
      <c r="H32" s="507"/>
      <c r="I32" s="507">
        <v>5.65</v>
      </c>
      <c r="J32" s="503">
        <v>5215.4530821917815</v>
      </c>
      <c r="K32" s="503">
        <v>585.1232876712329</v>
      </c>
      <c r="L32" s="503"/>
      <c r="M32" s="503"/>
      <c r="N32" s="503">
        <v>5800.5763698630144</v>
      </c>
      <c r="O32" s="503">
        <v>604.62739726027394</v>
      </c>
      <c r="P32" s="503"/>
      <c r="Q32" s="503"/>
      <c r="R32" s="503">
        <v>6405.2037671232883</v>
      </c>
      <c r="S32" s="503">
        <v>585.1232876712329</v>
      </c>
      <c r="T32" s="503"/>
      <c r="U32" s="503"/>
      <c r="V32" s="503">
        <v>6990.3270547945212</v>
      </c>
      <c r="W32" s="506"/>
      <c r="X32" s="488"/>
    </row>
    <row r="33" spans="1:23" x14ac:dyDescent="0.3">
      <c r="A33" s="505">
        <v>5060</v>
      </c>
      <c r="B33" s="506" t="s">
        <v>233</v>
      </c>
      <c r="C33" s="506" t="s">
        <v>308</v>
      </c>
      <c r="D33" s="506" t="s">
        <v>307</v>
      </c>
      <c r="E33" s="504">
        <v>275000</v>
      </c>
      <c r="F33" s="511">
        <v>43822</v>
      </c>
      <c r="G33" s="511">
        <v>44186</v>
      </c>
      <c r="H33" s="507"/>
      <c r="I33" s="507">
        <v>5.65</v>
      </c>
      <c r="J33" s="503">
        <v>11382.933314307458</v>
      </c>
      <c r="K33" s="503">
        <v>1277.0547945205481</v>
      </c>
      <c r="L33" s="503"/>
      <c r="M33" s="503"/>
      <c r="N33" s="503">
        <v>12659.988108828005</v>
      </c>
      <c r="O33" s="503">
        <v>1319.6232876712329</v>
      </c>
      <c r="P33" s="503"/>
      <c r="Q33" s="503"/>
      <c r="R33" s="503">
        <v>13979.611396499238</v>
      </c>
      <c r="S33" s="503">
        <v>1277.0547945205478</v>
      </c>
      <c r="T33" s="503"/>
      <c r="U33" s="503"/>
      <c r="V33" s="503">
        <v>15256.666191019785</v>
      </c>
      <c r="W33" s="506"/>
    </row>
    <row r="34" spans="1:23" x14ac:dyDescent="0.3">
      <c r="A34" s="505">
        <v>5060</v>
      </c>
      <c r="B34" s="506" t="s">
        <v>233</v>
      </c>
      <c r="C34" s="506" t="s">
        <v>306</v>
      </c>
      <c r="D34" s="506" t="s">
        <v>305</v>
      </c>
      <c r="E34" s="504">
        <v>206000</v>
      </c>
      <c r="F34" s="511">
        <v>43822</v>
      </c>
      <c r="G34" s="511">
        <v>44186</v>
      </c>
      <c r="H34" s="507"/>
      <c r="I34" s="507">
        <v>5.65</v>
      </c>
      <c r="J34" s="503">
        <v>8526.851864535769</v>
      </c>
      <c r="K34" s="503">
        <v>956.63013698630141</v>
      </c>
      <c r="L34" s="503"/>
      <c r="M34" s="503"/>
      <c r="N34" s="503">
        <v>9483.4820015220703</v>
      </c>
      <c r="O34" s="503">
        <v>988.51780821917805</v>
      </c>
      <c r="P34" s="503"/>
      <c r="Q34" s="503"/>
      <c r="R34" s="503">
        <v>10471.999809741248</v>
      </c>
      <c r="S34" s="503">
        <v>956.63013698630141</v>
      </c>
      <c r="T34" s="503"/>
      <c r="U34" s="503"/>
      <c r="V34" s="503">
        <v>11428.629946727549</v>
      </c>
      <c r="W34" s="506"/>
    </row>
    <row r="35" spans="1:23" x14ac:dyDescent="0.3">
      <c r="A35" s="505">
        <v>5060</v>
      </c>
      <c r="B35" s="506" t="s">
        <v>233</v>
      </c>
      <c r="C35" s="506" t="s">
        <v>304</v>
      </c>
      <c r="D35" s="506" t="s">
        <v>303</v>
      </c>
      <c r="E35" s="504">
        <v>130000</v>
      </c>
      <c r="F35" s="511">
        <v>43822</v>
      </c>
      <c r="G35" s="511">
        <v>44186</v>
      </c>
      <c r="H35" s="507"/>
      <c r="I35" s="507">
        <v>5.65</v>
      </c>
      <c r="J35" s="503">
        <v>5381.0230213089799</v>
      </c>
      <c r="K35" s="503">
        <v>603.69863013698637</v>
      </c>
      <c r="L35" s="503"/>
      <c r="M35" s="503"/>
      <c r="N35" s="503">
        <v>5984.721651445966</v>
      </c>
      <c r="O35" s="503">
        <v>623.82191780821915</v>
      </c>
      <c r="P35" s="503"/>
      <c r="Q35" s="503"/>
      <c r="R35" s="503">
        <v>6608.5435692541851</v>
      </c>
      <c r="S35" s="503">
        <v>603.69863013698625</v>
      </c>
      <c r="T35" s="503"/>
      <c r="U35" s="503"/>
      <c r="V35" s="503">
        <v>7212.2421993911712</v>
      </c>
      <c r="W35" s="506"/>
    </row>
    <row r="36" spans="1:23" x14ac:dyDescent="0.3">
      <c r="A36" s="505">
        <v>5060</v>
      </c>
      <c r="B36" s="506" t="s">
        <v>233</v>
      </c>
      <c r="C36" s="506" t="s">
        <v>302</v>
      </c>
      <c r="D36" s="506" t="s">
        <v>301</v>
      </c>
      <c r="E36" s="504">
        <v>51138.69</v>
      </c>
      <c r="F36" s="511">
        <v>43822</v>
      </c>
      <c r="G36" s="511">
        <v>44186</v>
      </c>
      <c r="H36" s="507"/>
      <c r="I36" s="507">
        <v>5.65</v>
      </c>
      <c r="J36" s="503">
        <v>2116.7574474583334</v>
      </c>
      <c r="K36" s="503">
        <v>237.47967000000003</v>
      </c>
      <c r="L36" s="503"/>
      <c r="M36" s="503"/>
      <c r="N36" s="503">
        <v>2354.2371174583336</v>
      </c>
      <c r="O36" s="503">
        <v>245.39565900000002</v>
      </c>
      <c r="P36" s="503"/>
      <c r="Q36" s="503"/>
      <c r="R36" s="503">
        <v>2599.6327764583339</v>
      </c>
      <c r="S36" s="503">
        <v>237.47967000000003</v>
      </c>
      <c r="T36" s="503"/>
      <c r="U36" s="503"/>
      <c r="V36" s="503">
        <v>2837.112446458334</v>
      </c>
      <c r="W36" s="506"/>
    </row>
    <row r="37" spans="1:23" x14ac:dyDescent="0.3">
      <c r="A37" s="505">
        <v>5060</v>
      </c>
      <c r="B37" s="506" t="s">
        <v>233</v>
      </c>
      <c r="C37" s="506" t="s">
        <v>300</v>
      </c>
      <c r="D37" s="506" t="s">
        <v>299</v>
      </c>
      <c r="E37" s="504">
        <v>200000</v>
      </c>
      <c r="F37" s="511">
        <v>43822</v>
      </c>
      <c r="G37" s="511">
        <v>44186</v>
      </c>
      <c r="H37" s="507"/>
      <c r="I37" s="507">
        <v>5.65</v>
      </c>
      <c r="J37" s="503">
        <v>8278.4969558599696</v>
      </c>
      <c r="K37" s="503">
        <v>928.76712328767121</v>
      </c>
      <c r="L37" s="503"/>
      <c r="M37" s="503"/>
      <c r="N37" s="503">
        <v>9207.2640791476406</v>
      </c>
      <c r="O37" s="503">
        <v>959.72602739726028</v>
      </c>
      <c r="P37" s="503"/>
      <c r="Q37" s="503"/>
      <c r="R37" s="503">
        <v>10166.990106544901</v>
      </c>
      <c r="S37" s="503">
        <v>928.76712328767121</v>
      </c>
      <c r="T37" s="503"/>
      <c r="U37" s="503"/>
      <c r="V37" s="503">
        <v>11095.757229832572</v>
      </c>
      <c r="W37" s="506"/>
    </row>
    <row r="38" spans="1:23" x14ac:dyDescent="0.3">
      <c r="A38" s="505">
        <v>5055</v>
      </c>
      <c r="B38" s="506" t="s">
        <v>53</v>
      </c>
      <c r="C38" s="506" t="s">
        <v>217</v>
      </c>
      <c r="D38" s="506" t="s">
        <v>216</v>
      </c>
      <c r="E38" s="504">
        <v>800000</v>
      </c>
      <c r="F38" s="511">
        <v>43829</v>
      </c>
      <c r="G38" s="511">
        <v>44195</v>
      </c>
      <c r="H38" s="507"/>
      <c r="I38" s="504">
        <v>6.85</v>
      </c>
      <c r="J38" s="503">
        <v>37102.602739726019</v>
      </c>
      <c r="K38" s="503">
        <v>4504.1095890410961</v>
      </c>
      <c r="L38" s="503"/>
      <c r="M38" s="503"/>
      <c r="N38" s="503">
        <v>41606.712328767113</v>
      </c>
      <c r="O38" s="503">
        <v>4654.2465753424649</v>
      </c>
      <c r="P38" s="503"/>
      <c r="Q38" s="503"/>
      <c r="R38" s="503">
        <v>46260.958904109575</v>
      </c>
      <c r="S38" s="503">
        <v>4504.1095890410952</v>
      </c>
      <c r="T38" s="503"/>
      <c r="U38" s="503"/>
      <c r="V38" s="503">
        <v>50765.068493150669</v>
      </c>
      <c r="W38" s="506"/>
    </row>
    <row r="39" spans="1:23" x14ac:dyDescent="0.3">
      <c r="A39" s="505">
        <v>5063</v>
      </c>
      <c r="B39" s="506" t="s">
        <v>25</v>
      </c>
      <c r="C39" s="506" t="s">
        <v>298</v>
      </c>
      <c r="D39" s="506" t="s">
        <v>297</v>
      </c>
      <c r="E39" s="504">
        <v>160000</v>
      </c>
      <c r="F39" s="511">
        <v>43832</v>
      </c>
      <c r="G39" s="511">
        <v>44198</v>
      </c>
      <c r="H39" s="507"/>
      <c r="I39" s="507">
        <v>4.4000000000000004</v>
      </c>
      <c r="J39" s="503">
        <v>4707.7990867579911</v>
      </c>
      <c r="K39" s="503">
        <v>578.63013698630141</v>
      </c>
      <c r="L39" s="503"/>
      <c r="M39" s="503"/>
      <c r="N39" s="503">
        <v>5286.4292237442924</v>
      </c>
      <c r="O39" s="503">
        <v>597.91780821917814</v>
      </c>
      <c r="P39" s="503"/>
      <c r="Q39" s="503"/>
      <c r="R39" s="503">
        <v>5884.3470319634707</v>
      </c>
      <c r="S39" s="503">
        <v>578.63013698630141</v>
      </c>
      <c r="T39" s="503"/>
      <c r="U39" s="503"/>
      <c r="V39" s="503">
        <v>6462.977168949772</v>
      </c>
      <c r="W39" s="506"/>
    </row>
    <row r="40" spans="1:23" x14ac:dyDescent="0.3">
      <c r="A40" s="505">
        <v>5060</v>
      </c>
      <c r="B40" s="506" t="s">
        <v>19</v>
      </c>
      <c r="C40" s="506" t="s">
        <v>296</v>
      </c>
      <c r="D40" s="506" t="s">
        <v>295</v>
      </c>
      <c r="E40" s="504">
        <v>60000</v>
      </c>
      <c r="F40" s="511">
        <v>43837</v>
      </c>
      <c r="G40" s="511">
        <v>44203</v>
      </c>
      <c r="H40" s="507"/>
      <c r="I40" s="507">
        <v>1.9</v>
      </c>
      <c r="J40" s="503">
        <v>746.50913242009119</v>
      </c>
      <c r="K40" s="503">
        <v>93.69863013698631</v>
      </c>
      <c r="L40" s="503"/>
      <c r="M40" s="503"/>
      <c r="N40" s="503">
        <v>840.20776255707756</v>
      </c>
      <c r="O40" s="503">
        <v>96.821917808219183</v>
      </c>
      <c r="P40" s="503"/>
      <c r="Q40" s="503"/>
      <c r="R40" s="503">
        <v>937.02968036529671</v>
      </c>
      <c r="S40" s="503">
        <v>93.69863013698631</v>
      </c>
      <c r="T40" s="503"/>
      <c r="U40" s="503"/>
      <c r="V40" s="503">
        <v>1030.728310502283</v>
      </c>
      <c r="W40" s="506"/>
    </row>
    <row r="41" spans="1:23" x14ac:dyDescent="0.3">
      <c r="A41" s="505">
        <v>5060</v>
      </c>
      <c r="B41" s="506" t="s">
        <v>16</v>
      </c>
      <c r="C41" s="506" t="s">
        <v>294</v>
      </c>
      <c r="D41" s="506" t="s">
        <v>293</v>
      </c>
      <c r="E41" s="504">
        <v>60000</v>
      </c>
      <c r="F41" s="511">
        <v>43838</v>
      </c>
      <c r="G41" s="511">
        <v>44204</v>
      </c>
      <c r="H41" s="507"/>
      <c r="I41" s="507">
        <v>1.9</v>
      </c>
      <c r="J41" s="503">
        <v>743.34246575342468</v>
      </c>
      <c r="K41" s="503">
        <v>93.69863013698631</v>
      </c>
      <c r="L41" s="503"/>
      <c r="M41" s="503"/>
      <c r="N41" s="503">
        <v>837.04109589041104</v>
      </c>
      <c r="O41" s="503">
        <v>96.821917808219183</v>
      </c>
      <c r="P41" s="503"/>
      <c r="Q41" s="503"/>
      <c r="R41" s="503">
        <v>933.8630136986302</v>
      </c>
      <c r="S41" s="503">
        <v>93.69863013698631</v>
      </c>
      <c r="T41" s="503"/>
      <c r="U41" s="503"/>
      <c r="V41" s="503">
        <v>1027.5616438356165</v>
      </c>
      <c r="W41" s="506"/>
    </row>
    <row r="42" spans="1:23" x14ac:dyDescent="0.3">
      <c r="A42" s="505">
        <v>5060</v>
      </c>
      <c r="B42" s="506" t="s">
        <v>233</v>
      </c>
      <c r="C42" s="506" t="s">
        <v>292</v>
      </c>
      <c r="D42" s="506" t="s">
        <v>291</v>
      </c>
      <c r="E42" s="504">
        <v>59000</v>
      </c>
      <c r="F42" s="511">
        <v>43846</v>
      </c>
      <c r="G42" s="511">
        <v>44212</v>
      </c>
      <c r="H42" s="507"/>
      <c r="I42" s="507">
        <v>5.65</v>
      </c>
      <c r="J42" s="503">
        <v>2192.1441019786912</v>
      </c>
      <c r="K42" s="503">
        <v>273.98630136986304</v>
      </c>
      <c r="L42" s="503"/>
      <c r="M42" s="503"/>
      <c r="N42" s="503">
        <v>2466.1304033485544</v>
      </c>
      <c r="O42" s="503">
        <v>283.11917808219181</v>
      </c>
      <c r="P42" s="503"/>
      <c r="Q42" s="503"/>
      <c r="R42" s="503">
        <v>2749.2495814307463</v>
      </c>
      <c r="S42" s="503">
        <v>273.98630136986304</v>
      </c>
      <c r="T42" s="503"/>
      <c r="U42" s="503"/>
      <c r="V42" s="503">
        <v>3023.2358828006095</v>
      </c>
      <c r="W42" s="506"/>
    </row>
    <row r="43" spans="1:23" x14ac:dyDescent="0.3">
      <c r="A43" s="505">
        <v>5060</v>
      </c>
      <c r="B43" s="506" t="s">
        <v>19</v>
      </c>
      <c r="C43" s="506" t="s">
        <v>290</v>
      </c>
      <c r="D43" s="506" t="s">
        <v>289</v>
      </c>
      <c r="E43" s="504">
        <v>50000</v>
      </c>
      <c r="F43" s="511">
        <v>43846</v>
      </c>
      <c r="G43" s="511">
        <v>44212</v>
      </c>
      <c r="H43" s="507"/>
      <c r="I43" s="507">
        <v>1.9</v>
      </c>
      <c r="J43" s="503">
        <v>624.72983257229839</v>
      </c>
      <c r="K43" s="503">
        <v>78.08219178082193</v>
      </c>
      <c r="L43" s="503"/>
      <c r="M43" s="503"/>
      <c r="N43" s="503">
        <v>702.81202435312036</v>
      </c>
      <c r="O43" s="503">
        <v>80.684931506849324</v>
      </c>
      <c r="P43" s="503"/>
      <c r="Q43" s="503"/>
      <c r="R43" s="503">
        <v>783.49695585996972</v>
      </c>
      <c r="S43" s="503">
        <v>78.08219178082193</v>
      </c>
      <c r="T43" s="503"/>
      <c r="U43" s="503"/>
      <c r="V43" s="503">
        <v>861.57914764079169</v>
      </c>
      <c r="W43" s="506"/>
    </row>
    <row r="44" spans="1:23" x14ac:dyDescent="0.3">
      <c r="A44" s="505">
        <v>5055</v>
      </c>
      <c r="B44" s="506" t="s">
        <v>159</v>
      </c>
      <c r="C44" s="506" t="s">
        <v>286</v>
      </c>
      <c r="D44" s="506" t="s">
        <v>285</v>
      </c>
      <c r="E44" s="504">
        <v>50000</v>
      </c>
      <c r="F44" s="511">
        <v>43851</v>
      </c>
      <c r="G44" s="511">
        <v>44210</v>
      </c>
      <c r="H44" s="507"/>
      <c r="I44" s="507">
        <v>5.65</v>
      </c>
      <c r="J44" s="503">
        <v>1794.9714611872146</v>
      </c>
      <c r="K44" s="503">
        <v>232.1917808219178</v>
      </c>
      <c r="L44" s="503"/>
      <c r="M44" s="503"/>
      <c r="N44" s="503">
        <v>2027.1632420091323</v>
      </c>
      <c r="O44" s="503">
        <v>239.93150684931507</v>
      </c>
      <c r="P44" s="503"/>
      <c r="Q44" s="503"/>
      <c r="R44" s="503">
        <v>2267.0947488584475</v>
      </c>
      <c r="S44" s="503">
        <v>232.1917808219178</v>
      </c>
      <c r="T44" s="503"/>
      <c r="U44" s="503"/>
      <c r="V44" s="503">
        <v>2499.2865296803652</v>
      </c>
      <c r="W44" s="506"/>
    </row>
    <row r="45" spans="1:23" x14ac:dyDescent="0.3">
      <c r="A45" s="505">
        <v>5055</v>
      </c>
      <c r="B45" s="506" t="s">
        <v>159</v>
      </c>
      <c r="C45" s="506" t="s">
        <v>284</v>
      </c>
      <c r="D45" s="506" t="s">
        <v>283</v>
      </c>
      <c r="E45" s="504">
        <v>220000</v>
      </c>
      <c r="F45" s="511">
        <v>43852</v>
      </c>
      <c r="G45" s="511">
        <v>44218</v>
      </c>
      <c r="H45" s="507"/>
      <c r="I45" s="507">
        <v>5.65</v>
      </c>
      <c r="J45" s="503">
        <v>7621.6522070015217</v>
      </c>
      <c r="K45" s="503">
        <v>1021.6438356164383</v>
      </c>
      <c r="L45" s="503"/>
      <c r="M45" s="503"/>
      <c r="N45" s="503">
        <v>8643.2960426179598</v>
      </c>
      <c r="O45" s="503">
        <v>1055.6986301369861</v>
      </c>
      <c r="P45" s="503"/>
      <c r="Q45" s="503"/>
      <c r="R45" s="503">
        <v>9698.9946727549468</v>
      </c>
      <c r="S45" s="503">
        <v>1021.6438356164383</v>
      </c>
      <c r="T45" s="503"/>
      <c r="U45" s="503"/>
      <c r="V45" s="503">
        <v>10720.638508371385</v>
      </c>
      <c r="W45" s="506"/>
    </row>
    <row r="46" spans="1:23" x14ac:dyDescent="0.3">
      <c r="A46" s="505">
        <v>5060</v>
      </c>
      <c r="B46" s="506" t="s">
        <v>16</v>
      </c>
      <c r="C46" s="506" t="s">
        <v>282</v>
      </c>
      <c r="D46" s="506" t="s">
        <v>281</v>
      </c>
      <c r="E46" s="504">
        <v>60000</v>
      </c>
      <c r="F46" s="511">
        <v>43852</v>
      </c>
      <c r="G46" s="511">
        <v>44218</v>
      </c>
      <c r="H46" s="507"/>
      <c r="I46" s="507">
        <v>1.9</v>
      </c>
      <c r="J46" s="503">
        <v>699.0091324200913</v>
      </c>
      <c r="K46" s="503">
        <v>93.69863013698631</v>
      </c>
      <c r="L46" s="503"/>
      <c r="M46" s="503"/>
      <c r="N46" s="503">
        <v>792.70776255707756</v>
      </c>
      <c r="O46" s="503">
        <v>96.821917808219183</v>
      </c>
      <c r="P46" s="503"/>
      <c r="Q46" s="503"/>
      <c r="R46" s="503">
        <v>889.52968036529671</v>
      </c>
      <c r="S46" s="503">
        <v>93.69863013698631</v>
      </c>
      <c r="T46" s="503"/>
      <c r="U46" s="503"/>
      <c r="V46" s="503">
        <v>983.22831050228297</v>
      </c>
      <c r="W46" s="506"/>
    </row>
    <row r="47" spans="1:23" x14ac:dyDescent="0.3">
      <c r="A47" s="505">
        <v>5055</v>
      </c>
      <c r="B47" s="506" t="s">
        <v>159</v>
      </c>
      <c r="C47" s="506" t="s">
        <v>280</v>
      </c>
      <c r="D47" s="506" t="s">
        <v>279</v>
      </c>
      <c r="E47" s="504">
        <v>2200000</v>
      </c>
      <c r="F47" s="511">
        <v>43848</v>
      </c>
      <c r="G47" s="511">
        <v>44214</v>
      </c>
      <c r="H47" s="507"/>
      <c r="I47" s="507">
        <v>6.85</v>
      </c>
      <c r="J47" s="503">
        <v>94078.546423135442</v>
      </c>
      <c r="K47" s="503">
        <v>12386.301369863013</v>
      </c>
      <c r="L47" s="503"/>
      <c r="M47" s="503"/>
      <c r="N47" s="503">
        <v>106464.84779299845</v>
      </c>
      <c r="O47" s="503">
        <v>12799.178082191778</v>
      </c>
      <c r="P47" s="503"/>
      <c r="Q47" s="503"/>
      <c r="R47" s="503">
        <v>119264.02587519023</v>
      </c>
      <c r="S47" s="503">
        <v>12386.301369863011</v>
      </c>
      <c r="T47" s="503"/>
      <c r="U47" s="503"/>
      <c r="V47" s="503">
        <v>131650.32724505325</v>
      </c>
      <c r="W47" s="506"/>
    </row>
    <row r="48" spans="1:23" x14ac:dyDescent="0.3">
      <c r="A48" s="505">
        <v>5063</v>
      </c>
      <c r="B48" s="506" t="s">
        <v>25</v>
      </c>
      <c r="C48" s="506" t="s">
        <v>278</v>
      </c>
      <c r="D48" s="506" t="s">
        <v>277</v>
      </c>
      <c r="E48" s="494">
        <v>175000</v>
      </c>
      <c r="F48" s="511">
        <v>43862</v>
      </c>
      <c r="G48" s="511">
        <v>44228</v>
      </c>
      <c r="H48" s="507"/>
      <c r="I48" s="512">
        <v>4.4000000000000004</v>
      </c>
      <c r="J48" s="503">
        <v>4528.8774733637756</v>
      </c>
      <c r="K48" s="503">
        <v>632.8767123287671</v>
      </c>
      <c r="L48" s="503"/>
      <c r="M48" s="503"/>
      <c r="N48" s="503">
        <v>5161.7541856925427</v>
      </c>
      <c r="O48" s="503">
        <v>653.97260273972609</v>
      </c>
      <c r="P48" s="503"/>
      <c r="Q48" s="503"/>
      <c r="R48" s="503">
        <v>5815.7267884322691</v>
      </c>
      <c r="S48" s="503">
        <v>632.8767123287671</v>
      </c>
      <c r="T48" s="503"/>
      <c r="U48" s="503"/>
      <c r="V48" s="503">
        <v>6448.6035007610362</v>
      </c>
      <c r="W48" s="506"/>
    </row>
    <row r="49" spans="1:23" x14ac:dyDescent="0.3">
      <c r="A49" s="505">
        <v>5005</v>
      </c>
      <c r="B49" s="506" t="s">
        <v>265</v>
      </c>
      <c r="C49" s="506" t="s">
        <v>276</v>
      </c>
      <c r="D49" s="506" t="s">
        <v>275</v>
      </c>
      <c r="E49" s="494">
        <v>15300</v>
      </c>
      <c r="F49" s="511">
        <v>43865</v>
      </c>
      <c r="G49" s="511">
        <v>44231</v>
      </c>
      <c r="H49" s="507"/>
      <c r="I49" s="512">
        <v>6.9</v>
      </c>
      <c r="J49" s="503">
        <v>609.19674657534244</v>
      </c>
      <c r="K49" s="503">
        <v>86.76986301369864</v>
      </c>
      <c r="L49" s="503"/>
      <c r="M49" s="503"/>
      <c r="N49" s="503">
        <v>695.96660958904113</v>
      </c>
      <c r="O49" s="503">
        <v>89.662191780821928</v>
      </c>
      <c r="P49" s="503"/>
      <c r="Q49" s="503"/>
      <c r="R49" s="503">
        <v>785.62880136986303</v>
      </c>
      <c r="S49" s="503">
        <v>86.76986301369864</v>
      </c>
      <c r="T49" s="503"/>
      <c r="U49" s="503"/>
      <c r="V49" s="503">
        <v>872.39866438356171</v>
      </c>
      <c r="W49" s="506"/>
    </row>
    <row r="50" spans="1:23" x14ac:dyDescent="0.3">
      <c r="A50" s="505">
        <v>5028</v>
      </c>
      <c r="B50" s="506" t="s">
        <v>274</v>
      </c>
      <c r="C50" s="506" t="s">
        <v>273</v>
      </c>
      <c r="D50" s="506" t="s">
        <v>272</v>
      </c>
      <c r="E50" s="494">
        <v>1400000</v>
      </c>
      <c r="F50" s="511">
        <v>43865</v>
      </c>
      <c r="G50" s="511">
        <v>44231</v>
      </c>
      <c r="H50" s="507"/>
      <c r="I50" s="512">
        <v>7.9</v>
      </c>
      <c r="J50" s="503">
        <v>63822.260273972606</v>
      </c>
      <c r="K50" s="503">
        <v>9090.4109589041109</v>
      </c>
      <c r="L50" s="503"/>
      <c r="M50" s="503"/>
      <c r="N50" s="503">
        <v>72912.671232876717</v>
      </c>
      <c r="O50" s="503">
        <v>9393.4246575342477</v>
      </c>
      <c r="P50" s="503"/>
      <c r="Q50" s="503"/>
      <c r="R50" s="503">
        <v>82306.095890410972</v>
      </c>
      <c r="S50" s="503">
        <v>9090.4109589041109</v>
      </c>
      <c r="T50" s="503"/>
      <c r="U50" s="503"/>
      <c r="V50" s="503">
        <v>91396.506849315076</v>
      </c>
      <c r="W50" s="506"/>
    </row>
    <row r="51" spans="1:23" x14ac:dyDescent="0.3">
      <c r="A51" s="505">
        <v>5057</v>
      </c>
      <c r="B51" s="506" t="s">
        <v>268</v>
      </c>
      <c r="C51" s="506" t="s">
        <v>267</v>
      </c>
      <c r="D51" s="506" t="s">
        <v>266</v>
      </c>
      <c r="E51" s="494">
        <v>500000</v>
      </c>
      <c r="F51" s="511">
        <v>43866</v>
      </c>
      <c r="G51" s="511">
        <v>44232</v>
      </c>
      <c r="H51" s="507"/>
      <c r="I51" s="507">
        <v>3.4</v>
      </c>
      <c r="J51" s="503">
        <v>9762.7092846270934</v>
      </c>
      <c r="K51" s="503">
        <v>1397.2602739726026</v>
      </c>
      <c r="L51" s="503"/>
      <c r="M51" s="503"/>
      <c r="N51" s="503">
        <v>11159.969558599696</v>
      </c>
      <c r="O51" s="503">
        <v>1443.8356164383561</v>
      </c>
      <c r="P51" s="503"/>
      <c r="Q51" s="503"/>
      <c r="R51" s="503">
        <v>12603.805175038053</v>
      </c>
      <c r="S51" s="503">
        <v>1397.2602739726026</v>
      </c>
      <c r="T51" s="503"/>
      <c r="U51" s="503"/>
      <c r="V51" s="503">
        <v>14001.065449010655</v>
      </c>
      <c r="W51" s="506"/>
    </row>
    <row r="52" spans="1:23" x14ac:dyDescent="0.3">
      <c r="A52" s="505">
        <v>5005</v>
      </c>
      <c r="B52" s="506" t="s">
        <v>265</v>
      </c>
      <c r="C52" s="506" t="s">
        <v>264</v>
      </c>
      <c r="D52" s="506" t="s">
        <v>263</v>
      </c>
      <c r="E52" s="494">
        <v>188600</v>
      </c>
      <c r="F52" s="511">
        <v>43867</v>
      </c>
      <c r="G52" s="511">
        <v>44233</v>
      </c>
      <c r="H52" s="507"/>
      <c r="I52" s="507">
        <v>6.9</v>
      </c>
      <c r="J52" s="503">
        <v>7437.1481963470342</v>
      </c>
      <c r="K52" s="503">
        <v>1069.5945205479454</v>
      </c>
      <c r="L52" s="503"/>
      <c r="M52" s="503"/>
      <c r="N52" s="503">
        <v>8506.7427168949798</v>
      </c>
      <c r="O52" s="503">
        <v>1105.2476712328769</v>
      </c>
      <c r="P52" s="503"/>
      <c r="Q52" s="503"/>
      <c r="R52" s="503">
        <v>9611.9903881278569</v>
      </c>
      <c r="S52" s="503">
        <v>1069.5945205479454</v>
      </c>
      <c r="T52" s="503"/>
      <c r="U52" s="503"/>
      <c r="V52" s="503">
        <v>10681.584908675803</v>
      </c>
      <c r="W52" s="506"/>
    </row>
    <row r="53" spans="1:23" x14ac:dyDescent="0.3">
      <c r="A53" s="505">
        <v>5060</v>
      </c>
      <c r="B53" s="506" t="s">
        <v>19</v>
      </c>
      <c r="C53" s="506" t="s">
        <v>259</v>
      </c>
      <c r="D53" s="506" t="s">
        <v>258</v>
      </c>
      <c r="E53" s="494">
        <v>72500</v>
      </c>
      <c r="F53" s="511">
        <v>43864</v>
      </c>
      <c r="G53" s="511">
        <v>44230</v>
      </c>
      <c r="H53" s="507"/>
      <c r="I53" s="507">
        <v>1.9</v>
      </c>
      <c r="J53" s="503">
        <v>798.71936834094367</v>
      </c>
      <c r="K53" s="503">
        <v>113.21917808219179</v>
      </c>
      <c r="L53" s="503"/>
      <c r="M53" s="503"/>
      <c r="N53" s="503">
        <v>911.93854642313545</v>
      </c>
      <c r="O53" s="503">
        <v>116.99315068493151</v>
      </c>
      <c r="P53" s="503"/>
      <c r="Q53" s="503"/>
      <c r="R53" s="503">
        <v>1028.9316971080671</v>
      </c>
      <c r="S53" s="503">
        <v>113.21917808219179</v>
      </c>
      <c r="T53" s="503"/>
      <c r="U53" s="503"/>
      <c r="V53" s="503">
        <v>1142.1508751902588</v>
      </c>
      <c r="W53" s="506"/>
    </row>
    <row r="54" spans="1:23" x14ac:dyDescent="0.3">
      <c r="A54" s="505">
        <v>5060</v>
      </c>
      <c r="B54" s="506" t="s">
        <v>19</v>
      </c>
      <c r="C54" s="506" t="s">
        <v>257</v>
      </c>
      <c r="D54" s="506" t="s">
        <v>256</v>
      </c>
      <c r="E54" s="494">
        <v>90000</v>
      </c>
      <c r="F54" s="511">
        <v>43864</v>
      </c>
      <c r="G54" s="511">
        <v>44230</v>
      </c>
      <c r="H54" s="507"/>
      <c r="I54" s="507">
        <v>1.9</v>
      </c>
      <c r="J54" s="503">
        <v>991.51369863013701</v>
      </c>
      <c r="K54" s="503">
        <v>140.54794520547946</v>
      </c>
      <c r="L54" s="503"/>
      <c r="M54" s="503"/>
      <c r="N54" s="503">
        <v>1132.0616438356165</v>
      </c>
      <c r="O54" s="503">
        <v>145.23287671232876</v>
      </c>
      <c r="P54" s="503"/>
      <c r="Q54" s="503"/>
      <c r="R54" s="503">
        <v>1277.2945205479452</v>
      </c>
      <c r="S54" s="503">
        <v>140.54794520547946</v>
      </c>
      <c r="T54" s="503"/>
      <c r="U54" s="503"/>
      <c r="V54" s="503">
        <v>1417.8424657534247</v>
      </c>
      <c r="W54" s="506"/>
    </row>
    <row r="55" spans="1:23" x14ac:dyDescent="0.3">
      <c r="A55" s="505">
        <v>5055</v>
      </c>
      <c r="B55" s="506" t="s">
        <v>56</v>
      </c>
      <c r="C55" s="506" t="s">
        <v>255</v>
      </c>
      <c r="D55" s="506" t="s">
        <v>254</v>
      </c>
      <c r="E55" s="494">
        <v>1000000</v>
      </c>
      <c r="F55" s="511">
        <v>43878</v>
      </c>
      <c r="G55" s="511">
        <v>44244</v>
      </c>
      <c r="H55" s="507"/>
      <c r="I55" s="507">
        <v>5.4</v>
      </c>
      <c r="J55" s="503">
        <v>29210.958904109597</v>
      </c>
      <c r="K55" s="503">
        <v>4438.3561643835619</v>
      </c>
      <c r="L55" s="503"/>
      <c r="M55" s="503"/>
      <c r="N55" s="503">
        <v>33649.315068493161</v>
      </c>
      <c r="O55" s="503">
        <v>4586.3013698630148</v>
      </c>
      <c r="P55" s="503"/>
      <c r="Q55" s="503"/>
      <c r="R55" s="503">
        <v>38235.616438356177</v>
      </c>
      <c r="S55" s="503">
        <v>4438.3561643835628</v>
      </c>
      <c r="T55" s="503"/>
      <c r="U55" s="503"/>
      <c r="V55" s="503">
        <v>42673.972602739741</v>
      </c>
      <c r="W55" s="506"/>
    </row>
    <row r="56" spans="1:23" x14ac:dyDescent="0.3">
      <c r="A56" s="505">
        <v>5055</v>
      </c>
      <c r="B56" s="506" t="s">
        <v>56</v>
      </c>
      <c r="C56" s="506" t="s">
        <v>253</v>
      </c>
      <c r="D56" s="506" t="s">
        <v>252</v>
      </c>
      <c r="E56" s="494">
        <v>1500000</v>
      </c>
      <c r="F56" s="511">
        <v>43879</v>
      </c>
      <c r="G56" s="511">
        <v>44245</v>
      </c>
      <c r="H56" s="507"/>
      <c r="I56" s="507">
        <v>6.9</v>
      </c>
      <c r="J56" s="503">
        <v>55700.171232876724</v>
      </c>
      <c r="K56" s="503">
        <v>8506.8493150684935</v>
      </c>
      <c r="L56" s="503"/>
      <c r="M56" s="503"/>
      <c r="N56" s="503">
        <v>64207.02054794522</v>
      </c>
      <c r="O56" s="503">
        <v>8790.4109589041109</v>
      </c>
      <c r="P56" s="503"/>
      <c r="Q56" s="503"/>
      <c r="R56" s="503">
        <v>72997.431506849331</v>
      </c>
      <c r="S56" s="503">
        <v>8506.8493150684935</v>
      </c>
      <c r="T56" s="503"/>
      <c r="U56" s="503"/>
      <c r="V56" s="503">
        <v>81504.280821917826</v>
      </c>
      <c r="W56" s="506"/>
    </row>
    <row r="57" spans="1:23" x14ac:dyDescent="0.3">
      <c r="A57" s="505">
        <v>5063</v>
      </c>
      <c r="B57" s="506" t="s">
        <v>77</v>
      </c>
      <c r="C57" s="506" t="s">
        <v>251</v>
      </c>
      <c r="D57" s="506" t="s">
        <v>250</v>
      </c>
      <c r="E57" s="494">
        <v>23000</v>
      </c>
      <c r="F57" s="511">
        <v>43880</v>
      </c>
      <c r="G57" s="511">
        <v>44246</v>
      </c>
      <c r="H57" s="507"/>
      <c r="I57" s="507">
        <v>5.4</v>
      </c>
      <c r="J57" s="503">
        <v>668.40205479452061</v>
      </c>
      <c r="K57" s="503">
        <v>102.08219178082192</v>
      </c>
      <c r="L57" s="503"/>
      <c r="M57" s="503"/>
      <c r="N57" s="503">
        <v>770.48424657534247</v>
      </c>
      <c r="O57" s="503">
        <v>105.48493150684934</v>
      </c>
      <c r="P57" s="503"/>
      <c r="Q57" s="503"/>
      <c r="R57" s="503">
        <v>875.96917808219177</v>
      </c>
      <c r="S57" s="503">
        <v>102.08219178082193</v>
      </c>
      <c r="T57" s="503"/>
      <c r="U57" s="503"/>
      <c r="V57" s="503">
        <v>978.05136986301375</v>
      </c>
      <c r="W57" s="506"/>
    </row>
    <row r="58" spans="1:23" x14ac:dyDescent="0.3">
      <c r="A58" s="505">
        <v>5060</v>
      </c>
      <c r="B58" s="506" t="s">
        <v>16</v>
      </c>
      <c r="C58" s="506" t="s">
        <v>249</v>
      </c>
      <c r="D58" s="506" t="s">
        <v>248</v>
      </c>
      <c r="E58" s="494">
        <v>87500</v>
      </c>
      <c r="F58" s="511">
        <v>43880</v>
      </c>
      <c r="G58" s="511">
        <v>44246</v>
      </c>
      <c r="H58" s="507"/>
      <c r="I58" s="507">
        <v>1.9</v>
      </c>
      <c r="J58" s="503">
        <v>890.08276255707779</v>
      </c>
      <c r="K58" s="503">
        <v>136.64383561643837</v>
      </c>
      <c r="L58" s="503"/>
      <c r="M58" s="503"/>
      <c r="N58" s="503">
        <v>1026.7265981735161</v>
      </c>
      <c r="O58" s="503">
        <v>141.19863013698631</v>
      </c>
      <c r="P58" s="503"/>
      <c r="Q58" s="503"/>
      <c r="R58" s="503">
        <v>1167.9252283105025</v>
      </c>
      <c r="S58" s="503">
        <v>136.64383561643837</v>
      </c>
      <c r="T58" s="503"/>
      <c r="U58" s="503"/>
      <c r="V58" s="503">
        <v>1304.5690639269408</v>
      </c>
      <c r="W58" s="506"/>
    </row>
    <row r="59" spans="1:23" x14ac:dyDescent="0.3">
      <c r="A59" s="505">
        <v>5060</v>
      </c>
      <c r="B59" s="506" t="s">
        <v>19</v>
      </c>
      <c r="C59" s="506" t="s">
        <v>247</v>
      </c>
      <c r="D59" s="506" t="s">
        <v>246</v>
      </c>
      <c r="E59" s="494">
        <v>87500</v>
      </c>
      <c r="F59" s="511">
        <v>43880</v>
      </c>
      <c r="G59" s="511">
        <v>44246</v>
      </c>
      <c r="H59" s="507"/>
      <c r="I59" s="507">
        <v>1.9</v>
      </c>
      <c r="J59" s="503">
        <v>890.08276255707779</v>
      </c>
      <c r="K59" s="503">
        <v>136.64383561643837</v>
      </c>
      <c r="L59" s="503"/>
      <c r="M59" s="503"/>
      <c r="N59" s="503">
        <v>1026.7265981735161</v>
      </c>
      <c r="O59" s="503">
        <v>141.19863013698631</v>
      </c>
      <c r="P59" s="503"/>
      <c r="Q59" s="503"/>
      <c r="R59" s="503">
        <v>1167.9252283105025</v>
      </c>
      <c r="S59" s="503">
        <v>136.64383561643837</v>
      </c>
      <c r="T59" s="503"/>
      <c r="U59" s="503"/>
      <c r="V59" s="503">
        <v>1304.5690639269408</v>
      </c>
      <c r="W59" s="506"/>
    </row>
    <row r="60" spans="1:23" x14ac:dyDescent="0.3">
      <c r="A60" s="513">
        <v>5063</v>
      </c>
      <c r="B60" s="514" t="s">
        <v>13</v>
      </c>
      <c r="C60" s="514" t="s">
        <v>245</v>
      </c>
      <c r="D60" s="514" t="s">
        <v>244</v>
      </c>
      <c r="E60" s="494">
        <v>100000</v>
      </c>
      <c r="F60" s="515">
        <v>43881</v>
      </c>
      <c r="G60" s="515">
        <v>44247</v>
      </c>
      <c r="H60" s="516"/>
      <c r="I60" s="507">
        <v>8.9</v>
      </c>
      <c r="J60" s="503">
        <v>4740.2321156773223</v>
      </c>
      <c r="K60" s="503">
        <v>731.50684931506851</v>
      </c>
      <c r="L60" s="503"/>
      <c r="M60" s="503"/>
      <c r="N60" s="503">
        <v>5471.7389649923907</v>
      </c>
      <c r="O60" s="503">
        <v>755.89041095890423</v>
      </c>
      <c r="P60" s="503"/>
      <c r="Q60" s="503"/>
      <c r="R60" s="503">
        <v>6227.6293759512946</v>
      </c>
      <c r="S60" s="503">
        <v>731.50684931506862</v>
      </c>
      <c r="T60" s="503"/>
      <c r="U60" s="503"/>
      <c r="V60" s="503">
        <v>6959.136225266363</v>
      </c>
      <c r="W60" s="514"/>
    </row>
    <row r="61" spans="1:23" x14ac:dyDescent="0.3">
      <c r="A61" s="505">
        <v>5063</v>
      </c>
      <c r="B61" s="506" t="s">
        <v>25</v>
      </c>
      <c r="C61" s="506" t="s">
        <v>243</v>
      </c>
      <c r="D61" s="506" t="s">
        <v>242</v>
      </c>
      <c r="E61" s="504">
        <v>122500</v>
      </c>
      <c r="F61" s="511">
        <v>43891</v>
      </c>
      <c r="G61" s="511">
        <v>44256</v>
      </c>
      <c r="H61" s="507"/>
      <c r="I61" s="507">
        <v>4.4000000000000004</v>
      </c>
      <c r="J61" s="503">
        <v>2706.0753424657537</v>
      </c>
      <c r="K61" s="503">
        <v>443.01369863013696</v>
      </c>
      <c r="L61" s="503"/>
      <c r="M61" s="503"/>
      <c r="N61" s="503">
        <v>3149.0890410958905</v>
      </c>
      <c r="O61" s="503">
        <v>457.78082191780834</v>
      </c>
      <c r="P61" s="503"/>
      <c r="Q61" s="503"/>
      <c r="R61" s="503">
        <v>3606.8698630136987</v>
      </c>
      <c r="S61" s="503">
        <v>443.01369863013707</v>
      </c>
      <c r="T61" s="503"/>
      <c r="U61" s="503"/>
      <c r="V61" s="503">
        <v>4049.8835616438359</v>
      </c>
      <c r="W61" s="506"/>
    </row>
    <row r="62" spans="1:23" x14ac:dyDescent="0.3">
      <c r="A62" s="505">
        <v>5056</v>
      </c>
      <c r="B62" s="506" t="s">
        <v>124</v>
      </c>
      <c r="C62" s="506" t="s">
        <v>241</v>
      </c>
      <c r="D62" s="506" t="s">
        <v>240</v>
      </c>
      <c r="E62" s="504">
        <v>200000</v>
      </c>
      <c r="F62" s="511">
        <v>43892</v>
      </c>
      <c r="G62" s="511">
        <v>44257</v>
      </c>
      <c r="H62" s="507"/>
      <c r="I62" s="507">
        <v>5.9</v>
      </c>
      <c r="J62" s="503">
        <v>5891.4687975646884</v>
      </c>
      <c r="K62" s="503">
        <v>969.86301369863008</v>
      </c>
      <c r="L62" s="503"/>
      <c r="M62" s="503"/>
      <c r="N62" s="503">
        <v>6861.3318112633187</v>
      </c>
      <c r="O62" s="503">
        <v>1002.1917808219177</v>
      </c>
      <c r="P62" s="503"/>
      <c r="Q62" s="503"/>
      <c r="R62" s="503">
        <v>7863.5235920852365</v>
      </c>
      <c r="S62" s="503">
        <v>969.86301369863008</v>
      </c>
      <c r="T62" s="503"/>
      <c r="U62" s="503"/>
      <c r="V62" s="503">
        <v>8833.3866057838659</v>
      </c>
      <c r="W62" s="506"/>
    </row>
    <row r="63" spans="1:23" x14ac:dyDescent="0.3">
      <c r="A63" s="505">
        <v>5040</v>
      </c>
      <c r="B63" s="506" t="s">
        <v>82</v>
      </c>
      <c r="C63" s="506" t="s">
        <v>239</v>
      </c>
      <c r="D63" s="506" t="s">
        <v>238</v>
      </c>
      <c r="E63" s="504">
        <v>22652.99</v>
      </c>
      <c r="F63" s="511">
        <v>43894</v>
      </c>
      <c r="G63" s="511">
        <v>44259</v>
      </c>
      <c r="H63" s="507"/>
      <c r="I63" s="507">
        <v>6.15</v>
      </c>
      <c r="J63" s="503">
        <v>687.83244036815086</v>
      </c>
      <c r="K63" s="503">
        <v>114.50620972602742</v>
      </c>
      <c r="L63" s="503"/>
      <c r="M63" s="503"/>
      <c r="N63" s="503">
        <v>802.33865009417832</v>
      </c>
      <c r="O63" s="503">
        <v>118.32308338356167</v>
      </c>
      <c r="P63" s="503"/>
      <c r="Q63" s="503"/>
      <c r="R63" s="503">
        <v>920.66173347773997</v>
      </c>
      <c r="S63" s="503">
        <v>114.50620972602742</v>
      </c>
      <c r="T63" s="503"/>
      <c r="U63" s="503"/>
      <c r="V63" s="503">
        <v>1035.1679432037674</v>
      </c>
      <c r="W63" s="506"/>
    </row>
    <row r="64" spans="1:23" x14ac:dyDescent="0.3">
      <c r="A64" s="505">
        <v>5056</v>
      </c>
      <c r="B64" s="506" t="s">
        <v>124</v>
      </c>
      <c r="C64" s="506" t="s">
        <v>237</v>
      </c>
      <c r="D64" s="506" t="s">
        <v>236</v>
      </c>
      <c r="E64" s="504">
        <v>50000</v>
      </c>
      <c r="F64" s="511">
        <v>43902</v>
      </c>
      <c r="G64" s="511">
        <v>44267</v>
      </c>
      <c r="H64" s="507"/>
      <c r="I64" s="507">
        <v>4.9000000000000004</v>
      </c>
      <c r="J64" s="503">
        <v>1155.1731354642313</v>
      </c>
      <c r="K64" s="503">
        <v>201.36986301369865</v>
      </c>
      <c r="L64" s="503"/>
      <c r="M64" s="503"/>
      <c r="N64" s="503">
        <v>1356.54299847793</v>
      </c>
      <c r="O64" s="503">
        <v>208.08219178082192</v>
      </c>
      <c r="P64" s="503"/>
      <c r="Q64" s="503"/>
      <c r="R64" s="503">
        <v>1564.6251902587519</v>
      </c>
      <c r="S64" s="503">
        <v>201.36986301369865</v>
      </c>
      <c r="T64" s="503"/>
      <c r="U64" s="503"/>
      <c r="V64" s="503">
        <v>1765.9950532724506</v>
      </c>
      <c r="W64" s="506"/>
    </row>
    <row r="65" spans="1:23" x14ac:dyDescent="0.3">
      <c r="A65" s="505">
        <v>5060</v>
      </c>
      <c r="B65" s="506" t="s">
        <v>16</v>
      </c>
      <c r="C65" s="506" t="s">
        <v>235</v>
      </c>
      <c r="D65" s="506" t="s">
        <v>234</v>
      </c>
      <c r="E65" s="504">
        <v>72500</v>
      </c>
      <c r="F65" s="511">
        <v>43903</v>
      </c>
      <c r="G65" s="511">
        <v>44268</v>
      </c>
      <c r="H65" s="507"/>
      <c r="I65" s="507">
        <v>1.9</v>
      </c>
      <c r="J65" s="503">
        <v>645.66381278538813</v>
      </c>
      <c r="K65" s="503">
        <v>113.21917808219179</v>
      </c>
      <c r="L65" s="503"/>
      <c r="M65" s="503"/>
      <c r="N65" s="503">
        <v>758.88299086757991</v>
      </c>
      <c r="O65" s="503">
        <v>116.99315068493151</v>
      </c>
      <c r="P65" s="503"/>
      <c r="Q65" s="503"/>
      <c r="R65" s="503">
        <v>875.8761415525114</v>
      </c>
      <c r="S65" s="503">
        <v>113.21917808219179</v>
      </c>
      <c r="T65" s="503"/>
      <c r="U65" s="503"/>
      <c r="V65" s="503">
        <v>989.09531963470317</v>
      </c>
      <c r="W65" s="506"/>
    </row>
    <row r="66" spans="1:23" x14ac:dyDescent="0.3">
      <c r="A66" s="505">
        <v>5060</v>
      </c>
      <c r="B66" s="506" t="s">
        <v>233</v>
      </c>
      <c r="C66" s="506" t="s">
        <v>232</v>
      </c>
      <c r="D66" s="506" t="s">
        <v>231</v>
      </c>
      <c r="E66" s="504">
        <v>80000</v>
      </c>
      <c r="F66" s="511">
        <v>43903</v>
      </c>
      <c r="G66" s="511">
        <v>44268</v>
      </c>
      <c r="H66" s="507"/>
      <c r="I66" s="507">
        <v>5.65</v>
      </c>
      <c r="J66" s="503">
        <v>2118.6210045662101</v>
      </c>
      <c r="K66" s="503">
        <v>371.50684931506851</v>
      </c>
      <c r="L66" s="503"/>
      <c r="M66" s="503"/>
      <c r="N66" s="503">
        <v>2490.1278538812785</v>
      </c>
      <c r="O66" s="503">
        <v>383.89041095890411</v>
      </c>
      <c r="P66" s="503"/>
      <c r="Q66" s="503"/>
      <c r="R66" s="503">
        <v>2874.0182648401824</v>
      </c>
      <c r="S66" s="503">
        <v>371.50684931506851</v>
      </c>
      <c r="T66" s="503"/>
      <c r="U66" s="503"/>
      <c r="V66" s="503">
        <v>3245.5251141552508</v>
      </c>
      <c r="W66" s="506"/>
    </row>
    <row r="67" spans="1:23" x14ac:dyDescent="0.3">
      <c r="A67" s="505">
        <v>5063</v>
      </c>
      <c r="B67" s="506" t="s">
        <v>13</v>
      </c>
      <c r="C67" s="506" t="s">
        <v>230</v>
      </c>
      <c r="D67" s="506" t="s">
        <v>229</v>
      </c>
      <c r="E67" s="517">
        <v>100000</v>
      </c>
      <c r="F67" s="511">
        <v>43904</v>
      </c>
      <c r="G67" s="511">
        <v>44269</v>
      </c>
      <c r="H67" s="507"/>
      <c r="I67" s="507">
        <v>4.6500000000000004</v>
      </c>
      <c r="J67" s="503">
        <v>2166.638127853882</v>
      </c>
      <c r="K67" s="503">
        <v>382.1917808219178</v>
      </c>
      <c r="L67" s="503"/>
      <c r="M67" s="503"/>
      <c r="N67" s="503">
        <v>2548.8299086757997</v>
      </c>
      <c r="O67" s="503">
        <v>394.93150684931516</v>
      </c>
      <c r="P67" s="503"/>
      <c r="Q67" s="503"/>
      <c r="R67" s="503">
        <v>2943.7614155251149</v>
      </c>
      <c r="S67" s="503">
        <v>382.19178082191786</v>
      </c>
      <c r="T67" s="503"/>
      <c r="U67" s="503"/>
      <c r="V67" s="503">
        <v>3325.9531963470326</v>
      </c>
      <c r="W67" s="506"/>
    </row>
    <row r="68" spans="1:23" ht="57.6" x14ac:dyDescent="0.3">
      <c r="A68" s="508">
        <v>5063</v>
      </c>
      <c r="B68" s="509" t="s">
        <v>25</v>
      </c>
      <c r="C68" s="509" t="s">
        <v>215</v>
      </c>
      <c r="D68" s="509" t="s">
        <v>214</v>
      </c>
      <c r="E68" s="510">
        <v>122500</v>
      </c>
      <c r="F68" s="511">
        <v>43922</v>
      </c>
      <c r="G68" s="511">
        <v>44287</v>
      </c>
      <c r="H68" s="507"/>
      <c r="I68" s="504">
        <v>4.4000000000000004</v>
      </c>
      <c r="J68" s="503">
        <v>2256.9086757990872</v>
      </c>
      <c r="K68" s="503">
        <v>443.01369863013696</v>
      </c>
      <c r="L68" s="503"/>
      <c r="M68" s="503"/>
      <c r="N68" s="503">
        <v>2699.922374429224</v>
      </c>
      <c r="O68" s="503">
        <v>457.78082191780834</v>
      </c>
      <c r="P68" s="503"/>
      <c r="Q68" s="503"/>
      <c r="R68" s="503">
        <v>3157.7031963470322</v>
      </c>
      <c r="S68" s="503">
        <v>443.01369863013707</v>
      </c>
      <c r="T68" s="503"/>
      <c r="U68" s="503"/>
      <c r="V68" s="503">
        <v>3600.7168949771694</v>
      </c>
      <c r="W68" s="506"/>
    </row>
    <row r="69" spans="1:23" ht="43.2" x14ac:dyDescent="0.3">
      <c r="A69" s="508">
        <v>5060</v>
      </c>
      <c r="B69" s="509" t="s">
        <v>16</v>
      </c>
      <c r="C69" s="509" t="s">
        <v>213</v>
      </c>
      <c r="D69" s="509" t="s">
        <v>212</v>
      </c>
      <c r="E69" s="510">
        <v>90000</v>
      </c>
      <c r="F69" s="511">
        <v>43925</v>
      </c>
      <c r="G69" s="511">
        <v>44290</v>
      </c>
      <c r="H69" s="507"/>
      <c r="I69" s="504">
        <v>1.9</v>
      </c>
      <c r="J69" s="503">
        <v>716.01369863013701</v>
      </c>
      <c r="K69" s="503">
        <v>140.54794520547946</v>
      </c>
      <c r="L69" s="503"/>
      <c r="M69" s="503"/>
      <c r="N69" s="503">
        <v>856.56164383561645</v>
      </c>
      <c r="O69" s="503">
        <v>145.23287671232876</v>
      </c>
      <c r="P69" s="503"/>
      <c r="Q69" s="503"/>
      <c r="R69" s="503">
        <v>1001.7945205479452</v>
      </c>
      <c r="S69" s="503">
        <v>140.54794520547946</v>
      </c>
      <c r="T69" s="503"/>
      <c r="U69" s="503"/>
      <c r="V69" s="503">
        <v>1142.3424657534247</v>
      </c>
      <c r="W69" s="506"/>
    </row>
    <row r="70" spans="1:23" ht="57.6" x14ac:dyDescent="0.3">
      <c r="A70" s="508">
        <v>5005</v>
      </c>
      <c r="B70" s="509" t="s">
        <v>211</v>
      </c>
      <c r="C70" s="509" t="s">
        <v>210</v>
      </c>
      <c r="D70" s="509" t="s">
        <v>209</v>
      </c>
      <c r="E70" s="510">
        <v>1100000</v>
      </c>
      <c r="F70" s="511">
        <v>43927</v>
      </c>
      <c r="G70" s="511">
        <v>44292</v>
      </c>
      <c r="H70" s="507"/>
      <c r="I70" s="504">
        <v>5.92</v>
      </c>
      <c r="J70" s="503">
        <v>26362.697108066972</v>
      </c>
      <c r="K70" s="503">
        <v>5352.3287671232874</v>
      </c>
      <c r="L70" s="503"/>
      <c r="M70" s="503"/>
      <c r="N70" s="503">
        <v>31715.025875190258</v>
      </c>
      <c r="O70" s="503">
        <v>5530.7397260273965</v>
      </c>
      <c r="P70" s="503"/>
      <c r="Q70" s="503"/>
      <c r="R70" s="503">
        <v>37245.765601217652</v>
      </c>
      <c r="S70" s="503">
        <v>5352.3287671232874</v>
      </c>
      <c r="T70" s="503"/>
      <c r="U70" s="503"/>
      <c r="V70" s="503">
        <v>42598.094368340942</v>
      </c>
      <c r="W70" s="506"/>
    </row>
    <row r="71" spans="1:23" ht="57.6" x14ac:dyDescent="0.3">
      <c r="A71" s="508">
        <v>5004</v>
      </c>
      <c r="B71" s="509" t="s">
        <v>174</v>
      </c>
      <c r="C71" s="509" t="s">
        <v>206</v>
      </c>
      <c r="D71" s="509" t="s">
        <v>205</v>
      </c>
      <c r="E71" s="510">
        <v>810000</v>
      </c>
      <c r="F71" s="511">
        <v>43936</v>
      </c>
      <c r="G71" s="511">
        <v>44301</v>
      </c>
      <c r="H71" s="507"/>
      <c r="I71" s="504">
        <v>5.65</v>
      </c>
      <c r="J71" s="503">
        <v>17383.037671232876</v>
      </c>
      <c r="K71" s="503">
        <v>3761.5068493150684</v>
      </c>
      <c r="L71" s="503"/>
      <c r="M71" s="503"/>
      <c r="N71" s="503">
        <v>21144.544520547945</v>
      </c>
      <c r="O71" s="503">
        <v>3886.8904109589043</v>
      </c>
      <c r="P71" s="503"/>
      <c r="Q71" s="503"/>
      <c r="R71" s="503">
        <v>25031.43493150685</v>
      </c>
      <c r="S71" s="503">
        <v>3761.5068493150684</v>
      </c>
      <c r="T71" s="503"/>
      <c r="U71" s="503"/>
      <c r="V71" s="503">
        <v>28792.941780821919</v>
      </c>
      <c r="W71" s="506"/>
    </row>
    <row r="72" spans="1:23" ht="57.6" x14ac:dyDescent="0.3">
      <c r="A72" s="508">
        <v>5031</v>
      </c>
      <c r="B72" s="509" t="s">
        <v>204</v>
      </c>
      <c r="C72" s="509" t="s">
        <v>203</v>
      </c>
      <c r="D72" s="509" t="s">
        <v>202</v>
      </c>
      <c r="E72" s="510">
        <v>330000</v>
      </c>
      <c r="F72" s="511">
        <v>43937</v>
      </c>
      <c r="G72" s="511">
        <v>44302</v>
      </c>
      <c r="H72" s="507"/>
      <c r="I72" s="504">
        <v>4.9000000000000004</v>
      </c>
      <c r="J72" s="503">
        <v>6096.9760273972606</v>
      </c>
      <c r="K72" s="503">
        <v>1329.041095890411</v>
      </c>
      <c r="L72" s="503"/>
      <c r="M72" s="503"/>
      <c r="N72" s="503">
        <v>7426.0171232876719</v>
      </c>
      <c r="O72" s="503">
        <v>1373.3424657534247</v>
      </c>
      <c r="P72" s="503"/>
      <c r="Q72" s="503"/>
      <c r="R72" s="503">
        <v>8799.3595890410961</v>
      </c>
      <c r="S72" s="503">
        <v>1329.0410958904108</v>
      </c>
      <c r="T72" s="503"/>
      <c r="U72" s="503"/>
      <c r="V72" s="503">
        <v>10128.400684931506</v>
      </c>
      <c r="W72" s="506"/>
    </row>
    <row r="73" spans="1:23" ht="57.6" x14ac:dyDescent="0.3">
      <c r="A73" s="508">
        <v>5060</v>
      </c>
      <c r="B73" s="509" t="s">
        <v>177</v>
      </c>
      <c r="C73" s="509" t="s">
        <v>201</v>
      </c>
      <c r="D73" s="509" t="s">
        <v>200</v>
      </c>
      <c r="E73" s="510">
        <v>33000</v>
      </c>
      <c r="F73" s="511">
        <v>43942</v>
      </c>
      <c r="G73" s="511">
        <v>44307</v>
      </c>
      <c r="H73" s="507"/>
      <c r="I73" s="504">
        <v>6.4</v>
      </c>
      <c r="J73" s="503">
        <v>767.00639269406383</v>
      </c>
      <c r="K73" s="503">
        <v>173.58904109589042</v>
      </c>
      <c r="L73" s="503"/>
      <c r="M73" s="503"/>
      <c r="N73" s="503">
        <v>940.59543378995431</v>
      </c>
      <c r="O73" s="503">
        <v>179.37534246575342</v>
      </c>
      <c r="P73" s="503"/>
      <c r="Q73" s="503"/>
      <c r="R73" s="503">
        <v>1119.9707762557077</v>
      </c>
      <c r="S73" s="503">
        <v>173.58904109589042</v>
      </c>
      <c r="T73" s="503"/>
      <c r="U73" s="503"/>
      <c r="V73" s="503">
        <v>1293.5598173515982</v>
      </c>
      <c r="W73" s="506"/>
    </row>
    <row r="74" spans="1:23" ht="57.6" x14ac:dyDescent="0.3">
      <c r="A74" s="508"/>
      <c r="B74" s="509" t="s">
        <v>174</v>
      </c>
      <c r="C74" s="509" t="s">
        <v>197</v>
      </c>
      <c r="D74" s="509" t="s">
        <v>196</v>
      </c>
      <c r="E74" s="510">
        <v>631303.15</v>
      </c>
      <c r="F74" s="511">
        <v>44102</v>
      </c>
      <c r="G74" s="511">
        <v>44308</v>
      </c>
      <c r="H74" s="507"/>
      <c r="I74" s="504">
        <v>5.65</v>
      </c>
      <c r="J74" s="503"/>
      <c r="K74" s="503">
        <v>2931.6680527397261</v>
      </c>
      <c r="L74" s="503"/>
      <c r="M74" s="503"/>
      <c r="N74" s="503">
        <v>2931.6680527397261</v>
      </c>
      <c r="O74" s="503">
        <v>3029.3903211643837</v>
      </c>
      <c r="P74" s="503"/>
      <c r="Q74" s="503"/>
      <c r="R74" s="503">
        <v>5961.0583739041103</v>
      </c>
      <c r="S74" s="503">
        <v>2931.6680527397261</v>
      </c>
      <c r="T74" s="503"/>
      <c r="U74" s="503"/>
      <c r="V74" s="503">
        <v>8892.726426643836</v>
      </c>
      <c r="W74" s="506"/>
    </row>
    <row r="75" spans="1:23" ht="57.6" x14ac:dyDescent="0.3">
      <c r="A75" s="508">
        <v>5063</v>
      </c>
      <c r="B75" s="509" t="s">
        <v>77</v>
      </c>
      <c r="C75" s="509" t="s">
        <v>193</v>
      </c>
      <c r="D75" s="509" t="s">
        <v>192</v>
      </c>
      <c r="E75" s="510">
        <v>191200</v>
      </c>
      <c r="F75" s="511">
        <v>43948</v>
      </c>
      <c r="G75" s="511">
        <v>44312</v>
      </c>
      <c r="H75" s="507"/>
      <c r="I75" s="504">
        <v>5.4</v>
      </c>
      <c r="J75" s="503">
        <v>3577.5353424657542</v>
      </c>
      <c r="K75" s="503">
        <v>848.61369863013704</v>
      </c>
      <c r="L75" s="503"/>
      <c r="M75" s="503"/>
      <c r="N75" s="503">
        <v>4426.1490410958913</v>
      </c>
      <c r="O75" s="503">
        <v>876.90082191780834</v>
      </c>
      <c r="P75" s="503"/>
      <c r="Q75" s="503"/>
      <c r="R75" s="503">
        <v>5303.0498630136999</v>
      </c>
      <c r="S75" s="503">
        <v>848.61369863013704</v>
      </c>
      <c r="T75" s="503"/>
      <c r="U75" s="503"/>
      <c r="V75" s="503">
        <v>6151.6635616438371</v>
      </c>
      <c r="W75" s="506"/>
    </row>
    <row r="76" spans="1:23" ht="57.6" x14ac:dyDescent="0.3">
      <c r="A76" s="508">
        <v>5060</v>
      </c>
      <c r="B76" s="509" t="s">
        <v>177</v>
      </c>
      <c r="C76" s="509" t="s">
        <v>191</v>
      </c>
      <c r="D76" s="509" t="s">
        <v>190</v>
      </c>
      <c r="E76" s="510">
        <v>20000</v>
      </c>
      <c r="F76" s="511">
        <v>43946</v>
      </c>
      <c r="G76" s="511">
        <v>44311</v>
      </c>
      <c r="H76" s="507"/>
      <c r="I76" s="504">
        <v>6</v>
      </c>
      <c r="J76" s="503">
        <v>422.46575342465752</v>
      </c>
      <c r="K76" s="503">
        <v>98.630136986301366</v>
      </c>
      <c r="L76" s="503"/>
      <c r="M76" s="503"/>
      <c r="N76" s="503">
        <v>521.09589041095887</v>
      </c>
      <c r="O76" s="503">
        <v>101.91780821917807</v>
      </c>
      <c r="P76" s="503"/>
      <c r="Q76" s="503"/>
      <c r="R76" s="503">
        <v>623.0136986301369</v>
      </c>
      <c r="S76" s="503">
        <v>98.630136986301366</v>
      </c>
      <c r="T76" s="503"/>
      <c r="U76" s="503"/>
      <c r="V76" s="503">
        <v>721.64383561643831</v>
      </c>
      <c r="W76" s="506"/>
    </row>
    <row r="77" spans="1:23" ht="57.6" x14ac:dyDescent="0.3">
      <c r="A77" s="519">
        <v>5060</v>
      </c>
      <c r="B77" s="520" t="s">
        <v>177</v>
      </c>
      <c r="C77" s="520" t="s">
        <v>189</v>
      </c>
      <c r="D77" s="520" t="s">
        <v>188</v>
      </c>
      <c r="E77" s="521">
        <v>60000</v>
      </c>
      <c r="F77" s="511">
        <v>43946</v>
      </c>
      <c r="G77" s="511">
        <v>44311</v>
      </c>
      <c r="H77" s="507"/>
      <c r="I77" s="504">
        <v>6</v>
      </c>
      <c r="J77" s="503">
        <v>1267.3972602739725</v>
      </c>
      <c r="K77" s="503">
        <v>295.89041095890411</v>
      </c>
      <c r="L77" s="503"/>
      <c r="M77" s="503"/>
      <c r="N77" s="503">
        <v>1563.2876712328766</v>
      </c>
      <c r="O77" s="503">
        <v>305.75342465753425</v>
      </c>
      <c r="P77" s="503"/>
      <c r="Q77" s="503"/>
      <c r="R77" s="503">
        <v>1869.0410958904108</v>
      </c>
      <c r="S77" s="503">
        <v>295.89041095890411</v>
      </c>
      <c r="T77" s="503"/>
      <c r="U77" s="503"/>
      <c r="V77" s="503">
        <v>2164.9315068493152</v>
      </c>
      <c r="W77" s="506"/>
    </row>
    <row r="78" spans="1:23" ht="57.6" x14ac:dyDescent="0.3">
      <c r="A78" s="519">
        <v>5060</v>
      </c>
      <c r="B78" s="520" t="s">
        <v>177</v>
      </c>
      <c r="C78" s="520" t="s">
        <v>187</v>
      </c>
      <c r="D78" s="520" t="s">
        <v>186</v>
      </c>
      <c r="E78" s="521">
        <v>87995</v>
      </c>
      <c r="F78" s="511">
        <v>43946</v>
      </c>
      <c r="G78" s="511">
        <v>44311</v>
      </c>
      <c r="H78" s="507"/>
      <c r="I78" s="504">
        <v>6</v>
      </c>
      <c r="J78" s="503">
        <v>1858.7436986301368</v>
      </c>
      <c r="K78" s="503">
        <v>433.94794520547947</v>
      </c>
      <c r="L78" s="503"/>
      <c r="M78" s="503"/>
      <c r="N78" s="503">
        <v>2292.6916438356161</v>
      </c>
      <c r="O78" s="503">
        <v>448.41287671232874</v>
      </c>
      <c r="P78" s="503"/>
      <c r="Q78" s="503"/>
      <c r="R78" s="503">
        <v>2741.104520547945</v>
      </c>
      <c r="S78" s="503">
        <v>433.94794520547941</v>
      </c>
      <c r="T78" s="503"/>
      <c r="U78" s="503"/>
      <c r="V78" s="503">
        <v>3175.0524657534243</v>
      </c>
      <c r="W78" s="506"/>
    </row>
    <row r="79" spans="1:23" ht="57.6" x14ac:dyDescent="0.3">
      <c r="A79" s="519">
        <v>5060</v>
      </c>
      <c r="B79" s="520" t="s">
        <v>177</v>
      </c>
      <c r="C79" s="520" t="s">
        <v>185</v>
      </c>
      <c r="D79" s="520" t="s">
        <v>184</v>
      </c>
      <c r="E79" s="521">
        <v>17500</v>
      </c>
      <c r="F79" s="511">
        <v>43946</v>
      </c>
      <c r="G79" s="511">
        <v>44311</v>
      </c>
      <c r="H79" s="507"/>
      <c r="I79" s="504">
        <v>6</v>
      </c>
      <c r="J79" s="503">
        <v>369.65753424657532</v>
      </c>
      <c r="K79" s="503">
        <v>86.30136986301369</v>
      </c>
      <c r="L79" s="503"/>
      <c r="M79" s="503"/>
      <c r="N79" s="503">
        <v>455.95890410958901</v>
      </c>
      <c r="O79" s="503">
        <v>89.178082191780817</v>
      </c>
      <c r="P79" s="503"/>
      <c r="Q79" s="503"/>
      <c r="R79" s="503">
        <v>545.1369863013698</v>
      </c>
      <c r="S79" s="503">
        <v>86.30136986301369</v>
      </c>
      <c r="T79" s="503"/>
      <c r="U79" s="503"/>
      <c r="V79" s="503">
        <v>631.43835616438355</v>
      </c>
      <c r="W79" s="506"/>
    </row>
    <row r="80" spans="1:23" ht="57.6" x14ac:dyDescent="0.3">
      <c r="A80" s="519">
        <v>5060</v>
      </c>
      <c r="B80" s="520" t="s">
        <v>177</v>
      </c>
      <c r="C80" s="520" t="s">
        <v>183</v>
      </c>
      <c r="D80" s="520" t="s">
        <v>182</v>
      </c>
      <c r="E80" s="521">
        <v>48500</v>
      </c>
      <c r="F80" s="511">
        <v>43946</v>
      </c>
      <c r="G80" s="511">
        <v>44311</v>
      </c>
      <c r="H80" s="507"/>
      <c r="I80" s="504">
        <v>6</v>
      </c>
      <c r="J80" s="503">
        <v>1024.4794520547946</v>
      </c>
      <c r="K80" s="503">
        <v>239.17808219178082</v>
      </c>
      <c r="L80" s="503"/>
      <c r="M80" s="503"/>
      <c r="N80" s="503">
        <v>1263.6575342465753</v>
      </c>
      <c r="O80" s="503">
        <v>247.15068493150685</v>
      </c>
      <c r="P80" s="503"/>
      <c r="Q80" s="503"/>
      <c r="R80" s="503">
        <v>1510.8082191780823</v>
      </c>
      <c r="S80" s="503">
        <v>239.17808219178082</v>
      </c>
      <c r="T80" s="503"/>
      <c r="U80" s="503"/>
      <c r="V80" s="503">
        <v>1749.986301369863</v>
      </c>
      <c r="W80" s="506"/>
    </row>
    <row r="81" spans="1:23" ht="57.6" x14ac:dyDescent="0.3">
      <c r="A81" s="519">
        <v>5060</v>
      </c>
      <c r="B81" s="520" t="s">
        <v>177</v>
      </c>
      <c r="C81" s="520" t="s">
        <v>181</v>
      </c>
      <c r="D81" s="520" t="s">
        <v>180</v>
      </c>
      <c r="E81" s="521">
        <v>100000</v>
      </c>
      <c r="F81" s="511">
        <v>43946</v>
      </c>
      <c r="G81" s="511">
        <v>44311</v>
      </c>
      <c r="H81" s="507"/>
      <c r="I81" s="504">
        <v>6</v>
      </c>
      <c r="J81" s="503">
        <v>2112.3287671232879</v>
      </c>
      <c r="K81" s="503">
        <v>493.15068493150693</v>
      </c>
      <c r="L81" s="503"/>
      <c r="M81" s="503"/>
      <c r="N81" s="503">
        <v>2605.4794520547948</v>
      </c>
      <c r="O81" s="503">
        <v>509.58904109589048</v>
      </c>
      <c r="P81" s="503"/>
      <c r="Q81" s="503"/>
      <c r="R81" s="503">
        <v>3115.0684931506853</v>
      </c>
      <c r="S81" s="503">
        <v>493.15068493150693</v>
      </c>
      <c r="T81" s="503"/>
      <c r="U81" s="503"/>
      <c r="V81" s="503">
        <v>3608.2191780821922</v>
      </c>
      <c r="W81" s="506"/>
    </row>
    <row r="82" spans="1:23" ht="57.6" x14ac:dyDescent="0.3">
      <c r="A82" s="519">
        <v>5060</v>
      </c>
      <c r="B82" s="520" t="s">
        <v>177</v>
      </c>
      <c r="C82" s="520" t="s">
        <v>179</v>
      </c>
      <c r="D82" s="520" t="s">
        <v>178</v>
      </c>
      <c r="E82" s="521">
        <v>50000</v>
      </c>
      <c r="F82" s="511">
        <v>43946</v>
      </c>
      <c r="G82" s="511">
        <v>44311</v>
      </c>
      <c r="H82" s="507"/>
      <c r="I82" s="504">
        <v>6</v>
      </c>
      <c r="J82" s="503">
        <v>1056.1643835616439</v>
      </c>
      <c r="K82" s="503">
        <v>246.57534246575347</v>
      </c>
      <c r="L82" s="503"/>
      <c r="M82" s="503"/>
      <c r="N82" s="503">
        <v>1302.7397260273974</v>
      </c>
      <c r="O82" s="503">
        <v>254.79452054794524</v>
      </c>
      <c r="P82" s="503"/>
      <c r="Q82" s="503"/>
      <c r="R82" s="503">
        <v>1557.5342465753426</v>
      </c>
      <c r="S82" s="503">
        <v>246.57534246575347</v>
      </c>
      <c r="T82" s="503"/>
      <c r="U82" s="503"/>
      <c r="V82" s="503">
        <v>1804.1095890410961</v>
      </c>
      <c r="W82" s="506"/>
    </row>
    <row r="83" spans="1:23" ht="57.6" x14ac:dyDescent="0.3">
      <c r="A83" s="519">
        <v>5060</v>
      </c>
      <c r="B83" s="520" t="s">
        <v>177</v>
      </c>
      <c r="C83" s="520" t="s">
        <v>176</v>
      </c>
      <c r="D83" s="520" t="s">
        <v>175</v>
      </c>
      <c r="E83" s="521">
        <v>50000</v>
      </c>
      <c r="F83" s="511">
        <v>43946</v>
      </c>
      <c r="G83" s="511">
        <v>44311</v>
      </c>
      <c r="H83" s="507"/>
      <c r="I83" s="504">
        <v>6</v>
      </c>
      <c r="J83" s="503">
        <v>1056.1643835616439</v>
      </c>
      <c r="K83" s="503">
        <v>246.57534246575347</v>
      </c>
      <c r="L83" s="503"/>
      <c r="M83" s="503"/>
      <c r="N83" s="503">
        <v>1302.7397260273974</v>
      </c>
      <c r="O83" s="503">
        <v>254.79452054794524</v>
      </c>
      <c r="P83" s="503"/>
      <c r="Q83" s="503"/>
      <c r="R83" s="503">
        <v>1557.5342465753426</v>
      </c>
      <c r="S83" s="503">
        <v>246.57534246575347</v>
      </c>
      <c r="T83" s="503"/>
      <c r="U83" s="503"/>
      <c r="V83" s="503">
        <v>1804.1095890410961</v>
      </c>
      <c r="W83" s="506"/>
    </row>
    <row r="84" spans="1:23" ht="57.6" x14ac:dyDescent="0.3">
      <c r="A84" s="519">
        <v>5004</v>
      </c>
      <c r="B84" s="520" t="s">
        <v>174</v>
      </c>
      <c r="C84" s="520" t="s">
        <v>173</v>
      </c>
      <c r="D84" s="520" t="s">
        <v>172</v>
      </c>
      <c r="E84" s="521">
        <v>985000</v>
      </c>
      <c r="F84" s="511">
        <v>43950</v>
      </c>
      <c r="G84" s="511">
        <v>44315</v>
      </c>
      <c r="H84" s="507"/>
      <c r="I84" s="504">
        <v>6.15</v>
      </c>
      <c r="J84" s="503">
        <v>20653.515981735163</v>
      </c>
      <c r="K84" s="503">
        <v>4978.9726027397255</v>
      </c>
      <c r="L84" s="503"/>
      <c r="M84" s="503"/>
      <c r="N84" s="503">
        <v>25632.48858447489</v>
      </c>
      <c r="O84" s="503">
        <v>5144.9383561643845</v>
      </c>
      <c r="P84" s="503"/>
      <c r="Q84" s="503"/>
      <c r="R84" s="503">
        <v>30777.426940639274</v>
      </c>
      <c r="S84" s="503">
        <v>4978.9726027397264</v>
      </c>
      <c r="T84" s="503"/>
      <c r="U84" s="503"/>
      <c r="V84" s="503">
        <v>35756.399543378997</v>
      </c>
      <c r="W84" s="506"/>
    </row>
    <row r="85" spans="1:23" x14ac:dyDescent="0.3">
      <c r="A85" s="505">
        <v>5063</v>
      </c>
      <c r="B85" s="506" t="s">
        <v>13</v>
      </c>
      <c r="C85" s="506" t="s">
        <v>171</v>
      </c>
      <c r="D85" s="506" t="s">
        <v>170</v>
      </c>
      <c r="E85" s="504">
        <v>100000</v>
      </c>
      <c r="F85" s="511">
        <v>43953</v>
      </c>
      <c r="G85" s="511">
        <v>44318</v>
      </c>
      <c r="H85" s="507"/>
      <c r="I85" s="506">
        <v>4.9000000000000004</v>
      </c>
      <c r="J85" s="503">
        <v>1629.790715372907</v>
      </c>
      <c r="K85" s="503">
        <v>402.7397260273973</v>
      </c>
      <c r="L85" s="503"/>
      <c r="M85" s="503"/>
      <c r="N85" s="503">
        <v>2032.5304414003044</v>
      </c>
      <c r="O85" s="503">
        <v>416.16438356164383</v>
      </c>
      <c r="P85" s="503"/>
      <c r="Q85" s="503"/>
      <c r="R85" s="503">
        <v>2448.6948249619481</v>
      </c>
      <c r="S85" s="503">
        <v>402.7397260273973</v>
      </c>
      <c r="T85" s="503"/>
      <c r="U85" s="503"/>
      <c r="V85" s="503">
        <v>2851.4345509893456</v>
      </c>
      <c r="W85" s="506"/>
    </row>
    <row r="86" spans="1:23" x14ac:dyDescent="0.3">
      <c r="A86" s="505">
        <v>5063</v>
      </c>
      <c r="B86" s="506" t="s">
        <v>25</v>
      </c>
      <c r="C86" s="506" t="s">
        <v>169</v>
      </c>
      <c r="D86" s="506" t="s">
        <v>168</v>
      </c>
      <c r="E86" s="504">
        <v>150000</v>
      </c>
      <c r="F86" s="511">
        <v>43953</v>
      </c>
      <c r="G86" s="511">
        <v>44318</v>
      </c>
      <c r="H86" s="507"/>
      <c r="I86" s="506">
        <v>4.4000000000000004</v>
      </c>
      <c r="J86" s="503">
        <v>2195.2283105022834</v>
      </c>
      <c r="K86" s="503">
        <v>542.46575342465758</v>
      </c>
      <c r="L86" s="503"/>
      <c r="M86" s="503"/>
      <c r="N86" s="503">
        <v>2737.694063926941</v>
      </c>
      <c r="O86" s="503">
        <v>560.54794520547944</v>
      </c>
      <c r="P86" s="503"/>
      <c r="Q86" s="503"/>
      <c r="R86" s="503">
        <v>3298.2420091324202</v>
      </c>
      <c r="S86" s="503">
        <v>542.46575342465758</v>
      </c>
      <c r="T86" s="503"/>
      <c r="U86" s="503"/>
      <c r="V86" s="503">
        <v>3840.7077625570778</v>
      </c>
      <c r="W86" s="506"/>
    </row>
    <row r="87" spans="1:23" x14ac:dyDescent="0.3">
      <c r="A87" s="505">
        <v>5040</v>
      </c>
      <c r="B87" s="506" t="s">
        <v>82</v>
      </c>
      <c r="C87" s="506" t="s">
        <v>167</v>
      </c>
      <c r="D87" s="506" t="s">
        <v>166</v>
      </c>
      <c r="E87" s="504">
        <v>41000</v>
      </c>
      <c r="F87" s="511">
        <v>43954</v>
      </c>
      <c r="G87" s="511">
        <v>44319</v>
      </c>
      <c r="H87" s="507"/>
      <c r="I87" s="506">
        <v>6.15</v>
      </c>
      <c r="J87" s="503">
        <v>831.67283105022841</v>
      </c>
      <c r="K87" s="503">
        <v>207.24657534246575</v>
      </c>
      <c r="L87" s="503"/>
      <c r="M87" s="503"/>
      <c r="N87" s="503">
        <v>1038.9194063926941</v>
      </c>
      <c r="O87" s="503">
        <v>214.15479452054799</v>
      </c>
      <c r="P87" s="503"/>
      <c r="Q87" s="503"/>
      <c r="R87" s="503">
        <v>1253.0742009132421</v>
      </c>
      <c r="S87" s="503">
        <v>207.2465753424658</v>
      </c>
      <c r="T87" s="503"/>
      <c r="U87" s="503"/>
      <c r="V87" s="503">
        <v>1460.3207762557079</v>
      </c>
      <c r="W87" s="506"/>
    </row>
    <row r="88" spans="1:23" x14ac:dyDescent="0.3">
      <c r="A88" s="505">
        <v>5062</v>
      </c>
      <c r="B88" s="506" t="s">
        <v>85</v>
      </c>
      <c r="C88" s="506" t="s">
        <v>165</v>
      </c>
      <c r="D88" s="506" t="s">
        <v>164</v>
      </c>
      <c r="E88" s="504">
        <v>200000</v>
      </c>
      <c r="F88" s="511">
        <v>43959</v>
      </c>
      <c r="G88" s="511">
        <v>44324</v>
      </c>
      <c r="H88" s="507"/>
      <c r="I88" s="506">
        <v>4.4000000000000004</v>
      </c>
      <c r="J88" s="503">
        <v>2780.3044140030443</v>
      </c>
      <c r="K88" s="503">
        <v>723.28767123287673</v>
      </c>
      <c r="L88" s="503"/>
      <c r="M88" s="503"/>
      <c r="N88" s="503">
        <v>3503.5920852359209</v>
      </c>
      <c r="O88" s="503">
        <v>747.39726027397262</v>
      </c>
      <c r="P88" s="503"/>
      <c r="Q88" s="503"/>
      <c r="R88" s="503">
        <v>4250.9893455098936</v>
      </c>
      <c r="S88" s="503">
        <v>723.28767123287673</v>
      </c>
      <c r="T88" s="503"/>
      <c r="U88" s="503"/>
      <c r="V88" s="503">
        <v>4974.2770167427707</v>
      </c>
      <c r="W88" s="506"/>
    </row>
    <row r="89" spans="1:23" x14ac:dyDescent="0.3">
      <c r="A89" s="505">
        <v>5057</v>
      </c>
      <c r="B89" s="506" t="s">
        <v>74</v>
      </c>
      <c r="C89" s="506" t="s">
        <v>161</v>
      </c>
      <c r="D89" s="506" t="s">
        <v>160</v>
      </c>
      <c r="E89" s="504">
        <v>75000</v>
      </c>
      <c r="F89" s="511">
        <v>43965</v>
      </c>
      <c r="G89" s="511">
        <v>44330</v>
      </c>
      <c r="H89" s="507"/>
      <c r="I89" s="506">
        <v>3.4</v>
      </c>
      <c r="J89" s="503">
        <v>763.15639269406404</v>
      </c>
      <c r="K89" s="503">
        <v>209.58904109589042</v>
      </c>
      <c r="L89" s="503"/>
      <c r="M89" s="503"/>
      <c r="N89" s="503">
        <v>972.7454337899544</v>
      </c>
      <c r="O89" s="503">
        <v>216.57534246575344</v>
      </c>
      <c r="P89" s="503"/>
      <c r="Q89" s="503"/>
      <c r="R89" s="503">
        <v>1189.3207762557079</v>
      </c>
      <c r="S89" s="503">
        <v>209.58904109589042</v>
      </c>
      <c r="T89" s="503"/>
      <c r="U89" s="503"/>
      <c r="V89" s="503">
        <v>1398.9098173515983</v>
      </c>
      <c r="W89" s="506"/>
    </row>
    <row r="90" spans="1:23" x14ac:dyDescent="0.3">
      <c r="A90" s="505">
        <v>5055</v>
      </c>
      <c r="B90" s="506" t="s">
        <v>159</v>
      </c>
      <c r="C90" s="506" t="s">
        <v>158</v>
      </c>
      <c r="D90" s="506" t="s">
        <v>157</v>
      </c>
      <c r="E90" s="504">
        <v>500000</v>
      </c>
      <c r="F90" s="511">
        <v>43966</v>
      </c>
      <c r="G90" s="511">
        <v>44331</v>
      </c>
      <c r="H90" s="507"/>
      <c r="I90" s="506">
        <v>7.55</v>
      </c>
      <c r="J90" s="503">
        <v>11192.846270928461</v>
      </c>
      <c r="K90" s="503">
        <v>3102.7397260273974</v>
      </c>
      <c r="L90" s="503"/>
      <c r="M90" s="503"/>
      <c r="N90" s="503">
        <v>14295.585996955859</v>
      </c>
      <c r="O90" s="503">
        <v>3206.1643835616437</v>
      </c>
      <c r="P90" s="503"/>
      <c r="Q90" s="503"/>
      <c r="R90" s="503">
        <v>17501.750380517504</v>
      </c>
      <c r="S90" s="503">
        <v>3102.7397260273974</v>
      </c>
      <c r="T90" s="503"/>
      <c r="U90" s="503"/>
      <c r="V90" s="503">
        <v>20604.490106544901</v>
      </c>
      <c r="W90" s="506"/>
    </row>
    <row r="91" spans="1:23" x14ac:dyDescent="0.3">
      <c r="A91" s="505">
        <v>5055</v>
      </c>
      <c r="B91" s="506" t="s">
        <v>53</v>
      </c>
      <c r="C91" s="506" t="s">
        <v>156</v>
      </c>
      <c r="D91" s="506" t="s">
        <v>155</v>
      </c>
      <c r="E91" s="504">
        <v>500000</v>
      </c>
      <c r="F91" s="511">
        <v>43966</v>
      </c>
      <c r="G91" s="511">
        <v>44331</v>
      </c>
      <c r="H91" s="507"/>
      <c r="I91" s="506">
        <v>7.55</v>
      </c>
      <c r="J91" s="503">
        <v>11192.846270928461</v>
      </c>
      <c r="K91" s="503">
        <v>3102.7397260273974</v>
      </c>
      <c r="L91" s="503"/>
      <c r="M91" s="503"/>
      <c r="N91" s="503">
        <v>14295.585996955859</v>
      </c>
      <c r="O91" s="503">
        <v>3206.1643835616437</v>
      </c>
      <c r="P91" s="503"/>
      <c r="Q91" s="503"/>
      <c r="R91" s="503">
        <v>17501.750380517504</v>
      </c>
      <c r="S91" s="503">
        <v>3102.7397260273974</v>
      </c>
      <c r="T91" s="503"/>
      <c r="U91" s="503"/>
      <c r="V91" s="503">
        <v>20604.490106544901</v>
      </c>
      <c r="W91" s="506"/>
    </row>
    <row r="92" spans="1:23" x14ac:dyDescent="0.3">
      <c r="A92" s="505">
        <v>5031</v>
      </c>
      <c r="B92" s="506" t="s">
        <v>7</v>
      </c>
      <c r="C92" s="506" t="s">
        <v>154</v>
      </c>
      <c r="D92" s="506" t="s">
        <v>153</v>
      </c>
      <c r="E92" s="504">
        <v>103000</v>
      </c>
      <c r="F92" s="511">
        <v>43967</v>
      </c>
      <c r="G92" s="511">
        <v>44332</v>
      </c>
      <c r="H92" s="507"/>
      <c r="I92" s="506">
        <v>6.4</v>
      </c>
      <c r="J92" s="503">
        <v>1936.2118721461188</v>
      </c>
      <c r="K92" s="503">
        <v>541.80821917808225</v>
      </c>
      <c r="L92" s="503"/>
      <c r="M92" s="503"/>
      <c r="N92" s="503">
        <v>2478.0200913242011</v>
      </c>
      <c r="O92" s="503">
        <v>559.86849315068491</v>
      </c>
      <c r="P92" s="503"/>
      <c r="Q92" s="503"/>
      <c r="R92" s="503">
        <v>3037.8885844748861</v>
      </c>
      <c r="S92" s="503">
        <v>541.80821917808225</v>
      </c>
      <c r="T92" s="503"/>
      <c r="U92" s="503"/>
      <c r="V92" s="503">
        <v>3579.6968036529684</v>
      </c>
      <c r="W92" s="506"/>
    </row>
    <row r="93" spans="1:23" x14ac:dyDescent="0.3">
      <c r="A93" s="505">
        <v>5031</v>
      </c>
      <c r="B93" s="506" t="s">
        <v>7</v>
      </c>
      <c r="C93" s="506" t="s">
        <v>152</v>
      </c>
      <c r="D93" s="506" t="s">
        <v>151</v>
      </c>
      <c r="E93" s="504">
        <v>200000</v>
      </c>
      <c r="F93" s="511">
        <v>43967</v>
      </c>
      <c r="G93" s="511">
        <v>44332</v>
      </c>
      <c r="H93" s="507"/>
      <c r="I93" s="506">
        <v>6.4</v>
      </c>
      <c r="J93" s="503">
        <v>3759.6347031963469</v>
      </c>
      <c r="K93" s="503">
        <v>1052.0547945205478</v>
      </c>
      <c r="L93" s="503"/>
      <c r="M93" s="503"/>
      <c r="N93" s="503">
        <v>4811.6894977168949</v>
      </c>
      <c r="O93" s="503">
        <v>1087.1232876712329</v>
      </c>
      <c r="P93" s="503"/>
      <c r="Q93" s="503"/>
      <c r="R93" s="503">
        <v>5898.8127853881278</v>
      </c>
      <c r="S93" s="503">
        <v>1052.0547945205478</v>
      </c>
      <c r="T93" s="503"/>
      <c r="U93" s="503"/>
      <c r="V93" s="503">
        <v>6950.8675799086759</v>
      </c>
      <c r="W93" s="506"/>
    </row>
    <row r="94" spans="1:23" x14ac:dyDescent="0.3">
      <c r="A94" s="505">
        <v>5005</v>
      </c>
      <c r="B94" s="506" t="s">
        <v>127</v>
      </c>
      <c r="C94" s="506" t="s">
        <v>150</v>
      </c>
      <c r="D94" s="506" t="s">
        <v>149</v>
      </c>
      <c r="E94" s="504">
        <v>110000</v>
      </c>
      <c r="F94" s="511">
        <v>43978</v>
      </c>
      <c r="G94" s="511">
        <v>44343</v>
      </c>
      <c r="H94" s="507"/>
      <c r="I94" s="506">
        <v>3.91</v>
      </c>
      <c r="J94" s="503">
        <v>1131.8765601217656</v>
      </c>
      <c r="K94" s="503">
        <v>353.50684931506851</v>
      </c>
      <c r="L94" s="503"/>
      <c r="M94" s="503"/>
      <c r="N94" s="503">
        <v>1485.383409436834</v>
      </c>
      <c r="O94" s="503">
        <v>365.29041095890409</v>
      </c>
      <c r="P94" s="503"/>
      <c r="Q94" s="503"/>
      <c r="R94" s="503">
        <v>1850.6738203957379</v>
      </c>
      <c r="S94" s="503">
        <v>353.50684931506851</v>
      </c>
      <c r="T94" s="503"/>
      <c r="U94" s="503"/>
      <c r="V94" s="503">
        <v>2204.1806697108063</v>
      </c>
      <c r="W94" s="506"/>
    </row>
    <row r="95" spans="1:23" x14ac:dyDescent="0.3">
      <c r="A95" s="519">
        <v>5003</v>
      </c>
      <c r="B95" s="520" t="s">
        <v>148</v>
      </c>
      <c r="C95" s="506" t="s">
        <v>147</v>
      </c>
      <c r="D95" s="506" t="s">
        <v>146</v>
      </c>
      <c r="E95" s="521">
        <v>150000</v>
      </c>
      <c r="F95" s="511">
        <v>43980</v>
      </c>
      <c r="G95" s="511">
        <v>44345</v>
      </c>
      <c r="H95" s="507"/>
      <c r="I95" s="504">
        <v>5.9</v>
      </c>
      <c r="J95" s="503">
        <v>2230.6849315068494</v>
      </c>
      <c r="K95" s="503">
        <v>727.39726027397262</v>
      </c>
      <c r="L95" s="503"/>
      <c r="M95" s="503"/>
      <c r="N95" s="503">
        <v>2958.0821917808221</v>
      </c>
      <c r="O95" s="503">
        <v>751.64383561643831</v>
      </c>
      <c r="P95" s="503"/>
      <c r="Q95" s="503"/>
      <c r="R95" s="503">
        <v>3709.7260273972606</v>
      </c>
      <c r="S95" s="503">
        <v>727.39726027397262</v>
      </c>
      <c r="T95" s="503"/>
      <c r="U95" s="503"/>
      <c r="V95" s="503">
        <v>4437.1232876712329</v>
      </c>
      <c r="W95" s="506"/>
    </row>
    <row r="96" spans="1:23" x14ac:dyDescent="0.3">
      <c r="A96" s="505">
        <v>5057</v>
      </c>
      <c r="B96" s="506" t="s">
        <v>22</v>
      </c>
      <c r="C96" s="506" t="s">
        <v>145</v>
      </c>
      <c r="D96" s="506" t="s">
        <v>144</v>
      </c>
      <c r="E96" s="504">
        <v>1100000</v>
      </c>
      <c r="F96" s="511">
        <v>43983</v>
      </c>
      <c r="G96" s="511">
        <v>44348</v>
      </c>
      <c r="H96" s="507"/>
      <c r="I96" s="504">
        <v>6.6</v>
      </c>
      <c r="J96" s="503">
        <v>18100.273972602739</v>
      </c>
      <c r="K96" s="503">
        <v>5967.1232876712329</v>
      </c>
      <c r="L96" s="503"/>
      <c r="M96" s="503"/>
      <c r="N96" s="503">
        <v>24067.397260273974</v>
      </c>
      <c r="O96" s="503">
        <v>6166.0273972602745</v>
      </c>
      <c r="P96" s="503"/>
      <c r="Q96" s="503"/>
      <c r="R96" s="503">
        <v>30233.424657534248</v>
      </c>
      <c r="S96" s="503">
        <v>5967.1232876712329</v>
      </c>
      <c r="T96" s="503"/>
      <c r="U96" s="503"/>
      <c r="V96" s="503">
        <v>36200.547945205479</v>
      </c>
      <c r="W96" s="506"/>
    </row>
    <row r="97" spans="1:23" x14ac:dyDescent="0.3">
      <c r="A97" s="505">
        <v>5005</v>
      </c>
      <c r="B97" s="506" t="s">
        <v>143</v>
      </c>
      <c r="C97" s="506" t="s">
        <v>142</v>
      </c>
      <c r="D97" s="506" t="s">
        <v>141</v>
      </c>
      <c r="E97" s="504">
        <v>1400055.56</v>
      </c>
      <c r="F97" s="511">
        <v>43985</v>
      </c>
      <c r="G97" s="511">
        <v>44350</v>
      </c>
      <c r="H97" s="507"/>
      <c r="I97" s="504">
        <v>6.92</v>
      </c>
      <c r="J97" s="503">
        <v>23623.732008021922</v>
      </c>
      <c r="K97" s="503">
        <v>7963.0557330410938</v>
      </c>
      <c r="L97" s="503"/>
      <c r="M97" s="503"/>
      <c r="N97" s="503">
        <v>31586.787741063017</v>
      </c>
      <c r="O97" s="503">
        <v>8228.4909241424666</v>
      </c>
      <c r="P97" s="503"/>
      <c r="Q97" s="503"/>
      <c r="R97" s="503">
        <v>39815.278665205486</v>
      </c>
      <c r="S97" s="503">
        <v>7963.0557330410957</v>
      </c>
      <c r="T97" s="503"/>
      <c r="U97" s="503"/>
      <c r="V97" s="503">
        <v>47778.334398246581</v>
      </c>
      <c r="W97" s="506"/>
    </row>
    <row r="98" spans="1:23" x14ac:dyDescent="0.3">
      <c r="A98" s="505">
        <v>5063</v>
      </c>
      <c r="B98" s="506" t="s">
        <v>77</v>
      </c>
      <c r="C98" s="506" t="s">
        <v>140</v>
      </c>
      <c r="D98" s="506" t="s">
        <v>139</v>
      </c>
      <c r="E98" s="504">
        <v>240000</v>
      </c>
      <c r="F98" s="511">
        <v>43988</v>
      </c>
      <c r="G98" s="511">
        <v>44353</v>
      </c>
      <c r="H98" s="507"/>
      <c r="I98" s="504">
        <v>5.4</v>
      </c>
      <c r="J98" s="503">
        <v>3053.5890410958909</v>
      </c>
      <c r="K98" s="503">
        <v>1065.2054794520548</v>
      </c>
      <c r="L98" s="503"/>
      <c r="M98" s="503"/>
      <c r="N98" s="503">
        <v>4118.7945205479455</v>
      </c>
      <c r="O98" s="503">
        <v>1100.7123287671236</v>
      </c>
      <c r="P98" s="503"/>
      <c r="Q98" s="503"/>
      <c r="R98" s="503">
        <v>5219.5068493150693</v>
      </c>
      <c r="S98" s="503">
        <v>1065.205479452055</v>
      </c>
      <c r="T98" s="503"/>
      <c r="U98" s="503"/>
      <c r="V98" s="503">
        <v>6284.7123287671238</v>
      </c>
      <c r="W98" s="506"/>
    </row>
    <row r="99" spans="1:23" x14ac:dyDescent="0.3">
      <c r="A99" s="505">
        <v>5031</v>
      </c>
      <c r="B99" s="506" t="s">
        <v>138</v>
      </c>
      <c r="C99" s="506" t="s">
        <v>137</v>
      </c>
      <c r="D99" s="506" t="s">
        <v>136</v>
      </c>
      <c r="E99" s="504">
        <v>150162.5</v>
      </c>
      <c r="F99" s="511">
        <v>43990</v>
      </c>
      <c r="G99" s="511">
        <v>44354</v>
      </c>
      <c r="H99" s="507"/>
      <c r="I99" s="504">
        <v>6.42</v>
      </c>
      <c r="J99" s="503">
        <v>2245.032226027397</v>
      </c>
      <c r="K99" s="503">
        <v>792.36431506849317</v>
      </c>
      <c r="L99" s="503"/>
      <c r="M99" s="503"/>
      <c r="N99" s="503">
        <v>3037.3965410958899</v>
      </c>
      <c r="O99" s="503">
        <v>818.77645890410952</v>
      </c>
      <c r="P99" s="503"/>
      <c r="Q99" s="503"/>
      <c r="R99" s="503">
        <v>3856.1729999999993</v>
      </c>
      <c r="S99" s="503">
        <v>792.36431506849306</v>
      </c>
      <c r="T99" s="503"/>
      <c r="U99" s="503"/>
      <c r="V99" s="503">
        <v>4648.5373150684927</v>
      </c>
      <c r="W99" s="506"/>
    </row>
    <row r="100" spans="1:23" x14ac:dyDescent="0.3">
      <c r="A100" s="505">
        <v>5060</v>
      </c>
      <c r="B100" s="506" t="s">
        <v>40</v>
      </c>
      <c r="C100" s="506" t="s">
        <v>135</v>
      </c>
      <c r="D100" s="506" t="s">
        <v>134</v>
      </c>
      <c r="E100" s="504">
        <v>350000</v>
      </c>
      <c r="F100" s="511">
        <v>43992</v>
      </c>
      <c r="G100" s="511">
        <v>44357</v>
      </c>
      <c r="H100" s="507"/>
      <c r="I100" s="504">
        <v>6.4</v>
      </c>
      <c r="J100" s="503">
        <v>5032.3287671232874</v>
      </c>
      <c r="K100" s="503">
        <v>1841.0958904109589</v>
      </c>
      <c r="L100" s="503"/>
      <c r="M100" s="503"/>
      <c r="N100" s="503">
        <v>6873.4246575342459</v>
      </c>
      <c r="O100" s="503">
        <v>1902.4657534246574</v>
      </c>
      <c r="P100" s="503"/>
      <c r="Q100" s="503"/>
      <c r="R100" s="503">
        <v>8775.8904109589039</v>
      </c>
      <c r="S100" s="503">
        <v>1841.0958904109589</v>
      </c>
      <c r="T100" s="503"/>
      <c r="U100" s="503"/>
      <c r="V100" s="503">
        <v>10616.986301369863</v>
      </c>
      <c r="W100" s="506"/>
    </row>
    <row r="101" spans="1:23" x14ac:dyDescent="0.3">
      <c r="A101" s="505">
        <v>5060</v>
      </c>
      <c r="B101" s="506" t="s">
        <v>40</v>
      </c>
      <c r="C101" s="506" t="s">
        <v>133</v>
      </c>
      <c r="D101" s="506" t="s">
        <v>132</v>
      </c>
      <c r="E101" s="504">
        <v>955000</v>
      </c>
      <c r="F101" s="511">
        <v>43992</v>
      </c>
      <c r="G101" s="511">
        <v>44357</v>
      </c>
      <c r="H101" s="507"/>
      <c r="I101" s="504">
        <v>6.4</v>
      </c>
      <c r="J101" s="503">
        <v>13731.068493150684</v>
      </c>
      <c r="K101" s="503">
        <v>5023.5616438356165</v>
      </c>
      <c r="L101" s="503"/>
      <c r="M101" s="503"/>
      <c r="N101" s="503">
        <v>18754.630136986299</v>
      </c>
      <c r="O101" s="503">
        <v>5191.0136986301368</v>
      </c>
      <c r="P101" s="503"/>
      <c r="Q101" s="503"/>
      <c r="R101" s="503">
        <v>23945.643835616436</v>
      </c>
      <c r="S101" s="503">
        <v>5023.5616438356165</v>
      </c>
      <c r="T101" s="503"/>
      <c r="U101" s="503"/>
      <c r="V101" s="503">
        <v>28969.205479452052</v>
      </c>
      <c r="W101" s="506"/>
    </row>
    <row r="102" spans="1:23" x14ac:dyDescent="0.3">
      <c r="A102" s="505">
        <v>5063</v>
      </c>
      <c r="B102" s="506" t="s">
        <v>13</v>
      </c>
      <c r="C102" s="506" t="s">
        <v>131</v>
      </c>
      <c r="D102" s="506" t="s">
        <v>130</v>
      </c>
      <c r="E102" s="504">
        <v>437500</v>
      </c>
      <c r="F102" s="511">
        <v>43993</v>
      </c>
      <c r="G102" s="511">
        <v>44358</v>
      </c>
      <c r="H102" s="507"/>
      <c r="I102" s="504">
        <v>8.9</v>
      </c>
      <c r="J102" s="503">
        <v>8640.9246575342477</v>
      </c>
      <c r="K102" s="503">
        <v>3200.3424657534247</v>
      </c>
      <c r="L102" s="503"/>
      <c r="M102" s="503"/>
      <c r="N102" s="503">
        <v>11841.267123287673</v>
      </c>
      <c r="O102" s="503">
        <v>3307.0205479452061</v>
      </c>
      <c r="P102" s="503"/>
      <c r="Q102" s="503"/>
      <c r="R102" s="503">
        <v>15148.28767123288</v>
      </c>
      <c r="S102" s="503">
        <v>3200.3424657534251</v>
      </c>
      <c r="T102" s="503"/>
      <c r="U102" s="503"/>
      <c r="V102" s="503">
        <v>18348.630136986307</v>
      </c>
      <c r="W102" s="506"/>
    </row>
    <row r="103" spans="1:23" x14ac:dyDescent="0.3">
      <c r="A103" s="505">
        <v>5005</v>
      </c>
      <c r="B103" s="506" t="s">
        <v>127</v>
      </c>
      <c r="C103" s="506" t="s">
        <v>129</v>
      </c>
      <c r="D103" s="506" t="s">
        <v>128</v>
      </c>
      <c r="E103" s="504">
        <v>400000</v>
      </c>
      <c r="F103" s="511">
        <v>43999</v>
      </c>
      <c r="G103" s="511">
        <v>44364</v>
      </c>
      <c r="H103" s="507"/>
      <c r="I103" s="504">
        <v>5.92</v>
      </c>
      <c r="J103" s="503">
        <v>4865.7534246575342</v>
      </c>
      <c r="K103" s="503">
        <v>1946.3013698630139</v>
      </c>
      <c r="L103" s="503"/>
      <c r="M103" s="503"/>
      <c r="N103" s="503">
        <v>6812.0547945205481</v>
      </c>
      <c r="O103" s="503">
        <v>2011.178082191781</v>
      </c>
      <c r="P103" s="503"/>
      <c r="Q103" s="503"/>
      <c r="R103" s="503">
        <v>8823.232876712329</v>
      </c>
      <c r="S103" s="503">
        <v>1946.3013698630139</v>
      </c>
      <c r="T103" s="503"/>
      <c r="U103" s="503"/>
      <c r="V103" s="503">
        <v>10769.534246575342</v>
      </c>
      <c r="W103" s="506"/>
    </row>
    <row r="104" spans="1:23" x14ac:dyDescent="0.3">
      <c r="A104" s="505">
        <v>5005</v>
      </c>
      <c r="B104" s="506" t="s">
        <v>127</v>
      </c>
      <c r="C104" s="506" t="s">
        <v>126</v>
      </c>
      <c r="D104" s="506" t="s">
        <v>125</v>
      </c>
      <c r="E104" s="504">
        <v>140000</v>
      </c>
      <c r="F104" s="511">
        <v>43999</v>
      </c>
      <c r="G104" s="511">
        <v>44364</v>
      </c>
      <c r="H104" s="507"/>
      <c r="I104" s="504">
        <v>5.92</v>
      </c>
      <c r="J104" s="503">
        <v>1703.013698630137</v>
      </c>
      <c r="K104" s="503">
        <v>681.20547945205476</v>
      </c>
      <c r="L104" s="503"/>
      <c r="M104" s="503"/>
      <c r="N104" s="503">
        <v>2384.2191780821918</v>
      </c>
      <c r="O104" s="503">
        <v>703.91232876712331</v>
      </c>
      <c r="P104" s="503"/>
      <c r="Q104" s="503"/>
      <c r="R104" s="503">
        <v>3088.131506849315</v>
      </c>
      <c r="S104" s="503">
        <v>681.20547945205476</v>
      </c>
      <c r="T104" s="503"/>
      <c r="U104" s="503"/>
      <c r="V104" s="503">
        <v>3769.3369863013695</v>
      </c>
      <c r="W104" s="506"/>
    </row>
    <row r="105" spans="1:23" x14ac:dyDescent="0.3">
      <c r="A105" s="505">
        <v>5056</v>
      </c>
      <c r="B105" s="506" t="s">
        <v>124</v>
      </c>
      <c r="C105" s="506" t="s">
        <v>123</v>
      </c>
      <c r="D105" s="506" t="s">
        <v>122</v>
      </c>
      <c r="E105" s="517">
        <v>158000</v>
      </c>
      <c r="F105" s="511">
        <v>43999</v>
      </c>
      <c r="G105" s="511">
        <v>44364</v>
      </c>
      <c r="H105" s="507"/>
      <c r="I105" s="504">
        <v>4.4000000000000004</v>
      </c>
      <c r="J105" s="503">
        <v>1428.4931506849316</v>
      </c>
      <c r="K105" s="503">
        <v>571.39726027397262</v>
      </c>
      <c r="L105" s="503"/>
      <c r="M105" s="503"/>
      <c r="N105" s="503">
        <v>1999.8904109589043</v>
      </c>
      <c r="O105" s="503">
        <v>590.44383561643838</v>
      </c>
      <c r="P105" s="503"/>
      <c r="Q105" s="503"/>
      <c r="R105" s="503">
        <v>2590.3342465753426</v>
      </c>
      <c r="S105" s="503">
        <v>571.39726027397262</v>
      </c>
      <c r="T105" s="503"/>
      <c r="U105" s="503"/>
      <c r="V105" s="503">
        <v>3161.7315068493153</v>
      </c>
      <c r="W105" s="506"/>
    </row>
    <row r="106" spans="1:23" x14ac:dyDescent="0.3">
      <c r="A106" s="505">
        <v>5004</v>
      </c>
      <c r="B106" s="506" t="s">
        <v>117</v>
      </c>
      <c r="C106" s="506" t="s">
        <v>119</v>
      </c>
      <c r="D106" s="506" t="s">
        <v>118</v>
      </c>
      <c r="E106" s="518">
        <v>60000</v>
      </c>
      <c r="F106" s="511">
        <v>44010</v>
      </c>
      <c r="G106" s="511">
        <v>44375</v>
      </c>
      <c r="H106" s="507"/>
      <c r="I106" s="504">
        <v>5.85</v>
      </c>
      <c r="J106" s="503">
        <v>615.45205479452056</v>
      </c>
      <c r="K106" s="503">
        <v>288.49315068493149</v>
      </c>
      <c r="L106" s="503"/>
      <c r="M106" s="503"/>
      <c r="N106" s="503">
        <v>903.94520547945206</v>
      </c>
      <c r="O106" s="503">
        <v>298.10958904109589</v>
      </c>
      <c r="P106" s="503"/>
      <c r="Q106" s="503"/>
      <c r="R106" s="503">
        <v>1202.0547945205481</v>
      </c>
      <c r="S106" s="503">
        <v>288.49315068493149</v>
      </c>
      <c r="T106" s="503">
        <v>-1452.08</v>
      </c>
      <c r="U106" s="503">
        <v>-38.47</v>
      </c>
      <c r="V106" s="503">
        <v>-2.0547945202622486E-3</v>
      </c>
      <c r="W106" s="506" t="s">
        <v>744</v>
      </c>
    </row>
    <row r="107" spans="1:23" x14ac:dyDescent="0.3">
      <c r="A107" s="505">
        <v>5004</v>
      </c>
      <c r="B107" s="506" t="s">
        <v>117</v>
      </c>
      <c r="C107" s="506" t="s">
        <v>116</v>
      </c>
      <c r="D107" s="506" t="s">
        <v>115</v>
      </c>
      <c r="E107" s="504">
        <v>100000</v>
      </c>
      <c r="F107" s="511">
        <v>44010</v>
      </c>
      <c r="G107" s="511">
        <v>44375</v>
      </c>
      <c r="H107" s="507"/>
      <c r="I107" s="504">
        <v>5.85</v>
      </c>
      <c r="J107" s="503">
        <v>1025.7534246575342</v>
      </c>
      <c r="K107" s="503">
        <v>480.82191780821915</v>
      </c>
      <c r="L107" s="503"/>
      <c r="M107" s="503"/>
      <c r="N107" s="503">
        <v>1506.5753424657532</v>
      </c>
      <c r="O107" s="503">
        <v>496.84931506849313</v>
      </c>
      <c r="P107" s="503"/>
      <c r="Q107" s="503"/>
      <c r="R107" s="503">
        <v>2003.4246575342463</v>
      </c>
      <c r="S107" s="503">
        <v>480.82191780821915</v>
      </c>
      <c r="T107" s="503">
        <v>-2420.14</v>
      </c>
      <c r="U107" s="503">
        <v>-64.11</v>
      </c>
      <c r="V107" s="503">
        <v>-3.4246575345235897E-3</v>
      </c>
      <c r="W107" s="506" t="s">
        <v>744</v>
      </c>
    </row>
    <row r="108" spans="1:23" x14ac:dyDescent="0.3">
      <c r="A108" s="505">
        <v>5060</v>
      </c>
      <c r="B108" s="506" t="s">
        <v>40</v>
      </c>
      <c r="C108" s="506" t="s">
        <v>114</v>
      </c>
      <c r="D108" s="506" t="s">
        <v>113</v>
      </c>
      <c r="E108" s="504">
        <v>330000</v>
      </c>
      <c r="F108" s="511">
        <v>44012</v>
      </c>
      <c r="G108" s="511">
        <v>44377</v>
      </c>
      <c r="H108" s="507"/>
      <c r="I108" s="504">
        <v>6.4</v>
      </c>
      <c r="J108" s="503">
        <v>3587.5068493150684</v>
      </c>
      <c r="K108" s="503">
        <v>1735.8904109589041</v>
      </c>
      <c r="L108" s="503"/>
      <c r="M108" s="503"/>
      <c r="N108" s="503">
        <v>5323.3972602739723</v>
      </c>
      <c r="O108" s="503">
        <v>1793.7534246575342</v>
      </c>
      <c r="P108" s="503"/>
      <c r="Q108" s="503"/>
      <c r="R108" s="503">
        <v>7117.1506849315065</v>
      </c>
      <c r="S108" s="503">
        <v>1735.8904109589041</v>
      </c>
      <c r="T108" s="503"/>
      <c r="U108" s="503"/>
      <c r="V108" s="503">
        <v>8853.0410958904104</v>
      </c>
      <c r="W108" s="506"/>
    </row>
    <row r="109" spans="1:23" x14ac:dyDescent="0.3">
      <c r="A109" s="505">
        <v>5063</v>
      </c>
      <c r="B109" s="506" t="s">
        <v>13</v>
      </c>
      <c r="C109" s="506" t="s">
        <v>112</v>
      </c>
      <c r="D109" s="506" t="s">
        <v>111</v>
      </c>
      <c r="E109" s="504">
        <v>200000</v>
      </c>
      <c r="F109" s="511">
        <v>44006</v>
      </c>
      <c r="G109" s="511">
        <v>44371</v>
      </c>
      <c r="H109" s="507"/>
      <c r="I109" s="504">
        <v>4.9000000000000004</v>
      </c>
      <c r="J109" s="503">
        <v>1825.7534246575342</v>
      </c>
      <c r="K109" s="503">
        <v>805.47945205479459</v>
      </c>
      <c r="L109" s="503"/>
      <c r="M109" s="503"/>
      <c r="N109" s="503">
        <v>2631.232876712329</v>
      </c>
      <c r="O109" s="503">
        <v>832.32876712328766</v>
      </c>
      <c r="P109" s="503"/>
      <c r="Q109" s="503"/>
      <c r="R109" s="503">
        <v>3463.5616438356165</v>
      </c>
      <c r="S109" s="503">
        <v>805.47945205479459</v>
      </c>
      <c r="T109" s="503"/>
      <c r="U109" s="503"/>
      <c r="V109" s="503">
        <v>4269.0410958904113</v>
      </c>
      <c r="W109" s="506"/>
    </row>
    <row r="110" spans="1:23" x14ac:dyDescent="0.3">
      <c r="A110" s="505">
        <v>5063</v>
      </c>
      <c r="B110" s="506" t="s">
        <v>25</v>
      </c>
      <c r="C110" s="506" t="s">
        <v>110</v>
      </c>
      <c r="D110" s="506" t="s">
        <v>109</v>
      </c>
      <c r="E110" s="504">
        <v>85425</v>
      </c>
      <c r="F110" s="511">
        <v>44013</v>
      </c>
      <c r="G110" s="511">
        <v>44378</v>
      </c>
      <c r="H110" s="507"/>
      <c r="I110" s="504">
        <v>4.4000000000000004</v>
      </c>
      <c r="J110" s="503">
        <v>628.16630136986305</v>
      </c>
      <c r="K110" s="503">
        <v>308.93424657534251</v>
      </c>
      <c r="L110" s="503"/>
      <c r="M110" s="503"/>
      <c r="N110" s="503">
        <v>937.10054794520556</v>
      </c>
      <c r="O110" s="503">
        <v>319.23205479452059</v>
      </c>
      <c r="P110" s="503"/>
      <c r="Q110" s="503"/>
      <c r="R110" s="503">
        <v>1256.3326027397261</v>
      </c>
      <c r="S110" s="503">
        <v>308.93424657534251</v>
      </c>
      <c r="T110" s="503"/>
      <c r="U110" s="503"/>
      <c r="V110" s="503">
        <v>1565.2668493150686</v>
      </c>
      <c r="W110" s="506"/>
    </row>
    <row r="111" spans="1:23" x14ac:dyDescent="0.3">
      <c r="A111" s="505">
        <v>5060</v>
      </c>
      <c r="B111" s="506" t="s">
        <v>40</v>
      </c>
      <c r="C111" s="506" t="s">
        <v>108</v>
      </c>
      <c r="D111" s="506" t="s">
        <v>107</v>
      </c>
      <c r="E111" s="504">
        <v>1100000</v>
      </c>
      <c r="F111" s="511">
        <v>44024</v>
      </c>
      <c r="G111" s="511">
        <v>44389</v>
      </c>
      <c r="H111" s="507"/>
      <c r="I111" s="504">
        <v>6.4</v>
      </c>
      <c r="J111" s="503">
        <v>9643.8356164383567</v>
      </c>
      <c r="K111" s="503">
        <v>5786.3013698630139</v>
      </c>
      <c r="L111" s="503"/>
      <c r="M111" s="503"/>
      <c r="N111" s="503">
        <v>15430.136986301372</v>
      </c>
      <c r="O111" s="503">
        <v>5979.178082191781</v>
      </c>
      <c r="P111" s="503"/>
      <c r="Q111" s="503"/>
      <c r="R111" s="503">
        <v>21409.315068493153</v>
      </c>
      <c r="S111" s="503">
        <v>5786.3013698630139</v>
      </c>
      <c r="T111" s="503"/>
      <c r="U111" s="503"/>
      <c r="V111" s="503">
        <v>27195.616438356166</v>
      </c>
      <c r="W111" s="506"/>
    </row>
    <row r="112" spans="1:23" x14ac:dyDescent="0.3">
      <c r="A112" s="505">
        <v>5065</v>
      </c>
      <c r="B112" s="506" t="s">
        <v>106</v>
      </c>
      <c r="C112" s="506" t="s">
        <v>105</v>
      </c>
      <c r="D112" s="506" t="s">
        <v>104</v>
      </c>
      <c r="E112" s="504">
        <v>462162.98</v>
      </c>
      <c r="F112" s="511">
        <v>44025</v>
      </c>
      <c r="G112" s="511">
        <v>44390</v>
      </c>
      <c r="H112" s="507"/>
      <c r="I112" s="504">
        <v>5.9</v>
      </c>
      <c r="J112" s="503">
        <v>3660.5840415890407</v>
      </c>
      <c r="K112" s="503">
        <v>2241.1739030136987</v>
      </c>
      <c r="L112" s="503"/>
      <c r="M112" s="503"/>
      <c r="N112" s="503">
        <v>5901.7579446027394</v>
      </c>
      <c r="O112" s="503">
        <v>2315.8796997808217</v>
      </c>
      <c r="P112" s="503"/>
      <c r="Q112" s="503"/>
      <c r="R112" s="503">
        <v>8217.6376443835616</v>
      </c>
      <c r="S112" s="503">
        <v>2241.1739030136987</v>
      </c>
      <c r="T112" s="503"/>
      <c r="U112" s="503"/>
      <c r="V112" s="503">
        <v>10458.811547397261</v>
      </c>
      <c r="W112" s="506"/>
    </row>
    <row r="113" spans="1:23" x14ac:dyDescent="0.3">
      <c r="A113" s="505">
        <v>5065</v>
      </c>
      <c r="B113" s="506" t="s">
        <v>103</v>
      </c>
      <c r="C113" s="506" t="s">
        <v>102</v>
      </c>
      <c r="D113" s="506" t="s">
        <v>101</v>
      </c>
      <c r="E113" s="504">
        <v>462162.98</v>
      </c>
      <c r="F113" s="511">
        <v>44025</v>
      </c>
      <c r="G113" s="511">
        <v>44390</v>
      </c>
      <c r="H113" s="507"/>
      <c r="I113" s="504">
        <v>5.9</v>
      </c>
      <c r="J113" s="503">
        <v>3660.5840415890407</v>
      </c>
      <c r="K113" s="503">
        <v>2241.1739030136987</v>
      </c>
      <c r="L113" s="503"/>
      <c r="M113" s="503"/>
      <c r="N113" s="503">
        <v>5901.7579446027394</v>
      </c>
      <c r="O113" s="503">
        <v>2315.8796997808217</v>
      </c>
      <c r="P113" s="503"/>
      <c r="Q113" s="503"/>
      <c r="R113" s="503">
        <v>8217.6376443835616</v>
      </c>
      <c r="S113" s="503">
        <v>2241.1739030136987</v>
      </c>
      <c r="T113" s="503"/>
      <c r="U113" s="503"/>
      <c r="V113" s="503">
        <v>10458.811547397261</v>
      </c>
      <c r="W113" s="506"/>
    </row>
    <row r="114" spans="1:23" x14ac:dyDescent="0.3">
      <c r="A114" s="505">
        <v>5060</v>
      </c>
      <c r="B114" s="506" t="s">
        <v>16</v>
      </c>
      <c r="C114" s="506" t="s">
        <v>100</v>
      </c>
      <c r="D114" s="506" t="s">
        <v>99</v>
      </c>
      <c r="E114" s="517">
        <v>50000</v>
      </c>
      <c r="F114" s="511">
        <v>44027</v>
      </c>
      <c r="G114" s="511">
        <v>44392</v>
      </c>
      <c r="H114" s="507"/>
      <c r="I114" s="504">
        <v>1.9</v>
      </c>
      <c r="J114" s="503">
        <v>122.32876712328769</v>
      </c>
      <c r="K114" s="503">
        <v>78.08219178082193</v>
      </c>
      <c r="L114" s="503"/>
      <c r="M114" s="503"/>
      <c r="N114" s="503">
        <v>200.41095890410963</v>
      </c>
      <c r="O114" s="503">
        <v>80.684931506849324</v>
      </c>
      <c r="P114" s="503"/>
      <c r="Q114" s="503"/>
      <c r="R114" s="503">
        <v>281.09589041095899</v>
      </c>
      <c r="S114" s="503">
        <v>78.08219178082193</v>
      </c>
      <c r="T114" s="503"/>
      <c r="U114" s="503"/>
      <c r="V114" s="503">
        <v>359.1780821917809</v>
      </c>
      <c r="W114" s="506"/>
    </row>
    <row r="115" spans="1:23" x14ac:dyDescent="0.3">
      <c r="A115" s="505">
        <v>5060</v>
      </c>
      <c r="B115" s="506" t="s">
        <v>19</v>
      </c>
      <c r="C115" s="506" t="s">
        <v>95</v>
      </c>
      <c r="D115" s="506" t="s">
        <v>94</v>
      </c>
      <c r="E115" s="518">
        <v>60000</v>
      </c>
      <c r="F115" s="511">
        <v>44032</v>
      </c>
      <c r="G115" s="511">
        <v>44397</v>
      </c>
      <c r="H115" s="507"/>
      <c r="I115" s="504">
        <v>1.9</v>
      </c>
      <c r="J115" s="503">
        <v>131.17808219178085</v>
      </c>
      <c r="K115" s="503">
        <v>93.69863013698631</v>
      </c>
      <c r="L115" s="503"/>
      <c r="M115" s="503"/>
      <c r="N115" s="503">
        <v>224.87671232876716</v>
      </c>
      <c r="O115" s="503">
        <v>96.821917808219183</v>
      </c>
      <c r="P115" s="503"/>
      <c r="Q115" s="503"/>
      <c r="R115" s="503">
        <v>321.69863013698637</v>
      </c>
      <c r="S115" s="503">
        <v>93.69863013698631</v>
      </c>
      <c r="T115" s="503"/>
      <c r="U115" s="503"/>
      <c r="V115" s="503">
        <v>415.39726027397268</v>
      </c>
      <c r="W115" s="506"/>
    </row>
    <row r="116" spans="1:23" x14ac:dyDescent="0.3">
      <c r="A116" s="505">
        <v>5063</v>
      </c>
      <c r="B116" s="506" t="s">
        <v>13</v>
      </c>
      <c r="C116" s="506" t="s">
        <v>93</v>
      </c>
      <c r="D116" s="506" t="s">
        <v>90</v>
      </c>
      <c r="E116" s="504">
        <v>10000</v>
      </c>
      <c r="F116" s="511">
        <v>44028</v>
      </c>
      <c r="G116" s="511">
        <v>44393</v>
      </c>
      <c r="H116" s="507"/>
      <c r="I116" s="504">
        <v>5.15</v>
      </c>
      <c r="J116" s="503">
        <v>64.904109589041099</v>
      </c>
      <c r="K116" s="503">
        <v>42.328767123287676</v>
      </c>
      <c r="L116" s="503"/>
      <c r="M116" s="503"/>
      <c r="N116" s="503">
        <v>107.23287671232877</v>
      </c>
      <c r="O116" s="503">
        <v>43.739726027397261</v>
      </c>
      <c r="P116" s="503"/>
      <c r="Q116" s="503"/>
      <c r="R116" s="503">
        <v>150.97260273972603</v>
      </c>
      <c r="S116" s="503">
        <v>42.328767123287676</v>
      </c>
      <c r="T116" s="503"/>
      <c r="U116" s="503"/>
      <c r="V116" s="503">
        <v>193.30136986301369</v>
      </c>
      <c r="W116" s="506"/>
    </row>
    <row r="117" spans="1:23" x14ac:dyDescent="0.3">
      <c r="A117" s="505">
        <v>5063</v>
      </c>
      <c r="B117" s="506" t="s">
        <v>13</v>
      </c>
      <c r="C117" s="506" t="s">
        <v>92</v>
      </c>
      <c r="D117" s="506" t="s">
        <v>90</v>
      </c>
      <c r="E117" s="504">
        <v>10000</v>
      </c>
      <c r="F117" s="511">
        <v>44028</v>
      </c>
      <c r="G117" s="511">
        <v>44393</v>
      </c>
      <c r="H117" s="507"/>
      <c r="I117" s="504">
        <v>5.15</v>
      </c>
      <c r="J117" s="503">
        <v>64.904109589041099</v>
      </c>
      <c r="K117" s="503">
        <v>42.328767123287676</v>
      </c>
      <c r="L117" s="503"/>
      <c r="M117" s="503"/>
      <c r="N117" s="503">
        <v>107.23287671232877</v>
      </c>
      <c r="O117" s="503">
        <v>43.739726027397261</v>
      </c>
      <c r="P117" s="503"/>
      <c r="Q117" s="503"/>
      <c r="R117" s="503">
        <v>150.97260273972603</v>
      </c>
      <c r="S117" s="503">
        <v>42.328767123287676</v>
      </c>
      <c r="T117" s="503"/>
      <c r="U117" s="503"/>
      <c r="V117" s="503">
        <v>193.30136986301369</v>
      </c>
      <c r="W117" s="506"/>
    </row>
    <row r="118" spans="1:23" x14ac:dyDescent="0.3">
      <c r="A118" s="505">
        <v>5063</v>
      </c>
      <c r="B118" s="506" t="s">
        <v>13</v>
      </c>
      <c r="C118" s="506" t="s">
        <v>91</v>
      </c>
      <c r="D118" s="506" t="s">
        <v>90</v>
      </c>
      <c r="E118" s="504">
        <v>10000</v>
      </c>
      <c r="F118" s="511">
        <v>44028</v>
      </c>
      <c r="G118" s="511">
        <v>44393</v>
      </c>
      <c r="H118" s="507"/>
      <c r="I118" s="504">
        <v>5.15</v>
      </c>
      <c r="J118" s="503">
        <v>64.904109589041099</v>
      </c>
      <c r="K118" s="503">
        <v>42.328767123287676</v>
      </c>
      <c r="L118" s="503"/>
      <c r="M118" s="503"/>
      <c r="N118" s="503">
        <v>107.23287671232877</v>
      </c>
      <c r="O118" s="503">
        <v>43.739726027397261</v>
      </c>
      <c r="P118" s="503"/>
      <c r="Q118" s="503"/>
      <c r="R118" s="503">
        <v>150.97260273972603</v>
      </c>
      <c r="S118" s="503">
        <v>42.328767123287676</v>
      </c>
      <c r="T118" s="503"/>
      <c r="U118" s="503"/>
      <c r="V118" s="503">
        <v>193.30136986301369</v>
      </c>
      <c r="W118" s="506"/>
    </row>
    <row r="119" spans="1:23" x14ac:dyDescent="0.3">
      <c r="A119" s="505">
        <v>5063</v>
      </c>
      <c r="B119" s="506" t="s">
        <v>13</v>
      </c>
      <c r="C119" s="506" t="s">
        <v>89</v>
      </c>
      <c r="D119" s="506" t="s">
        <v>88</v>
      </c>
      <c r="E119" s="504">
        <v>13000</v>
      </c>
      <c r="F119" s="511">
        <v>44028</v>
      </c>
      <c r="G119" s="511">
        <v>44393</v>
      </c>
      <c r="H119" s="507"/>
      <c r="I119" s="504">
        <v>5.15</v>
      </c>
      <c r="J119" s="503">
        <v>84.37534246575342</v>
      </c>
      <c r="K119" s="503">
        <v>55.027397260273972</v>
      </c>
      <c r="L119" s="503"/>
      <c r="M119" s="503"/>
      <c r="N119" s="503">
        <v>139.40273972602739</v>
      </c>
      <c r="O119" s="503">
        <v>56.861643835616434</v>
      </c>
      <c r="P119" s="503"/>
      <c r="Q119" s="503"/>
      <c r="R119" s="503">
        <v>196.26438356164383</v>
      </c>
      <c r="S119" s="503">
        <v>55.027397260273972</v>
      </c>
      <c r="T119" s="503"/>
      <c r="U119" s="503"/>
      <c r="V119" s="503">
        <v>251.2917808219178</v>
      </c>
      <c r="W119" s="506"/>
    </row>
    <row r="120" spans="1:23" x14ac:dyDescent="0.3">
      <c r="A120" s="505">
        <v>5062</v>
      </c>
      <c r="B120" s="506" t="s">
        <v>85</v>
      </c>
      <c r="C120" s="506" t="s">
        <v>87</v>
      </c>
      <c r="D120" s="506" t="s">
        <v>86</v>
      </c>
      <c r="E120" s="504">
        <v>75139</v>
      </c>
      <c r="F120" s="511">
        <v>44036</v>
      </c>
      <c r="G120" s="511">
        <v>44401</v>
      </c>
      <c r="H120" s="507"/>
      <c r="I120" s="504">
        <v>3.4</v>
      </c>
      <c r="J120" s="503">
        <v>258.9722246575343</v>
      </c>
      <c r="K120" s="503">
        <v>209.97747945205481</v>
      </c>
      <c r="L120" s="503"/>
      <c r="M120" s="503"/>
      <c r="N120" s="503">
        <v>468.94970410958911</v>
      </c>
      <c r="O120" s="503">
        <v>216.97672876712332</v>
      </c>
      <c r="P120" s="503"/>
      <c r="Q120" s="503"/>
      <c r="R120" s="503">
        <v>685.9264328767124</v>
      </c>
      <c r="S120" s="503">
        <v>209.97747945205481</v>
      </c>
      <c r="T120" s="503"/>
      <c r="U120" s="503"/>
      <c r="V120" s="503">
        <v>895.90391232876721</v>
      </c>
      <c r="W120" s="506"/>
    </row>
    <row r="121" spans="1:23" x14ac:dyDescent="0.3">
      <c r="A121" s="505">
        <v>5062</v>
      </c>
      <c r="B121" s="506" t="s">
        <v>85</v>
      </c>
      <c r="C121" s="506" t="s">
        <v>84</v>
      </c>
      <c r="D121" s="506" t="s">
        <v>83</v>
      </c>
      <c r="E121" s="504">
        <v>220000</v>
      </c>
      <c r="F121" s="511">
        <v>44036</v>
      </c>
      <c r="G121" s="511">
        <v>44401</v>
      </c>
      <c r="H121" s="507"/>
      <c r="I121" s="504">
        <v>3.4</v>
      </c>
      <c r="J121" s="503">
        <v>758.24657534246592</v>
      </c>
      <c r="K121" s="503">
        <v>614.79452054794524</v>
      </c>
      <c r="L121" s="503"/>
      <c r="M121" s="503"/>
      <c r="N121" s="503">
        <v>1373.0410958904113</v>
      </c>
      <c r="O121" s="503">
        <v>635.28767123287685</v>
      </c>
      <c r="P121" s="503"/>
      <c r="Q121" s="503"/>
      <c r="R121" s="503">
        <v>2008.3287671232881</v>
      </c>
      <c r="S121" s="503">
        <v>614.79452054794535</v>
      </c>
      <c r="T121" s="503"/>
      <c r="U121" s="503"/>
      <c r="V121" s="503">
        <v>2623.1232876712334</v>
      </c>
      <c r="W121" s="506"/>
    </row>
    <row r="122" spans="1:23" x14ac:dyDescent="0.3">
      <c r="A122" s="505">
        <v>5040</v>
      </c>
      <c r="B122" s="506" t="s">
        <v>82</v>
      </c>
      <c r="C122" s="506" t="s">
        <v>81</v>
      </c>
      <c r="D122" s="506" t="s">
        <v>80</v>
      </c>
      <c r="E122" s="504">
        <v>53900</v>
      </c>
      <c r="F122" s="511">
        <v>44038</v>
      </c>
      <c r="G122" s="511">
        <v>44403</v>
      </c>
      <c r="H122" s="507"/>
      <c r="I122" s="504">
        <v>6.15</v>
      </c>
      <c r="J122" s="503">
        <v>326.94410958904115</v>
      </c>
      <c r="K122" s="503">
        <v>272.45342465753424</v>
      </c>
      <c r="L122" s="503"/>
      <c r="M122" s="503"/>
      <c r="N122" s="503">
        <v>599.39753424657533</v>
      </c>
      <c r="O122" s="503">
        <v>281.53520547945209</v>
      </c>
      <c r="P122" s="503"/>
      <c r="Q122" s="503"/>
      <c r="R122" s="503">
        <v>880.93273972602742</v>
      </c>
      <c r="S122" s="503">
        <v>272.45342465753424</v>
      </c>
      <c r="T122" s="503"/>
      <c r="U122" s="503"/>
      <c r="V122" s="503">
        <v>1153.3861643835617</v>
      </c>
      <c r="W122" s="506"/>
    </row>
    <row r="123" spans="1:23" x14ac:dyDescent="0.3">
      <c r="A123" s="505">
        <v>5031</v>
      </c>
      <c r="B123" s="506" t="s">
        <v>7</v>
      </c>
      <c r="C123" s="506" t="s">
        <v>79</v>
      </c>
      <c r="D123" s="506" t="s">
        <v>78</v>
      </c>
      <c r="E123" s="504">
        <v>541000</v>
      </c>
      <c r="F123" s="511">
        <v>44037</v>
      </c>
      <c r="G123" s="511">
        <v>44402</v>
      </c>
      <c r="H123" s="507"/>
      <c r="I123" s="504">
        <v>6.9</v>
      </c>
      <c r="J123" s="503">
        <v>3784.0356164383561</v>
      </c>
      <c r="K123" s="503">
        <v>3068.1369863013701</v>
      </c>
      <c r="L123" s="503"/>
      <c r="M123" s="503"/>
      <c r="N123" s="503">
        <v>6852.1726027397262</v>
      </c>
      <c r="O123" s="503">
        <v>3170.4082191780822</v>
      </c>
      <c r="P123" s="503"/>
      <c r="Q123" s="503"/>
      <c r="R123" s="503">
        <v>10022.580821917809</v>
      </c>
      <c r="S123" s="503">
        <v>3068.1369863013701</v>
      </c>
      <c r="T123" s="503"/>
      <c r="U123" s="503"/>
      <c r="V123" s="503">
        <v>13090.717808219179</v>
      </c>
      <c r="W123" s="506"/>
    </row>
    <row r="124" spans="1:23" x14ac:dyDescent="0.3">
      <c r="A124" s="505">
        <v>5063</v>
      </c>
      <c r="B124" s="506" t="s">
        <v>77</v>
      </c>
      <c r="C124" s="506" t="s">
        <v>76</v>
      </c>
      <c r="D124" s="506" t="s">
        <v>75</v>
      </c>
      <c r="E124" s="504">
        <v>240000</v>
      </c>
      <c r="F124" s="511">
        <v>44034</v>
      </c>
      <c r="G124" s="511">
        <v>44399</v>
      </c>
      <c r="H124" s="507"/>
      <c r="I124" s="504">
        <v>5.4</v>
      </c>
      <c r="J124" s="503">
        <v>1313.7534246575347</v>
      </c>
      <c r="K124" s="503">
        <v>1065.2054794520548</v>
      </c>
      <c r="L124" s="503"/>
      <c r="M124" s="503"/>
      <c r="N124" s="503">
        <v>2378.9589041095896</v>
      </c>
      <c r="O124" s="503">
        <v>1100.7123287671236</v>
      </c>
      <c r="P124" s="503"/>
      <c r="Q124" s="503"/>
      <c r="R124" s="503">
        <v>3479.6712328767135</v>
      </c>
      <c r="S124" s="503">
        <v>1065.205479452055</v>
      </c>
      <c r="T124" s="503"/>
      <c r="U124" s="503"/>
      <c r="V124" s="503">
        <v>4544.8767123287689</v>
      </c>
      <c r="W124" s="506"/>
    </row>
    <row r="125" spans="1:23" x14ac:dyDescent="0.3">
      <c r="A125" s="505">
        <v>5057</v>
      </c>
      <c r="B125" s="506" t="s">
        <v>74</v>
      </c>
      <c r="C125" s="506" t="s">
        <v>73</v>
      </c>
      <c r="D125" s="506" t="s">
        <v>72</v>
      </c>
      <c r="E125" s="504">
        <v>139000</v>
      </c>
      <c r="F125" s="511">
        <v>44042</v>
      </c>
      <c r="G125" s="511">
        <v>44407</v>
      </c>
      <c r="H125" s="507"/>
      <c r="I125" s="504">
        <v>3.4</v>
      </c>
      <c r="J125" s="503">
        <v>401.38630136986302</v>
      </c>
      <c r="K125" s="503">
        <v>388.43835616438361</v>
      </c>
      <c r="L125" s="503"/>
      <c r="M125" s="503"/>
      <c r="N125" s="503">
        <v>789.82465753424663</v>
      </c>
      <c r="O125" s="503">
        <v>401.38630136986302</v>
      </c>
      <c r="P125" s="503"/>
      <c r="Q125" s="503"/>
      <c r="R125" s="503">
        <v>1191.2109589041097</v>
      </c>
      <c r="S125" s="503">
        <v>388.43835616438361</v>
      </c>
      <c r="T125" s="503"/>
      <c r="U125" s="503"/>
      <c r="V125" s="503">
        <v>1579.6493150684933</v>
      </c>
      <c r="W125" s="506"/>
    </row>
    <row r="126" spans="1:23" x14ac:dyDescent="0.3">
      <c r="A126" s="505">
        <v>5062</v>
      </c>
      <c r="B126" s="506" t="s">
        <v>71</v>
      </c>
      <c r="C126" s="506" t="s">
        <v>70</v>
      </c>
      <c r="D126" s="506" t="s">
        <v>69</v>
      </c>
      <c r="E126" s="504">
        <v>100000</v>
      </c>
      <c r="F126" s="511">
        <v>44044</v>
      </c>
      <c r="G126" s="511">
        <v>44409</v>
      </c>
      <c r="H126" s="507"/>
      <c r="I126" s="504">
        <v>7.4</v>
      </c>
      <c r="J126" s="503">
        <v>608.21917808219189</v>
      </c>
      <c r="K126" s="503">
        <v>608.21917808219177</v>
      </c>
      <c r="L126" s="503"/>
      <c r="M126" s="503"/>
      <c r="N126" s="503">
        <v>1216.4383561643835</v>
      </c>
      <c r="O126" s="503">
        <v>628.49315068493161</v>
      </c>
      <c r="P126" s="503"/>
      <c r="Q126" s="503"/>
      <c r="R126" s="503">
        <v>1844.9315068493152</v>
      </c>
      <c r="S126" s="503">
        <v>608.21917808219189</v>
      </c>
      <c r="T126" s="503"/>
      <c r="U126" s="503"/>
      <c r="V126" s="503">
        <v>2453.1506849315069</v>
      </c>
      <c r="W126" s="506"/>
    </row>
    <row r="127" spans="1:23" x14ac:dyDescent="0.3">
      <c r="A127" s="505">
        <v>5063</v>
      </c>
      <c r="B127" s="506" t="s">
        <v>25</v>
      </c>
      <c r="C127" s="506" t="s">
        <v>68</v>
      </c>
      <c r="D127" s="506" t="s">
        <v>67</v>
      </c>
      <c r="E127" s="504">
        <v>100000</v>
      </c>
      <c r="F127" s="511">
        <v>44044</v>
      </c>
      <c r="G127" s="511">
        <v>44409</v>
      </c>
      <c r="H127" s="507"/>
      <c r="I127" s="504">
        <v>4.4000000000000004</v>
      </c>
      <c r="J127" s="503">
        <v>361.64383561643837</v>
      </c>
      <c r="K127" s="503">
        <v>361.64383561643837</v>
      </c>
      <c r="L127" s="503"/>
      <c r="M127" s="503"/>
      <c r="N127" s="503">
        <v>723.28767123287673</v>
      </c>
      <c r="O127" s="503">
        <v>373.69863013698631</v>
      </c>
      <c r="P127" s="503"/>
      <c r="Q127" s="503"/>
      <c r="R127" s="503">
        <v>1096.986301369863</v>
      </c>
      <c r="S127" s="503">
        <v>361.64383561643837</v>
      </c>
      <c r="T127" s="503"/>
      <c r="U127" s="503"/>
      <c r="V127" s="503">
        <v>1458.6301369863013</v>
      </c>
      <c r="W127" s="506"/>
    </row>
    <row r="128" spans="1:23" x14ac:dyDescent="0.3">
      <c r="A128" s="505">
        <v>5031</v>
      </c>
      <c r="B128" s="506" t="s">
        <v>7</v>
      </c>
      <c r="C128" s="506" t="s">
        <v>61</v>
      </c>
      <c r="D128" s="506" t="s">
        <v>60</v>
      </c>
      <c r="E128" s="504">
        <v>325000</v>
      </c>
      <c r="F128" s="511">
        <v>44069</v>
      </c>
      <c r="G128" s="511">
        <v>44434</v>
      </c>
      <c r="H128" s="507"/>
      <c r="I128" s="504">
        <v>6.9</v>
      </c>
      <c r="J128" s="503">
        <v>307.19178082191786</v>
      </c>
      <c r="K128" s="503">
        <v>1843.1506849315069</v>
      </c>
      <c r="L128" s="503"/>
      <c r="M128" s="503"/>
      <c r="N128" s="503">
        <v>2150.3424657534247</v>
      </c>
      <c r="O128" s="503">
        <v>1904.5890410958907</v>
      </c>
      <c r="P128" s="503"/>
      <c r="Q128" s="503"/>
      <c r="R128" s="503">
        <v>4054.9315068493152</v>
      </c>
      <c r="S128" s="503">
        <v>1843.1506849315072</v>
      </c>
      <c r="T128" s="503"/>
      <c r="U128" s="503"/>
      <c r="V128" s="503">
        <v>5898.0821917808225</v>
      </c>
      <c r="W128" s="506"/>
    </row>
    <row r="129" spans="1:23" x14ac:dyDescent="0.3">
      <c r="A129" s="505">
        <v>5040</v>
      </c>
      <c r="B129" s="506" t="s">
        <v>59</v>
      </c>
      <c r="C129" s="506" t="s">
        <v>58</v>
      </c>
      <c r="D129" s="506" t="s">
        <v>57</v>
      </c>
      <c r="E129" s="504">
        <v>100000</v>
      </c>
      <c r="F129" s="511">
        <v>44070</v>
      </c>
      <c r="G129" s="511">
        <v>44435</v>
      </c>
      <c r="H129" s="507"/>
      <c r="I129" s="504">
        <v>6.4</v>
      </c>
      <c r="J129" s="503">
        <v>70.136986301369859</v>
      </c>
      <c r="K129" s="503">
        <v>526.02739726027391</v>
      </c>
      <c r="L129" s="503"/>
      <c r="M129" s="503"/>
      <c r="N129" s="503">
        <v>596.16438356164372</v>
      </c>
      <c r="O129" s="503">
        <v>543.56164383561645</v>
      </c>
      <c r="P129" s="503"/>
      <c r="Q129" s="503"/>
      <c r="R129" s="503">
        <v>1139.7260273972602</v>
      </c>
      <c r="S129" s="503">
        <v>526.02739726027391</v>
      </c>
      <c r="T129" s="503"/>
      <c r="U129" s="503"/>
      <c r="V129" s="503">
        <v>1665.7534246575342</v>
      </c>
      <c r="W129" s="506"/>
    </row>
    <row r="130" spans="1:23" x14ac:dyDescent="0.3">
      <c r="A130" s="505">
        <v>5055</v>
      </c>
      <c r="B130" s="506" t="s">
        <v>56</v>
      </c>
      <c r="C130" s="506" t="s">
        <v>55</v>
      </c>
      <c r="D130" s="506" t="s">
        <v>54</v>
      </c>
      <c r="E130" s="504">
        <v>60250</v>
      </c>
      <c r="F130" s="511">
        <v>44055</v>
      </c>
      <c r="G130" s="511">
        <v>44420</v>
      </c>
      <c r="H130" s="507"/>
      <c r="I130" s="504">
        <v>5.67</v>
      </c>
      <c r="J130" s="503">
        <v>93.593835616438369</v>
      </c>
      <c r="K130" s="503">
        <v>280.78150684931512</v>
      </c>
      <c r="L130" s="503"/>
      <c r="M130" s="503"/>
      <c r="N130" s="503">
        <v>374.37534246575348</v>
      </c>
      <c r="O130" s="503">
        <v>290.14089041095895</v>
      </c>
      <c r="P130" s="503"/>
      <c r="Q130" s="503"/>
      <c r="R130" s="503">
        <v>664.51623287671237</v>
      </c>
      <c r="S130" s="503">
        <v>280.78150684931512</v>
      </c>
      <c r="T130" s="503"/>
      <c r="U130" s="503"/>
      <c r="V130" s="503">
        <v>945.29773972602743</v>
      </c>
      <c r="W130" s="506"/>
    </row>
    <row r="131" spans="1:23" x14ac:dyDescent="0.3">
      <c r="A131" s="505">
        <v>5055</v>
      </c>
      <c r="B131" s="506" t="s">
        <v>53</v>
      </c>
      <c r="C131" s="506" t="s">
        <v>52</v>
      </c>
      <c r="D131" s="506" t="s">
        <v>51</v>
      </c>
      <c r="E131" s="504">
        <v>60250</v>
      </c>
      <c r="F131" s="511">
        <v>44055</v>
      </c>
      <c r="G131" s="511">
        <v>44420</v>
      </c>
      <c r="H131" s="507"/>
      <c r="I131" s="504">
        <v>5.67</v>
      </c>
      <c r="J131" s="503">
        <v>93.593835616438369</v>
      </c>
      <c r="K131" s="503">
        <v>280.78150684931512</v>
      </c>
      <c r="L131" s="503"/>
      <c r="M131" s="503"/>
      <c r="N131" s="503">
        <v>374.37534246575348</v>
      </c>
      <c r="O131" s="503">
        <v>290.14089041095895</v>
      </c>
      <c r="P131" s="503"/>
      <c r="Q131" s="503"/>
      <c r="R131" s="503">
        <v>664.51623287671237</v>
      </c>
      <c r="S131" s="503">
        <v>280.78150684931512</v>
      </c>
      <c r="T131" s="503"/>
      <c r="U131" s="503"/>
      <c r="V131" s="503">
        <v>945.29773972602743</v>
      </c>
      <c r="W131" s="506"/>
    </row>
    <row r="132" spans="1:23" x14ac:dyDescent="0.3">
      <c r="A132" s="505">
        <v>5057</v>
      </c>
      <c r="B132" s="506" t="s">
        <v>50</v>
      </c>
      <c r="C132" s="506" t="s">
        <v>49</v>
      </c>
      <c r="D132" s="506" t="s">
        <v>48</v>
      </c>
      <c r="E132" s="504">
        <v>150000</v>
      </c>
      <c r="F132" s="511">
        <v>44066</v>
      </c>
      <c r="G132" s="511">
        <v>44431</v>
      </c>
      <c r="H132" s="507"/>
      <c r="I132" s="504">
        <v>4.9000000000000004</v>
      </c>
      <c r="J132" s="503">
        <v>362.46575342465752</v>
      </c>
      <c r="K132" s="503">
        <v>604.109589041096</v>
      </c>
      <c r="L132" s="503"/>
      <c r="M132" s="503"/>
      <c r="N132" s="503">
        <v>966.57534246575347</v>
      </c>
      <c r="O132" s="503">
        <v>624.24657534246569</v>
      </c>
      <c r="P132" s="503"/>
      <c r="Q132" s="503"/>
      <c r="R132" s="503">
        <v>1590.821917808219</v>
      </c>
      <c r="S132" s="503">
        <v>604.10958904109589</v>
      </c>
      <c r="T132" s="503"/>
      <c r="U132" s="503"/>
      <c r="V132" s="503">
        <v>2194.9315068493152</v>
      </c>
      <c r="W132" s="506"/>
    </row>
    <row r="133" spans="1:23" x14ac:dyDescent="0.3">
      <c r="A133" s="505">
        <v>5060</v>
      </c>
      <c r="B133" s="522" t="s">
        <v>47</v>
      </c>
      <c r="C133" s="522" t="s">
        <v>46</v>
      </c>
      <c r="D133" s="506" t="s">
        <v>45</v>
      </c>
      <c r="E133" s="504">
        <v>160000</v>
      </c>
      <c r="F133" s="511">
        <v>44075</v>
      </c>
      <c r="G133" s="511">
        <v>44440</v>
      </c>
      <c r="H133" s="507"/>
      <c r="I133" s="502">
        <v>6.4</v>
      </c>
      <c r="J133" s="503"/>
      <c r="K133" s="503">
        <v>841.64383561643831</v>
      </c>
      <c r="L133" s="503"/>
      <c r="M133" s="503"/>
      <c r="N133" s="503">
        <v>841.64383561643831</v>
      </c>
      <c r="O133" s="503">
        <v>869.69863013698625</v>
      </c>
      <c r="P133" s="503"/>
      <c r="Q133" s="503"/>
      <c r="R133" s="503">
        <v>1711.3424657534247</v>
      </c>
      <c r="S133" s="503">
        <v>841.64383561643831</v>
      </c>
      <c r="T133" s="503"/>
      <c r="U133" s="503"/>
      <c r="V133" s="503">
        <v>2552.9863013698632</v>
      </c>
      <c r="W133" s="506"/>
    </row>
    <row r="134" spans="1:23" x14ac:dyDescent="0.3">
      <c r="A134" s="505">
        <v>5060</v>
      </c>
      <c r="B134" s="522" t="s">
        <v>40</v>
      </c>
      <c r="C134" s="522" t="s">
        <v>44</v>
      </c>
      <c r="D134" s="506" t="s">
        <v>43</v>
      </c>
      <c r="E134" s="504">
        <v>615000</v>
      </c>
      <c r="F134" s="511">
        <v>44075</v>
      </c>
      <c r="G134" s="511">
        <v>44440</v>
      </c>
      <c r="H134" s="507"/>
      <c r="I134" s="502">
        <v>6.4</v>
      </c>
      <c r="J134" s="503"/>
      <c r="K134" s="503">
        <v>3235.0684931506848</v>
      </c>
      <c r="L134" s="503"/>
      <c r="M134" s="503"/>
      <c r="N134" s="503">
        <v>3235.0684931506848</v>
      </c>
      <c r="O134" s="503">
        <v>3342.9041095890411</v>
      </c>
      <c r="P134" s="503"/>
      <c r="Q134" s="503"/>
      <c r="R134" s="503">
        <v>6577.9726027397264</v>
      </c>
      <c r="S134" s="503">
        <v>3235.0684931506848</v>
      </c>
      <c r="T134" s="503"/>
      <c r="U134" s="503"/>
      <c r="V134" s="503">
        <v>9813.0410958904104</v>
      </c>
      <c r="W134" s="506"/>
    </row>
    <row r="135" spans="1:23" x14ac:dyDescent="0.3">
      <c r="A135" s="505">
        <v>5060</v>
      </c>
      <c r="B135" s="522" t="s">
        <v>40</v>
      </c>
      <c r="C135" s="522" t="s">
        <v>42</v>
      </c>
      <c r="D135" s="506" t="s">
        <v>41</v>
      </c>
      <c r="E135" s="504">
        <v>285000</v>
      </c>
      <c r="F135" s="511">
        <v>44075</v>
      </c>
      <c r="G135" s="511">
        <v>44440</v>
      </c>
      <c r="H135" s="507"/>
      <c r="I135" s="502">
        <v>6.4</v>
      </c>
      <c r="J135" s="503"/>
      <c r="K135" s="503">
        <v>1499.178082191781</v>
      </c>
      <c r="L135" s="503"/>
      <c r="M135" s="503"/>
      <c r="N135" s="503">
        <v>1499.178082191781</v>
      </c>
      <c r="O135" s="503">
        <v>1549.1506849315069</v>
      </c>
      <c r="P135" s="503"/>
      <c r="Q135" s="503"/>
      <c r="R135" s="503">
        <v>3048.3287671232879</v>
      </c>
      <c r="S135" s="503">
        <v>1499.178082191781</v>
      </c>
      <c r="T135" s="503"/>
      <c r="U135" s="503"/>
      <c r="V135" s="503">
        <v>4547.5068493150684</v>
      </c>
      <c r="W135" s="506"/>
    </row>
    <row r="136" spans="1:23" x14ac:dyDescent="0.3">
      <c r="A136" s="505">
        <v>5060</v>
      </c>
      <c r="B136" s="522" t="s">
        <v>40</v>
      </c>
      <c r="C136" s="522" t="s">
        <v>39</v>
      </c>
      <c r="D136" s="506" t="s">
        <v>38</v>
      </c>
      <c r="E136" s="504">
        <v>500000</v>
      </c>
      <c r="F136" s="511">
        <v>44075</v>
      </c>
      <c r="G136" s="511">
        <v>44440</v>
      </c>
      <c r="H136" s="507"/>
      <c r="I136" s="502">
        <v>6.4</v>
      </c>
      <c r="J136" s="503"/>
      <c r="K136" s="503">
        <v>2630.1369863013697</v>
      </c>
      <c r="L136" s="503"/>
      <c r="M136" s="503"/>
      <c r="N136" s="503">
        <v>2630.1369863013697</v>
      </c>
      <c r="O136" s="503">
        <v>2717.8082191780823</v>
      </c>
      <c r="P136" s="503"/>
      <c r="Q136" s="503"/>
      <c r="R136" s="503">
        <v>5347.9452054794519</v>
      </c>
      <c r="S136" s="503">
        <v>2630.1369863013697</v>
      </c>
      <c r="T136" s="503"/>
      <c r="U136" s="503"/>
      <c r="V136" s="503">
        <v>7978.0821917808216</v>
      </c>
      <c r="W136" s="506"/>
    </row>
    <row r="137" spans="1:23" x14ac:dyDescent="0.3">
      <c r="A137" s="505">
        <v>5060</v>
      </c>
      <c r="B137" s="522" t="s">
        <v>37</v>
      </c>
      <c r="C137" s="522" t="s">
        <v>36</v>
      </c>
      <c r="D137" s="506" t="s">
        <v>35</v>
      </c>
      <c r="E137" s="504">
        <v>500000</v>
      </c>
      <c r="F137" s="511">
        <v>44075</v>
      </c>
      <c r="G137" s="511">
        <v>44440</v>
      </c>
      <c r="H137" s="507"/>
      <c r="I137" s="502">
        <v>2.9</v>
      </c>
      <c r="J137" s="503"/>
      <c r="K137" s="503">
        <v>1191.7808219178082</v>
      </c>
      <c r="L137" s="503"/>
      <c r="M137" s="503"/>
      <c r="N137" s="503">
        <v>1191.7808219178082</v>
      </c>
      <c r="O137" s="503">
        <v>1231.5068493150684</v>
      </c>
      <c r="P137" s="503"/>
      <c r="Q137" s="503"/>
      <c r="R137" s="503">
        <v>2423.2876712328766</v>
      </c>
      <c r="S137" s="503">
        <v>1191.780821917808</v>
      </c>
      <c r="T137" s="503"/>
      <c r="U137" s="503"/>
      <c r="V137" s="503">
        <v>3615.0684931506848</v>
      </c>
      <c r="W137" s="506"/>
    </row>
    <row r="138" spans="1:23" x14ac:dyDescent="0.3">
      <c r="A138" s="505">
        <v>5050</v>
      </c>
      <c r="B138" s="522" t="s">
        <v>34</v>
      </c>
      <c r="C138" s="522" t="s">
        <v>33</v>
      </c>
      <c r="D138" s="506" t="s">
        <v>32</v>
      </c>
      <c r="E138" s="504">
        <v>300000</v>
      </c>
      <c r="F138" s="511">
        <v>44077</v>
      </c>
      <c r="G138" s="511">
        <v>44442</v>
      </c>
      <c r="H138" s="507"/>
      <c r="I138" s="502">
        <v>5.9</v>
      </c>
      <c r="J138" s="503"/>
      <c r="K138" s="503">
        <v>1454.7945205479452</v>
      </c>
      <c r="L138" s="503"/>
      <c r="M138" s="503"/>
      <c r="N138" s="503">
        <v>1454.7945205479452</v>
      </c>
      <c r="O138" s="503">
        <v>1503.2876712328766</v>
      </c>
      <c r="P138" s="503"/>
      <c r="Q138" s="503"/>
      <c r="R138" s="503">
        <v>2958.0821917808216</v>
      </c>
      <c r="S138" s="503">
        <v>1454.7945205479452</v>
      </c>
      <c r="T138" s="503"/>
      <c r="U138" s="503"/>
      <c r="V138" s="503">
        <v>4412.8767123287671</v>
      </c>
      <c r="W138" s="506"/>
    </row>
    <row r="139" spans="1:23" x14ac:dyDescent="0.3">
      <c r="A139" s="505">
        <v>5050</v>
      </c>
      <c r="B139" s="522" t="s">
        <v>31</v>
      </c>
      <c r="C139" s="522" t="s">
        <v>30</v>
      </c>
      <c r="D139" s="506" t="s">
        <v>29</v>
      </c>
      <c r="E139" s="504">
        <v>220000</v>
      </c>
      <c r="F139" s="511">
        <v>44077</v>
      </c>
      <c r="G139" s="511">
        <v>44442</v>
      </c>
      <c r="H139" s="507"/>
      <c r="I139" s="502">
        <v>5.9</v>
      </c>
      <c r="J139" s="503"/>
      <c r="K139" s="503">
        <v>1066.8493150684931</v>
      </c>
      <c r="L139" s="503"/>
      <c r="M139" s="503"/>
      <c r="N139" s="503">
        <v>1066.8493150684931</v>
      </c>
      <c r="O139" s="503">
        <v>1102.4109589041095</v>
      </c>
      <c r="P139" s="503"/>
      <c r="Q139" s="503"/>
      <c r="R139" s="503">
        <v>2169.2602739726026</v>
      </c>
      <c r="S139" s="503">
        <v>1066.8493150684931</v>
      </c>
      <c r="T139" s="503"/>
      <c r="U139" s="503"/>
      <c r="V139" s="503">
        <v>3236.1095890410957</v>
      </c>
      <c r="W139" s="506"/>
    </row>
    <row r="140" spans="1:23" x14ac:dyDescent="0.3">
      <c r="A140" s="505">
        <v>5064</v>
      </c>
      <c r="B140" s="522" t="s">
        <v>28</v>
      </c>
      <c r="C140" s="522" t="s">
        <v>27</v>
      </c>
      <c r="D140" s="506" t="s">
        <v>26</v>
      </c>
      <c r="E140" s="504">
        <v>100000</v>
      </c>
      <c r="F140" s="511">
        <v>44083</v>
      </c>
      <c r="G140" s="511">
        <v>44448</v>
      </c>
      <c r="H140" s="507"/>
      <c r="I140" s="502">
        <v>5.9</v>
      </c>
      <c r="J140" s="503"/>
      <c r="K140" s="503">
        <v>484.93150684931504</v>
      </c>
      <c r="L140" s="503"/>
      <c r="M140" s="503"/>
      <c r="N140" s="503">
        <v>484.93150684931504</v>
      </c>
      <c r="O140" s="503">
        <v>501.09589041095887</v>
      </c>
      <c r="P140" s="503"/>
      <c r="Q140" s="503"/>
      <c r="R140" s="503">
        <v>986.02739726027391</v>
      </c>
      <c r="S140" s="503">
        <v>484.93150684931504</v>
      </c>
      <c r="T140" s="503"/>
      <c r="U140" s="503"/>
      <c r="V140" s="503">
        <v>1470.958904109589</v>
      </c>
      <c r="W140" s="506"/>
    </row>
    <row r="141" spans="1:23" x14ac:dyDescent="0.3">
      <c r="A141" s="505">
        <v>5063</v>
      </c>
      <c r="B141" s="522" t="s">
        <v>25</v>
      </c>
      <c r="C141" s="522" t="s">
        <v>24</v>
      </c>
      <c r="D141" s="506" t="s">
        <v>23</v>
      </c>
      <c r="E141" s="504">
        <v>173000</v>
      </c>
      <c r="F141" s="511">
        <v>44075</v>
      </c>
      <c r="G141" s="511">
        <v>44440</v>
      </c>
      <c r="H141" s="507"/>
      <c r="I141" s="502">
        <v>4.4000000000000004</v>
      </c>
      <c r="J141" s="503"/>
      <c r="K141" s="503">
        <v>625.64383561643842</v>
      </c>
      <c r="L141" s="503"/>
      <c r="M141" s="503"/>
      <c r="N141" s="503">
        <v>625.64383561643842</v>
      </c>
      <c r="O141" s="503">
        <v>646.49863013698643</v>
      </c>
      <c r="P141" s="503"/>
      <c r="Q141" s="503"/>
      <c r="R141" s="503">
        <v>1272.1424657534249</v>
      </c>
      <c r="S141" s="503">
        <v>625.64383561643842</v>
      </c>
      <c r="T141" s="503"/>
      <c r="U141" s="503"/>
      <c r="V141" s="503">
        <v>1897.7863013698634</v>
      </c>
      <c r="W141" s="506"/>
    </row>
    <row r="142" spans="1:23" x14ac:dyDescent="0.3">
      <c r="A142" s="505">
        <v>5057</v>
      </c>
      <c r="B142" s="522" t="s">
        <v>22</v>
      </c>
      <c r="C142" s="522" t="s">
        <v>21</v>
      </c>
      <c r="D142" s="506" t="s">
        <v>20</v>
      </c>
      <c r="E142" s="504">
        <v>600000</v>
      </c>
      <c r="F142" s="511">
        <v>44094</v>
      </c>
      <c r="G142" s="511">
        <v>44459</v>
      </c>
      <c r="H142" s="507"/>
      <c r="I142" s="502">
        <v>6.6</v>
      </c>
      <c r="J142" s="503"/>
      <c r="K142" s="503">
        <v>3254.794520547945</v>
      </c>
      <c r="L142" s="503"/>
      <c r="M142" s="503"/>
      <c r="N142" s="503">
        <v>3254.794520547945</v>
      </c>
      <c r="O142" s="503">
        <v>3363.2876712328766</v>
      </c>
      <c r="P142" s="503"/>
      <c r="Q142" s="503"/>
      <c r="R142" s="503">
        <v>6618.0821917808216</v>
      </c>
      <c r="S142" s="503">
        <v>3254.794520547945</v>
      </c>
      <c r="T142" s="503"/>
      <c r="U142" s="503"/>
      <c r="V142" s="503">
        <v>9872.8767123287671</v>
      </c>
      <c r="W142" s="506"/>
    </row>
    <row r="143" spans="1:23" x14ac:dyDescent="0.3">
      <c r="A143" s="505">
        <v>5060</v>
      </c>
      <c r="B143" s="522" t="s">
        <v>19</v>
      </c>
      <c r="C143" s="522" t="s">
        <v>18</v>
      </c>
      <c r="D143" s="506" t="s">
        <v>17</v>
      </c>
      <c r="E143" s="504">
        <v>330000</v>
      </c>
      <c r="F143" s="511">
        <v>44098</v>
      </c>
      <c r="G143" s="511">
        <v>44463</v>
      </c>
      <c r="H143" s="507"/>
      <c r="I143" s="502">
        <v>1.9</v>
      </c>
      <c r="J143" s="503"/>
      <c r="K143" s="503">
        <v>515.34246575342456</v>
      </c>
      <c r="L143" s="503"/>
      <c r="M143" s="503"/>
      <c r="N143" s="503">
        <v>515.34246575342456</v>
      </c>
      <c r="O143" s="503">
        <v>532.52054794520541</v>
      </c>
      <c r="P143" s="503"/>
      <c r="Q143" s="503"/>
      <c r="R143" s="503">
        <v>1047.8630136986299</v>
      </c>
      <c r="S143" s="503">
        <v>515.34246575342456</v>
      </c>
      <c r="T143" s="503"/>
      <c r="U143" s="503"/>
      <c r="V143" s="503">
        <v>1563.2054794520545</v>
      </c>
      <c r="W143" s="506"/>
    </row>
    <row r="144" spans="1:23" x14ac:dyDescent="0.3">
      <c r="A144" s="505">
        <v>5060</v>
      </c>
      <c r="B144" s="522" t="s">
        <v>16</v>
      </c>
      <c r="C144" s="522" t="s">
        <v>15</v>
      </c>
      <c r="D144" s="506" t="s">
        <v>14</v>
      </c>
      <c r="E144" s="504">
        <v>330000</v>
      </c>
      <c r="F144" s="511">
        <v>44099</v>
      </c>
      <c r="G144" s="511">
        <v>44464</v>
      </c>
      <c r="H144" s="507"/>
      <c r="I144" s="502">
        <v>1.9</v>
      </c>
      <c r="J144" s="503"/>
      <c r="K144" s="503">
        <v>515.34246575342456</v>
      </c>
      <c r="L144" s="503"/>
      <c r="M144" s="503"/>
      <c r="N144" s="503">
        <v>515.34246575342456</v>
      </c>
      <c r="O144" s="503">
        <v>532.52054794520541</v>
      </c>
      <c r="P144" s="503"/>
      <c r="Q144" s="503"/>
      <c r="R144" s="503">
        <v>1047.8630136986299</v>
      </c>
      <c r="S144" s="503">
        <v>515.34246575342456</v>
      </c>
      <c r="T144" s="503"/>
      <c r="U144" s="503"/>
      <c r="V144" s="503">
        <v>1563.2054794520545</v>
      </c>
      <c r="W144" s="506"/>
    </row>
    <row r="145" spans="1:24" x14ac:dyDescent="0.3">
      <c r="A145" s="505">
        <v>5063</v>
      </c>
      <c r="B145" s="522" t="s">
        <v>13</v>
      </c>
      <c r="C145" s="522" t="s">
        <v>12</v>
      </c>
      <c r="D145" s="506" t="s">
        <v>11</v>
      </c>
      <c r="E145" s="504">
        <v>200000</v>
      </c>
      <c r="F145" s="511">
        <v>44101</v>
      </c>
      <c r="G145" s="511">
        <v>44466</v>
      </c>
      <c r="H145" s="507"/>
      <c r="I145" s="502">
        <v>8.9</v>
      </c>
      <c r="J145" s="503"/>
      <c r="K145" s="503">
        <v>1463.013698630137</v>
      </c>
      <c r="L145" s="503"/>
      <c r="M145" s="503"/>
      <c r="N145" s="503">
        <v>1463.013698630137</v>
      </c>
      <c r="O145" s="503">
        <v>1511.7808219178085</v>
      </c>
      <c r="P145" s="503"/>
      <c r="Q145" s="503"/>
      <c r="R145" s="503">
        <v>2974.7945205479455</v>
      </c>
      <c r="S145" s="503">
        <v>1463.0136986301372</v>
      </c>
      <c r="T145" s="503"/>
      <c r="U145" s="503"/>
      <c r="V145" s="503">
        <v>4437.8082191780832</v>
      </c>
      <c r="W145" s="506"/>
      <c r="X145" s="488"/>
    </row>
    <row r="146" spans="1:24" x14ac:dyDescent="0.3">
      <c r="A146" s="505">
        <v>5066</v>
      </c>
      <c r="B146" s="522" t="s">
        <v>10</v>
      </c>
      <c r="C146" s="522" t="s">
        <v>9</v>
      </c>
      <c r="D146" s="506" t="s">
        <v>8</v>
      </c>
      <c r="E146" s="504">
        <v>1030000</v>
      </c>
      <c r="F146" s="511">
        <v>44099</v>
      </c>
      <c r="G146" s="511">
        <v>44464</v>
      </c>
      <c r="H146" s="507"/>
      <c r="I146" s="502">
        <v>0.4</v>
      </c>
      <c r="J146" s="503"/>
      <c r="K146" s="503">
        <v>338.63013698630141</v>
      </c>
      <c r="L146" s="503"/>
      <c r="M146" s="503"/>
      <c r="N146" s="503">
        <v>338.63013698630141</v>
      </c>
      <c r="O146" s="503">
        <v>349.91780821917808</v>
      </c>
      <c r="P146" s="503"/>
      <c r="Q146" s="503"/>
      <c r="R146" s="503">
        <v>688.54794520547944</v>
      </c>
      <c r="S146" s="503">
        <v>338.63013698630141</v>
      </c>
      <c r="T146" s="503"/>
      <c r="U146" s="503"/>
      <c r="V146" s="503">
        <v>1027.178082191781</v>
      </c>
      <c r="W146" s="506"/>
      <c r="X146" s="488"/>
    </row>
    <row r="147" spans="1:24" x14ac:dyDescent="0.3">
      <c r="A147" s="505">
        <v>5031</v>
      </c>
      <c r="B147" s="538" t="s">
        <v>7</v>
      </c>
      <c r="C147" s="538" t="s">
        <v>6</v>
      </c>
      <c r="D147" s="514" t="s">
        <v>5</v>
      </c>
      <c r="E147" s="504">
        <v>501000</v>
      </c>
      <c r="F147" s="511">
        <v>44099</v>
      </c>
      <c r="G147" s="511">
        <v>44464</v>
      </c>
      <c r="H147" s="507"/>
      <c r="I147" s="502">
        <v>6.4</v>
      </c>
      <c r="J147" s="503"/>
      <c r="K147" s="503">
        <v>2635.3972602739727</v>
      </c>
      <c r="L147" s="503"/>
      <c r="M147" s="503"/>
      <c r="N147" s="503">
        <v>2635.3972602739727</v>
      </c>
      <c r="O147" s="503">
        <v>2723.2438356164384</v>
      </c>
      <c r="P147" s="503"/>
      <c r="Q147" s="503"/>
      <c r="R147" s="503">
        <v>5358.6410958904107</v>
      </c>
      <c r="S147" s="503">
        <v>2635.3972602739727</v>
      </c>
      <c r="T147" s="503"/>
      <c r="U147" s="503"/>
      <c r="V147" s="503">
        <v>7994.038356164383</v>
      </c>
      <c r="W147" s="506"/>
      <c r="X147" s="488"/>
    </row>
    <row r="148" spans="1:24" ht="52.8" x14ac:dyDescent="0.3">
      <c r="A148" s="505">
        <v>5062</v>
      </c>
      <c r="B148" s="539" t="s">
        <v>359</v>
      </c>
      <c r="C148" s="539" t="s">
        <v>746</v>
      </c>
      <c r="D148" s="539" t="s">
        <v>747</v>
      </c>
      <c r="E148" s="540">
        <v>197000</v>
      </c>
      <c r="F148" s="511">
        <v>44119</v>
      </c>
      <c r="G148" s="511">
        <v>44481</v>
      </c>
      <c r="H148" s="507"/>
      <c r="I148" s="537">
        <v>6.4</v>
      </c>
      <c r="J148" s="535"/>
      <c r="K148" s="535"/>
      <c r="L148" s="535"/>
      <c r="M148" s="535"/>
      <c r="N148" s="503"/>
      <c r="O148" s="503">
        <v>552.67945205479452</v>
      </c>
      <c r="P148" s="535">
        <v>-105.21</v>
      </c>
      <c r="Q148" s="535"/>
      <c r="R148" s="503">
        <v>447.46945205479454</v>
      </c>
      <c r="S148" s="503">
        <v>1036.2739726027398</v>
      </c>
      <c r="T148" s="503"/>
      <c r="U148" s="535"/>
      <c r="V148" s="503">
        <v>1483.7434246575344</v>
      </c>
      <c r="W148" s="506"/>
      <c r="X148" s="488"/>
    </row>
    <row r="149" spans="1:24" ht="52.8" x14ac:dyDescent="0.3">
      <c r="A149" s="505">
        <v>5060</v>
      </c>
      <c r="B149" s="539" t="s">
        <v>16</v>
      </c>
      <c r="C149" s="539" t="s">
        <v>748</v>
      </c>
      <c r="D149" s="539" t="s">
        <v>749</v>
      </c>
      <c r="E149" s="504">
        <v>25000</v>
      </c>
      <c r="F149" s="511">
        <v>44114</v>
      </c>
      <c r="G149" s="511">
        <v>44479</v>
      </c>
      <c r="H149" s="507"/>
      <c r="I149" s="537">
        <v>1.9</v>
      </c>
      <c r="J149" s="535"/>
      <c r="K149" s="535"/>
      <c r="L149" s="535"/>
      <c r="M149" s="535"/>
      <c r="N149" s="503"/>
      <c r="O149" s="503">
        <v>27.328767123287673</v>
      </c>
      <c r="P149" s="535"/>
      <c r="Q149" s="535"/>
      <c r="R149" s="503">
        <v>27.328767123287673</v>
      </c>
      <c r="S149" s="503">
        <v>39.041095890410965</v>
      </c>
      <c r="T149" s="503"/>
      <c r="U149" s="535"/>
      <c r="V149" s="503">
        <v>66.369863013698634</v>
      </c>
      <c r="W149" s="506"/>
      <c r="X149" s="488"/>
    </row>
    <row r="150" spans="1:24" ht="52.8" x14ac:dyDescent="0.3">
      <c r="A150" s="505">
        <v>5063</v>
      </c>
      <c r="B150" s="539" t="s">
        <v>77</v>
      </c>
      <c r="C150" s="539" t="s">
        <v>750</v>
      </c>
      <c r="D150" s="539" t="s">
        <v>751</v>
      </c>
      <c r="E150" s="504">
        <v>50000</v>
      </c>
      <c r="F150" s="511">
        <v>44111</v>
      </c>
      <c r="G150" s="511">
        <v>44476</v>
      </c>
      <c r="H150" s="507"/>
      <c r="I150" s="537">
        <v>5.4</v>
      </c>
      <c r="J150" s="535"/>
      <c r="K150" s="535"/>
      <c r="L150" s="535"/>
      <c r="M150" s="535"/>
      <c r="N150" s="503"/>
      <c r="O150" s="503">
        <v>177.53424657534248</v>
      </c>
      <c r="P150" s="535"/>
      <c r="Q150" s="535"/>
      <c r="R150" s="503">
        <v>177.53424657534248</v>
      </c>
      <c r="S150" s="503">
        <v>221.91780821917811</v>
      </c>
      <c r="T150" s="503"/>
      <c r="U150" s="535"/>
      <c r="V150" s="503">
        <v>399.45205479452056</v>
      </c>
      <c r="W150" s="506"/>
      <c r="X150" s="488"/>
    </row>
    <row r="151" spans="1:24" ht="52.8" x14ac:dyDescent="0.3">
      <c r="A151" s="505">
        <v>5060</v>
      </c>
      <c r="B151" s="539" t="s">
        <v>19</v>
      </c>
      <c r="C151" s="539" t="s">
        <v>752</v>
      </c>
      <c r="D151" s="539" t="s">
        <v>753</v>
      </c>
      <c r="E151" s="504">
        <v>25000</v>
      </c>
      <c r="F151" s="511">
        <v>44114</v>
      </c>
      <c r="G151" s="511">
        <v>44479</v>
      </c>
      <c r="H151" s="507"/>
      <c r="I151" s="537">
        <v>1.9</v>
      </c>
      <c r="J151" s="535"/>
      <c r="K151" s="535"/>
      <c r="L151" s="535"/>
      <c r="M151" s="535"/>
      <c r="N151" s="503"/>
      <c r="O151" s="503">
        <v>27.328767123287673</v>
      </c>
      <c r="P151" s="535"/>
      <c r="Q151" s="535"/>
      <c r="R151" s="503">
        <v>27.328767123287673</v>
      </c>
      <c r="S151" s="503">
        <v>39.041095890410965</v>
      </c>
      <c r="T151" s="503"/>
      <c r="U151" s="535"/>
      <c r="V151" s="503">
        <v>66.369863013698634</v>
      </c>
      <c r="W151" s="506"/>
      <c r="X151" s="488"/>
    </row>
    <row r="152" spans="1:24" ht="52.8" x14ac:dyDescent="0.3">
      <c r="A152" s="505">
        <v>5031</v>
      </c>
      <c r="B152" s="539" t="s">
        <v>7</v>
      </c>
      <c r="C152" s="539" t="s">
        <v>754</v>
      </c>
      <c r="D152" s="539" t="s">
        <v>755</v>
      </c>
      <c r="E152" s="504">
        <v>300000</v>
      </c>
      <c r="F152" s="511">
        <v>44124</v>
      </c>
      <c r="G152" s="511">
        <v>44489</v>
      </c>
      <c r="H152" s="507"/>
      <c r="I152" s="537">
        <v>6.9</v>
      </c>
      <c r="J152" s="535"/>
      <c r="K152" s="535"/>
      <c r="L152" s="535"/>
      <c r="M152" s="535"/>
      <c r="N152" s="503"/>
      <c r="O152" s="503">
        <v>623.83561643835617</v>
      </c>
      <c r="P152" s="535"/>
      <c r="Q152" s="535"/>
      <c r="R152" s="503">
        <v>623.83561643835617</v>
      </c>
      <c r="S152" s="503">
        <v>1701.3698630136987</v>
      </c>
      <c r="T152" s="503"/>
      <c r="U152" s="535"/>
      <c r="V152" s="503">
        <v>2325.205479452055</v>
      </c>
      <c r="W152" s="506"/>
      <c r="X152" s="488"/>
    </row>
    <row r="153" spans="1:24" ht="52.8" x14ac:dyDescent="0.3">
      <c r="A153" s="505">
        <v>5066</v>
      </c>
      <c r="B153" s="539" t="s">
        <v>10</v>
      </c>
      <c r="C153" s="539" t="s">
        <v>756</v>
      </c>
      <c r="D153" s="539" t="s">
        <v>757</v>
      </c>
      <c r="E153" s="504">
        <v>300000</v>
      </c>
      <c r="F153" s="511">
        <v>44105</v>
      </c>
      <c r="G153" s="511">
        <v>44470</v>
      </c>
      <c r="H153" s="507"/>
      <c r="I153" s="537">
        <v>0.4</v>
      </c>
      <c r="J153" s="535"/>
      <c r="K153" s="535"/>
      <c r="L153" s="535"/>
      <c r="M153" s="535"/>
      <c r="N153" s="503"/>
      <c r="O153" s="503">
        <v>98.630136986301366</v>
      </c>
      <c r="P153" s="535"/>
      <c r="Q153" s="535"/>
      <c r="R153" s="503">
        <v>98.630136986301366</v>
      </c>
      <c r="S153" s="503">
        <v>98.630136986301366</v>
      </c>
      <c r="T153" s="503"/>
      <c r="U153" s="535"/>
      <c r="V153" s="503">
        <v>197.26027397260273</v>
      </c>
      <c r="W153" s="506"/>
      <c r="X153" s="488"/>
    </row>
    <row r="154" spans="1:24" ht="52.8" x14ac:dyDescent="0.3">
      <c r="A154" s="505">
        <v>5063</v>
      </c>
      <c r="B154" s="539" t="s">
        <v>25</v>
      </c>
      <c r="C154" s="539" t="s">
        <v>758</v>
      </c>
      <c r="D154" s="539" t="s">
        <v>759</v>
      </c>
      <c r="E154" s="504">
        <v>188000</v>
      </c>
      <c r="F154" s="511">
        <v>44105</v>
      </c>
      <c r="G154" s="511">
        <v>44470</v>
      </c>
      <c r="H154" s="507"/>
      <c r="I154" s="537">
        <v>4.4000000000000004</v>
      </c>
      <c r="J154" s="535"/>
      <c r="K154" s="535"/>
      <c r="L154" s="535"/>
      <c r="M154" s="535"/>
      <c r="N154" s="503"/>
      <c r="O154" s="503">
        <v>679.89041095890411</v>
      </c>
      <c r="P154" s="535"/>
      <c r="Q154" s="535"/>
      <c r="R154" s="503">
        <v>679.89041095890411</v>
      </c>
      <c r="S154" s="503">
        <v>679.89041095890411</v>
      </c>
      <c r="T154" s="503"/>
      <c r="U154" s="535"/>
      <c r="V154" s="503">
        <v>1359.7808219178082</v>
      </c>
      <c r="W154" s="506"/>
      <c r="X154" s="488"/>
    </row>
    <row r="155" spans="1:24" ht="52.8" x14ac:dyDescent="0.3">
      <c r="A155" s="505">
        <v>5064</v>
      </c>
      <c r="B155" s="539" t="s">
        <v>28</v>
      </c>
      <c r="C155" s="539" t="s">
        <v>760</v>
      </c>
      <c r="D155" s="539" t="s">
        <v>761</v>
      </c>
      <c r="E155" s="504">
        <v>100000</v>
      </c>
      <c r="F155" s="511">
        <v>44127</v>
      </c>
      <c r="G155" s="511">
        <v>44492</v>
      </c>
      <c r="H155" s="507"/>
      <c r="I155" s="537">
        <v>5.9</v>
      </c>
      <c r="J155" s="535"/>
      <c r="K155" s="535"/>
      <c r="L155" s="535"/>
      <c r="M155" s="535"/>
      <c r="N155" s="503"/>
      <c r="O155" s="503">
        <v>290.95890410958901</v>
      </c>
      <c r="P155" s="535"/>
      <c r="Q155" s="535"/>
      <c r="R155" s="503">
        <v>290.95890410958901</v>
      </c>
      <c r="S155" s="503">
        <v>484.93150684931504</v>
      </c>
      <c r="T155" s="503"/>
      <c r="U155" s="535"/>
      <c r="V155" s="503">
        <v>775.89041095890411</v>
      </c>
      <c r="W155" s="506"/>
      <c r="X155" s="488"/>
    </row>
    <row r="156" spans="1:24" ht="52.8" x14ac:dyDescent="0.3">
      <c r="A156" s="505">
        <v>5063</v>
      </c>
      <c r="B156" s="539" t="s">
        <v>77</v>
      </c>
      <c r="C156" s="539" t="s">
        <v>762</v>
      </c>
      <c r="D156" s="539" t="s">
        <v>763</v>
      </c>
      <c r="E156" s="504">
        <v>120000</v>
      </c>
      <c r="F156" s="511">
        <v>44134</v>
      </c>
      <c r="G156" s="511">
        <v>44499</v>
      </c>
      <c r="H156" s="507"/>
      <c r="I156" s="502">
        <v>5.4</v>
      </c>
      <c r="J156" s="503"/>
      <c r="K156" s="503"/>
      <c r="L156" s="503"/>
      <c r="M156" s="503"/>
      <c r="N156" s="503"/>
      <c r="O156" s="503">
        <v>35.5068493150685</v>
      </c>
      <c r="P156" s="503"/>
      <c r="Q156" s="503"/>
      <c r="R156" s="503">
        <v>35.5068493150685</v>
      </c>
      <c r="S156" s="503">
        <v>532.60273972602749</v>
      </c>
      <c r="T156" s="503"/>
      <c r="U156" s="503"/>
      <c r="V156" s="503">
        <v>568.109589041096</v>
      </c>
      <c r="W156" s="506"/>
      <c r="X156" s="488"/>
    </row>
    <row r="157" spans="1:24" ht="52.8" x14ac:dyDescent="0.3">
      <c r="A157" s="505">
        <v>5057</v>
      </c>
      <c r="B157" s="539" t="s">
        <v>74</v>
      </c>
      <c r="C157" s="539" t="s">
        <v>764</v>
      </c>
      <c r="D157" s="539" t="s">
        <v>765</v>
      </c>
      <c r="E157" s="504">
        <v>118000</v>
      </c>
      <c r="F157" s="511">
        <v>44134</v>
      </c>
      <c r="G157" s="511">
        <v>44499</v>
      </c>
      <c r="H157" s="507"/>
      <c r="I157" s="502">
        <v>3.4</v>
      </c>
      <c r="J157" s="503"/>
      <c r="K157" s="503"/>
      <c r="L157" s="503"/>
      <c r="M157" s="503"/>
      <c r="N157" s="503"/>
      <c r="O157" s="503">
        <v>21.983561643835618</v>
      </c>
      <c r="P157" s="503"/>
      <c r="Q157" s="503"/>
      <c r="R157" s="503">
        <v>21.983561643835618</v>
      </c>
      <c r="S157" s="503">
        <v>329.75342465753425</v>
      </c>
      <c r="T157" s="503"/>
      <c r="U157" s="503"/>
      <c r="V157" s="503">
        <v>351.73698630136988</v>
      </c>
      <c r="W157" s="506"/>
      <c r="X157" s="488"/>
    </row>
    <row r="158" spans="1:24" ht="52.8" x14ac:dyDescent="0.3">
      <c r="A158" s="505">
        <v>5060</v>
      </c>
      <c r="B158" s="506" t="s">
        <v>40</v>
      </c>
      <c r="C158" s="506" t="s">
        <v>66</v>
      </c>
      <c r="D158" s="543" t="s">
        <v>766</v>
      </c>
      <c r="E158" s="504">
        <v>1604358.34</v>
      </c>
      <c r="F158" s="511">
        <v>44134</v>
      </c>
      <c r="G158" s="511">
        <v>44423</v>
      </c>
      <c r="H158" s="507"/>
      <c r="I158" s="504">
        <v>6.4</v>
      </c>
      <c r="J158" s="503"/>
      <c r="K158" s="503"/>
      <c r="L158" s="503"/>
      <c r="M158" s="503"/>
      <c r="N158" s="503"/>
      <c r="O158" s="503"/>
      <c r="P158" s="503"/>
      <c r="Q158" s="503"/>
      <c r="R158" s="503"/>
      <c r="S158" s="503">
        <v>8439.364418630139</v>
      </c>
      <c r="T158" s="503"/>
      <c r="U158" s="503"/>
      <c r="V158" s="503">
        <v>8439.364418630139</v>
      </c>
      <c r="W158" s="506"/>
      <c r="X158" s="493"/>
    </row>
    <row r="159" spans="1:24" ht="52.8" x14ac:dyDescent="0.3">
      <c r="A159" s="544">
        <v>5060</v>
      </c>
      <c r="B159" s="543" t="s">
        <v>19</v>
      </c>
      <c r="C159" s="543" t="s">
        <v>767</v>
      </c>
      <c r="D159" s="543" t="s">
        <v>768</v>
      </c>
      <c r="E159" s="490">
        <v>78000</v>
      </c>
      <c r="F159" s="511">
        <v>44137</v>
      </c>
      <c r="G159" s="511">
        <v>44502</v>
      </c>
      <c r="H159" s="507"/>
      <c r="I159" s="490">
        <v>1.9</v>
      </c>
      <c r="J159" s="503"/>
      <c r="K159" s="503"/>
      <c r="L159" s="503"/>
      <c r="M159" s="503"/>
      <c r="N159" s="503"/>
      <c r="O159" s="503"/>
      <c r="P159" s="503"/>
      <c r="Q159" s="503"/>
      <c r="R159" s="503"/>
      <c r="S159" s="503">
        <v>121.8082191780822</v>
      </c>
      <c r="T159" s="503"/>
      <c r="U159" s="503"/>
      <c r="V159" s="503">
        <v>121.8082191780822</v>
      </c>
      <c r="W159" s="506"/>
      <c r="X159" s="493"/>
    </row>
    <row r="160" spans="1:24" ht="52.8" x14ac:dyDescent="0.3">
      <c r="A160" s="544">
        <v>5063</v>
      </c>
      <c r="B160" s="543" t="s">
        <v>77</v>
      </c>
      <c r="C160" s="543" t="s">
        <v>769</v>
      </c>
      <c r="D160" s="543" t="s">
        <v>770</v>
      </c>
      <c r="E160" s="490">
        <v>80000</v>
      </c>
      <c r="F160" s="511">
        <v>44138</v>
      </c>
      <c r="G160" s="511">
        <v>44503</v>
      </c>
      <c r="H160" s="507"/>
      <c r="I160" s="490">
        <v>5.4</v>
      </c>
      <c r="J160" s="503"/>
      <c r="K160" s="503"/>
      <c r="L160" s="503"/>
      <c r="M160" s="503"/>
      <c r="N160" s="503"/>
      <c r="O160" s="503"/>
      <c r="P160" s="503"/>
      <c r="Q160" s="503"/>
      <c r="R160" s="503"/>
      <c r="S160" s="503">
        <v>355.06849315068501</v>
      </c>
      <c r="T160" s="503"/>
      <c r="U160" s="503"/>
      <c r="V160" s="503">
        <v>355.06849315068501</v>
      </c>
      <c r="W160" s="506"/>
      <c r="X160" s="493"/>
    </row>
    <row r="161" spans="1:24" ht="52.8" x14ac:dyDescent="0.3">
      <c r="A161" s="544">
        <v>5060</v>
      </c>
      <c r="B161" s="543" t="s">
        <v>40</v>
      </c>
      <c r="C161" s="543" t="s">
        <v>771</v>
      </c>
      <c r="D161" s="543" t="s">
        <v>772</v>
      </c>
      <c r="E161" s="490">
        <v>250000</v>
      </c>
      <c r="F161" s="511">
        <v>44139</v>
      </c>
      <c r="G161" s="511">
        <v>44504</v>
      </c>
      <c r="H161" s="507"/>
      <c r="I161" s="490">
        <v>6.4</v>
      </c>
      <c r="J161" s="503"/>
      <c r="K161" s="503"/>
      <c r="L161" s="503"/>
      <c r="M161" s="503"/>
      <c r="N161" s="503"/>
      <c r="O161" s="503"/>
      <c r="P161" s="503"/>
      <c r="Q161" s="503"/>
      <c r="R161" s="503"/>
      <c r="S161" s="503">
        <v>1315.0684931506848</v>
      </c>
      <c r="T161" s="503"/>
      <c r="U161" s="503"/>
      <c r="V161" s="503">
        <v>1315.0684931506848</v>
      </c>
      <c r="W161" s="506"/>
      <c r="X161" s="493"/>
    </row>
    <row r="162" spans="1:24" ht="52.8" x14ac:dyDescent="0.3">
      <c r="A162" s="544">
        <v>5060</v>
      </c>
      <c r="B162" s="543" t="s">
        <v>40</v>
      </c>
      <c r="C162" s="543" t="s">
        <v>773</v>
      </c>
      <c r="D162" s="543" t="s">
        <v>774</v>
      </c>
      <c r="E162" s="490">
        <v>320000</v>
      </c>
      <c r="F162" s="511">
        <v>44140</v>
      </c>
      <c r="G162" s="511">
        <v>44505</v>
      </c>
      <c r="H162" s="507"/>
      <c r="I162" s="490">
        <v>6.4</v>
      </c>
      <c r="J162" s="503"/>
      <c r="K162" s="503"/>
      <c r="L162" s="503"/>
      <c r="M162" s="503"/>
      <c r="N162" s="503"/>
      <c r="O162" s="503"/>
      <c r="P162" s="503"/>
      <c r="Q162" s="503"/>
      <c r="R162" s="503"/>
      <c r="S162" s="503">
        <v>1683.2876712328766</v>
      </c>
      <c r="T162" s="503"/>
      <c r="U162" s="503"/>
      <c r="V162" s="503">
        <v>1683.2876712328766</v>
      </c>
      <c r="W162" s="506"/>
      <c r="X162" s="493"/>
    </row>
    <row r="163" spans="1:24" ht="52.8" x14ac:dyDescent="0.3">
      <c r="A163" s="544">
        <v>5060</v>
      </c>
      <c r="B163" s="543" t="s">
        <v>40</v>
      </c>
      <c r="C163" s="543" t="s">
        <v>775</v>
      </c>
      <c r="D163" s="543" t="s">
        <v>776</v>
      </c>
      <c r="E163" s="490">
        <v>727000</v>
      </c>
      <c r="F163" s="511">
        <v>44150</v>
      </c>
      <c r="G163" s="511">
        <v>44515</v>
      </c>
      <c r="H163" s="507"/>
      <c r="I163" s="490">
        <v>6.4</v>
      </c>
      <c r="J163" s="503"/>
      <c r="K163" s="503"/>
      <c r="L163" s="503"/>
      <c r="M163" s="503"/>
      <c r="N163" s="503"/>
      <c r="O163" s="503"/>
      <c r="P163" s="503"/>
      <c r="Q163" s="503"/>
      <c r="R163" s="503"/>
      <c r="S163" s="503">
        <v>3824.2191780821918</v>
      </c>
      <c r="T163" s="503"/>
      <c r="U163" s="503"/>
      <c r="V163" s="503">
        <v>3824.2191780821918</v>
      </c>
      <c r="W163" s="506"/>
      <c r="X163" s="493"/>
    </row>
    <row r="164" spans="1:24" ht="52.8" x14ac:dyDescent="0.3">
      <c r="A164" s="544">
        <v>5004</v>
      </c>
      <c r="B164" s="543" t="s">
        <v>336</v>
      </c>
      <c r="C164" s="543" t="s">
        <v>777</v>
      </c>
      <c r="D164" s="543" t="s">
        <v>778</v>
      </c>
      <c r="E164" s="490">
        <v>38000</v>
      </c>
      <c r="F164" s="511">
        <v>44140</v>
      </c>
      <c r="G164" s="511">
        <v>44505</v>
      </c>
      <c r="H164" s="507"/>
      <c r="I164" s="490">
        <v>5.9</v>
      </c>
      <c r="J164" s="503"/>
      <c r="K164" s="503"/>
      <c r="L164" s="503"/>
      <c r="M164" s="503"/>
      <c r="N164" s="503"/>
      <c r="O164" s="503"/>
      <c r="P164" s="503"/>
      <c r="Q164" s="503"/>
      <c r="R164" s="503"/>
      <c r="S164" s="503">
        <v>184.27397260273972</v>
      </c>
      <c r="T164" s="503"/>
      <c r="U164" s="503"/>
      <c r="V164" s="503">
        <v>184.27397260273972</v>
      </c>
      <c r="W164" s="506"/>
      <c r="X164" s="493"/>
    </row>
    <row r="165" spans="1:24" ht="52.8" x14ac:dyDescent="0.3">
      <c r="A165" s="544">
        <v>5004</v>
      </c>
      <c r="B165" s="543" t="s">
        <v>336</v>
      </c>
      <c r="C165" s="543" t="s">
        <v>779</v>
      </c>
      <c r="D165" s="543" t="s">
        <v>780</v>
      </c>
      <c r="E165" s="490">
        <v>100000</v>
      </c>
      <c r="F165" s="511">
        <v>44158</v>
      </c>
      <c r="G165" s="511">
        <v>44523</v>
      </c>
      <c r="H165" s="507"/>
      <c r="I165" s="490">
        <v>5.9</v>
      </c>
      <c r="J165" s="503"/>
      <c r="K165" s="503"/>
      <c r="L165" s="503"/>
      <c r="M165" s="503"/>
      <c r="N165" s="503"/>
      <c r="O165" s="503"/>
      <c r="P165" s="503"/>
      <c r="Q165" s="503"/>
      <c r="R165" s="503"/>
      <c r="S165" s="503">
        <v>484.93150684931504</v>
      </c>
      <c r="T165" s="503"/>
      <c r="U165" s="503"/>
      <c r="V165" s="503">
        <v>484.93150684931504</v>
      </c>
      <c r="W165" s="506"/>
      <c r="X165" s="493"/>
    </row>
    <row r="166" spans="1:24" ht="52.8" x14ac:dyDescent="0.3">
      <c r="A166" s="544">
        <v>5004</v>
      </c>
      <c r="B166" s="543" t="s">
        <v>336</v>
      </c>
      <c r="C166" s="543" t="s">
        <v>781</v>
      </c>
      <c r="D166" s="543" t="s">
        <v>782</v>
      </c>
      <c r="E166" s="490">
        <v>94477.4</v>
      </c>
      <c r="F166" s="511">
        <v>44158</v>
      </c>
      <c r="G166" s="511">
        <v>44523</v>
      </c>
      <c r="H166" s="507"/>
      <c r="I166" s="490">
        <v>5.9</v>
      </c>
      <c r="J166" s="503"/>
      <c r="K166" s="503"/>
      <c r="L166" s="503"/>
      <c r="M166" s="503"/>
      <c r="N166" s="503"/>
      <c r="O166" s="503"/>
      <c r="P166" s="503"/>
      <c r="Q166" s="503"/>
      <c r="R166" s="503"/>
      <c r="S166" s="503">
        <v>458.15067945205482</v>
      </c>
      <c r="T166" s="503"/>
      <c r="U166" s="503"/>
      <c r="V166" s="503">
        <v>458.15067945205482</v>
      </c>
      <c r="W166" s="506"/>
      <c r="X166" s="493"/>
    </row>
    <row r="167" spans="1:24" ht="52.8" x14ac:dyDescent="0.3">
      <c r="A167" s="544">
        <v>5063</v>
      </c>
      <c r="B167" s="543" t="s">
        <v>25</v>
      </c>
      <c r="C167" s="543" t="s">
        <v>783</v>
      </c>
      <c r="D167" s="543" t="s">
        <v>784</v>
      </c>
      <c r="E167" s="490">
        <v>138000</v>
      </c>
      <c r="F167" s="511">
        <v>44136</v>
      </c>
      <c r="G167" s="511">
        <v>44501</v>
      </c>
      <c r="H167" s="507"/>
      <c r="I167" s="490">
        <v>4.4000000000000004</v>
      </c>
      <c r="J167" s="503"/>
      <c r="K167" s="503"/>
      <c r="L167" s="503"/>
      <c r="M167" s="503"/>
      <c r="N167" s="503"/>
      <c r="O167" s="503"/>
      <c r="P167" s="503"/>
      <c r="Q167" s="503"/>
      <c r="R167" s="503"/>
      <c r="S167" s="503">
        <v>499.06849315068496</v>
      </c>
      <c r="T167" s="503"/>
      <c r="U167" s="503"/>
      <c r="V167" s="503">
        <v>499.06849315068496</v>
      </c>
      <c r="W167" s="506"/>
      <c r="X167" s="493"/>
    </row>
    <row r="168" spans="1:24" ht="52.8" x14ac:dyDescent="0.3">
      <c r="A168" s="544">
        <v>5063</v>
      </c>
      <c r="B168" s="543" t="s">
        <v>13</v>
      </c>
      <c r="C168" s="543" t="s">
        <v>785</v>
      </c>
      <c r="D168" s="543" t="s">
        <v>786</v>
      </c>
      <c r="E168" s="490">
        <v>50000</v>
      </c>
      <c r="F168" s="511">
        <v>44136</v>
      </c>
      <c r="G168" s="511">
        <v>44501</v>
      </c>
      <c r="H168" s="507"/>
      <c r="I168" s="490">
        <v>4.6500000000000004</v>
      </c>
      <c r="J168" s="503"/>
      <c r="K168" s="503"/>
      <c r="L168" s="503"/>
      <c r="M168" s="503"/>
      <c r="N168" s="503"/>
      <c r="O168" s="503"/>
      <c r="P168" s="503"/>
      <c r="Q168" s="503"/>
      <c r="R168" s="503"/>
      <c r="S168" s="503">
        <v>191.09589041095893</v>
      </c>
      <c r="T168" s="503"/>
      <c r="U168" s="503"/>
      <c r="V168" s="503">
        <v>191.09589041095893</v>
      </c>
      <c r="W168" s="506"/>
      <c r="X168" s="493"/>
    </row>
    <row r="169" spans="1:24" ht="52.8" x14ac:dyDescent="0.3">
      <c r="A169" s="544">
        <v>5055</v>
      </c>
      <c r="B169" s="543" t="s">
        <v>159</v>
      </c>
      <c r="C169" s="543" t="s">
        <v>787</v>
      </c>
      <c r="D169" s="543" t="s">
        <v>788</v>
      </c>
      <c r="E169" s="490">
        <v>687370</v>
      </c>
      <c r="F169" s="511">
        <v>44155</v>
      </c>
      <c r="G169" s="511">
        <v>44506</v>
      </c>
      <c r="H169" s="507"/>
      <c r="I169" s="490">
        <v>5.4</v>
      </c>
      <c r="J169" s="503"/>
      <c r="K169" s="503"/>
      <c r="L169" s="503"/>
      <c r="M169" s="503"/>
      <c r="N169" s="503"/>
      <c r="O169" s="503"/>
      <c r="P169" s="503"/>
      <c r="Q169" s="503"/>
      <c r="R169" s="503"/>
      <c r="S169" s="503">
        <v>3050.7928767123294</v>
      </c>
      <c r="T169" s="503"/>
      <c r="U169" s="503"/>
      <c r="V169" s="503">
        <v>3050.7928767123294</v>
      </c>
      <c r="W169" s="506"/>
      <c r="X169" s="493"/>
    </row>
    <row r="170" spans="1:24" ht="52.8" x14ac:dyDescent="0.3">
      <c r="A170" s="544">
        <v>5064</v>
      </c>
      <c r="B170" s="543" t="s">
        <v>28</v>
      </c>
      <c r="C170" s="543" t="s">
        <v>789</v>
      </c>
      <c r="D170" s="543" t="s">
        <v>790</v>
      </c>
      <c r="E170" s="490">
        <v>100000</v>
      </c>
      <c r="F170" s="511">
        <v>44158</v>
      </c>
      <c r="G170" s="511">
        <v>44523</v>
      </c>
      <c r="H170" s="507"/>
      <c r="I170" s="490">
        <v>5.9</v>
      </c>
      <c r="J170" s="503"/>
      <c r="K170" s="503"/>
      <c r="L170" s="503"/>
      <c r="M170" s="503"/>
      <c r="N170" s="503"/>
      <c r="O170" s="503"/>
      <c r="P170" s="503"/>
      <c r="Q170" s="503"/>
      <c r="R170" s="503"/>
      <c r="S170" s="503">
        <v>484.93150684931504</v>
      </c>
      <c r="T170" s="503"/>
      <c r="U170" s="503"/>
      <c r="V170" s="503">
        <v>484.93150684931504</v>
      </c>
      <c r="W170" s="506"/>
      <c r="X170" s="493"/>
    </row>
    <row r="171" spans="1:24" ht="52.8" x14ac:dyDescent="0.3">
      <c r="A171" s="505">
        <v>5055</v>
      </c>
      <c r="B171" s="506" t="s">
        <v>159</v>
      </c>
      <c r="C171" s="506" t="s">
        <v>288</v>
      </c>
      <c r="D171" s="543" t="s">
        <v>791</v>
      </c>
      <c r="E171" s="490">
        <v>58629.5</v>
      </c>
      <c r="F171" s="511">
        <v>44141</v>
      </c>
      <c r="G171" s="511">
        <v>44206</v>
      </c>
      <c r="H171" s="507"/>
      <c r="I171" s="507">
        <v>7.55</v>
      </c>
      <c r="J171" s="503"/>
      <c r="K171" s="503"/>
      <c r="L171" s="503"/>
      <c r="M171" s="503"/>
      <c r="N171" s="503"/>
      <c r="O171" s="503"/>
      <c r="P171" s="503"/>
      <c r="Q171" s="503"/>
      <c r="R171" s="503"/>
      <c r="S171" s="503">
        <v>291.05932602739722</v>
      </c>
      <c r="T171" s="503"/>
      <c r="U171" s="503"/>
      <c r="V171" s="503">
        <v>291.05932602739722</v>
      </c>
      <c r="W171" s="506"/>
      <c r="X171" s="488"/>
    </row>
    <row r="172" spans="1:24" x14ac:dyDescent="0.3">
      <c r="A172" s="505"/>
      <c r="B172" s="539"/>
      <c r="C172" s="539"/>
      <c r="D172" s="539"/>
      <c r="E172" s="504"/>
      <c r="F172" s="511"/>
      <c r="G172" s="511"/>
      <c r="H172" s="507"/>
      <c r="I172" s="537"/>
      <c r="J172" s="535"/>
      <c r="K172" s="535"/>
      <c r="L172" s="535"/>
      <c r="M172" s="535"/>
      <c r="N172" s="503"/>
      <c r="O172" s="535"/>
      <c r="P172" s="535"/>
      <c r="Q172" s="535"/>
      <c r="R172" s="503"/>
      <c r="S172" s="535"/>
      <c r="T172" s="535"/>
      <c r="U172" s="535"/>
      <c r="V172" s="503"/>
      <c r="W172" s="506"/>
      <c r="X172" s="488"/>
    </row>
    <row r="173" spans="1:24" x14ac:dyDescent="0.3">
      <c r="A173" s="505"/>
      <c r="B173" s="539"/>
      <c r="C173" s="539"/>
      <c r="D173" s="539"/>
      <c r="E173" s="504"/>
      <c r="F173" s="511"/>
      <c r="G173" s="511"/>
      <c r="H173" s="507"/>
      <c r="I173" s="537"/>
      <c r="J173" s="535"/>
      <c r="K173" s="535"/>
      <c r="L173" s="535"/>
      <c r="M173" s="535"/>
      <c r="N173" s="503"/>
      <c r="O173" s="535"/>
      <c r="P173" s="535"/>
      <c r="Q173" s="535"/>
      <c r="R173" s="503"/>
      <c r="S173" s="535"/>
      <c r="T173" s="535"/>
      <c r="U173" s="535"/>
      <c r="V173" s="503"/>
      <c r="W173" s="506"/>
      <c r="X173" s="488"/>
    </row>
    <row r="174" spans="1:24" x14ac:dyDescent="0.3">
      <c r="A174" s="505"/>
      <c r="B174" s="539"/>
      <c r="C174" s="539"/>
      <c r="D174" s="539"/>
      <c r="E174" s="504"/>
      <c r="F174" s="511"/>
      <c r="G174" s="511"/>
      <c r="H174" s="507"/>
      <c r="I174" s="537"/>
      <c r="J174" s="535"/>
      <c r="K174" s="535"/>
      <c r="L174" s="535"/>
      <c r="M174" s="535"/>
      <c r="N174" s="503"/>
      <c r="O174" s="535"/>
      <c r="P174" s="535"/>
      <c r="Q174" s="535"/>
      <c r="R174" s="503"/>
      <c r="S174" s="535"/>
      <c r="T174" s="535"/>
      <c r="U174" s="535"/>
      <c r="V174" s="503"/>
      <c r="W174" s="506"/>
      <c r="X174" s="488"/>
    </row>
    <row r="175" spans="1:24" x14ac:dyDescent="0.3">
      <c r="A175" s="505"/>
      <c r="B175" s="539"/>
      <c r="C175" s="539"/>
      <c r="D175" s="539"/>
      <c r="E175" s="504"/>
      <c r="F175" s="511"/>
      <c r="G175" s="511"/>
      <c r="H175" s="507"/>
      <c r="I175" s="537"/>
      <c r="J175" s="535"/>
      <c r="K175" s="535"/>
      <c r="L175" s="535"/>
      <c r="M175" s="535"/>
      <c r="N175" s="503"/>
      <c r="O175" s="535"/>
      <c r="P175" s="535"/>
      <c r="Q175" s="535"/>
      <c r="R175" s="503"/>
      <c r="S175" s="535"/>
      <c r="T175" s="535"/>
      <c r="U175" s="535"/>
      <c r="V175" s="503"/>
      <c r="W175" s="506"/>
      <c r="X175" s="488"/>
    </row>
    <row r="176" spans="1:24" x14ac:dyDescent="0.3">
      <c r="A176" s="505"/>
      <c r="B176" s="539"/>
      <c r="C176" s="539"/>
      <c r="D176" s="539"/>
      <c r="E176" s="504"/>
      <c r="F176" s="511"/>
      <c r="G176" s="511"/>
      <c r="H176" s="507"/>
      <c r="I176" s="537"/>
      <c r="J176" s="535"/>
      <c r="K176" s="535"/>
      <c r="L176" s="535"/>
      <c r="M176" s="535"/>
      <c r="N176" s="503"/>
      <c r="O176" s="535"/>
      <c r="P176" s="535"/>
      <c r="Q176" s="535"/>
      <c r="R176" s="503"/>
      <c r="S176" s="535"/>
      <c r="T176" s="535"/>
      <c r="U176" s="535"/>
      <c r="V176" s="503"/>
      <c r="W176" s="506"/>
      <c r="X176" s="488"/>
    </row>
    <row r="177" spans="1:23" x14ac:dyDescent="0.3">
      <c r="A177" s="505"/>
      <c r="B177" s="523"/>
      <c r="C177" s="523"/>
      <c r="D177" s="523"/>
      <c r="E177" s="510"/>
      <c r="F177" s="524"/>
      <c r="G177" s="524"/>
      <c r="H177" s="525"/>
      <c r="I177" s="526"/>
      <c r="J177" s="535"/>
      <c r="K177" s="535"/>
      <c r="L177" s="535"/>
      <c r="M177" s="535"/>
      <c r="N177" s="503"/>
      <c r="O177" s="535"/>
      <c r="P177" s="535"/>
      <c r="Q177" s="535"/>
      <c r="R177" s="503"/>
      <c r="S177" s="535"/>
      <c r="T177" s="535"/>
      <c r="U177" s="535"/>
      <c r="V177" s="503"/>
      <c r="W177" s="506"/>
    </row>
    <row r="178" spans="1:23" ht="15" thickBot="1" x14ac:dyDescent="0.35">
      <c r="A178" s="527" t="s">
        <v>4</v>
      </c>
      <c r="B178" s="528"/>
      <c r="C178" s="528"/>
      <c r="D178" s="529"/>
      <c r="E178" s="530">
        <v>41716833.089999996</v>
      </c>
      <c r="F178" s="531"/>
      <c r="G178" s="531"/>
      <c r="H178" s="529"/>
      <c r="I178" s="532">
        <v>5.1263513513513415</v>
      </c>
      <c r="J178" s="533">
        <v>817020.0217477635</v>
      </c>
      <c r="K178" s="533">
        <v>193211.36090441101</v>
      </c>
      <c r="L178" s="533"/>
      <c r="M178" s="533"/>
      <c r="N178" s="533">
        <v>1010231.3826521735</v>
      </c>
      <c r="O178" s="533">
        <v>199890.98891629308</v>
      </c>
      <c r="P178" s="533">
        <v>-71216.69</v>
      </c>
      <c r="Q178" s="533">
        <v>-417.28999999999996</v>
      </c>
      <c r="R178" s="533">
        <v>1138488.3915684673</v>
      </c>
      <c r="S178" s="533">
        <v>197559.55514715074</v>
      </c>
      <c r="T178" s="533">
        <v>-138572.84999999998</v>
      </c>
      <c r="U178" s="533">
        <v>-3993</v>
      </c>
      <c r="V178" s="533">
        <v>1193482.0967156186</v>
      </c>
      <c r="W178" s="534"/>
    </row>
    <row r="179" spans="1:23" ht="15" thickTop="1" x14ac:dyDescent="0.3">
      <c r="A179" s="488"/>
      <c r="B179" s="488"/>
      <c r="C179" s="488"/>
      <c r="D179" s="488"/>
      <c r="E179" s="488"/>
      <c r="F179" s="488"/>
      <c r="G179" s="488"/>
      <c r="H179" s="488"/>
      <c r="I179" s="488"/>
      <c r="J179" s="488"/>
      <c r="K179" s="488"/>
      <c r="L179" s="488"/>
      <c r="M179" s="488"/>
      <c r="N179" s="488"/>
      <c r="O179" s="488"/>
      <c r="P179" s="488"/>
      <c r="Q179" s="488"/>
      <c r="R179" s="488"/>
      <c r="S179" s="488"/>
      <c r="T179" s="488"/>
      <c r="U179" s="488"/>
      <c r="V179" s="488"/>
      <c r="W179" s="488"/>
    </row>
    <row r="180" spans="1:23" x14ac:dyDescent="0.3">
      <c r="A180" s="488"/>
      <c r="B180" s="488"/>
      <c r="C180" s="488"/>
      <c r="D180" s="488"/>
      <c r="E180" s="488"/>
      <c r="F180" s="488"/>
      <c r="G180" s="488"/>
      <c r="H180" s="488"/>
      <c r="I180" s="488"/>
      <c r="J180" s="488"/>
      <c r="K180" s="488"/>
      <c r="L180" s="488"/>
      <c r="M180" s="488"/>
      <c r="N180" s="488"/>
      <c r="O180" s="488"/>
      <c r="P180" s="488"/>
      <c r="Q180" s="488" t="s">
        <v>2</v>
      </c>
      <c r="R180" s="541">
        <v>1138488.4099999999</v>
      </c>
      <c r="S180" s="488"/>
      <c r="T180" s="488"/>
      <c r="U180" s="488" t="s">
        <v>2</v>
      </c>
      <c r="V180" s="541">
        <v>1193482.1200000001</v>
      </c>
      <c r="W180" s="488"/>
    </row>
    <row r="181" spans="1:23" x14ac:dyDescent="0.3">
      <c r="A181" s="488"/>
      <c r="B181" s="488"/>
      <c r="C181" s="488"/>
      <c r="D181" s="488"/>
      <c r="E181" s="488"/>
      <c r="F181" s="488"/>
      <c r="G181" s="488"/>
      <c r="H181" s="488"/>
      <c r="I181" s="488"/>
      <c r="J181" s="488"/>
      <c r="K181" s="488"/>
      <c r="L181" s="488"/>
      <c r="M181" s="488"/>
      <c r="N181" s="488"/>
      <c r="O181" s="488"/>
      <c r="P181" s="488"/>
      <c r="Q181" s="488" t="s">
        <v>824</v>
      </c>
      <c r="R181" s="491">
        <v>1.843153266236186E-2</v>
      </c>
      <c r="S181" s="488"/>
      <c r="T181" s="488"/>
      <c r="U181" s="488" t="s">
        <v>824</v>
      </c>
      <c r="V181" s="491">
        <v>2.3284381488338113E-2</v>
      </c>
      <c r="W181" s="488"/>
    </row>
    <row r="182" spans="1:23" x14ac:dyDescent="0.3">
      <c r="A182" s="488"/>
      <c r="B182" s="488"/>
      <c r="C182" s="488"/>
      <c r="D182" s="488"/>
      <c r="E182" s="488"/>
      <c r="F182" s="488"/>
      <c r="G182" s="488"/>
      <c r="H182" s="488"/>
      <c r="I182" s="488"/>
      <c r="J182" s="488"/>
      <c r="K182" s="488"/>
      <c r="L182" s="488"/>
      <c r="M182" s="488"/>
      <c r="N182" s="488"/>
      <c r="O182" s="488"/>
      <c r="P182" s="488"/>
      <c r="Q182" s="488"/>
      <c r="R182" s="491"/>
      <c r="S182" s="488"/>
      <c r="T182" s="488"/>
      <c r="U182" s="488"/>
      <c r="V182" s="491"/>
      <c r="W182" s="488"/>
    </row>
    <row r="183" spans="1:23" x14ac:dyDescent="0.3">
      <c r="A183" s="488"/>
      <c r="B183" s="488"/>
      <c r="C183" s="488"/>
      <c r="D183" s="488"/>
      <c r="E183" s="488"/>
      <c r="F183" s="488"/>
      <c r="G183" s="488"/>
      <c r="H183" s="488"/>
      <c r="I183" s="492"/>
      <c r="J183" s="488"/>
      <c r="K183" s="488"/>
      <c r="L183" s="488"/>
      <c r="M183" s="488"/>
      <c r="N183" s="488"/>
      <c r="O183" s="488"/>
      <c r="P183" s="488"/>
      <c r="Q183" s="488"/>
      <c r="R183" s="488"/>
      <c r="S183" s="488"/>
      <c r="T183" s="488"/>
      <c r="U183" s="492"/>
      <c r="V183" s="488"/>
      <c r="W183" s="488"/>
    </row>
    <row r="184" spans="1:23" x14ac:dyDescent="0.3">
      <c r="A184" s="488"/>
      <c r="B184" s="488"/>
      <c r="C184" s="488"/>
      <c r="D184" s="488"/>
      <c r="E184" s="488"/>
      <c r="F184" s="488"/>
      <c r="G184" s="488"/>
      <c r="H184" s="488"/>
      <c r="I184" s="488"/>
      <c r="J184" s="488"/>
      <c r="K184" s="488"/>
      <c r="L184" s="488"/>
      <c r="M184" s="488"/>
      <c r="N184" s="488"/>
      <c r="O184" s="488"/>
      <c r="P184" s="488"/>
      <c r="Q184" s="488"/>
      <c r="R184" s="488"/>
      <c r="S184" s="488"/>
      <c r="T184" s="488"/>
      <c r="U184" s="492"/>
      <c r="V184" s="488"/>
      <c r="W184" s="488"/>
    </row>
    <row r="185" spans="1:23" x14ac:dyDescent="0.3">
      <c r="A185" s="488"/>
      <c r="B185" s="488"/>
      <c r="C185" s="488"/>
      <c r="D185" s="488"/>
      <c r="E185" s="488"/>
      <c r="F185" s="488"/>
      <c r="G185" s="488"/>
      <c r="H185" s="488"/>
      <c r="I185" s="488"/>
      <c r="J185" s="488"/>
      <c r="K185" s="488"/>
      <c r="L185" s="488"/>
      <c r="M185" s="488"/>
      <c r="N185" s="488"/>
      <c r="O185" s="488"/>
      <c r="P185" s="488"/>
      <c r="Q185" s="488"/>
      <c r="R185" s="488"/>
      <c r="S185" s="488"/>
      <c r="T185" s="488"/>
      <c r="U185" s="492"/>
      <c r="V185" s="488"/>
      <c r="W185" s="488"/>
    </row>
    <row r="186" spans="1:23" x14ac:dyDescent="0.3">
      <c r="A186" s="488"/>
      <c r="B186" s="488"/>
      <c r="C186" s="488"/>
      <c r="D186" s="488"/>
      <c r="E186" s="488"/>
      <c r="F186" s="488"/>
      <c r="G186" s="488"/>
      <c r="H186" s="488"/>
      <c r="I186" s="488"/>
      <c r="J186" s="488"/>
      <c r="K186" s="488"/>
      <c r="L186" s="488"/>
      <c r="M186" s="488"/>
      <c r="N186" s="488"/>
      <c r="O186" s="488"/>
      <c r="P186" s="488"/>
      <c r="Q186" s="488"/>
      <c r="R186" s="488"/>
      <c r="S186" s="488"/>
      <c r="T186" s="488"/>
      <c r="U186" s="492"/>
      <c r="V186" s="488"/>
      <c r="W186" s="4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FBE5-89D3-4E3C-9C15-939D8396D230}">
  <dimension ref="A2:AE182"/>
  <sheetViews>
    <sheetView tabSelected="1" workbookViewId="0">
      <selection activeCell="C21" sqref="C21"/>
    </sheetView>
  </sheetViews>
  <sheetFormatPr baseColWidth="10" defaultRowHeight="14.4" x14ac:dyDescent="0.3"/>
  <cols>
    <col min="14" max="22" width="0" hidden="1" customWidth="1"/>
    <col min="26" max="26" width="13" bestFit="1" customWidth="1"/>
  </cols>
  <sheetData>
    <row r="2" spans="1:29" x14ac:dyDescent="0.3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8">
        <v>44135</v>
      </c>
      <c r="P2" s="376"/>
      <c r="Q2" s="376"/>
      <c r="R2" s="376"/>
      <c r="S2" s="378">
        <v>44165</v>
      </c>
      <c r="T2" s="376"/>
      <c r="U2" s="376"/>
      <c r="V2" s="376"/>
      <c r="W2" s="378">
        <v>44196</v>
      </c>
      <c r="X2" s="376"/>
      <c r="Y2" s="376"/>
      <c r="Z2" s="376"/>
      <c r="AA2" s="376"/>
      <c r="AB2" s="376"/>
      <c r="AC2" s="376"/>
    </row>
    <row r="3" spans="1:29" ht="28.8" x14ac:dyDescent="0.3">
      <c r="A3" s="385" t="s">
        <v>497</v>
      </c>
      <c r="B3" s="386" t="s">
        <v>496</v>
      </c>
      <c r="C3" s="386" t="s">
        <v>495</v>
      </c>
      <c r="D3" s="387" t="s">
        <v>494</v>
      </c>
      <c r="E3" s="387" t="s">
        <v>493</v>
      </c>
      <c r="F3" s="388" t="s">
        <v>492</v>
      </c>
      <c r="G3" s="388" t="s">
        <v>491</v>
      </c>
      <c r="H3" s="387"/>
      <c r="I3" s="389" t="s">
        <v>490</v>
      </c>
      <c r="J3" s="391" t="s">
        <v>484</v>
      </c>
      <c r="K3" s="391" t="s">
        <v>487</v>
      </c>
      <c r="L3" s="391" t="s">
        <v>486</v>
      </c>
      <c r="M3" s="391" t="s">
        <v>485</v>
      </c>
      <c r="N3" s="391" t="s">
        <v>484</v>
      </c>
      <c r="O3" s="420" t="s">
        <v>487</v>
      </c>
      <c r="P3" s="420" t="s">
        <v>486</v>
      </c>
      <c r="Q3" s="420" t="s">
        <v>485</v>
      </c>
      <c r="R3" s="420" t="s">
        <v>484</v>
      </c>
      <c r="S3" s="425" t="s">
        <v>487</v>
      </c>
      <c r="T3" s="425" t="s">
        <v>486</v>
      </c>
      <c r="U3" s="425" t="s">
        <v>485</v>
      </c>
      <c r="V3" s="425" t="s">
        <v>484</v>
      </c>
      <c r="W3" s="425" t="s">
        <v>487</v>
      </c>
      <c r="X3" s="425" t="s">
        <v>486</v>
      </c>
      <c r="Y3" s="425" t="s">
        <v>485</v>
      </c>
      <c r="Z3" s="425" t="s">
        <v>484</v>
      </c>
      <c r="AA3" s="390" t="s">
        <v>483</v>
      </c>
      <c r="AB3" s="376"/>
      <c r="AC3" s="376"/>
    </row>
    <row r="4" spans="1:29" x14ac:dyDescent="0.3">
      <c r="A4" s="395">
        <v>5063</v>
      </c>
      <c r="B4" s="396" t="s">
        <v>25</v>
      </c>
      <c r="C4" s="396" t="s">
        <v>326</v>
      </c>
      <c r="D4" s="396" t="s">
        <v>325</v>
      </c>
      <c r="E4" s="394">
        <v>138000</v>
      </c>
      <c r="F4" s="401">
        <v>43800</v>
      </c>
      <c r="G4" s="401">
        <v>44166</v>
      </c>
      <c r="H4" s="397"/>
      <c r="I4" s="397">
        <v>4.4000000000000004</v>
      </c>
      <c r="J4" s="393">
        <v>4111.0767123287678</v>
      </c>
      <c r="K4" s="393">
        <v>499.06849315068496</v>
      </c>
      <c r="L4" s="393"/>
      <c r="M4" s="393"/>
      <c r="N4" s="393">
        <v>4610.1452054794527</v>
      </c>
      <c r="O4" s="393">
        <v>515.7041095890412</v>
      </c>
      <c r="P4" s="393"/>
      <c r="Q4" s="393"/>
      <c r="R4" s="393">
        <v>5125.8493150684935</v>
      </c>
      <c r="S4" s="393">
        <v>499.06849315068496</v>
      </c>
      <c r="T4" s="393"/>
      <c r="U4" s="393"/>
      <c r="V4" s="393">
        <v>5624.9178082191784</v>
      </c>
      <c r="W4" s="393"/>
      <c r="X4" s="393">
        <v>-6072</v>
      </c>
      <c r="Y4" s="393">
        <v>447.08</v>
      </c>
      <c r="Z4" s="393">
        <v>-2.1917808216471713E-3</v>
      </c>
      <c r="AA4" s="396"/>
      <c r="AB4" s="382"/>
      <c r="AC4" s="382"/>
    </row>
    <row r="5" spans="1:29" x14ac:dyDescent="0.3">
      <c r="A5" s="395">
        <v>5005</v>
      </c>
      <c r="B5" s="396" t="s">
        <v>10</v>
      </c>
      <c r="C5" s="396" t="s">
        <v>324</v>
      </c>
      <c r="D5" s="396" t="s">
        <v>323</v>
      </c>
      <c r="E5" s="394">
        <v>1400000</v>
      </c>
      <c r="F5" s="401">
        <v>43803</v>
      </c>
      <c r="G5" s="401">
        <v>44169</v>
      </c>
      <c r="H5" s="397"/>
      <c r="I5" s="397">
        <v>0.4</v>
      </c>
      <c r="J5" s="393">
        <v>3838.1735159817358</v>
      </c>
      <c r="K5" s="393">
        <v>460.27397260273972</v>
      </c>
      <c r="L5" s="393"/>
      <c r="M5" s="393"/>
      <c r="N5" s="393">
        <v>4298.4474885844756</v>
      </c>
      <c r="O5" s="393">
        <v>475.61643835616434</v>
      </c>
      <c r="P5" s="393"/>
      <c r="Q5" s="393"/>
      <c r="R5" s="393">
        <v>4774.0639269406402</v>
      </c>
      <c r="S5" s="393">
        <v>460.27397260273972</v>
      </c>
      <c r="T5" s="393"/>
      <c r="U5" s="393"/>
      <c r="V5" s="393">
        <v>5234.3378995433795</v>
      </c>
      <c r="W5" s="393"/>
      <c r="X5" s="393">
        <v>-5600</v>
      </c>
      <c r="Y5" s="393">
        <v>365.66</v>
      </c>
      <c r="Z5" s="393">
        <v>-2.1004566204396724E-3</v>
      </c>
      <c r="AA5" s="396"/>
      <c r="AB5" s="382"/>
      <c r="AC5" s="382"/>
    </row>
    <row r="6" spans="1:29" x14ac:dyDescent="0.3">
      <c r="A6" s="395">
        <v>5056</v>
      </c>
      <c r="B6" s="396" t="s">
        <v>322</v>
      </c>
      <c r="C6" s="396" t="s">
        <v>321</v>
      </c>
      <c r="D6" s="396" t="s">
        <v>320</v>
      </c>
      <c r="E6" s="394">
        <v>33000</v>
      </c>
      <c r="F6" s="401">
        <v>43811</v>
      </c>
      <c r="G6" s="401">
        <v>44177</v>
      </c>
      <c r="H6" s="397"/>
      <c r="I6" s="397">
        <v>6.4</v>
      </c>
      <c r="J6" s="393">
        <v>1494.4730593607305</v>
      </c>
      <c r="K6" s="393">
        <v>173.58904109589042</v>
      </c>
      <c r="L6" s="393"/>
      <c r="M6" s="393"/>
      <c r="N6" s="393">
        <v>1668.062100456621</v>
      </c>
      <c r="O6" s="393">
        <v>179.37534246575342</v>
      </c>
      <c r="P6" s="393"/>
      <c r="Q6" s="393"/>
      <c r="R6" s="393">
        <v>1847.4374429223744</v>
      </c>
      <c r="S6" s="393">
        <v>173.58904109589042</v>
      </c>
      <c r="T6" s="393"/>
      <c r="U6" s="393"/>
      <c r="V6" s="393">
        <v>2021.0264840182649</v>
      </c>
      <c r="W6" s="393"/>
      <c r="X6" s="393">
        <v>-2112</v>
      </c>
      <c r="Y6" s="393">
        <v>90.97</v>
      </c>
      <c r="Z6" s="393">
        <v>-3.5159817350916001E-3</v>
      </c>
      <c r="AA6" s="396"/>
      <c r="AB6" s="382"/>
      <c r="AC6" s="382"/>
    </row>
    <row r="7" spans="1:29" x14ac:dyDescent="0.3">
      <c r="A7" s="395">
        <v>5005</v>
      </c>
      <c r="B7" s="396" t="s">
        <v>265</v>
      </c>
      <c r="C7" s="396" t="s">
        <v>319</v>
      </c>
      <c r="D7" s="396" t="s">
        <v>318</v>
      </c>
      <c r="E7" s="394">
        <v>30000</v>
      </c>
      <c r="F7" s="401">
        <v>43815</v>
      </c>
      <c r="G7" s="401">
        <v>44181</v>
      </c>
      <c r="H7" s="397"/>
      <c r="I7" s="397">
        <v>6.9</v>
      </c>
      <c r="J7" s="393">
        <v>1487.7534246575344</v>
      </c>
      <c r="K7" s="393">
        <v>170.13698630136986</v>
      </c>
      <c r="L7" s="393"/>
      <c r="M7" s="393"/>
      <c r="N7" s="393">
        <v>1657.8904109589043</v>
      </c>
      <c r="O7" s="393">
        <v>175.80821917808217</v>
      </c>
      <c r="P7" s="393"/>
      <c r="Q7" s="393"/>
      <c r="R7" s="393">
        <v>1833.6986301369866</v>
      </c>
      <c r="S7" s="393">
        <v>170.13698630136986</v>
      </c>
      <c r="T7" s="393"/>
      <c r="U7" s="393"/>
      <c r="V7" s="393">
        <v>2003.8356164383565</v>
      </c>
      <c r="W7" s="393"/>
      <c r="X7" s="393">
        <v>-1945.57</v>
      </c>
      <c r="Y7" s="393">
        <v>-58.27</v>
      </c>
      <c r="Z7" s="393">
        <v>-4.3835616434293456E-3</v>
      </c>
      <c r="AA7" s="396"/>
      <c r="AB7" s="382"/>
      <c r="AC7" s="382"/>
    </row>
    <row r="8" spans="1:29" x14ac:dyDescent="0.3">
      <c r="A8" s="395">
        <v>5061</v>
      </c>
      <c r="B8" s="396" t="s">
        <v>317</v>
      </c>
      <c r="C8" s="396" t="s">
        <v>316</v>
      </c>
      <c r="D8" s="396" t="s">
        <v>315</v>
      </c>
      <c r="E8" s="394">
        <v>200000</v>
      </c>
      <c r="F8" s="401">
        <v>43816</v>
      </c>
      <c r="G8" s="401">
        <v>44182</v>
      </c>
      <c r="H8" s="397"/>
      <c r="I8" s="397">
        <v>5.65</v>
      </c>
      <c r="J8" s="393">
        <v>8152.9414003044139</v>
      </c>
      <c r="K8" s="393">
        <v>928.76712328767121</v>
      </c>
      <c r="L8" s="393"/>
      <c r="M8" s="393"/>
      <c r="N8" s="393">
        <v>9081.7085235920858</v>
      </c>
      <c r="O8" s="393">
        <v>959.72602739726028</v>
      </c>
      <c r="P8" s="393"/>
      <c r="Q8" s="393"/>
      <c r="R8" s="393">
        <v>10041.434550989346</v>
      </c>
      <c r="S8" s="393">
        <v>928.76712328767121</v>
      </c>
      <c r="T8" s="393"/>
      <c r="U8" s="393"/>
      <c r="V8" s="393">
        <v>10970.201674277017</v>
      </c>
      <c r="W8" s="393"/>
      <c r="X8" s="393">
        <v>-11300</v>
      </c>
      <c r="Y8" s="393">
        <v>329.8</v>
      </c>
      <c r="Z8" s="393">
        <v>1.6742770174573707E-3</v>
      </c>
      <c r="AA8" s="396"/>
      <c r="AB8" s="382"/>
      <c r="AC8" s="382"/>
    </row>
    <row r="9" spans="1:29" x14ac:dyDescent="0.3">
      <c r="A9" s="434">
        <v>5060</v>
      </c>
      <c r="B9" s="428" t="s">
        <v>233</v>
      </c>
      <c r="C9" s="428" t="s">
        <v>314</v>
      </c>
      <c r="D9" s="428" t="s">
        <v>313</v>
      </c>
      <c r="E9" s="429">
        <v>170000</v>
      </c>
      <c r="F9" s="435">
        <v>43822</v>
      </c>
      <c r="G9" s="435">
        <v>44186</v>
      </c>
      <c r="H9" s="436"/>
      <c r="I9" s="436">
        <v>5.65</v>
      </c>
      <c r="J9" s="436">
        <v>7036.7224124809745</v>
      </c>
      <c r="K9" s="436">
        <v>789.45205479452056</v>
      </c>
      <c r="L9" s="436"/>
      <c r="M9" s="436"/>
      <c r="N9" s="436">
        <v>7826.1744672754949</v>
      </c>
      <c r="O9" s="436">
        <v>815.76712328767132</v>
      </c>
      <c r="P9" s="436"/>
      <c r="Q9" s="436"/>
      <c r="R9" s="436">
        <v>8641.9415905631668</v>
      </c>
      <c r="S9" s="436">
        <v>789.45205479452056</v>
      </c>
      <c r="T9" s="436"/>
      <c r="U9" s="436"/>
      <c r="V9" s="436">
        <v>9431.393645357688</v>
      </c>
      <c r="W9" s="393"/>
      <c r="X9" s="393">
        <v>-9605</v>
      </c>
      <c r="Y9" s="436">
        <v>173.61</v>
      </c>
      <c r="Z9" s="436">
        <v>3.645357688014883E-3</v>
      </c>
      <c r="AA9" s="428"/>
      <c r="AB9" s="382"/>
      <c r="AC9" s="382"/>
    </row>
    <row r="10" spans="1:29" x14ac:dyDescent="0.3">
      <c r="A10" s="434">
        <v>5060</v>
      </c>
      <c r="B10" s="428" t="s">
        <v>233</v>
      </c>
      <c r="C10" s="428" t="s">
        <v>312</v>
      </c>
      <c r="D10" s="428" t="s">
        <v>311</v>
      </c>
      <c r="E10" s="429">
        <v>254800</v>
      </c>
      <c r="F10" s="435">
        <v>43822</v>
      </c>
      <c r="G10" s="435">
        <v>44186</v>
      </c>
      <c r="H10" s="436"/>
      <c r="I10" s="436">
        <v>5.65</v>
      </c>
      <c r="J10" s="436">
        <v>10546.805121765603</v>
      </c>
      <c r="K10" s="436">
        <v>1183.2493150684932</v>
      </c>
      <c r="L10" s="436"/>
      <c r="M10" s="436"/>
      <c r="N10" s="436">
        <v>11730.054436834096</v>
      </c>
      <c r="O10" s="436">
        <v>1222.6909589041097</v>
      </c>
      <c r="P10" s="436"/>
      <c r="Q10" s="436"/>
      <c r="R10" s="436">
        <v>12952.745395738206</v>
      </c>
      <c r="S10" s="436">
        <v>1183.2493150684932</v>
      </c>
      <c r="T10" s="436"/>
      <c r="U10" s="436"/>
      <c r="V10" s="436">
        <v>14135.994710806699</v>
      </c>
      <c r="W10" s="393"/>
      <c r="X10" s="393">
        <v>-14396.2</v>
      </c>
      <c r="Y10" s="436">
        <v>260.20999999999998</v>
      </c>
      <c r="Z10" s="436">
        <v>4.7108066982559649E-3</v>
      </c>
      <c r="AA10" s="428"/>
      <c r="AB10" s="432"/>
      <c r="AC10" s="432"/>
    </row>
    <row r="11" spans="1:29" x14ac:dyDescent="0.3">
      <c r="A11" s="434">
        <v>5060</v>
      </c>
      <c r="B11" s="428" t="s">
        <v>233</v>
      </c>
      <c r="C11" s="428" t="s">
        <v>310</v>
      </c>
      <c r="D11" s="428" t="s">
        <v>309</v>
      </c>
      <c r="E11" s="429">
        <v>126000</v>
      </c>
      <c r="F11" s="435">
        <v>43822</v>
      </c>
      <c r="G11" s="435">
        <v>44186</v>
      </c>
      <c r="H11" s="436"/>
      <c r="I11" s="436">
        <v>5.65</v>
      </c>
      <c r="J11" s="436">
        <v>5215.4530821917815</v>
      </c>
      <c r="K11" s="436">
        <v>585.1232876712329</v>
      </c>
      <c r="L11" s="436"/>
      <c r="M11" s="436"/>
      <c r="N11" s="436">
        <v>5800.5763698630144</v>
      </c>
      <c r="O11" s="436">
        <v>604.62739726027394</v>
      </c>
      <c r="P11" s="436"/>
      <c r="Q11" s="436"/>
      <c r="R11" s="436">
        <v>6405.2037671232883</v>
      </c>
      <c r="S11" s="436">
        <v>585.1232876712329</v>
      </c>
      <c r="T11" s="436"/>
      <c r="U11" s="436"/>
      <c r="V11" s="436">
        <v>6990.3270547945212</v>
      </c>
      <c r="W11" s="393"/>
      <c r="X11" s="393">
        <v>-7119</v>
      </c>
      <c r="Y11" s="436">
        <v>128.66999999999999</v>
      </c>
      <c r="Z11" s="436">
        <v>-2.9452054787668658E-3</v>
      </c>
      <c r="AA11" s="428"/>
      <c r="AB11" s="382"/>
      <c r="AC11" s="382"/>
    </row>
    <row r="12" spans="1:29" x14ac:dyDescent="0.3">
      <c r="A12" s="434">
        <v>5060</v>
      </c>
      <c r="B12" s="428" t="s">
        <v>233</v>
      </c>
      <c r="C12" s="428" t="s">
        <v>308</v>
      </c>
      <c r="D12" s="428" t="s">
        <v>307</v>
      </c>
      <c r="E12" s="429">
        <v>275000</v>
      </c>
      <c r="F12" s="435">
        <v>43822</v>
      </c>
      <c r="G12" s="435">
        <v>44186</v>
      </c>
      <c r="H12" s="436"/>
      <c r="I12" s="436">
        <v>5.65</v>
      </c>
      <c r="J12" s="436">
        <v>11382.933314307458</v>
      </c>
      <c r="K12" s="436">
        <v>1277.0547945205481</v>
      </c>
      <c r="L12" s="436"/>
      <c r="M12" s="436"/>
      <c r="N12" s="436">
        <v>12659.988108828005</v>
      </c>
      <c r="O12" s="436">
        <v>1319.6232876712329</v>
      </c>
      <c r="P12" s="436"/>
      <c r="Q12" s="436"/>
      <c r="R12" s="436">
        <v>13979.611396499238</v>
      </c>
      <c r="S12" s="436">
        <v>1277.0547945205478</v>
      </c>
      <c r="T12" s="436"/>
      <c r="U12" s="436"/>
      <c r="V12" s="436">
        <v>15256.666191019785</v>
      </c>
      <c r="W12" s="393"/>
      <c r="X12" s="393">
        <v>-15537.5</v>
      </c>
      <c r="Y12" s="436">
        <v>280.83</v>
      </c>
      <c r="Z12" s="436">
        <v>-3.8089802146146212E-3</v>
      </c>
      <c r="AA12" s="428"/>
      <c r="AB12" s="432"/>
      <c r="AC12" s="432"/>
    </row>
    <row r="13" spans="1:29" x14ac:dyDescent="0.3">
      <c r="A13" s="434">
        <v>5060</v>
      </c>
      <c r="B13" s="428" t="s">
        <v>233</v>
      </c>
      <c r="C13" s="428" t="s">
        <v>306</v>
      </c>
      <c r="D13" s="428" t="s">
        <v>305</v>
      </c>
      <c r="E13" s="429">
        <v>206000</v>
      </c>
      <c r="F13" s="435">
        <v>43822</v>
      </c>
      <c r="G13" s="435">
        <v>44186</v>
      </c>
      <c r="H13" s="436"/>
      <c r="I13" s="436">
        <v>5.65</v>
      </c>
      <c r="J13" s="436">
        <v>8526.851864535769</v>
      </c>
      <c r="K13" s="436">
        <v>956.63013698630141</v>
      </c>
      <c r="L13" s="436"/>
      <c r="M13" s="436"/>
      <c r="N13" s="436">
        <v>9483.4820015220703</v>
      </c>
      <c r="O13" s="436">
        <v>988.51780821917805</v>
      </c>
      <c r="P13" s="436"/>
      <c r="Q13" s="436"/>
      <c r="R13" s="436">
        <v>10471.999809741248</v>
      </c>
      <c r="S13" s="436">
        <v>956.63013698630141</v>
      </c>
      <c r="T13" s="436"/>
      <c r="U13" s="436"/>
      <c r="V13" s="436">
        <v>11428.629946727549</v>
      </c>
      <c r="W13" s="393"/>
      <c r="X13" s="393">
        <v>-11639</v>
      </c>
      <c r="Y13" s="436">
        <v>210.37</v>
      </c>
      <c r="Z13" s="436">
        <v>-5.3272450600161392E-5</v>
      </c>
      <c r="AA13" s="428"/>
      <c r="AB13" s="382"/>
      <c r="AC13" s="382"/>
    </row>
    <row r="14" spans="1:29" x14ac:dyDescent="0.3">
      <c r="A14" s="434">
        <v>5060</v>
      </c>
      <c r="B14" s="428" t="s">
        <v>233</v>
      </c>
      <c r="C14" s="428" t="s">
        <v>304</v>
      </c>
      <c r="D14" s="428" t="s">
        <v>303</v>
      </c>
      <c r="E14" s="429">
        <v>130000</v>
      </c>
      <c r="F14" s="435">
        <v>43822</v>
      </c>
      <c r="G14" s="435">
        <v>44186</v>
      </c>
      <c r="H14" s="436"/>
      <c r="I14" s="436">
        <v>5.65</v>
      </c>
      <c r="J14" s="436">
        <v>5381.0230213089799</v>
      </c>
      <c r="K14" s="436">
        <v>603.69863013698637</v>
      </c>
      <c r="L14" s="436"/>
      <c r="M14" s="436"/>
      <c r="N14" s="436">
        <v>5984.721651445966</v>
      </c>
      <c r="O14" s="436">
        <v>623.82191780821915</v>
      </c>
      <c r="P14" s="436"/>
      <c r="Q14" s="436"/>
      <c r="R14" s="436">
        <v>6608.5435692541851</v>
      </c>
      <c r="S14" s="436">
        <v>603.69863013698625</v>
      </c>
      <c r="T14" s="436"/>
      <c r="U14" s="436"/>
      <c r="V14" s="436">
        <v>7212.2421993911712</v>
      </c>
      <c r="W14" s="393"/>
      <c r="X14" s="393">
        <v>-7345</v>
      </c>
      <c r="Y14" s="436">
        <v>132.76</v>
      </c>
      <c r="Z14" s="436">
        <v>2.1993911711888359E-3</v>
      </c>
      <c r="AA14" s="428"/>
      <c r="AB14" s="382"/>
      <c r="AC14" s="382"/>
    </row>
    <row r="15" spans="1:29" x14ac:dyDescent="0.3">
      <c r="A15" s="434">
        <v>5060</v>
      </c>
      <c r="B15" s="428" t="s">
        <v>233</v>
      </c>
      <c r="C15" s="428" t="s">
        <v>302</v>
      </c>
      <c r="D15" s="428" t="s">
        <v>301</v>
      </c>
      <c r="E15" s="429">
        <v>51138.69</v>
      </c>
      <c r="F15" s="435">
        <v>43822</v>
      </c>
      <c r="G15" s="435">
        <v>44186</v>
      </c>
      <c r="H15" s="436"/>
      <c r="I15" s="436">
        <v>5.65</v>
      </c>
      <c r="J15" s="436">
        <v>2116.7574474583334</v>
      </c>
      <c r="K15" s="436">
        <v>237.47967000000003</v>
      </c>
      <c r="L15" s="436"/>
      <c r="M15" s="436"/>
      <c r="N15" s="436">
        <v>2354.2371174583336</v>
      </c>
      <c r="O15" s="436">
        <v>245.39565900000002</v>
      </c>
      <c r="P15" s="436"/>
      <c r="Q15" s="436"/>
      <c r="R15" s="436">
        <v>2599.6327764583339</v>
      </c>
      <c r="S15" s="436">
        <v>237.47967000000003</v>
      </c>
      <c r="T15" s="436"/>
      <c r="U15" s="436"/>
      <c r="V15" s="436">
        <v>2837.112446458334</v>
      </c>
      <c r="W15" s="393"/>
      <c r="X15" s="393">
        <v>-2889.34</v>
      </c>
      <c r="Y15" s="436">
        <v>52.23</v>
      </c>
      <c r="Z15" s="436">
        <v>2.4464583338854595E-3</v>
      </c>
      <c r="AA15" s="428"/>
      <c r="AB15" s="382"/>
      <c r="AC15" s="433"/>
    </row>
    <row r="16" spans="1:29" x14ac:dyDescent="0.3">
      <c r="A16" s="395">
        <v>5060</v>
      </c>
      <c r="B16" s="396" t="s">
        <v>233</v>
      </c>
      <c r="C16" s="396" t="s">
        <v>300</v>
      </c>
      <c r="D16" s="396" t="s">
        <v>299</v>
      </c>
      <c r="E16" s="394">
        <v>200000</v>
      </c>
      <c r="F16" s="401">
        <v>43822</v>
      </c>
      <c r="G16" s="401">
        <v>44186</v>
      </c>
      <c r="H16" s="397"/>
      <c r="I16" s="397">
        <v>5.65</v>
      </c>
      <c r="J16" s="393">
        <v>8278.4969558599696</v>
      </c>
      <c r="K16" s="393">
        <v>928.76712328767121</v>
      </c>
      <c r="L16" s="393"/>
      <c r="M16" s="393"/>
      <c r="N16" s="393">
        <v>9207.2640791476406</v>
      </c>
      <c r="O16" s="393">
        <v>959.72602739726028</v>
      </c>
      <c r="P16" s="393"/>
      <c r="Q16" s="393"/>
      <c r="R16" s="393">
        <v>10166.990106544901</v>
      </c>
      <c r="S16" s="393">
        <v>928.76712328767121</v>
      </c>
      <c r="T16" s="393"/>
      <c r="U16" s="393"/>
      <c r="V16" s="393">
        <v>11095.757229832572</v>
      </c>
      <c r="W16" s="393"/>
      <c r="X16" s="393">
        <v>-11300</v>
      </c>
      <c r="Y16" s="393">
        <v>204.24</v>
      </c>
      <c r="Z16" s="393">
        <v>-2.7701674277977872E-3</v>
      </c>
      <c r="AA16" s="396"/>
      <c r="AB16" s="382"/>
      <c r="AC16" s="382"/>
    </row>
    <row r="17" spans="1:31" x14ac:dyDescent="0.3">
      <c r="A17" s="395">
        <v>5055</v>
      </c>
      <c r="B17" s="396" t="s">
        <v>53</v>
      </c>
      <c r="C17" s="396" t="s">
        <v>217</v>
      </c>
      <c r="D17" s="396" t="s">
        <v>216</v>
      </c>
      <c r="E17" s="394">
        <v>800000</v>
      </c>
      <c r="F17" s="401">
        <v>43829</v>
      </c>
      <c r="G17" s="401">
        <v>44195</v>
      </c>
      <c r="H17" s="397"/>
      <c r="I17" s="394">
        <v>6.85</v>
      </c>
      <c r="J17" s="393">
        <v>37102.602739726019</v>
      </c>
      <c r="K17" s="393">
        <v>4504.1095890410961</v>
      </c>
      <c r="L17" s="393"/>
      <c r="M17" s="393"/>
      <c r="N17" s="393">
        <v>41606.712328767113</v>
      </c>
      <c r="O17" s="393">
        <v>4654.2465753424649</v>
      </c>
      <c r="P17" s="393"/>
      <c r="Q17" s="393"/>
      <c r="R17" s="393">
        <v>46260.958904109575</v>
      </c>
      <c r="S17" s="393">
        <v>4504.1095890410952</v>
      </c>
      <c r="T17" s="393"/>
      <c r="U17" s="393"/>
      <c r="V17" s="393">
        <v>50765.068493150669</v>
      </c>
      <c r="W17" s="393"/>
      <c r="X17" s="393">
        <v>-54650.27</v>
      </c>
      <c r="Y17" s="393">
        <v>3885.2</v>
      </c>
      <c r="Z17" s="393">
        <v>-1.5068493275975925E-3</v>
      </c>
      <c r="AA17" s="396"/>
      <c r="AB17" s="382"/>
      <c r="AC17" s="382"/>
      <c r="AD17" s="382"/>
      <c r="AE17" s="382"/>
    </row>
    <row r="18" spans="1:31" x14ac:dyDescent="0.3">
      <c r="A18" s="395">
        <v>5055</v>
      </c>
      <c r="B18" s="396" t="s">
        <v>159</v>
      </c>
      <c r="C18" s="396" t="s">
        <v>280</v>
      </c>
      <c r="D18" s="396" t="s">
        <v>279</v>
      </c>
      <c r="E18" s="394">
        <v>2200000</v>
      </c>
      <c r="F18" s="401">
        <v>43848</v>
      </c>
      <c r="G18" s="401">
        <v>44214</v>
      </c>
      <c r="H18" s="397"/>
      <c r="I18" s="397">
        <v>6.85</v>
      </c>
      <c r="J18" s="393">
        <v>94078.546423135442</v>
      </c>
      <c r="K18" s="393">
        <v>12386.301369863013</v>
      </c>
      <c r="L18" s="393"/>
      <c r="M18" s="393"/>
      <c r="N18" s="393">
        <v>106464.84779299845</v>
      </c>
      <c r="O18" s="393">
        <v>12799.178082191778</v>
      </c>
      <c r="P18" s="393"/>
      <c r="Q18" s="393"/>
      <c r="R18" s="393">
        <v>119264.02587519023</v>
      </c>
      <c r="S18" s="393">
        <v>12386.301369863011</v>
      </c>
      <c r="T18" s="393"/>
      <c r="U18" s="393"/>
      <c r="V18" s="393">
        <v>131650.32724505325</v>
      </c>
      <c r="W18" s="393">
        <v>12799.178082191778</v>
      </c>
      <c r="X18" s="393">
        <v>-142855.34</v>
      </c>
      <c r="Y18" s="393">
        <v>-1594.17</v>
      </c>
      <c r="Z18" s="393">
        <v>-4.6727549506613286E-3</v>
      </c>
      <c r="AA18" s="396"/>
      <c r="AB18" s="382"/>
      <c r="AC18" s="382"/>
      <c r="AD18" s="382"/>
      <c r="AE18" s="382"/>
    </row>
    <row r="19" spans="1:31" x14ac:dyDescent="0.3">
      <c r="A19" s="395">
        <v>5005</v>
      </c>
      <c r="B19" s="396" t="s">
        <v>265</v>
      </c>
      <c r="C19" s="396" t="s">
        <v>276</v>
      </c>
      <c r="D19" s="396" t="s">
        <v>275</v>
      </c>
      <c r="E19" s="384">
        <v>15300</v>
      </c>
      <c r="F19" s="401">
        <v>43865</v>
      </c>
      <c r="G19" s="401">
        <v>44231</v>
      </c>
      <c r="H19" s="397"/>
      <c r="I19" s="402">
        <v>6.9</v>
      </c>
      <c r="J19" s="393">
        <v>609.19674657534244</v>
      </c>
      <c r="K19" s="393">
        <v>86.76986301369864</v>
      </c>
      <c r="L19" s="393"/>
      <c r="M19" s="393"/>
      <c r="N19" s="393">
        <v>695.96660958904113</v>
      </c>
      <c r="O19" s="393">
        <v>89.662191780821928</v>
      </c>
      <c r="P19" s="393"/>
      <c r="Q19" s="393"/>
      <c r="R19" s="393">
        <v>785.62880136986303</v>
      </c>
      <c r="S19" s="393">
        <v>86.76986301369864</v>
      </c>
      <c r="T19" s="393"/>
      <c r="U19" s="393"/>
      <c r="V19" s="393">
        <v>872.39866438356171</v>
      </c>
      <c r="W19" s="393">
        <v>89.662191780821928</v>
      </c>
      <c r="X19" s="393">
        <v>-867.7</v>
      </c>
      <c r="Y19" s="393">
        <v>-94.36</v>
      </c>
      <c r="Z19" s="393">
        <v>8.5616438356339586E-4</v>
      </c>
      <c r="AA19" s="396"/>
      <c r="AB19" s="382"/>
      <c r="AC19" s="382"/>
      <c r="AD19" s="382"/>
      <c r="AE19" s="382"/>
    </row>
    <row r="20" spans="1:31" x14ac:dyDescent="0.3">
      <c r="A20" s="395">
        <v>5004</v>
      </c>
      <c r="B20" s="396" t="s">
        <v>117</v>
      </c>
      <c r="C20" s="396" t="s">
        <v>119</v>
      </c>
      <c r="D20" s="396" t="s">
        <v>118</v>
      </c>
      <c r="E20" s="403">
        <v>60000</v>
      </c>
      <c r="F20" s="401">
        <v>44010</v>
      </c>
      <c r="G20" s="401">
        <v>44375</v>
      </c>
      <c r="H20" s="397"/>
      <c r="I20" s="394">
        <v>5.85</v>
      </c>
      <c r="J20" s="393">
        <v>615.45205479452056</v>
      </c>
      <c r="K20" s="393">
        <v>288.49315068493149</v>
      </c>
      <c r="L20" s="393"/>
      <c r="M20" s="393"/>
      <c r="N20" s="393">
        <v>903.94520547945206</v>
      </c>
      <c r="O20" s="393">
        <v>298.10958904109589</v>
      </c>
      <c r="P20" s="393"/>
      <c r="Q20" s="393"/>
      <c r="R20" s="393">
        <v>1202.0547945205481</v>
      </c>
      <c r="S20" s="393">
        <v>288.49315068493149</v>
      </c>
      <c r="T20" s="393">
        <v>-1452.08</v>
      </c>
      <c r="U20" s="393">
        <v>-38.47</v>
      </c>
      <c r="V20" s="393">
        <v>-2.0547945202622486E-3</v>
      </c>
      <c r="W20" s="393"/>
      <c r="X20" s="393"/>
      <c r="Y20" s="393"/>
      <c r="Z20" s="393">
        <v>-2.0547945202622486E-3</v>
      </c>
      <c r="AA20" s="396" t="s">
        <v>744</v>
      </c>
      <c r="AB20" s="382"/>
      <c r="AC20" s="382"/>
      <c r="AD20" s="382"/>
      <c r="AE20" s="382"/>
    </row>
    <row r="21" spans="1:31" x14ac:dyDescent="0.3">
      <c r="A21" s="395">
        <v>5004</v>
      </c>
      <c r="B21" s="396" t="s">
        <v>117</v>
      </c>
      <c r="C21" s="396" t="s">
        <v>116</v>
      </c>
      <c r="D21" s="396" t="s">
        <v>115</v>
      </c>
      <c r="E21" s="394">
        <v>100000</v>
      </c>
      <c r="F21" s="401">
        <v>44010</v>
      </c>
      <c r="G21" s="401">
        <v>44375</v>
      </c>
      <c r="H21" s="397"/>
      <c r="I21" s="394">
        <v>5.85</v>
      </c>
      <c r="J21" s="393">
        <v>1025.7534246575342</v>
      </c>
      <c r="K21" s="393">
        <v>480.82191780821915</v>
      </c>
      <c r="L21" s="393"/>
      <c r="M21" s="393"/>
      <c r="N21" s="393">
        <v>1506.5753424657532</v>
      </c>
      <c r="O21" s="393">
        <v>496.84931506849313</v>
      </c>
      <c r="P21" s="393"/>
      <c r="Q21" s="393"/>
      <c r="R21" s="393">
        <v>2003.4246575342463</v>
      </c>
      <c r="S21" s="393">
        <v>480.82191780821915</v>
      </c>
      <c r="T21" s="393">
        <v>-2420.14</v>
      </c>
      <c r="U21" s="393">
        <v>-64.11</v>
      </c>
      <c r="V21" s="393">
        <v>-3.4246575345235897E-3</v>
      </c>
      <c r="W21" s="393"/>
      <c r="X21" s="393"/>
      <c r="Y21" s="393"/>
      <c r="Z21" s="393">
        <v>-3.4246575345235897E-3</v>
      </c>
      <c r="AA21" s="396" t="s">
        <v>744</v>
      </c>
      <c r="AB21" s="382"/>
      <c r="AC21" s="382"/>
      <c r="AD21" s="382"/>
      <c r="AE21" s="382"/>
    </row>
    <row r="22" spans="1:31" x14ac:dyDescent="0.3">
      <c r="A22" s="395">
        <v>5005</v>
      </c>
      <c r="B22" s="396" t="s">
        <v>265</v>
      </c>
      <c r="C22" s="396" t="s">
        <v>264</v>
      </c>
      <c r="D22" s="396" t="s">
        <v>263</v>
      </c>
      <c r="E22" s="384">
        <v>188600</v>
      </c>
      <c r="F22" s="401">
        <v>43867</v>
      </c>
      <c r="G22" s="401">
        <v>44233</v>
      </c>
      <c r="H22" s="397"/>
      <c r="I22" s="397">
        <v>6.9</v>
      </c>
      <c r="J22" s="393">
        <v>7437.1481963470342</v>
      </c>
      <c r="K22" s="393">
        <v>1069.5945205479454</v>
      </c>
      <c r="L22" s="393"/>
      <c r="M22" s="393"/>
      <c r="N22" s="393">
        <v>8506.7427168949798</v>
      </c>
      <c r="O22" s="393">
        <v>1105.2476712328769</v>
      </c>
      <c r="P22" s="393"/>
      <c r="Q22" s="393"/>
      <c r="R22" s="393">
        <v>9611.9903881278569</v>
      </c>
      <c r="S22" s="393">
        <v>1069.5945205479454</v>
      </c>
      <c r="T22" s="393"/>
      <c r="U22" s="393"/>
      <c r="V22" s="393">
        <v>10681.584908675803</v>
      </c>
      <c r="W22" s="393">
        <v>1105.2476712328769</v>
      </c>
      <c r="X22" s="393">
        <v>-10695.95</v>
      </c>
      <c r="Y22" s="393">
        <v>-1090.8800000000001</v>
      </c>
      <c r="Z22" s="393">
        <v>2.5799086788538261E-3</v>
      </c>
      <c r="AA22" s="396"/>
      <c r="AB22" s="382"/>
      <c r="AC22" s="382"/>
      <c r="AD22" s="382"/>
      <c r="AE22" s="382"/>
    </row>
    <row r="23" spans="1:31" ht="28.8" x14ac:dyDescent="0.3">
      <c r="A23" s="395">
        <v>5060</v>
      </c>
      <c r="B23" s="396" t="s">
        <v>40</v>
      </c>
      <c r="C23" s="396" t="s">
        <v>108</v>
      </c>
      <c r="D23" s="396" t="s">
        <v>107</v>
      </c>
      <c r="E23" s="394">
        <v>1100000</v>
      </c>
      <c r="F23" s="401">
        <v>44024</v>
      </c>
      <c r="G23" s="401">
        <v>44389</v>
      </c>
      <c r="H23" s="397"/>
      <c r="I23" s="394">
        <v>6.4</v>
      </c>
      <c r="J23" s="393">
        <v>9643.8356164383567</v>
      </c>
      <c r="K23" s="393">
        <v>5786.3013698630139</v>
      </c>
      <c r="L23" s="393"/>
      <c r="M23" s="393"/>
      <c r="N23" s="393">
        <v>15430.136986301372</v>
      </c>
      <c r="O23" s="393">
        <v>5979.178082191781</v>
      </c>
      <c r="P23" s="393"/>
      <c r="Q23" s="393"/>
      <c r="R23" s="393">
        <v>21409.315068493153</v>
      </c>
      <c r="S23" s="393">
        <v>5786.3013698630139</v>
      </c>
      <c r="T23" s="393"/>
      <c r="U23" s="393"/>
      <c r="V23" s="393">
        <v>27195.616438356166</v>
      </c>
      <c r="W23" s="393">
        <v>5979.178082191781</v>
      </c>
      <c r="X23" s="393">
        <v>-29864.87</v>
      </c>
      <c r="Y23" s="393">
        <v>-3309.92</v>
      </c>
      <c r="Z23" s="393">
        <v>4.5205479491414735E-3</v>
      </c>
      <c r="AA23" s="437" t="s">
        <v>745</v>
      </c>
      <c r="AB23" s="377"/>
      <c r="AC23" s="382"/>
      <c r="AD23" s="382"/>
      <c r="AE23" s="377"/>
    </row>
    <row r="24" spans="1:31" x14ac:dyDescent="0.3">
      <c r="A24" s="395">
        <v>5063</v>
      </c>
      <c r="B24" s="396" t="s">
        <v>25</v>
      </c>
      <c r="C24" s="396" t="s">
        <v>298</v>
      </c>
      <c r="D24" s="396" t="s">
        <v>297</v>
      </c>
      <c r="E24" s="394">
        <v>160000</v>
      </c>
      <c r="F24" s="401">
        <v>43832</v>
      </c>
      <c r="G24" s="401">
        <v>44198</v>
      </c>
      <c r="H24" s="397"/>
      <c r="I24" s="397">
        <v>4.4000000000000004</v>
      </c>
      <c r="J24" s="393">
        <v>4707.7990867579911</v>
      </c>
      <c r="K24" s="393">
        <v>578.63013698630141</v>
      </c>
      <c r="L24" s="393"/>
      <c r="M24" s="393"/>
      <c r="N24" s="393">
        <v>5286.4292237442924</v>
      </c>
      <c r="O24" s="393">
        <v>597.91780821917814</v>
      </c>
      <c r="P24" s="393"/>
      <c r="Q24" s="393"/>
      <c r="R24" s="393">
        <v>5884.3470319634707</v>
      </c>
      <c r="S24" s="393">
        <v>578.63013698630141</v>
      </c>
      <c r="T24" s="393"/>
      <c r="U24" s="393"/>
      <c r="V24" s="393">
        <v>6462.977168949772</v>
      </c>
      <c r="W24" s="393">
        <v>597.91780821917814</v>
      </c>
      <c r="X24" s="393"/>
      <c r="Y24" s="393"/>
      <c r="Z24" s="393">
        <v>7060.8949771689504</v>
      </c>
      <c r="AA24" s="396"/>
      <c r="AB24" s="376"/>
      <c r="AC24" s="376"/>
      <c r="AD24" s="376"/>
      <c r="AE24" s="376"/>
    </row>
    <row r="25" spans="1:31" x14ac:dyDescent="0.3">
      <c r="A25" s="395">
        <v>5060</v>
      </c>
      <c r="B25" s="396" t="s">
        <v>19</v>
      </c>
      <c r="C25" s="396" t="s">
        <v>296</v>
      </c>
      <c r="D25" s="396" t="s">
        <v>295</v>
      </c>
      <c r="E25" s="394">
        <v>60000</v>
      </c>
      <c r="F25" s="401">
        <v>43837</v>
      </c>
      <c r="G25" s="401">
        <v>44203</v>
      </c>
      <c r="H25" s="397"/>
      <c r="I25" s="397">
        <v>1.9</v>
      </c>
      <c r="J25" s="393">
        <v>746.50913242009119</v>
      </c>
      <c r="K25" s="393">
        <v>93.69863013698631</v>
      </c>
      <c r="L25" s="393"/>
      <c r="M25" s="393"/>
      <c r="N25" s="393">
        <v>840.20776255707756</v>
      </c>
      <c r="O25" s="393">
        <v>96.821917808219183</v>
      </c>
      <c r="P25" s="393"/>
      <c r="Q25" s="393"/>
      <c r="R25" s="393">
        <v>937.02968036529671</v>
      </c>
      <c r="S25" s="393">
        <v>93.69863013698631</v>
      </c>
      <c r="T25" s="393"/>
      <c r="U25" s="393"/>
      <c r="V25" s="393">
        <v>1030.728310502283</v>
      </c>
      <c r="W25" s="393">
        <v>96.821917808219183</v>
      </c>
      <c r="X25" s="393"/>
      <c r="Y25" s="393"/>
      <c r="Z25" s="393">
        <v>1127.5502283105022</v>
      </c>
      <c r="AA25" s="396"/>
      <c r="AB25" s="376"/>
      <c r="AC25" s="376"/>
      <c r="AD25" s="376"/>
      <c r="AE25" s="376"/>
    </row>
    <row r="26" spans="1:31" x14ac:dyDescent="0.3">
      <c r="A26" s="395">
        <v>5060</v>
      </c>
      <c r="B26" s="396" t="s">
        <v>16</v>
      </c>
      <c r="C26" s="396" t="s">
        <v>294</v>
      </c>
      <c r="D26" s="396" t="s">
        <v>293</v>
      </c>
      <c r="E26" s="394">
        <v>60000</v>
      </c>
      <c r="F26" s="401">
        <v>43838</v>
      </c>
      <c r="G26" s="401">
        <v>44204</v>
      </c>
      <c r="H26" s="397"/>
      <c r="I26" s="397">
        <v>1.9</v>
      </c>
      <c r="J26" s="393">
        <v>743.34246575342468</v>
      </c>
      <c r="K26" s="393">
        <v>93.69863013698631</v>
      </c>
      <c r="L26" s="393"/>
      <c r="M26" s="393"/>
      <c r="N26" s="393">
        <v>837.04109589041104</v>
      </c>
      <c r="O26" s="393">
        <v>96.821917808219183</v>
      </c>
      <c r="P26" s="393"/>
      <c r="Q26" s="393"/>
      <c r="R26" s="393">
        <v>933.8630136986302</v>
      </c>
      <c r="S26" s="393">
        <v>93.69863013698631</v>
      </c>
      <c r="T26" s="393"/>
      <c r="U26" s="393"/>
      <c r="V26" s="393">
        <v>1027.5616438356165</v>
      </c>
      <c r="W26" s="393">
        <v>96.821917808219183</v>
      </c>
      <c r="X26" s="393"/>
      <c r="Y26" s="393"/>
      <c r="Z26" s="393">
        <v>1124.3835616438357</v>
      </c>
      <c r="AA26" s="396"/>
      <c r="AB26" s="376"/>
      <c r="AC26" s="376"/>
      <c r="AD26" s="376"/>
      <c r="AE26" s="376"/>
    </row>
    <row r="27" spans="1:31" x14ac:dyDescent="0.3">
      <c r="A27" s="395">
        <v>5060</v>
      </c>
      <c r="B27" s="396" t="s">
        <v>233</v>
      </c>
      <c r="C27" s="396" t="s">
        <v>292</v>
      </c>
      <c r="D27" s="396" t="s">
        <v>291</v>
      </c>
      <c r="E27" s="394">
        <v>59000</v>
      </c>
      <c r="F27" s="401">
        <v>43846</v>
      </c>
      <c r="G27" s="401">
        <v>44212</v>
      </c>
      <c r="H27" s="397"/>
      <c r="I27" s="397">
        <v>5.65</v>
      </c>
      <c r="J27" s="393">
        <v>2192.1441019786912</v>
      </c>
      <c r="K27" s="393">
        <v>273.98630136986304</v>
      </c>
      <c r="L27" s="393"/>
      <c r="M27" s="393"/>
      <c r="N27" s="393">
        <v>2466.1304033485544</v>
      </c>
      <c r="O27" s="393">
        <v>283.11917808219181</v>
      </c>
      <c r="P27" s="393"/>
      <c r="Q27" s="393"/>
      <c r="R27" s="393">
        <v>2749.2495814307463</v>
      </c>
      <c r="S27" s="393">
        <v>273.98630136986304</v>
      </c>
      <c r="T27" s="393"/>
      <c r="U27" s="393"/>
      <c r="V27" s="393">
        <v>3023.2358828006095</v>
      </c>
      <c r="W27" s="393">
        <v>283.11917808219181</v>
      </c>
      <c r="X27" s="393"/>
      <c r="Y27" s="393"/>
      <c r="Z27" s="393">
        <v>3306.3550608828014</v>
      </c>
      <c r="AA27" s="396"/>
      <c r="AB27" s="376"/>
      <c r="AC27" s="376"/>
      <c r="AD27" s="376"/>
      <c r="AE27" s="376"/>
    </row>
    <row r="28" spans="1:31" x14ac:dyDescent="0.3">
      <c r="A28" s="395">
        <v>5060</v>
      </c>
      <c r="B28" s="396" t="s">
        <v>19</v>
      </c>
      <c r="C28" s="396" t="s">
        <v>290</v>
      </c>
      <c r="D28" s="396" t="s">
        <v>289</v>
      </c>
      <c r="E28" s="394">
        <v>50000</v>
      </c>
      <c r="F28" s="401">
        <v>43846</v>
      </c>
      <c r="G28" s="401">
        <v>44212</v>
      </c>
      <c r="H28" s="397"/>
      <c r="I28" s="397">
        <v>1.9</v>
      </c>
      <c r="J28" s="393">
        <v>624.72983257229839</v>
      </c>
      <c r="K28" s="393">
        <v>78.08219178082193</v>
      </c>
      <c r="L28" s="393"/>
      <c r="M28" s="393"/>
      <c r="N28" s="393">
        <v>702.81202435312036</v>
      </c>
      <c r="O28" s="393">
        <v>80.684931506849324</v>
      </c>
      <c r="P28" s="393"/>
      <c r="Q28" s="393"/>
      <c r="R28" s="393">
        <v>783.49695585996972</v>
      </c>
      <c r="S28" s="393">
        <v>78.08219178082193</v>
      </c>
      <c r="T28" s="393"/>
      <c r="U28" s="393"/>
      <c r="V28" s="393">
        <v>861.57914764079169</v>
      </c>
      <c r="W28" s="393">
        <v>80.684931506849324</v>
      </c>
      <c r="X28" s="393"/>
      <c r="Y28" s="393"/>
      <c r="Z28" s="393">
        <v>942.26407914764104</v>
      </c>
      <c r="AA28" s="396"/>
      <c r="AB28" s="376"/>
      <c r="AC28" s="376"/>
      <c r="AD28" s="376"/>
      <c r="AE28" s="376"/>
    </row>
    <row r="29" spans="1:31" x14ac:dyDescent="0.3">
      <c r="A29" s="395">
        <v>5055</v>
      </c>
      <c r="B29" s="396" t="s">
        <v>159</v>
      </c>
      <c r="C29" s="396" t="s">
        <v>286</v>
      </c>
      <c r="D29" s="396" t="s">
        <v>285</v>
      </c>
      <c r="E29" s="394">
        <v>50000</v>
      </c>
      <c r="F29" s="401">
        <v>43851</v>
      </c>
      <c r="G29" s="401">
        <v>44210</v>
      </c>
      <c r="H29" s="397"/>
      <c r="I29" s="397">
        <v>5.65</v>
      </c>
      <c r="J29" s="393">
        <v>1794.9714611872146</v>
      </c>
      <c r="K29" s="393">
        <v>232.1917808219178</v>
      </c>
      <c r="L29" s="393"/>
      <c r="M29" s="393"/>
      <c r="N29" s="393">
        <v>2027.1632420091323</v>
      </c>
      <c r="O29" s="393">
        <v>239.93150684931507</v>
      </c>
      <c r="P29" s="393"/>
      <c r="Q29" s="393"/>
      <c r="R29" s="393">
        <v>2267.0947488584475</v>
      </c>
      <c r="S29" s="393">
        <v>232.1917808219178</v>
      </c>
      <c r="T29" s="393"/>
      <c r="U29" s="393"/>
      <c r="V29" s="393">
        <v>2499.2865296803652</v>
      </c>
      <c r="W29" s="393">
        <v>239.93150684931507</v>
      </c>
      <c r="X29" s="393"/>
      <c r="Y29" s="393"/>
      <c r="Z29" s="393">
        <v>2739.2180365296804</v>
      </c>
      <c r="AA29" s="396"/>
      <c r="AB29" s="376"/>
      <c r="AC29" s="376"/>
      <c r="AD29" s="376"/>
      <c r="AE29" s="376"/>
    </row>
    <row r="30" spans="1:31" x14ac:dyDescent="0.3">
      <c r="A30" s="395">
        <v>5055</v>
      </c>
      <c r="B30" s="396" t="s">
        <v>159</v>
      </c>
      <c r="C30" s="396" t="s">
        <v>284</v>
      </c>
      <c r="D30" s="396" t="s">
        <v>283</v>
      </c>
      <c r="E30" s="394">
        <v>220000</v>
      </c>
      <c r="F30" s="401">
        <v>43852</v>
      </c>
      <c r="G30" s="401">
        <v>44218</v>
      </c>
      <c r="H30" s="397"/>
      <c r="I30" s="397">
        <v>5.65</v>
      </c>
      <c r="J30" s="393">
        <v>7621.6522070015217</v>
      </c>
      <c r="K30" s="393">
        <v>1021.6438356164383</v>
      </c>
      <c r="L30" s="393"/>
      <c r="M30" s="393"/>
      <c r="N30" s="393">
        <v>8643.2960426179598</v>
      </c>
      <c r="O30" s="393">
        <v>1055.6986301369861</v>
      </c>
      <c r="P30" s="393"/>
      <c r="Q30" s="393"/>
      <c r="R30" s="393">
        <v>9698.9946727549468</v>
      </c>
      <c r="S30" s="393">
        <v>1021.6438356164383</v>
      </c>
      <c r="T30" s="393"/>
      <c r="U30" s="393"/>
      <c r="V30" s="393">
        <v>10720.638508371385</v>
      </c>
      <c r="W30" s="393">
        <v>1055.6986301369861</v>
      </c>
      <c r="X30" s="393"/>
      <c r="Y30" s="393"/>
      <c r="Z30" s="393">
        <v>11776.33713850837</v>
      </c>
      <c r="AA30" s="396"/>
      <c r="AB30" s="376"/>
      <c r="AC30" s="376"/>
      <c r="AD30" s="376"/>
      <c r="AE30" s="376"/>
    </row>
    <row r="31" spans="1:31" x14ac:dyDescent="0.3">
      <c r="A31" s="395">
        <v>5060</v>
      </c>
      <c r="B31" s="396" t="s">
        <v>16</v>
      </c>
      <c r="C31" s="396" t="s">
        <v>282</v>
      </c>
      <c r="D31" s="396" t="s">
        <v>281</v>
      </c>
      <c r="E31" s="394">
        <v>60000</v>
      </c>
      <c r="F31" s="401">
        <v>43852</v>
      </c>
      <c r="G31" s="401">
        <v>44218</v>
      </c>
      <c r="H31" s="397"/>
      <c r="I31" s="397">
        <v>1.9</v>
      </c>
      <c r="J31" s="393">
        <v>699.0091324200913</v>
      </c>
      <c r="K31" s="393">
        <v>93.69863013698631</v>
      </c>
      <c r="L31" s="393"/>
      <c r="M31" s="393"/>
      <c r="N31" s="393">
        <v>792.70776255707756</v>
      </c>
      <c r="O31" s="393">
        <v>96.821917808219183</v>
      </c>
      <c r="P31" s="393"/>
      <c r="Q31" s="393"/>
      <c r="R31" s="393">
        <v>889.52968036529671</v>
      </c>
      <c r="S31" s="393">
        <v>93.69863013698631</v>
      </c>
      <c r="T31" s="393"/>
      <c r="U31" s="393"/>
      <c r="V31" s="393">
        <v>983.22831050228297</v>
      </c>
      <c r="W31" s="393">
        <v>96.821917808219183</v>
      </c>
      <c r="X31" s="393"/>
      <c r="Y31" s="393"/>
      <c r="Z31" s="393">
        <v>1080.0502283105022</v>
      </c>
      <c r="AA31" s="396"/>
      <c r="AB31" s="376"/>
      <c r="AC31" s="376"/>
      <c r="AD31" s="376"/>
      <c r="AE31" s="376"/>
    </row>
    <row r="32" spans="1:31" x14ac:dyDescent="0.3">
      <c r="A32" s="395">
        <v>5063</v>
      </c>
      <c r="B32" s="396" t="s">
        <v>25</v>
      </c>
      <c r="C32" s="396" t="s">
        <v>278</v>
      </c>
      <c r="D32" s="396" t="s">
        <v>277</v>
      </c>
      <c r="E32" s="394">
        <v>175000</v>
      </c>
      <c r="F32" s="401">
        <v>43862</v>
      </c>
      <c r="G32" s="401">
        <v>44228</v>
      </c>
      <c r="H32" s="397"/>
      <c r="I32" s="397">
        <v>4.4000000000000004</v>
      </c>
      <c r="J32" s="393">
        <v>4528.8774733637756</v>
      </c>
      <c r="K32" s="393">
        <v>632.8767123287671</v>
      </c>
      <c r="L32" s="393"/>
      <c r="M32" s="393"/>
      <c r="N32" s="393">
        <v>5161.7541856925427</v>
      </c>
      <c r="O32" s="393">
        <v>653.97260273972609</v>
      </c>
      <c r="P32" s="393"/>
      <c r="Q32" s="393"/>
      <c r="R32" s="393">
        <v>5815.7267884322691</v>
      </c>
      <c r="S32" s="393">
        <v>632.8767123287671</v>
      </c>
      <c r="T32" s="393"/>
      <c r="U32" s="393"/>
      <c r="V32" s="393">
        <v>6448.6035007610362</v>
      </c>
      <c r="W32" s="393">
        <v>653.97260273972609</v>
      </c>
      <c r="X32" s="393"/>
      <c r="Y32" s="393"/>
      <c r="Z32" s="393">
        <v>7102.5761035007627</v>
      </c>
      <c r="AA32" s="396"/>
      <c r="AB32" s="376"/>
      <c r="AC32" s="376"/>
      <c r="AD32" s="376"/>
      <c r="AE32" s="376"/>
    </row>
    <row r="33" spans="1:27" x14ac:dyDescent="0.3">
      <c r="A33" s="395">
        <v>5028</v>
      </c>
      <c r="B33" s="396" t="s">
        <v>274</v>
      </c>
      <c r="C33" s="396" t="s">
        <v>273</v>
      </c>
      <c r="D33" s="396" t="s">
        <v>272</v>
      </c>
      <c r="E33" s="394">
        <v>1400000</v>
      </c>
      <c r="F33" s="401">
        <v>43865</v>
      </c>
      <c r="G33" s="401">
        <v>44231</v>
      </c>
      <c r="H33" s="397"/>
      <c r="I33" s="397">
        <v>7.9</v>
      </c>
      <c r="J33" s="393">
        <v>63822.260273972606</v>
      </c>
      <c r="K33" s="393">
        <v>9090.4109589041109</v>
      </c>
      <c r="L33" s="393"/>
      <c r="M33" s="393"/>
      <c r="N33" s="393">
        <v>72912.671232876717</v>
      </c>
      <c r="O33" s="393">
        <v>9393.4246575342477</v>
      </c>
      <c r="P33" s="393"/>
      <c r="Q33" s="393"/>
      <c r="R33" s="393">
        <v>82306.095890410972</v>
      </c>
      <c r="S33" s="393">
        <v>9090.4109589041109</v>
      </c>
      <c r="T33" s="393"/>
      <c r="U33" s="393"/>
      <c r="V33" s="393">
        <v>91396.506849315076</v>
      </c>
      <c r="W33" s="393">
        <v>9393.4246575342477</v>
      </c>
      <c r="X33" s="393"/>
      <c r="Y33" s="393"/>
      <c r="Z33" s="393">
        <v>100789.93150684933</v>
      </c>
      <c r="AA33" s="396"/>
    </row>
    <row r="34" spans="1:27" x14ac:dyDescent="0.3">
      <c r="A34" s="395">
        <v>5057</v>
      </c>
      <c r="B34" s="396" t="s">
        <v>268</v>
      </c>
      <c r="C34" s="396" t="s">
        <v>267</v>
      </c>
      <c r="D34" s="396" t="s">
        <v>266</v>
      </c>
      <c r="E34" s="394">
        <v>500000</v>
      </c>
      <c r="F34" s="401">
        <v>43866</v>
      </c>
      <c r="G34" s="401">
        <v>44232</v>
      </c>
      <c r="H34" s="397"/>
      <c r="I34" s="397">
        <v>3.4</v>
      </c>
      <c r="J34" s="393">
        <v>9762.7092846270934</v>
      </c>
      <c r="K34" s="393">
        <v>1397.2602739726026</v>
      </c>
      <c r="L34" s="393"/>
      <c r="M34" s="393"/>
      <c r="N34" s="393">
        <v>11159.969558599696</v>
      </c>
      <c r="O34" s="393">
        <v>1443.8356164383561</v>
      </c>
      <c r="P34" s="393"/>
      <c r="Q34" s="393"/>
      <c r="R34" s="393">
        <v>12603.805175038053</v>
      </c>
      <c r="S34" s="393">
        <v>1397.2602739726026</v>
      </c>
      <c r="T34" s="393"/>
      <c r="U34" s="393"/>
      <c r="V34" s="393">
        <v>14001.065449010655</v>
      </c>
      <c r="W34" s="393">
        <v>1443.8356164383561</v>
      </c>
      <c r="X34" s="393"/>
      <c r="Y34" s="393"/>
      <c r="Z34" s="393">
        <v>15444.901065449012</v>
      </c>
      <c r="AA34" s="396"/>
    </row>
    <row r="35" spans="1:27" x14ac:dyDescent="0.3">
      <c r="A35" s="395">
        <v>5060</v>
      </c>
      <c r="B35" s="396" t="s">
        <v>19</v>
      </c>
      <c r="C35" s="396" t="s">
        <v>259</v>
      </c>
      <c r="D35" s="396" t="s">
        <v>258</v>
      </c>
      <c r="E35" s="394">
        <v>72500</v>
      </c>
      <c r="F35" s="401">
        <v>43864</v>
      </c>
      <c r="G35" s="401">
        <v>44230</v>
      </c>
      <c r="H35" s="397"/>
      <c r="I35" s="397">
        <v>1.9</v>
      </c>
      <c r="J35" s="393">
        <v>798.71936834094367</v>
      </c>
      <c r="K35" s="393">
        <v>113.21917808219179</v>
      </c>
      <c r="L35" s="393"/>
      <c r="M35" s="393"/>
      <c r="N35" s="393">
        <v>911.93854642313545</v>
      </c>
      <c r="O35" s="393">
        <v>116.99315068493151</v>
      </c>
      <c r="P35" s="393"/>
      <c r="Q35" s="393"/>
      <c r="R35" s="393">
        <v>1028.9316971080671</v>
      </c>
      <c r="S35" s="393">
        <v>113.21917808219179</v>
      </c>
      <c r="T35" s="393"/>
      <c r="U35" s="393"/>
      <c r="V35" s="393">
        <v>1142.1508751902588</v>
      </c>
      <c r="W35" s="393">
        <v>116.99315068493151</v>
      </c>
      <c r="X35" s="393"/>
      <c r="Y35" s="393"/>
      <c r="Z35" s="393">
        <v>1259.1440258751904</v>
      </c>
      <c r="AA35" s="396"/>
    </row>
    <row r="36" spans="1:27" x14ac:dyDescent="0.3">
      <c r="A36" s="395">
        <v>5060</v>
      </c>
      <c r="B36" s="396" t="s">
        <v>19</v>
      </c>
      <c r="C36" s="396" t="s">
        <v>257</v>
      </c>
      <c r="D36" s="396" t="s">
        <v>256</v>
      </c>
      <c r="E36" s="394">
        <v>90000</v>
      </c>
      <c r="F36" s="401">
        <v>43864</v>
      </c>
      <c r="G36" s="401">
        <v>44230</v>
      </c>
      <c r="H36" s="397"/>
      <c r="I36" s="397">
        <v>1.9</v>
      </c>
      <c r="J36" s="393">
        <v>991.51369863013701</v>
      </c>
      <c r="K36" s="393">
        <v>140.54794520547946</v>
      </c>
      <c r="L36" s="393"/>
      <c r="M36" s="393"/>
      <c r="N36" s="393">
        <v>1132.0616438356165</v>
      </c>
      <c r="O36" s="393">
        <v>145.23287671232876</v>
      </c>
      <c r="P36" s="393"/>
      <c r="Q36" s="393"/>
      <c r="R36" s="393">
        <v>1277.2945205479452</v>
      </c>
      <c r="S36" s="393">
        <v>140.54794520547946</v>
      </c>
      <c r="T36" s="393"/>
      <c r="U36" s="393"/>
      <c r="V36" s="393">
        <v>1417.8424657534247</v>
      </c>
      <c r="W36" s="393">
        <v>145.23287671232876</v>
      </c>
      <c r="X36" s="393"/>
      <c r="Y36" s="393"/>
      <c r="Z36" s="393">
        <v>1563.0753424657535</v>
      </c>
      <c r="AA36" s="396"/>
    </row>
    <row r="37" spans="1:27" x14ac:dyDescent="0.3">
      <c r="A37" s="395">
        <v>5055</v>
      </c>
      <c r="B37" s="396" t="s">
        <v>56</v>
      </c>
      <c r="C37" s="396" t="s">
        <v>255</v>
      </c>
      <c r="D37" s="396" t="s">
        <v>254</v>
      </c>
      <c r="E37" s="394">
        <v>1000000</v>
      </c>
      <c r="F37" s="401">
        <v>43878</v>
      </c>
      <c r="G37" s="401">
        <v>44244</v>
      </c>
      <c r="H37" s="397"/>
      <c r="I37" s="397">
        <v>5.4</v>
      </c>
      <c r="J37" s="393">
        <v>29210.958904109597</v>
      </c>
      <c r="K37" s="393">
        <v>4438.3561643835619</v>
      </c>
      <c r="L37" s="393"/>
      <c r="M37" s="393"/>
      <c r="N37" s="393">
        <v>33649.315068493161</v>
      </c>
      <c r="O37" s="393">
        <v>4586.3013698630148</v>
      </c>
      <c r="P37" s="393"/>
      <c r="Q37" s="393"/>
      <c r="R37" s="393">
        <v>38235.616438356177</v>
      </c>
      <c r="S37" s="393">
        <v>4438.3561643835628</v>
      </c>
      <c r="T37" s="393"/>
      <c r="U37" s="393"/>
      <c r="V37" s="393">
        <v>42673.972602739741</v>
      </c>
      <c r="W37" s="393">
        <v>4586.3013698630148</v>
      </c>
      <c r="X37" s="393"/>
      <c r="Y37" s="393"/>
      <c r="Z37" s="393">
        <v>47260.273972602758</v>
      </c>
      <c r="AA37" s="396"/>
    </row>
    <row r="38" spans="1:27" x14ac:dyDescent="0.3">
      <c r="A38" s="395">
        <v>5055</v>
      </c>
      <c r="B38" s="396" t="s">
        <v>56</v>
      </c>
      <c r="C38" s="396" t="s">
        <v>253</v>
      </c>
      <c r="D38" s="396" t="s">
        <v>252</v>
      </c>
      <c r="E38" s="394">
        <v>1500000</v>
      </c>
      <c r="F38" s="401">
        <v>43879</v>
      </c>
      <c r="G38" s="401">
        <v>44245</v>
      </c>
      <c r="H38" s="397"/>
      <c r="I38" s="397">
        <v>6.9</v>
      </c>
      <c r="J38" s="393">
        <v>55700.171232876724</v>
      </c>
      <c r="K38" s="393">
        <v>8506.8493150684935</v>
      </c>
      <c r="L38" s="393"/>
      <c r="M38" s="393"/>
      <c r="N38" s="393">
        <v>64207.02054794522</v>
      </c>
      <c r="O38" s="393">
        <v>8790.4109589041109</v>
      </c>
      <c r="P38" s="393"/>
      <c r="Q38" s="393"/>
      <c r="R38" s="393">
        <v>72997.431506849331</v>
      </c>
      <c r="S38" s="393">
        <v>8506.8493150684935</v>
      </c>
      <c r="T38" s="393"/>
      <c r="U38" s="393"/>
      <c r="V38" s="393">
        <v>81504.280821917826</v>
      </c>
      <c r="W38" s="393">
        <v>8790.4109589041109</v>
      </c>
      <c r="X38" s="393"/>
      <c r="Y38" s="393"/>
      <c r="Z38" s="393">
        <v>90294.691780821944</v>
      </c>
      <c r="AA38" s="396"/>
    </row>
    <row r="39" spans="1:27" x14ac:dyDescent="0.3">
      <c r="A39" s="395">
        <v>5063</v>
      </c>
      <c r="B39" s="396" t="s">
        <v>77</v>
      </c>
      <c r="C39" s="396" t="s">
        <v>251</v>
      </c>
      <c r="D39" s="396" t="s">
        <v>250</v>
      </c>
      <c r="E39" s="394">
        <v>23000</v>
      </c>
      <c r="F39" s="401">
        <v>43880</v>
      </c>
      <c r="G39" s="401">
        <v>44246</v>
      </c>
      <c r="H39" s="397"/>
      <c r="I39" s="397">
        <v>5.4</v>
      </c>
      <c r="J39" s="393">
        <v>668.40205479452061</v>
      </c>
      <c r="K39" s="393">
        <v>102.08219178082192</v>
      </c>
      <c r="L39" s="393"/>
      <c r="M39" s="393"/>
      <c r="N39" s="393">
        <v>770.48424657534247</v>
      </c>
      <c r="O39" s="393">
        <v>105.48493150684934</v>
      </c>
      <c r="P39" s="393"/>
      <c r="Q39" s="393"/>
      <c r="R39" s="393">
        <v>875.96917808219177</v>
      </c>
      <c r="S39" s="393">
        <v>102.08219178082193</v>
      </c>
      <c r="T39" s="393"/>
      <c r="U39" s="393"/>
      <c r="V39" s="393">
        <v>978.05136986301375</v>
      </c>
      <c r="W39" s="393">
        <v>105.48493150684934</v>
      </c>
      <c r="X39" s="393"/>
      <c r="Y39" s="393"/>
      <c r="Z39" s="393">
        <v>1083.5363013698632</v>
      </c>
      <c r="AA39" s="396"/>
    </row>
    <row r="40" spans="1:27" x14ac:dyDescent="0.3">
      <c r="A40" s="395">
        <v>5060</v>
      </c>
      <c r="B40" s="396" t="s">
        <v>16</v>
      </c>
      <c r="C40" s="396" t="s">
        <v>249</v>
      </c>
      <c r="D40" s="396" t="s">
        <v>248</v>
      </c>
      <c r="E40" s="394">
        <v>87500</v>
      </c>
      <c r="F40" s="401">
        <v>43880</v>
      </c>
      <c r="G40" s="401">
        <v>44246</v>
      </c>
      <c r="H40" s="397"/>
      <c r="I40" s="397">
        <v>1.9</v>
      </c>
      <c r="J40" s="393">
        <v>890.08276255707779</v>
      </c>
      <c r="K40" s="393">
        <v>136.64383561643837</v>
      </c>
      <c r="L40" s="393"/>
      <c r="M40" s="393"/>
      <c r="N40" s="393">
        <v>1026.7265981735161</v>
      </c>
      <c r="O40" s="393">
        <v>141.19863013698631</v>
      </c>
      <c r="P40" s="393"/>
      <c r="Q40" s="393"/>
      <c r="R40" s="393">
        <v>1167.9252283105025</v>
      </c>
      <c r="S40" s="393">
        <v>136.64383561643837</v>
      </c>
      <c r="T40" s="393"/>
      <c r="U40" s="393"/>
      <c r="V40" s="393">
        <v>1304.5690639269408</v>
      </c>
      <c r="W40" s="393">
        <v>141.19863013698631</v>
      </c>
      <c r="X40" s="393"/>
      <c r="Y40" s="393"/>
      <c r="Z40" s="393">
        <v>1445.7676940639271</v>
      </c>
      <c r="AA40" s="396"/>
    </row>
    <row r="41" spans="1:27" x14ac:dyDescent="0.3">
      <c r="A41" s="395">
        <v>5060</v>
      </c>
      <c r="B41" s="396" t="s">
        <v>19</v>
      </c>
      <c r="C41" s="396" t="s">
        <v>247</v>
      </c>
      <c r="D41" s="396" t="s">
        <v>246</v>
      </c>
      <c r="E41" s="394">
        <v>87500</v>
      </c>
      <c r="F41" s="401">
        <v>43880</v>
      </c>
      <c r="G41" s="401">
        <v>44246</v>
      </c>
      <c r="H41" s="397"/>
      <c r="I41" s="397">
        <v>1.9</v>
      </c>
      <c r="J41" s="393">
        <v>890.08276255707779</v>
      </c>
      <c r="K41" s="393">
        <v>136.64383561643837</v>
      </c>
      <c r="L41" s="393"/>
      <c r="M41" s="393"/>
      <c r="N41" s="393">
        <v>1026.7265981735161</v>
      </c>
      <c r="O41" s="393">
        <v>141.19863013698631</v>
      </c>
      <c r="P41" s="393"/>
      <c r="Q41" s="393"/>
      <c r="R41" s="393">
        <v>1167.9252283105025</v>
      </c>
      <c r="S41" s="393">
        <v>136.64383561643837</v>
      </c>
      <c r="T41" s="393"/>
      <c r="U41" s="393"/>
      <c r="V41" s="393">
        <v>1304.5690639269408</v>
      </c>
      <c r="W41" s="393">
        <v>141.19863013698631</v>
      </c>
      <c r="X41" s="393"/>
      <c r="Y41" s="393"/>
      <c r="Z41" s="393">
        <v>1445.7676940639271</v>
      </c>
      <c r="AA41" s="396"/>
    </row>
    <row r="42" spans="1:27" x14ac:dyDescent="0.3">
      <c r="A42" s="395">
        <v>5063</v>
      </c>
      <c r="B42" s="396" t="s">
        <v>13</v>
      </c>
      <c r="C42" s="396" t="s">
        <v>245</v>
      </c>
      <c r="D42" s="396" t="s">
        <v>244</v>
      </c>
      <c r="E42" s="394">
        <v>100000</v>
      </c>
      <c r="F42" s="401">
        <v>43881</v>
      </c>
      <c r="G42" s="401">
        <v>44247</v>
      </c>
      <c r="H42" s="397"/>
      <c r="I42" s="397">
        <v>8.9</v>
      </c>
      <c r="J42" s="393">
        <v>4740.2321156773223</v>
      </c>
      <c r="K42" s="393">
        <v>731.50684931506851</v>
      </c>
      <c r="L42" s="393"/>
      <c r="M42" s="393"/>
      <c r="N42" s="393">
        <v>5471.7389649923907</v>
      </c>
      <c r="O42" s="393">
        <v>755.89041095890423</v>
      </c>
      <c r="P42" s="393"/>
      <c r="Q42" s="393"/>
      <c r="R42" s="393">
        <v>6227.6293759512946</v>
      </c>
      <c r="S42" s="393">
        <v>731.50684931506862</v>
      </c>
      <c r="T42" s="393"/>
      <c r="U42" s="393"/>
      <c r="V42" s="393">
        <v>6959.136225266363</v>
      </c>
      <c r="W42" s="393">
        <v>755.89041095890423</v>
      </c>
      <c r="X42" s="393"/>
      <c r="Y42" s="393"/>
      <c r="Z42" s="393">
        <v>7715.0266362252669</v>
      </c>
      <c r="AA42" s="396"/>
    </row>
    <row r="43" spans="1:27" x14ac:dyDescent="0.3">
      <c r="A43" s="395">
        <v>5063</v>
      </c>
      <c r="B43" s="396" t="s">
        <v>25</v>
      </c>
      <c r="C43" s="396" t="s">
        <v>243</v>
      </c>
      <c r="D43" s="396" t="s">
        <v>242</v>
      </c>
      <c r="E43" s="394">
        <v>122500</v>
      </c>
      <c r="F43" s="401">
        <v>43891</v>
      </c>
      <c r="G43" s="401">
        <v>44256</v>
      </c>
      <c r="H43" s="397"/>
      <c r="I43" s="397">
        <v>4.4000000000000004</v>
      </c>
      <c r="J43" s="393">
        <v>2706.0753424657537</v>
      </c>
      <c r="K43" s="393">
        <v>443.01369863013696</v>
      </c>
      <c r="L43" s="393"/>
      <c r="M43" s="393"/>
      <c r="N43" s="393">
        <v>3149.0890410958905</v>
      </c>
      <c r="O43" s="393">
        <v>457.78082191780834</v>
      </c>
      <c r="P43" s="393"/>
      <c r="Q43" s="393"/>
      <c r="R43" s="393">
        <v>3606.8698630136987</v>
      </c>
      <c r="S43" s="393">
        <v>443.01369863013707</v>
      </c>
      <c r="T43" s="393"/>
      <c r="U43" s="393"/>
      <c r="V43" s="393">
        <v>4049.8835616438359</v>
      </c>
      <c r="W43" s="393">
        <v>457.78082191780834</v>
      </c>
      <c r="X43" s="393"/>
      <c r="Y43" s="393"/>
      <c r="Z43" s="393">
        <v>4507.6643835616442</v>
      </c>
      <c r="AA43" s="396"/>
    </row>
    <row r="44" spans="1:27" x14ac:dyDescent="0.3">
      <c r="A44" s="395">
        <v>5056</v>
      </c>
      <c r="B44" s="396" t="s">
        <v>124</v>
      </c>
      <c r="C44" s="396" t="s">
        <v>241</v>
      </c>
      <c r="D44" s="396" t="s">
        <v>240</v>
      </c>
      <c r="E44" s="394">
        <v>200000</v>
      </c>
      <c r="F44" s="401">
        <v>43892</v>
      </c>
      <c r="G44" s="401">
        <v>44257</v>
      </c>
      <c r="H44" s="397"/>
      <c r="I44" s="397">
        <v>5.9</v>
      </c>
      <c r="J44" s="393">
        <v>5891.4687975646884</v>
      </c>
      <c r="K44" s="393">
        <v>969.86301369863008</v>
      </c>
      <c r="L44" s="393"/>
      <c r="M44" s="393"/>
      <c r="N44" s="393">
        <v>6861.3318112633187</v>
      </c>
      <c r="O44" s="393">
        <v>1002.1917808219177</v>
      </c>
      <c r="P44" s="393"/>
      <c r="Q44" s="393"/>
      <c r="R44" s="393">
        <v>7863.5235920852365</v>
      </c>
      <c r="S44" s="393">
        <v>969.86301369863008</v>
      </c>
      <c r="T44" s="393"/>
      <c r="U44" s="393"/>
      <c r="V44" s="393">
        <v>8833.3866057838659</v>
      </c>
      <c r="W44" s="393">
        <v>1002.1917808219177</v>
      </c>
      <c r="X44" s="393"/>
      <c r="Y44" s="393"/>
      <c r="Z44" s="393">
        <v>9835.5783866057827</v>
      </c>
      <c r="AA44" s="396"/>
    </row>
    <row r="45" spans="1:27" x14ac:dyDescent="0.3">
      <c r="A45" s="395">
        <v>5040</v>
      </c>
      <c r="B45" s="396" t="s">
        <v>82</v>
      </c>
      <c r="C45" s="396" t="s">
        <v>239</v>
      </c>
      <c r="D45" s="396" t="s">
        <v>238</v>
      </c>
      <c r="E45" s="394">
        <v>22652.99</v>
      </c>
      <c r="F45" s="401">
        <v>43894</v>
      </c>
      <c r="G45" s="401">
        <v>44259</v>
      </c>
      <c r="H45" s="397"/>
      <c r="I45" s="397">
        <v>6.15</v>
      </c>
      <c r="J45" s="393">
        <v>687.83244036815086</v>
      </c>
      <c r="K45" s="393">
        <v>114.50620972602742</v>
      </c>
      <c r="L45" s="393"/>
      <c r="M45" s="393"/>
      <c r="N45" s="393">
        <v>802.33865009417832</v>
      </c>
      <c r="O45" s="393">
        <v>118.32308338356167</v>
      </c>
      <c r="P45" s="393"/>
      <c r="Q45" s="393"/>
      <c r="R45" s="393">
        <v>920.66173347773997</v>
      </c>
      <c r="S45" s="393">
        <v>114.50620972602742</v>
      </c>
      <c r="T45" s="393"/>
      <c r="U45" s="393"/>
      <c r="V45" s="393">
        <v>1035.1679432037674</v>
      </c>
      <c r="W45" s="393">
        <v>118.32308338356167</v>
      </c>
      <c r="X45" s="393"/>
      <c r="Y45" s="393"/>
      <c r="Z45" s="393">
        <v>1153.4910265873291</v>
      </c>
      <c r="AA45" s="396"/>
    </row>
    <row r="46" spans="1:27" x14ac:dyDescent="0.3">
      <c r="A46" s="395">
        <v>5056</v>
      </c>
      <c r="B46" s="396" t="s">
        <v>124</v>
      </c>
      <c r="C46" s="396" t="s">
        <v>237</v>
      </c>
      <c r="D46" s="396" t="s">
        <v>236</v>
      </c>
      <c r="E46" s="394">
        <v>50000</v>
      </c>
      <c r="F46" s="401">
        <v>43902</v>
      </c>
      <c r="G46" s="401">
        <v>44267</v>
      </c>
      <c r="H46" s="397"/>
      <c r="I46" s="397">
        <v>4.9000000000000004</v>
      </c>
      <c r="J46" s="393">
        <v>1155.1731354642313</v>
      </c>
      <c r="K46" s="393">
        <v>201.36986301369865</v>
      </c>
      <c r="L46" s="393"/>
      <c r="M46" s="393"/>
      <c r="N46" s="393">
        <v>1356.54299847793</v>
      </c>
      <c r="O46" s="393">
        <v>208.08219178082192</v>
      </c>
      <c r="P46" s="393"/>
      <c r="Q46" s="393"/>
      <c r="R46" s="393">
        <v>1564.6251902587519</v>
      </c>
      <c r="S46" s="393">
        <v>201.36986301369865</v>
      </c>
      <c r="T46" s="393"/>
      <c r="U46" s="393"/>
      <c r="V46" s="393">
        <v>1765.9950532724506</v>
      </c>
      <c r="W46" s="393">
        <v>208.08219178082192</v>
      </c>
      <c r="X46" s="393"/>
      <c r="Y46" s="393"/>
      <c r="Z46" s="393">
        <v>1974.0772450532725</v>
      </c>
      <c r="AA46" s="396"/>
    </row>
    <row r="47" spans="1:27" x14ac:dyDescent="0.3">
      <c r="A47" s="395">
        <v>5060</v>
      </c>
      <c r="B47" s="396" t="s">
        <v>16</v>
      </c>
      <c r="C47" s="396" t="s">
        <v>235</v>
      </c>
      <c r="D47" s="396" t="s">
        <v>234</v>
      </c>
      <c r="E47" s="394">
        <v>72500</v>
      </c>
      <c r="F47" s="401">
        <v>43903</v>
      </c>
      <c r="G47" s="401">
        <v>44268</v>
      </c>
      <c r="H47" s="397"/>
      <c r="I47" s="397">
        <v>1.9</v>
      </c>
      <c r="J47" s="393">
        <v>645.66381278538813</v>
      </c>
      <c r="K47" s="393">
        <v>113.21917808219179</v>
      </c>
      <c r="L47" s="393"/>
      <c r="M47" s="393"/>
      <c r="N47" s="393">
        <v>758.88299086757991</v>
      </c>
      <c r="O47" s="393">
        <v>116.99315068493151</v>
      </c>
      <c r="P47" s="393"/>
      <c r="Q47" s="393"/>
      <c r="R47" s="393">
        <v>875.8761415525114</v>
      </c>
      <c r="S47" s="393">
        <v>113.21917808219179</v>
      </c>
      <c r="T47" s="393"/>
      <c r="U47" s="393"/>
      <c r="V47" s="393">
        <v>989.09531963470317</v>
      </c>
      <c r="W47" s="393">
        <v>116.99315068493151</v>
      </c>
      <c r="X47" s="393"/>
      <c r="Y47" s="393"/>
      <c r="Z47" s="393">
        <v>1106.0884703196348</v>
      </c>
      <c r="AA47" s="396"/>
    </row>
    <row r="48" spans="1:27" x14ac:dyDescent="0.3">
      <c r="A48" s="395">
        <v>5060</v>
      </c>
      <c r="B48" s="396" t="s">
        <v>233</v>
      </c>
      <c r="C48" s="396" t="s">
        <v>232</v>
      </c>
      <c r="D48" s="396" t="s">
        <v>231</v>
      </c>
      <c r="E48" s="394">
        <v>80000</v>
      </c>
      <c r="F48" s="401">
        <v>43903</v>
      </c>
      <c r="G48" s="401">
        <v>44268</v>
      </c>
      <c r="H48" s="397"/>
      <c r="I48" s="397">
        <v>5.65</v>
      </c>
      <c r="J48" s="393">
        <v>2118.6210045662101</v>
      </c>
      <c r="K48" s="393">
        <v>371.50684931506851</v>
      </c>
      <c r="L48" s="393"/>
      <c r="M48" s="393"/>
      <c r="N48" s="393">
        <v>2490.1278538812785</v>
      </c>
      <c r="O48" s="393">
        <v>383.89041095890411</v>
      </c>
      <c r="P48" s="393"/>
      <c r="Q48" s="393"/>
      <c r="R48" s="393">
        <v>2874.0182648401824</v>
      </c>
      <c r="S48" s="393">
        <v>371.50684931506851</v>
      </c>
      <c r="T48" s="393"/>
      <c r="U48" s="393"/>
      <c r="V48" s="393">
        <v>3245.5251141552508</v>
      </c>
      <c r="W48" s="393">
        <v>383.89041095890411</v>
      </c>
      <c r="X48" s="393"/>
      <c r="Y48" s="393"/>
      <c r="Z48" s="393">
        <v>3629.4155251141547</v>
      </c>
      <c r="AA48" s="396"/>
    </row>
    <row r="49" spans="1:27" x14ac:dyDescent="0.3">
      <c r="A49" s="395">
        <v>5063</v>
      </c>
      <c r="B49" s="396" t="s">
        <v>13</v>
      </c>
      <c r="C49" s="396" t="s">
        <v>230</v>
      </c>
      <c r="D49" s="396" t="s">
        <v>229</v>
      </c>
      <c r="E49" s="394">
        <v>100000</v>
      </c>
      <c r="F49" s="401">
        <v>43904</v>
      </c>
      <c r="G49" s="401">
        <v>44269</v>
      </c>
      <c r="H49" s="397"/>
      <c r="I49" s="397">
        <v>4.6500000000000004</v>
      </c>
      <c r="J49" s="393">
        <v>2166.638127853882</v>
      </c>
      <c r="K49" s="393">
        <v>382.1917808219178</v>
      </c>
      <c r="L49" s="393"/>
      <c r="M49" s="393"/>
      <c r="N49" s="393">
        <v>2548.8299086757997</v>
      </c>
      <c r="O49" s="393">
        <v>394.93150684931516</v>
      </c>
      <c r="P49" s="393"/>
      <c r="Q49" s="393"/>
      <c r="R49" s="393">
        <v>2943.7614155251149</v>
      </c>
      <c r="S49" s="393">
        <v>382.19178082191786</v>
      </c>
      <c r="T49" s="393"/>
      <c r="U49" s="393"/>
      <c r="V49" s="393">
        <v>3325.9531963470326</v>
      </c>
      <c r="W49" s="393">
        <v>394.93150684931516</v>
      </c>
      <c r="X49" s="393"/>
      <c r="Y49" s="393"/>
      <c r="Z49" s="393">
        <v>3720.8847031963478</v>
      </c>
      <c r="AA49" s="396"/>
    </row>
    <row r="50" spans="1:27" ht="57.6" x14ac:dyDescent="0.3">
      <c r="A50" s="398">
        <v>5063</v>
      </c>
      <c r="B50" s="399" t="s">
        <v>25</v>
      </c>
      <c r="C50" s="399" t="s">
        <v>215</v>
      </c>
      <c r="D50" s="399" t="s">
        <v>214</v>
      </c>
      <c r="E50" s="400">
        <v>122500</v>
      </c>
      <c r="F50" s="401">
        <v>43922</v>
      </c>
      <c r="G50" s="401">
        <v>44287</v>
      </c>
      <c r="H50" s="397"/>
      <c r="I50" s="394">
        <v>4.4000000000000004</v>
      </c>
      <c r="J50" s="393">
        <v>2256.9086757990872</v>
      </c>
      <c r="K50" s="393">
        <v>443.01369863013696</v>
      </c>
      <c r="L50" s="393"/>
      <c r="M50" s="393"/>
      <c r="N50" s="393">
        <v>2699.922374429224</v>
      </c>
      <c r="O50" s="393">
        <v>457.78082191780834</v>
      </c>
      <c r="P50" s="393"/>
      <c r="Q50" s="393"/>
      <c r="R50" s="393">
        <v>3157.7031963470322</v>
      </c>
      <c r="S50" s="393">
        <v>443.01369863013707</v>
      </c>
      <c r="T50" s="393"/>
      <c r="U50" s="393"/>
      <c r="V50" s="393">
        <v>3600.7168949771694</v>
      </c>
      <c r="W50" s="393">
        <v>457.78082191780834</v>
      </c>
      <c r="X50" s="393"/>
      <c r="Y50" s="393"/>
      <c r="Z50" s="393">
        <v>4058.4977168949777</v>
      </c>
      <c r="AA50" s="396"/>
    </row>
    <row r="51" spans="1:27" ht="43.2" x14ac:dyDescent="0.3">
      <c r="A51" s="398">
        <v>5060</v>
      </c>
      <c r="B51" s="399" t="s">
        <v>16</v>
      </c>
      <c r="C51" s="399" t="s">
        <v>213</v>
      </c>
      <c r="D51" s="399" t="s">
        <v>212</v>
      </c>
      <c r="E51" s="400">
        <v>90000</v>
      </c>
      <c r="F51" s="401">
        <v>43925</v>
      </c>
      <c r="G51" s="401">
        <v>44290</v>
      </c>
      <c r="H51" s="397"/>
      <c r="I51" s="394">
        <v>1.9</v>
      </c>
      <c r="J51" s="393">
        <v>716.01369863013701</v>
      </c>
      <c r="K51" s="393">
        <v>140.54794520547946</v>
      </c>
      <c r="L51" s="393"/>
      <c r="M51" s="393"/>
      <c r="N51" s="393">
        <v>856.56164383561645</v>
      </c>
      <c r="O51" s="393">
        <v>145.23287671232876</v>
      </c>
      <c r="P51" s="393"/>
      <c r="Q51" s="393"/>
      <c r="R51" s="393">
        <v>1001.7945205479452</v>
      </c>
      <c r="S51" s="393">
        <v>140.54794520547946</v>
      </c>
      <c r="T51" s="393"/>
      <c r="U51" s="393"/>
      <c r="V51" s="393">
        <v>1142.3424657534247</v>
      </c>
      <c r="W51" s="393">
        <v>145.23287671232876</v>
      </c>
      <c r="X51" s="393"/>
      <c r="Y51" s="393"/>
      <c r="Z51" s="393">
        <v>1287.5753424657535</v>
      </c>
      <c r="AA51" s="396"/>
    </row>
    <row r="52" spans="1:27" ht="57.6" x14ac:dyDescent="0.3">
      <c r="A52" s="398">
        <v>5005</v>
      </c>
      <c r="B52" s="399" t="s">
        <v>211</v>
      </c>
      <c r="C52" s="399" t="s">
        <v>210</v>
      </c>
      <c r="D52" s="399" t="s">
        <v>209</v>
      </c>
      <c r="E52" s="400">
        <v>1100000</v>
      </c>
      <c r="F52" s="401">
        <v>43927</v>
      </c>
      <c r="G52" s="401">
        <v>44292</v>
      </c>
      <c r="H52" s="397"/>
      <c r="I52" s="394">
        <v>5.92</v>
      </c>
      <c r="J52" s="393">
        <v>26362.697108066972</v>
      </c>
      <c r="K52" s="393">
        <v>5352.3287671232874</v>
      </c>
      <c r="L52" s="393"/>
      <c r="M52" s="393"/>
      <c r="N52" s="393">
        <v>31715.025875190258</v>
      </c>
      <c r="O52" s="393">
        <v>5530.7397260273965</v>
      </c>
      <c r="P52" s="393"/>
      <c r="Q52" s="393"/>
      <c r="R52" s="393">
        <v>37245.765601217652</v>
      </c>
      <c r="S52" s="393">
        <v>5352.3287671232874</v>
      </c>
      <c r="T52" s="393"/>
      <c r="U52" s="393"/>
      <c r="V52" s="393">
        <v>42598.094368340942</v>
      </c>
      <c r="W52" s="393">
        <v>5530.7397260273965</v>
      </c>
      <c r="X52" s="393"/>
      <c r="Y52" s="393"/>
      <c r="Z52" s="393">
        <v>48128.834094368336</v>
      </c>
      <c r="AA52" s="396"/>
    </row>
    <row r="53" spans="1:27" ht="57.6" x14ac:dyDescent="0.3">
      <c r="A53" s="398">
        <v>5004</v>
      </c>
      <c r="B53" s="399" t="s">
        <v>174</v>
      </c>
      <c r="C53" s="399" t="s">
        <v>206</v>
      </c>
      <c r="D53" s="399" t="s">
        <v>205</v>
      </c>
      <c r="E53" s="400">
        <v>810000</v>
      </c>
      <c r="F53" s="401">
        <v>43936</v>
      </c>
      <c r="G53" s="401">
        <v>44301</v>
      </c>
      <c r="H53" s="397"/>
      <c r="I53" s="394">
        <v>5.65</v>
      </c>
      <c r="J53" s="393">
        <v>17383.037671232876</v>
      </c>
      <c r="K53" s="393">
        <v>3761.5068493150684</v>
      </c>
      <c r="L53" s="393"/>
      <c r="M53" s="393"/>
      <c r="N53" s="393">
        <v>21144.544520547945</v>
      </c>
      <c r="O53" s="393">
        <v>3886.8904109589043</v>
      </c>
      <c r="P53" s="393"/>
      <c r="Q53" s="393"/>
      <c r="R53" s="393">
        <v>25031.43493150685</v>
      </c>
      <c r="S53" s="393">
        <v>3761.5068493150684</v>
      </c>
      <c r="T53" s="393"/>
      <c r="U53" s="393"/>
      <c r="V53" s="393">
        <v>28792.941780821919</v>
      </c>
      <c r="W53" s="393">
        <v>3886.8904109589043</v>
      </c>
      <c r="X53" s="393"/>
      <c r="Y53" s="393"/>
      <c r="Z53" s="393">
        <v>32679.832191780824</v>
      </c>
      <c r="AA53" s="396"/>
    </row>
    <row r="54" spans="1:27" ht="57.6" x14ac:dyDescent="0.3">
      <c r="A54" s="398">
        <v>5031</v>
      </c>
      <c r="B54" s="399" t="s">
        <v>204</v>
      </c>
      <c r="C54" s="399" t="s">
        <v>203</v>
      </c>
      <c r="D54" s="399" t="s">
        <v>202</v>
      </c>
      <c r="E54" s="400">
        <v>330000</v>
      </c>
      <c r="F54" s="401">
        <v>43937</v>
      </c>
      <c r="G54" s="401">
        <v>44302</v>
      </c>
      <c r="H54" s="397"/>
      <c r="I54" s="394">
        <v>4.9000000000000004</v>
      </c>
      <c r="J54" s="393">
        <v>6096.9760273972606</v>
      </c>
      <c r="K54" s="393">
        <v>1329.041095890411</v>
      </c>
      <c r="L54" s="393"/>
      <c r="M54" s="393"/>
      <c r="N54" s="393">
        <v>7426.0171232876719</v>
      </c>
      <c r="O54" s="393">
        <v>1373.3424657534247</v>
      </c>
      <c r="P54" s="393"/>
      <c r="Q54" s="393"/>
      <c r="R54" s="393">
        <v>8799.3595890410961</v>
      </c>
      <c r="S54" s="393">
        <v>1329.0410958904108</v>
      </c>
      <c r="T54" s="393"/>
      <c r="U54" s="393"/>
      <c r="V54" s="393">
        <v>10128.400684931506</v>
      </c>
      <c r="W54" s="393">
        <v>1373.3424657534247</v>
      </c>
      <c r="X54" s="393"/>
      <c r="Y54" s="393"/>
      <c r="Z54" s="393">
        <v>11501.743150684932</v>
      </c>
      <c r="AA54" s="396"/>
    </row>
    <row r="55" spans="1:27" ht="57.6" x14ac:dyDescent="0.3">
      <c r="A55" s="398">
        <v>5060</v>
      </c>
      <c r="B55" s="399" t="s">
        <v>177</v>
      </c>
      <c r="C55" s="399" t="s">
        <v>201</v>
      </c>
      <c r="D55" s="399" t="s">
        <v>200</v>
      </c>
      <c r="E55" s="400">
        <v>33000</v>
      </c>
      <c r="F55" s="401">
        <v>43942</v>
      </c>
      <c r="G55" s="401">
        <v>44307</v>
      </c>
      <c r="H55" s="397"/>
      <c r="I55" s="394">
        <v>6.4</v>
      </c>
      <c r="J55" s="393">
        <v>767.00639269406383</v>
      </c>
      <c r="K55" s="393">
        <v>173.58904109589042</v>
      </c>
      <c r="L55" s="393"/>
      <c r="M55" s="393"/>
      <c r="N55" s="393">
        <v>940.59543378995431</v>
      </c>
      <c r="O55" s="393">
        <v>179.37534246575342</v>
      </c>
      <c r="P55" s="393"/>
      <c r="Q55" s="393"/>
      <c r="R55" s="393">
        <v>1119.9707762557077</v>
      </c>
      <c r="S55" s="393">
        <v>173.58904109589042</v>
      </c>
      <c r="T55" s="393"/>
      <c r="U55" s="393"/>
      <c r="V55" s="393">
        <v>1293.5598173515982</v>
      </c>
      <c r="W55" s="393">
        <v>179.37534246575342</v>
      </c>
      <c r="X55" s="393"/>
      <c r="Y55" s="393"/>
      <c r="Z55" s="393">
        <v>1472.9351598173516</v>
      </c>
      <c r="AA55" s="396"/>
    </row>
    <row r="56" spans="1:27" ht="57.6" x14ac:dyDescent="0.3">
      <c r="A56" s="398"/>
      <c r="B56" s="399" t="s">
        <v>174</v>
      </c>
      <c r="C56" s="399" t="s">
        <v>197</v>
      </c>
      <c r="D56" s="399" t="s">
        <v>196</v>
      </c>
      <c r="E56" s="400">
        <v>631303.15</v>
      </c>
      <c r="F56" s="401">
        <v>44102</v>
      </c>
      <c r="G56" s="401">
        <v>44308</v>
      </c>
      <c r="H56" s="397"/>
      <c r="I56" s="394">
        <v>5.65</v>
      </c>
      <c r="J56" s="393"/>
      <c r="K56" s="393">
        <v>2931.6680527397261</v>
      </c>
      <c r="L56" s="393"/>
      <c r="M56" s="393"/>
      <c r="N56" s="393">
        <v>2931.6680527397261</v>
      </c>
      <c r="O56" s="393">
        <v>3029.3903211643837</v>
      </c>
      <c r="P56" s="393"/>
      <c r="Q56" s="393"/>
      <c r="R56" s="393">
        <v>5961.0583739041103</v>
      </c>
      <c r="S56" s="393">
        <v>2931.6680527397261</v>
      </c>
      <c r="T56" s="393"/>
      <c r="U56" s="393"/>
      <c r="V56" s="393">
        <v>8892.726426643836</v>
      </c>
      <c r="W56" s="393">
        <v>3029.3903211643837</v>
      </c>
      <c r="X56" s="393"/>
      <c r="Y56" s="393"/>
      <c r="Z56" s="393">
        <v>11922.116747808221</v>
      </c>
      <c r="AA56" s="396"/>
    </row>
    <row r="57" spans="1:27" ht="57.6" x14ac:dyDescent="0.3">
      <c r="A57" s="398">
        <v>5063</v>
      </c>
      <c r="B57" s="399" t="s">
        <v>77</v>
      </c>
      <c r="C57" s="399" t="s">
        <v>193</v>
      </c>
      <c r="D57" s="399" t="s">
        <v>192</v>
      </c>
      <c r="E57" s="400">
        <v>191200</v>
      </c>
      <c r="F57" s="401">
        <v>43948</v>
      </c>
      <c r="G57" s="401">
        <v>44312</v>
      </c>
      <c r="H57" s="397"/>
      <c r="I57" s="394">
        <v>5.4</v>
      </c>
      <c r="J57" s="393">
        <v>3577.5353424657542</v>
      </c>
      <c r="K57" s="393">
        <v>848.61369863013704</v>
      </c>
      <c r="L57" s="393"/>
      <c r="M57" s="393"/>
      <c r="N57" s="393">
        <v>4426.1490410958913</v>
      </c>
      <c r="O57" s="393">
        <v>876.90082191780834</v>
      </c>
      <c r="P57" s="393"/>
      <c r="Q57" s="393"/>
      <c r="R57" s="393">
        <v>5303.0498630136999</v>
      </c>
      <c r="S57" s="393">
        <v>848.61369863013704</v>
      </c>
      <c r="T57" s="393"/>
      <c r="U57" s="393"/>
      <c r="V57" s="393">
        <v>6151.6635616438371</v>
      </c>
      <c r="W57" s="393">
        <v>876.90082191780834</v>
      </c>
      <c r="X57" s="393"/>
      <c r="Y57" s="393"/>
      <c r="Z57" s="393">
        <v>7028.5643835616456</v>
      </c>
      <c r="AA57" s="396"/>
    </row>
    <row r="58" spans="1:27" ht="57.6" x14ac:dyDescent="0.3">
      <c r="A58" s="398">
        <v>5060</v>
      </c>
      <c r="B58" s="399" t="s">
        <v>177</v>
      </c>
      <c r="C58" s="399" t="s">
        <v>191</v>
      </c>
      <c r="D58" s="399" t="s">
        <v>190</v>
      </c>
      <c r="E58" s="400">
        <v>20000</v>
      </c>
      <c r="F58" s="401">
        <v>43946</v>
      </c>
      <c r="G58" s="401">
        <v>44311</v>
      </c>
      <c r="H58" s="397"/>
      <c r="I58" s="394">
        <v>6</v>
      </c>
      <c r="J58" s="393">
        <v>422.46575342465752</v>
      </c>
      <c r="K58" s="393">
        <v>98.630136986301366</v>
      </c>
      <c r="L58" s="393"/>
      <c r="M58" s="393"/>
      <c r="N58" s="393">
        <v>521.09589041095887</v>
      </c>
      <c r="O58" s="393">
        <v>101.91780821917807</v>
      </c>
      <c r="P58" s="393"/>
      <c r="Q58" s="393"/>
      <c r="R58" s="393">
        <v>623.0136986301369</v>
      </c>
      <c r="S58" s="393">
        <v>98.630136986301366</v>
      </c>
      <c r="T58" s="393"/>
      <c r="U58" s="393"/>
      <c r="V58" s="393">
        <v>721.64383561643831</v>
      </c>
      <c r="W58" s="393">
        <v>101.91780821917807</v>
      </c>
      <c r="X58" s="393"/>
      <c r="Y58" s="393"/>
      <c r="Z58" s="393">
        <v>823.56164383561634</v>
      </c>
      <c r="AA58" s="396"/>
    </row>
    <row r="59" spans="1:27" ht="57.6" x14ac:dyDescent="0.3">
      <c r="A59" s="404">
        <v>5060</v>
      </c>
      <c r="B59" s="405" t="s">
        <v>177</v>
      </c>
      <c r="C59" s="405" t="s">
        <v>189</v>
      </c>
      <c r="D59" s="405" t="s">
        <v>188</v>
      </c>
      <c r="E59" s="406">
        <v>60000</v>
      </c>
      <c r="F59" s="401">
        <v>43946</v>
      </c>
      <c r="G59" s="401">
        <v>44311</v>
      </c>
      <c r="H59" s="397"/>
      <c r="I59" s="394">
        <v>6</v>
      </c>
      <c r="J59" s="393">
        <v>1267.3972602739725</v>
      </c>
      <c r="K59" s="393">
        <v>295.89041095890411</v>
      </c>
      <c r="L59" s="393"/>
      <c r="M59" s="393"/>
      <c r="N59" s="393">
        <v>1563.2876712328766</v>
      </c>
      <c r="O59" s="393">
        <v>305.75342465753425</v>
      </c>
      <c r="P59" s="393"/>
      <c r="Q59" s="393"/>
      <c r="R59" s="393">
        <v>1869.0410958904108</v>
      </c>
      <c r="S59" s="393">
        <v>295.89041095890411</v>
      </c>
      <c r="T59" s="393"/>
      <c r="U59" s="393"/>
      <c r="V59" s="393">
        <v>2164.9315068493152</v>
      </c>
      <c r="W59" s="393">
        <v>305.75342465753425</v>
      </c>
      <c r="X59" s="393"/>
      <c r="Y59" s="393"/>
      <c r="Z59" s="393">
        <v>2470.6849315068494</v>
      </c>
      <c r="AA59" s="396"/>
    </row>
    <row r="60" spans="1:27" ht="57.6" x14ac:dyDescent="0.3">
      <c r="A60" s="404">
        <v>5060</v>
      </c>
      <c r="B60" s="405" t="s">
        <v>177</v>
      </c>
      <c r="C60" s="405" t="s">
        <v>187</v>
      </c>
      <c r="D60" s="405" t="s">
        <v>186</v>
      </c>
      <c r="E60" s="406">
        <v>87995</v>
      </c>
      <c r="F60" s="401">
        <v>43946</v>
      </c>
      <c r="G60" s="401">
        <v>44311</v>
      </c>
      <c r="H60" s="397"/>
      <c r="I60" s="394">
        <v>6</v>
      </c>
      <c r="J60" s="393">
        <v>1858.7436986301368</v>
      </c>
      <c r="K60" s="393">
        <v>433.94794520547947</v>
      </c>
      <c r="L60" s="393"/>
      <c r="M60" s="393"/>
      <c r="N60" s="393">
        <v>2292.6916438356161</v>
      </c>
      <c r="O60" s="393">
        <v>448.41287671232874</v>
      </c>
      <c r="P60" s="393"/>
      <c r="Q60" s="393"/>
      <c r="R60" s="393">
        <v>2741.104520547945</v>
      </c>
      <c r="S60" s="393">
        <v>433.94794520547941</v>
      </c>
      <c r="T60" s="393"/>
      <c r="U60" s="393"/>
      <c r="V60" s="393">
        <v>3175.0524657534243</v>
      </c>
      <c r="W60" s="393">
        <v>448.41287671232874</v>
      </c>
      <c r="X60" s="393"/>
      <c r="Y60" s="393"/>
      <c r="Z60" s="393">
        <v>3623.4653424657531</v>
      </c>
      <c r="AA60" s="396"/>
    </row>
    <row r="61" spans="1:27" ht="57.6" x14ac:dyDescent="0.3">
      <c r="A61" s="404">
        <v>5060</v>
      </c>
      <c r="B61" s="405" t="s">
        <v>177</v>
      </c>
      <c r="C61" s="405" t="s">
        <v>185</v>
      </c>
      <c r="D61" s="405" t="s">
        <v>184</v>
      </c>
      <c r="E61" s="406">
        <v>17500</v>
      </c>
      <c r="F61" s="401">
        <v>43946</v>
      </c>
      <c r="G61" s="401">
        <v>44311</v>
      </c>
      <c r="H61" s="397"/>
      <c r="I61" s="394">
        <v>6</v>
      </c>
      <c r="J61" s="393">
        <v>369.65753424657532</v>
      </c>
      <c r="K61" s="393">
        <v>86.30136986301369</v>
      </c>
      <c r="L61" s="393"/>
      <c r="M61" s="393"/>
      <c r="N61" s="393">
        <v>455.95890410958901</v>
      </c>
      <c r="O61" s="393">
        <v>89.178082191780817</v>
      </c>
      <c r="P61" s="393"/>
      <c r="Q61" s="393"/>
      <c r="R61" s="393">
        <v>545.1369863013698</v>
      </c>
      <c r="S61" s="393">
        <v>86.30136986301369</v>
      </c>
      <c r="T61" s="393"/>
      <c r="U61" s="393"/>
      <c r="V61" s="393">
        <v>631.43835616438355</v>
      </c>
      <c r="W61" s="393">
        <v>89.178082191780817</v>
      </c>
      <c r="X61" s="393"/>
      <c r="Y61" s="393"/>
      <c r="Z61" s="393">
        <v>720.61643835616439</v>
      </c>
      <c r="AA61" s="396"/>
    </row>
    <row r="62" spans="1:27" ht="57.6" x14ac:dyDescent="0.3">
      <c r="A62" s="404">
        <v>5060</v>
      </c>
      <c r="B62" s="405" t="s">
        <v>177</v>
      </c>
      <c r="C62" s="405" t="s">
        <v>183</v>
      </c>
      <c r="D62" s="405" t="s">
        <v>182</v>
      </c>
      <c r="E62" s="406">
        <v>48500</v>
      </c>
      <c r="F62" s="401">
        <v>43946</v>
      </c>
      <c r="G62" s="401">
        <v>44311</v>
      </c>
      <c r="H62" s="397"/>
      <c r="I62" s="394">
        <v>6</v>
      </c>
      <c r="J62" s="393">
        <v>1024.4794520547946</v>
      </c>
      <c r="K62" s="393">
        <v>239.17808219178082</v>
      </c>
      <c r="L62" s="393"/>
      <c r="M62" s="393"/>
      <c r="N62" s="393">
        <v>1263.6575342465753</v>
      </c>
      <c r="O62" s="393">
        <v>247.15068493150685</v>
      </c>
      <c r="P62" s="393"/>
      <c r="Q62" s="393"/>
      <c r="R62" s="393">
        <v>1510.8082191780823</v>
      </c>
      <c r="S62" s="393">
        <v>239.17808219178082</v>
      </c>
      <c r="T62" s="393"/>
      <c r="U62" s="393"/>
      <c r="V62" s="393">
        <v>1749.986301369863</v>
      </c>
      <c r="W62" s="393">
        <v>247.15068493150685</v>
      </c>
      <c r="X62" s="393"/>
      <c r="Y62" s="393"/>
      <c r="Z62" s="393">
        <v>1997.1369863013699</v>
      </c>
      <c r="AA62" s="396"/>
    </row>
    <row r="63" spans="1:27" ht="57.6" x14ac:dyDescent="0.3">
      <c r="A63" s="404">
        <v>5060</v>
      </c>
      <c r="B63" s="405" t="s">
        <v>177</v>
      </c>
      <c r="C63" s="405" t="s">
        <v>181</v>
      </c>
      <c r="D63" s="405" t="s">
        <v>180</v>
      </c>
      <c r="E63" s="406">
        <v>100000</v>
      </c>
      <c r="F63" s="401">
        <v>43946</v>
      </c>
      <c r="G63" s="401">
        <v>44311</v>
      </c>
      <c r="H63" s="397"/>
      <c r="I63" s="394">
        <v>6</v>
      </c>
      <c r="J63" s="393">
        <v>2112.3287671232879</v>
      </c>
      <c r="K63" s="393">
        <v>493.15068493150693</v>
      </c>
      <c r="L63" s="393"/>
      <c r="M63" s="393"/>
      <c r="N63" s="393">
        <v>2605.4794520547948</v>
      </c>
      <c r="O63" s="393">
        <v>509.58904109589048</v>
      </c>
      <c r="P63" s="393"/>
      <c r="Q63" s="393"/>
      <c r="R63" s="393">
        <v>3115.0684931506853</v>
      </c>
      <c r="S63" s="393">
        <v>493.15068493150693</v>
      </c>
      <c r="T63" s="393"/>
      <c r="U63" s="393"/>
      <c r="V63" s="393">
        <v>3608.2191780821922</v>
      </c>
      <c r="W63" s="393">
        <v>509.58904109589048</v>
      </c>
      <c r="X63" s="393"/>
      <c r="Y63" s="393"/>
      <c r="Z63" s="393">
        <v>4117.8082191780832</v>
      </c>
      <c r="AA63" s="396"/>
    </row>
    <row r="64" spans="1:27" ht="57.6" x14ac:dyDescent="0.3">
      <c r="A64" s="404">
        <v>5060</v>
      </c>
      <c r="B64" s="405" t="s">
        <v>177</v>
      </c>
      <c r="C64" s="405" t="s">
        <v>179</v>
      </c>
      <c r="D64" s="405" t="s">
        <v>178</v>
      </c>
      <c r="E64" s="406">
        <v>50000</v>
      </c>
      <c r="F64" s="401">
        <v>43946</v>
      </c>
      <c r="G64" s="401">
        <v>44311</v>
      </c>
      <c r="H64" s="397"/>
      <c r="I64" s="394">
        <v>6</v>
      </c>
      <c r="J64" s="393">
        <v>1056.1643835616439</v>
      </c>
      <c r="K64" s="393">
        <v>246.57534246575347</v>
      </c>
      <c r="L64" s="393"/>
      <c r="M64" s="393"/>
      <c r="N64" s="393">
        <v>1302.7397260273974</v>
      </c>
      <c r="O64" s="393">
        <v>254.79452054794524</v>
      </c>
      <c r="P64" s="393"/>
      <c r="Q64" s="393"/>
      <c r="R64" s="393">
        <v>1557.5342465753426</v>
      </c>
      <c r="S64" s="393">
        <v>246.57534246575347</v>
      </c>
      <c r="T64" s="393"/>
      <c r="U64" s="393"/>
      <c r="V64" s="393">
        <v>1804.1095890410961</v>
      </c>
      <c r="W64" s="393">
        <v>254.79452054794524</v>
      </c>
      <c r="X64" s="393"/>
      <c r="Y64" s="393"/>
      <c r="Z64" s="393">
        <v>2058.9041095890416</v>
      </c>
      <c r="AA64" s="396"/>
    </row>
    <row r="65" spans="1:27" ht="57.6" x14ac:dyDescent="0.3">
      <c r="A65" s="404">
        <v>5060</v>
      </c>
      <c r="B65" s="405" t="s">
        <v>177</v>
      </c>
      <c r="C65" s="405" t="s">
        <v>176</v>
      </c>
      <c r="D65" s="405" t="s">
        <v>175</v>
      </c>
      <c r="E65" s="406">
        <v>50000</v>
      </c>
      <c r="F65" s="401">
        <v>43946</v>
      </c>
      <c r="G65" s="401">
        <v>44311</v>
      </c>
      <c r="H65" s="397"/>
      <c r="I65" s="394">
        <v>6</v>
      </c>
      <c r="J65" s="393">
        <v>1056.1643835616439</v>
      </c>
      <c r="K65" s="393">
        <v>246.57534246575347</v>
      </c>
      <c r="L65" s="393"/>
      <c r="M65" s="393"/>
      <c r="N65" s="393">
        <v>1302.7397260273974</v>
      </c>
      <c r="O65" s="393">
        <v>254.79452054794524</v>
      </c>
      <c r="P65" s="393"/>
      <c r="Q65" s="393"/>
      <c r="R65" s="393">
        <v>1557.5342465753426</v>
      </c>
      <c r="S65" s="393">
        <v>246.57534246575347</v>
      </c>
      <c r="T65" s="393"/>
      <c r="U65" s="393"/>
      <c r="V65" s="393">
        <v>1804.1095890410961</v>
      </c>
      <c r="W65" s="393">
        <v>254.79452054794524</v>
      </c>
      <c r="X65" s="393"/>
      <c r="Y65" s="393"/>
      <c r="Z65" s="393">
        <v>2058.9041095890416</v>
      </c>
      <c r="AA65" s="396"/>
    </row>
    <row r="66" spans="1:27" ht="57.6" x14ac:dyDescent="0.3">
      <c r="A66" s="404">
        <v>5004</v>
      </c>
      <c r="B66" s="405" t="s">
        <v>174</v>
      </c>
      <c r="C66" s="405" t="s">
        <v>173</v>
      </c>
      <c r="D66" s="405" t="s">
        <v>172</v>
      </c>
      <c r="E66" s="406">
        <v>985000</v>
      </c>
      <c r="F66" s="401">
        <v>43950</v>
      </c>
      <c r="G66" s="401">
        <v>44315</v>
      </c>
      <c r="H66" s="397"/>
      <c r="I66" s="394">
        <v>6.15</v>
      </c>
      <c r="J66" s="393">
        <v>20653.515981735163</v>
      </c>
      <c r="K66" s="393">
        <v>4978.9726027397255</v>
      </c>
      <c r="L66" s="393"/>
      <c r="M66" s="393"/>
      <c r="N66" s="393">
        <v>25632.48858447489</v>
      </c>
      <c r="O66" s="393">
        <v>5144.9383561643845</v>
      </c>
      <c r="P66" s="393"/>
      <c r="Q66" s="393"/>
      <c r="R66" s="393">
        <v>30777.426940639274</v>
      </c>
      <c r="S66" s="393">
        <v>4978.9726027397264</v>
      </c>
      <c r="T66" s="393"/>
      <c r="U66" s="393"/>
      <c r="V66" s="393">
        <v>35756.399543378997</v>
      </c>
      <c r="W66" s="393">
        <v>5144.9383561643845</v>
      </c>
      <c r="X66" s="393"/>
      <c r="Y66" s="393"/>
      <c r="Z66" s="393">
        <v>40901.337899543381</v>
      </c>
      <c r="AA66" s="396"/>
    </row>
    <row r="67" spans="1:27" x14ac:dyDescent="0.3">
      <c r="A67" s="395">
        <v>5063</v>
      </c>
      <c r="B67" s="396" t="s">
        <v>13</v>
      </c>
      <c r="C67" s="396" t="s">
        <v>171</v>
      </c>
      <c r="D67" s="396" t="s">
        <v>170</v>
      </c>
      <c r="E67" s="394">
        <v>100000</v>
      </c>
      <c r="F67" s="401">
        <v>43953</v>
      </c>
      <c r="G67" s="401">
        <v>44318</v>
      </c>
      <c r="H67" s="397"/>
      <c r="I67" s="396">
        <v>4.9000000000000004</v>
      </c>
      <c r="J67" s="393">
        <v>1629.790715372907</v>
      </c>
      <c r="K67" s="393">
        <v>402.7397260273973</v>
      </c>
      <c r="L67" s="393"/>
      <c r="M67" s="393"/>
      <c r="N67" s="393">
        <v>2032.5304414003044</v>
      </c>
      <c r="O67" s="393">
        <v>416.16438356164383</v>
      </c>
      <c r="P67" s="393"/>
      <c r="Q67" s="393"/>
      <c r="R67" s="393">
        <v>2448.6948249619481</v>
      </c>
      <c r="S67" s="393">
        <v>402.7397260273973</v>
      </c>
      <c r="T67" s="393"/>
      <c r="U67" s="393"/>
      <c r="V67" s="393">
        <v>2851.4345509893456</v>
      </c>
      <c r="W67" s="393">
        <v>416.16438356164383</v>
      </c>
      <c r="X67" s="393"/>
      <c r="Y67" s="393"/>
      <c r="Z67" s="393">
        <v>3267.5989345509893</v>
      </c>
      <c r="AA67" s="396"/>
    </row>
    <row r="68" spans="1:27" x14ac:dyDescent="0.3">
      <c r="A68" s="395">
        <v>5063</v>
      </c>
      <c r="B68" s="396" t="s">
        <v>25</v>
      </c>
      <c r="C68" s="396" t="s">
        <v>169</v>
      </c>
      <c r="D68" s="396" t="s">
        <v>168</v>
      </c>
      <c r="E68" s="394">
        <v>150000</v>
      </c>
      <c r="F68" s="401">
        <v>43953</v>
      </c>
      <c r="G68" s="401">
        <v>44318</v>
      </c>
      <c r="H68" s="397"/>
      <c r="I68" s="396">
        <v>4.4000000000000004</v>
      </c>
      <c r="J68" s="393">
        <v>2195.2283105022834</v>
      </c>
      <c r="K68" s="393">
        <v>542.46575342465758</v>
      </c>
      <c r="L68" s="393"/>
      <c r="M68" s="393"/>
      <c r="N68" s="393">
        <v>2737.694063926941</v>
      </c>
      <c r="O68" s="393">
        <v>560.54794520547944</v>
      </c>
      <c r="P68" s="393"/>
      <c r="Q68" s="393"/>
      <c r="R68" s="393">
        <v>3298.2420091324202</v>
      </c>
      <c r="S68" s="393">
        <v>542.46575342465758</v>
      </c>
      <c r="T68" s="393"/>
      <c r="U68" s="393"/>
      <c r="V68" s="393">
        <v>3840.7077625570778</v>
      </c>
      <c r="W68" s="393">
        <v>560.54794520547944</v>
      </c>
      <c r="X68" s="393"/>
      <c r="Y68" s="393"/>
      <c r="Z68" s="393">
        <v>4401.255707762557</v>
      </c>
      <c r="AA68" s="396"/>
    </row>
    <row r="69" spans="1:27" x14ac:dyDescent="0.3">
      <c r="A69" s="395">
        <v>5040</v>
      </c>
      <c r="B69" s="396" t="s">
        <v>82</v>
      </c>
      <c r="C69" s="396" t="s">
        <v>167</v>
      </c>
      <c r="D69" s="396" t="s">
        <v>166</v>
      </c>
      <c r="E69" s="394">
        <v>41000</v>
      </c>
      <c r="F69" s="401">
        <v>43954</v>
      </c>
      <c r="G69" s="401">
        <v>44319</v>
      </c>
      <c r="H69" s="397"/>
      <c r="I69" s="396">
        <v>6.15</v>
      </c>
      <c r="J69" s="393">
        <v>831.67283105022841</v>
      </c>
      <c r="K69" s="393">
        <v>207.24657534246575</v>
      </c>
      <c r="L69" s="393"/>
      <c r="M69" s="393"/>
      <c r="N69" s="393">
        <v>1038.9194063926941</v>
      </c>
      <c r="O69" s="393">
        <v>214.15479452054799</v>
      </c>
      <c r="P69" s="393"/>
      <c r="Q69" s="393"/>
      <c r="R69" s="393">
        <v>1253.0742009132421</v>
      </c>
      <c r="S69" s="393">
        <v>207.2465753424658</v>
      </c>
      <c r="T69" s="393"/>
      <c r="U69" s="393"/>
      <c r="V69" s="393">
        <v>1460.3207762557079</v>
      </c>
      <c r="W69" s="393">
        <v>214.15479452054799</v>
      </c>
      <c r="X69" s="393"/>
      <c r="Y69" s="393"/>
      <c r="Z69" s="393">
        <v>1674.4755707762558</v>
      </c>
      <c r="AA69" s="396"/>
    </row>
    <row r="70" spans="1:27" x14ac:dyDescent="0.3">
      <c r="A70" s="395">
        <v>5062</v>
      </c>
      <c r="B70" s="396" t="s">
        <v>85</v>
      </c>
      <c r="C70" s="396" t="s">
        <v>165</v>
      </c>
      <c r="D70" s="396" t="s">
        <v>164</v>
      </c>
      <c r="E70" s="394">
        <v>200000</v>
      </c>
      <c r="F70" s="401">
        <v>43959</v>
      </c>
      <c r="G70" s="401">
        <v>44324</v>
      </c>
      <c r="H70" s="397"/>
      <c r="I70" s="396">
        <v>4.4000000000000004</v>
      </c>
      <c r="J70" s="393">
        <v>2780.3044140030443</v>
      </c>
      <c r="K70" s="393">
        <v>723.28767123287673</v>
      </c>
      <c r="L70" s="393"/>
      <c r="M70" s="393"/>
      <c r="N70" s="393">
        <v>3503.5920852359209</v>
      </c>
      <c r="O70" s="393">
        <v>747.39726027397262</v>
      </c>
      <c r="P70" s="393"/>
      <c r="Q70" s="393"/>
      <c r="R70" s="393">
        <v>4250.9893455098936</v>
      </c>
      <c r="S70" s="393">
        <v>723.28767123287673</v>
      </c>
      <c r="T70" s="393"/>
      <c r="U70" s="393"/>
      <c r="V70" s="393">
        <v>4974.2770167427707</v>
      </c>
      <c r="W70" s="393">
        <v>747.39726027397262</v>
      </c>
      <c r="X70" s="393"/>
      <c r="Y70" s="393"/>
      <c r="Z70" s="393">
        <v>5721.674277016743</v>
      </c>
      <c r="AA70" s="396"/>
    </row>
    <row r="71" spans="1:27" x14ac:dyDescent="0.3">
      <c r="A71" s="395">
        <v>5057</v>
      </c>
      <c r="B71" s="396" t="s">
        <v>74</v>
      </c>
      <c r="C71" s="396" t="s">
        <v>161</v>
      </c>
      <c r="D71" s="396" t="s">
        <v>160</v>
      </c>
      <c r="E71" s="394">
        <v>75000</v>
      </c>
      <c r="F71" s="401">
        <v>43965</v>
      </c>
      <c r="G71" s="401">
        <v>44330</v>
      </c>
      <c r="H71" s="397"/>
      <c r="I71" s="396">
        <v>3.4</v>
      </c>
      <c r="J71" s="393">
        <v>763.15639269406404</v>
      </c>
      <c r="K71" s="393">
        <v>209.58904109589042</v>
      </c>
      <c r="L71" s="393"/>
      <c r="M71" s="393"/>
      <c r="N71" s="393">
        <v>972.7454337899544</v>
      </c>
      <c r="O71" s="393">
        <v>216.57534246575344</v>
      </c>
      <c r="P71" s="393"/>
      <c r="Q71" s="393"/>
      <c r="R71" s="393">
        <v>1189.3207762557079</v>
      </c>
      <c r="S71" s="393">
        <v>209.58904109589042</v>
      </c>
      <c r="T71" s="393"/>
      <c r="U71" s="393"/>
      <c r="V71" s="393">
        <v>1398.9098173515983</v>
      </c>
      <c r="W71" s="393">
        <v>216.57534246575344</v>
      </c>
      <c r="X71" s="393"/>
      <c r="Y71" s="393"/>
      <c r="Z71" s="393">
        <v>1615.4851598173518</v>
      </c>
      <c r="AA71" s="396"/>
    </row>
    <row r="72" spans="1:27" x14ac:dyDescent="0.3">
      <c r="A72" s="395">
        <v>5055</v>
      </c>
      <c r="B72" s="396" t="s">
        <v>159</v>
      </c>
      <c r="C72" s="396" t="s">
        <v>158</v>
      </c>
      <c r="D72" s="396" t="s">
        <v>157</v>
      </c>
      <c r="E72" s="394">
        <v>500000</v>
      </c>
      <c r="F72" s="401">
        <v>43966</v>
      </c>
      <c r="G72" s="401">
        <v>44331</v>
      </c>
      <c r="H72" s="397"/>
      <c r="I72" s="396">
        <v>7.55</v>
      </c>
      <c r="J72" s="393">
        <v>11192.846270928461</v>
      </c>
      <c r="K72" s="393">
        <v>3102.7397260273974</v>
      </c>
      <c r="L72" s="393"/>
      <c r="M72" s="393"/>
      <c r="N72" s="393">
        <v>14295.585996955859</v>
      </c>
      <c r="O72" s="393">
        <v>3206.1643835616437</v>
      </c>
      <c r="P72" s="393"/>
      <c r="Q72" s="393"/>
      <c r="R72" s="393">
        <v>17501.750380517504</v>
      </c>
      <c r="S72" s="393">
        <v>3102.7397260273974</v>
      </c>
      <c r="T72" s="393"/>
      <c r="U72" s="393"/>
      <c r="V72" s="393">
        <v>20604.490106544901</v>
      </c>
      <c r="W72" s="393">
        <v>3206.1643835616437</v>
      </c>
      <c r="X72" s="393"/>
      <c r="Y72" s="393"/>
      <c r="Z72" s="393">
        <v>23810.654490106546</v>
      </c>
      <c r="AA72" s="396"/>
    </row>
    <row r="73" spans="1:27" x14ac:dyDescent="0.3">
      <c r="A73" s="395">
        <v>5055</v>
      </c>
      <c r="B73" s="396" t="s">
        <v>53</v>
      </c>
      <c r="C73" s="396" t="s">
        <v>156</v>
      </c>
      <c r="D73" s="396" t="s">
        <v>155</v>
      </c>
      <c r="E73" s="394">
        <v>500000</v>
      </c>
      <c r="F73" s="401">
        <v>43966</v>
      </c>
      <c r="G73" s="401">
        <v>44331</v>
      </c>
      <c r="H73" s="397"/>
      <c r="I73" s="396">
        <v>7.55</v>
      </c>
      <c r="J73" s="393">
        <v>11192.846270928461</v>
      </c>
      <c r="K73" s="393">
        <v>3102.7397260273974</v>
      </c>
      <c r="L73" s="393"/>
      <c r="M73" s="393"/>
      <c r="N73" s="393">
        <v>14295.585996955859</v>
      </c>
      <c r="O73" s="393">
        <v>3206.1643835616437</v>
      </c>
      <c r="P73" s="393"/>
      <c r="Q73" s="393"/>
      <c r="R73" s="393">
        <v>17501.750380517504</v>
      </c>
      <c r="S73" s="393">
        <v>3102.7397260273974</v>
      </c>
      <c r="T73" s="393"/>
      <c r="U73" s="393"/>
      <c r="V73" s="393">
        <v>20604.490106544901</v>
      </c>
      <c r="W73" s="393">
        <v>3206.1643835616437</v>
      </c>
      <c r="X73" s="393"/>
      <c r="Y73" s="393"/>
      <c r="Z73" s="393">
        <v>23810.654490106546</v>
      </c>
      <c r="AA73" s="396"/>
    </row>
    <row r="74" spans="1:27" x14ac:dyDescent="0.3">
      <c r="A74" s="395">
        <v>5031</v>
      </c>
      <c r="B74" s="396" t="s">
        <v>7</v>
      </c>
      <c r="C74" s="396" t="s">
        <v>154</v>
      </c>
      <c r="D74" s="396" t="s">
        <v>153</v>
      </c>
      <c r="E74" s="394">
        <v>103000</v>
      </c>
      <c r="F74" s="401">
        <v>43967</v>
      </c>
      <c r="G74" s="401">
        <v>44332</v>
      </c>
      <c r="H74" s="397"/>
      <c r="I74" s="396">
        <v>6.4</v>
      </c>
      <c r="J74" s="393">
        <v>1936.2118721461188</v>
      </c>
      <c r="K74" s="393">
        <v>541.80821917808225</v>
      </c>
      <c r="L74" s="393"/>
      <c r="M74" s="393"/>
      <c r="N74" s="393">
        <v>2478.0200913242011</v>
      </c>
      <c r="O74" s="393">
        <v>559.86849315068491</v>
      </c>
      <c r="P74" s="393"/>
      <c r="Q74" s="393"/>
      <c r="R74" s="393">
        <v>3037.8885844748861</v>
      </c>
      <c r="S74" s="393">
        <v>541.80821917808225</v>
      </c>
      <c r="T74" s="393"/>
      <c r="U74" s="393"/>
      <c r="V74" s="393">
        <v>3579.6968036529684</v>
      </c>
      <c r="W74" s="393">
        <v>559.86849315068491</v>
      </c>
      <c r="X74" s="393"/>
      <c r="Y74" s="393"/>
      <c r="Z74" s="393">
        <v>4139.5652968036529</v>
      </c>
      <c r="AA74" s="396"/>
    </row>
    <row r="75" spans="1:27" x14ac:dyDescent="0.3">
      <c r="A75" s="395">
        <v>5031</v>
      </c>
      <c r="B75" s="396" t="s">
        <v>7</v>
      </c>
      <c r="C75" s="396" t="s">
        <v>152</v>
      </c>
      <c r="D75" s="396" t="s">
        <v>151</v>
      </c>
      <c r="E75" s="394">
        <v>200000</v>
      </c>
      <c r="F75" s="401">
        <v>43967</v>
      </c>
      <c r="G75" s="401">
        <v>44332</v>
      </c>
      <c r="H75" s="397"/>
      <c r="I75" s="396">
        <v>6.4</v>
      </c>
      <c r="J75" s="393">
        <v>3759.6347031963469</v>
      </c>
      <c r="K75" s="393">
        <v>1052.0547945205478</v>
      </c>
      <c r="L75" s="393"/>
      <c r="M75" s="393"/>
      <c r="N75" s="393">
        <v>4811.6894977168949</v>
      </c>
      <c r="O75" s="393">
        <v>1087.1232876712329</v>
      </c>
      <c r="P75" s="393"/>
      <c r="Q75" s="393"/>
      <c r="R75" s="393">
        <v>5898.8127853881278</v>
      </c>
      <c r="S75" s="393">
        <v>1052.0547945205478</v>
      </c>
      <c r="T75" s="393"/>
      <c r="U75" s="393"/>
      <c r="V75" s="393">
        <v>6950.8675799086759</v>
      </c>
      <c r="W75" s="393">
        <v>1087.1232876712329</v>
      </c>
      <c r="X75" s="393"/>
      <c r="Y75" s="393"/>
      <c r="Z75" s="393">
        <v>8037.9908675799088</v>
      </c>
      <c r="AA75" s="396"/>
    </row>
    <row r="76" spans="1:27" x14ac:dyDescent="0.3">
      <c r="A76" s="395">
        <v>5005</v>
      </c>
      <c r="B76" s="396" t="s">
        <v>127</v>
      </c>
      <c r="C76" s="396" t="s">
        <v>150</v>
      </c>
      <c r="D76" s="396" t="s">
        <v>149</v>
      </c>
      <c r="E76" s="394">
        <v>110000</v>
      </c>
      <c r="F76" s="401">
        <v>43978</v>
      </c>
      <c r="G76" s="401">
        <v>44343</v>
      </c>
      <c r="H76" s="397"/>
      <c r="I76" s="396">
        <v>3.91</v>
      </c>
      <c r="J76" s="393">
        <v>1131.8765601217656</v>
      </c>
      <c r="K76" s="393">
        <v>353.50684931506851</v>
      </c>
      <c r="L76" s="393"/>
      <c r="M76" s="393"/>
      <c r="N76" s="393">
        <v>1485.383409436834</v>
      </c>
      <c r="O76" s="393">
        <v>365.29041095890409</v>
      </c>
      <c r="P76" s="393"/>
      <c r="Q76" s="393"/>
      <c r="R76" s="393">
        <v>1850.6738203957379</v>
      </c>
      <c r="S76" s="393">
        <v>353.50684931506851</v>
      </c>
      <c r="T76" s="393"/>
      <c r="U76" s="393"/>
      <c r="V76" s="393">
        <v>2204.1806697108063</v>
      </c>
      <c r="W76" s="393">
        <v>365.29041095890409</v>
      </c>
      <c r="X76" s="393"/>
      <c r="Y76" s="393"/>
      <c r="Z76" s="393">
        <v>2569.4710806697103</v>
      </c>
      <c r="AA76" s="396"/>
    </row>
    <row r="77" spans="1:27" x14ac:dyDescent="0.3">
      <c r="A77" s="404">
        <v>5003</v>
      </c>
      <c r="B77" s="405" t="s">
        <v>148</v>
      </c>
      <c r="C77" s="396" t="s">
        <v>147</v>
      </c>
      <c r="D77" s="396" t="s">
        <v>146</v>
      </c>
      <c r="E77" s="406">
        <v>150000</v>
      </c>
      <c r="F77" s="401">
        <v>43980</v>
      </c>
      <c r="G77" s="401">
        <v>44345</v>
      </c>
      <c r="H77" s="397"/>
      <c r="I77" s="394">
        <v>5.9</v>
      </c>
      <c r="J77" s="393">
        <v>2230.6849315068494</v>
      </c>
      <c r="K77" s="393">
        <v>727.39726027397262</v>
      </c>
      <c r="L77" s="393"/>
      <c r="M77" s="393"/>
      <c r="N77" s="393">
        <v>2958.0821917808221</v>
      </c>
      <c r="O77" s="393">
        <v>751.64383561643831</v>
      </c>
      <c r="P77" s="393"/>
      <c r="Q77" s="393"/>
      <c r="R77" s="393">
        <v>3709.7260273972606</v>
      </c>
      <c r="S77" s="393">
        <v>727.39726027397262</v>
      </c>
      <c r="T77" s="393"/>
      <c r="U77" s="393"/>
      <c r="V77" s="393">
        <v>4437.1232876712329</v>
      </c>
      <c r="W77" s="393">
        <v>751.64383561643831</v>
      </c>
      <c r="X77" s="393"/>
      <c r="Y77" s="393"/>
      <c r="Z77" s="393">
        <v>5188.767123287671</v>
      </c>
      <c r="AA77" s="396"/>
    </row>
    <row r="78" spans="1:27" x14ac:dyDescent="0.3">
      <c r="A78" s="395">
        <v>5057</v>
      </c>
      <c r="B78" s="396" t="s">
        <v>22</v>
      </c>
      <c r="C78" s="396" t="s">
        <v>145</v>
      </c>
      <c r="D78" s="396" t="s">
        <v>144</v>
      </c>
      <c r="E78" s="394">
        <v>1100000</v>
      </c>
      <c r="F78" s="401">
        <v>43983</v>
      </c>
      <c r="G78" s="401">
        <v>44348</v>
      </c>
      <c r="H78" s="397"/>
      <c r="I78" s="394">
        <v>6.6</v>
      </c>
      <c r="J78" s="393">
        <v>18100.273972602739</v>
      </c>
      <c r="K78" s="393">
        <v>5967.1232876712329</v>
      </c>
      <c r="L78" s="393"/>
      <c r="M78" s="393"/>
      <c r="N78" s="393">
        <v>24067.397260273974</v>
      </c>
      <c r="O78" s="393">
        <v>6166.0273972602745</v>
      </c>
      <c r="P78" s="393"/>
      <c r="Q78" s="393"/>
      <c r="R78" s="393">
        <v>30233.424657534248</v>
      </c>
      <c r="S78" s="393">
        <v>5967.1232876712329</v>
      </c>
      <c r="T78" s="393"/>
      <c r="U78" s="393"/>
      <c r="V78" s="393">
        <v>36200.547945205479</v>
      </c>
      <c r="W78" s="393">
        <v>6166.0273972602745</v>
      </c>
      <c r="X78" s="393"/>
      <c r="Y78" s="393"/>
      <c r="Z78" s="393">
        <v>42366.575342465752</v>
      </c>
      <c r="AA78" s="396"/>
    </row>
    <row r="79" spans="1:27" x14ac:dyDescent="0.3">
      <c r="A79" s="395">
        <v>5005</v>
      </c>
      <c r="B79" s="396" t="s">
        <v>143</v>
      </c>
      <c r="C79" s="396" t="s">
        <v>142</v>
      </c>
      <c r="D79" s="396" t="s">
        <v>141</v>
      </c>
      <c r="E79" s="394">
        <v>1400055.56</v>
      </c>
      <c r="F79" s="401">
        <v>43985</v>
      </c>
      <c r="G79" s="401">
        <v>44350</v>
      </c>
      <c r="H79" s="397"/>
      <c r="I79" s="394">
        <v>6.92</v>
      </c>
      <c r="J79" s="393">
        <v>23623.732008021922</v>
      </c>
      <c r="K79" s="393">
        <v>7963.0557330410938</v>
      </c>
      <c r="L79" s="393"/>
      <c r="M79" s="393"/>
      <c r="N79" s="393">
        <v>31586.787741063017</v>
      </c>
      <c r="O79" s="393">
        <v>8228.4909241424666</v>
      </c>
      <c r="P79" s="393"/>
      <c r="Q79" s="393"/>
      <c r="R79" s="393">
        <v>39815.278665205486</v>
      </c>
      <c r="S79" s="393">
        <v>7963.0557330410957</v>
      </c>
      <c r="T79" s="393"/>
      <c r="U79" s="393"/>
      <c r="V79" s="393">
        <v>47778.334398246581</v>
      </c>
      <c r="W79" s="393">
        <v>8228.4909241424666</v>
      </c>
      <c r="X79" s="393"/>
      <c r="Y79" s="393"/>
      <c r="Z79" s="393">
        <v>56006.82532238905</v>
      </c>
      <c r="AA79" s="396"/>
    </row>
    <row r="80" spans="1:27" x14ac:dyDescent="0.3">
      <c r="A80" s="395">
        <v>5063</v>
      </c>
      <c r="B80" s="396" t="s">
        <v>77</v>
      </c>
      <c r="C80" s="396" t="s">
        <v>140</v>
      </c>
      <c r="D80" s="396" t="s">
        <v>139</v>
      </c>
      <c r="E80" s="394">
        <v>240000</v>
      </c>
      <c r="F80" s="401">
        <v>43988</v>
      </c>
      <c r="G80" s="401">
        <v>44353</v>
      </c>
      <c r="H80" s="397"/>
      <c r="I80" s="394">
        <v>5.4</v>
      </c>
      <c r="J80" s="393">
        <v>3053.5890410958909</v>
      </c>
      <c r="K80" s="393">
        <v>1065.2054794520548</v>
      </c>
      <c r="L80" s="393"/>
      <c r="M80" s="393"/>
      <c r="N80" s="393">
        <v>4118.7945205479455</v>
      </c>
      <c r="O80" s="393">
        <v>1100.7123287671236</v>
      </c>
      <c r="P80" s="393"/>
      <c r="Q80" s="393"/>
      <c r="R80" s="393">
        <v>5219.5068493150693</v>
      </c>
      <c r="S80" s="393">
        <v>1065.205479452055</v>
      </c>
      <c r="T80" s="393"/>
      <c r="U80" s="393"/>
      <c r="V80" s="393">
        <v>6284.7123287671238</v>
      </c>
      <c r="W80" s="393">
        <v>1100.7123287671236</v>
      </c>
      <c r="X80" s="393"/>
      <c r="Y80" s="393"/>
      <c r="Z80" s="393">
        <v>7385.4246575342477</v>
      </c>
      <c r="AA80" s="396"/>
    </row>
    <row r="81" spans="1:27" x14ac:dyDescent="0.3">
      <c r="A81" s="395">
        <v>5031</v>
      </c>
      <c r="B81" s="396" t="s">
        <v>138</v>
      </c>
      <c r="C81" s="396" t="s">
        <v>137</v>
      </c>
      <c r="D81" s="396" t="s">
        <v>136</v>
      </c>
      <c r="E81" s="394">
        <v>150162.5</v>
      </c>
      <c r="F81" s="401">
        <v>43990</v>
      </c>
      <c r="G81" s="401">
        <v>44354</v>
      </c>
      <c r="H81" s="397"/>
      <c r="I81" s="394">
        <v>6.42</v>
      </c>
      <c r="J81" s="393">
        <v>2245.032226027397</v>
      </c>
      <c r="K81" s="393">
        <v>792.36431506849317</v>
      </c>
      <c r="L81" s="393"/>
      <c r="M81" s="393"/>
      <c r="N81" s="393">
        <v>3037.3965410958899</v>
      </c>
      <c r="O81" s="393">
        <v>818.77645890410952</v>
      </c>
      <c r="P81" s="393"/>
      <c r="Q81" s="393"/>
      <c r="R81" s="393">
        <v>3856.1729999999993</v>
      </c>
      <c r="S81" s="393">
        <v>792.36431506849306</v>
      </c>
      <c r="T81" s="393"/>
      <c r="U81" s="393"/>
      <c r="V81" s="393">
        <v>4648.5373150684927</v>
      </c>
      <c r="W81" s="393">
        <v>818.77645890410952</v>
      </c>
      <c r="X81" s="393"/>
      <c r="Y81" s="393"/>
      <c r="Z81" s="393">
        <v>5467.3137739726026</v>
      </c>
      <c r="AA81" s="396"/>
    </row>
    <row r="82" spans="1:27" x14ac:dyDescent="0.3">
      <c r="A82" s="395">
        <v>5060</v>
      </c>
      <c r="B82" s="396" t="s">
        <v>40</v>
      </c>
      <c r="C82" s="396" t="s">
        <v>135</v>
      </c>
      <c r="D82" s="396" t="s">
        <v>134</v>
      </c>
      <c r="E82" s="394">
        <v>350000</v>
      </c>
      <c r="F82" s="401">
        <v>43992</v>
      </c>
      <c r="G82" s="401">
        <v>44357</v>
      </c>
      <c r="H82" s="397"/>
      <c r="I82" s="394">
        <v>6.4</v>
      </c>
      <c r="J82" s="393">
        <v>5032.3287671232874</v>
      </c>
      <c r="K82" s="393">
        <v>1841.0958904109589</v>
      </c>
      <c r="L82" s="393"/>
      <c r="M82" s="393"/>
      <c r="N82" s="393">
        <v>6873.4246575342459</v>
      </c>
      <c r="O82" s="393">
        <v>1902.4657534246574</v>
      </c>
      <c r="P82" s="393"/>
      <c r="Q82" s="393"/>
      <c r="R82" s="393">
        <v>8775.8904109589039</v>
      </c>
      <c r="S82" s="393">
        <v>1841.0958904109589</v>
      </c>
      <c r="T82" s="393"/>
      <c r="U82" s="393"/>
      <c r="V82" s="393">
        <v>10616.986301369863</v>
      </c>
      <c r="W82" s="393">
        <v>1902.4657534246574</v>
      </c>
      <c r="X82" s="393"/>
      <c r="Y82" s="393"/>
      <c r="Z82" s="393">
        <v>12519.452054794521</v>
      </c>
      <c r="AA82" s="396"/>
    </row>
    <row r="83" spans="1:27" x14ac:dyDescent="0.3">
      <c r="A83" s="395">
        <v>5060</v>
      </c>
      <c r="B83" s="396" t="s">
        <v>40</v>
      </c>
      <c r="C83" s="396" t="s">
        <v>133</v>
      </c>
      <c r="D83" s="396" t="s">
        <v>132</v>
      </c>
      <c r="E83" s="394">
        <v>955000</v>
      </c>
      <c r="F83" s="401">
        <v>43992</v>
      </c>
      <c r="G83" s="401">
        <v>44357</v>
      </c>
      <c r="H83" s="397"/>
      <c r="I83" s="394">
        <v>6.4</v>
      </c>
      <c r="J83" s="393">
        <v>13731.068493150684</v>
      </c>
      <c r="K83" s="393">
        <v>5023.5616438356165</v>
      </c>
      <c r="L83" s="393"/>
      <c r="M83" s="393"/>
      <c r="N83" s="393">
        <v>18754.630136986299</v>
      </c>
      <c r="O83" s="393">
        <v>5191.0136986301368</v>
      </c>
      <c r="P83" s="393"/>
      <c r="Q83" s="393"/>
      <c r="R83" s="393">
        <v>23945.643835616436</v>
      </c>
      <c r="S83" s="393">
        <v>5023.5616438356165</v>
      </c>
      <c r="T83" s="393"/>
      <c r="U83" s="393"/>
      <c r="V83" s="393">
        <v>28969.205479452052</v>
      </c>
      <c r="W83" s="393">
        <v>5191.0136986301368</v>
      </c>
      <c r="X83" s="393"/>
      <c r="Y83" s="393"/>
      <c r="Z83" s="393">
        <v>34160.219178082189</v>
      </c>
      <c r="AA83" s="396"/>
    </row>
    <row r="84" spans="1:27" x14ac:dyDescent="0.3">
      <c r="A84" s="395">
        <v>5063</v>
      </c>
      <c r="B84" s="396" t="s">
        <v>13</v>
      </c>
      <c r="C84" s="396" t="s">
        <v>131</v>
      </c>
      <c r="D84" s="396" t="s">
        <v>130</v>
      </c>
      <c r="E84" s="394">
        <v>437500</v>
      </c>
      <c r="F84" s="401">
        <v>43993</v>
      </c>
      <c r="G84" s="401">
        <v>44358</v>
      </c>
      <c r="H84" s="397"/>
      <c r="I84" s="394">
        <v>8.9</v>
      </c>
      <c r="J84" s="393">
        <v>8640.9246575342477</v>
      </c>
      <c r="K84" s="393">
        <v>3200.3424657534247</v>
      </c>
      <c r="L84" s="393"/>
      <c r="M84" s="393"/>
      <c r="N84" s="393">
        <v>11841.267123287673</v>
      </c>
      <c r="O84" s="393">
        <v>3307.0205479452061</v>
      </c>
      <c r="P84" s="393"/>
      <c r="Q84" s="393"/>
      <c r="R84" s="393">
        <v>15148.28767123288</v>
      </c>
      <c r="S84" s="393">
        <v>3200.3424657534251</v>
      </c>
      <c r="T84" s="393"/>
      <c r="U84" s="393"/>
      <c r="V84" s="393">
        <v>18348.630136986307</v>
      </c>
      <c r="W84" s="393">
        <v>3307.0205479452061</v>
      </c>
      <c r="X84" s="393"/>
      <c r="Y84" s="393"/>
      <c r="Z84" s="393">
        <v>21655.650684931512</v>
      </c>
      <c r="AA84" s="396"/>
    </row>
    <row r="85" spans="1:27" x14ac:dyDescent="0.3">
      <c r="A85" s="395">
        <v>5005</v>
      </c>
      <c r="B85" s="396" t="s">
        <v>127</v>
      </c>
      <c r="C85" s="396" t="s">
        <v>129</v>
      </c>
      <c r="D85" s="396" t="s">
        <v>128</v>
      </c>
      <c r="E85" s="394">
        <v>400000</v>
      </c>
      <c r="F85" s="401">
        <v>43999</v>
      </c>
      <c r="G85" s="401">
        <v>44364</v>
      </c>
      <c r="H85" s="397"/>
      <c r="I85" s="394">
        <v>5.92</v>
      </c>
      <c r="J85" s="393">
        <v>4865.7534246575342</v>
      </c>
      <c r="K85" s="393">
        <v>1946.3013698630139</v>
      </c>
      <c r="L85" s="393"/>
      <c r="M85" s="393"/>
      <c r="N85" s="393">
        <v>6812.0547945205481</v>
      </c>
      <c r="O85" s="393">
        <v>2011.178082191781</v>
      </c>
      <c r="P85" s="393"/>
      <c r="Q85" s="393"/>
      <c r="R85" s="393">
        <v>8823.232876712329</v>
      </c>
      <c r="S85" s="393">
        <v>1946.3013698630139</v>
      </c>
      <c r="T85" s="393"/>
      <c r="U85" s="393"/>
      <c r="V85" s="393">
        <v>10769.534246575342</v>
      </c>
      <c r="W85" s="393">
        <v>2011.178082191781</v>
      </c>
      <c r="X85" s="393"/>
      <c r="Y85" s="393"/>
      <c r="Z85" s="393">
        <v>12780.712328767124</v>
      </c>
      <c r="AA85" s="396"/>
    </row>
    <row r="86" spans="1:27" x14ac:dyDescent="0.3">
      <c r="A86" s="395">
        <v>5005</v>
      </c>
      <c r="B86" s="396" t="s">
        <v>127</v>
      </c>
      <c r="C86" s="396" t="s">
        <v>126</v>
      </c>
      <c r="D86" s="396" t="s">
        <v>125</v>
      </c>
      <c r="E86" s="394">
        <v>140000</v>
      </c>
      <c r="F86" s="401">
        <v>43999</v>
      </c>
      <c r="G86" s="401">
        <v>44364</v>
      </c>
      <c r="H86" s="397"/>
      <c r="I86" s="394">
        <v>5.92</v>
      </c>
      <c r="J86" s="393">
        <v>1703.013698630137</v>
      </c>
      <c r="K86" s="393">
        <v>681.20547945205476</v>
      </c>
      <c r="L86" s="393"/>
      <c r="M86" s="393"/>
      <c r="N86" s="393">
        <v>2384.2191780821918</v>
      </c>
      <c r="O86" s="393">
        <v>703.91232876712331</v>
      </c>
      <c r="P86" s="393"/>
      <c r="Q86" s="393"/>
      <c r="R86" s="393">
        <v>3088.131506849315</v>
      </c>
      <c r="S86" s="393">
        <v>681.20547945205476</v>
      </c>
      <c r="T86" s="393"/>
      <c r="U86" s="393"/>
      <c r="V86" s="393">
        <v>3769.3369863013695</v>
      </c>
      <c r="W86" s="393">
        <v>703.91232876712331</v>
      </c>
      <c r="X86" s="393"/>
      <c r="Y86" s="393"/>
      <c r="Z86" s="393">
        <v>4473.2493150684932</v>
      </c>
      <c r="AA86" s="396"/>
    </row>
    <row r="87" spans="1:27" x14ac:dyDescent="0.3">
      <c r="A87" s="395">
        <v>5056</v>
      </c>
      <c r="B87" s="396" t="s">
        <v>124</v>
      </c>
      <c r="C87" s="396" t="s">
        <v>123</v>
      </c>
      <c r="D87" s="396" t="s">
        <v>122</v>
      </c>
      <c r="E87" s="394">
        <v>158000</v>
      </c>
      <c r="F87" s="401">
        <v>43999</v>
      </c>
      <c r="G87" s="401">
        <v>44364</v>
      </c>
      <c r="H87" s="397"/>
      <c r="I87" s="394">
        <v>4.4000000000000004</v>
      </c>
      <c r="J87" s="393">
        <v>1428.4931506849316</v>
      </c>
      <c r="K87" s="393">
        <v>571.39726027397262</v>
      </c>
      <c r="L87" s="393"/>
      <c r="M87" s="393"/>
      <c r="N87" s="393">
        <v>1999.8904109589043</v>
      </c>
      <c r="O87" s="393">
        <v>590.44383561643838</v>
      </c>
      <c r="P87" s="393"/>
      <c r="Q87" s="393"/>
      <c r="R87" s="393">
        <v>2590.3342465753426</v>
      </c>
      <c r="S87" s="393">
        <v>571.39726027397262</v>
      </c>
      <c r="T87" s="393"/>
      <c r="U87" s="393"/>
      <c r="V87" s="393">
        <v>3161.7315068493153</v>
      </c>
      <c r="W87" s="393">
        <v>590.44383561643838</v>
      </c>
      <c r="X87" s="393"/>
      <c r="Y87" s="393"/>
      <c r="Z87" s="393">
        <v>3752.1753424657536</v>
      </c>
      <c r="AA87" s="396"/>
    </row>
    <row r="88" spans="1:27" x14ac:dyDescent="0.3">
      <c r="A88" s="395">
        <v>5060</v>
      </c>
      <c r="B88" s="396" t="s">
        <v>40</v>
      </c>
      <c r="C88" s="396" t="s">
        <v>114</v>
      </c>
      <c r="D88" s="396" t="s">
        <v>113</v>
      </c>
      <c r="E88" s="394">
        <v>330000</v>
      </c>
      <c r="F88" s="401">
        <v>44012</v>
      </c>
      <c r="G88" s="401">
        <v>44377</v>
      </c>
      <c r="H88" s="397"/>
      <c r="I88" s="394">
        <v>6.4</v>
      </c>
      <c r="J88" s="393">
        <v>3587.5068493150684</v>
      </c>
      <c r="K88" s="393">
        <v>1735.8904109589041</v>
      </c>
      <c r="L88" s="393"/>
      <c r="M88" s="393"/>
      <c r="N88" s="393">
        <v>5323.3972602739723</v>
      </c>
      <c r="O88" s="393">
        <v>1793.7534246575342</v>
      </c>
      <c r="P88" s="393"/>
      <c r="Q88" s="393"/>
      <c r="R88" s="393">
        <v>7117.1506849315065</v>
      </c>
      <c r="S88" s="393">
        <v>1735.8904109589041</v>
      </c>
      <c r="T88" s="393"/>
      <c r="U88" s="393"/>
      <c r="V88" s="393">
        <v>8853.0410958904104</v>
      </c>
      <c r="W88" s="393">
        <v>1793.7534246575342</v>
      </c>
      <c r="X88" s="393"/>
      <c r="Y88" s="393"/>
      <c r="Z88" s="393">
        <v>10646.794520547945</v>
      </c>
      <c r="AA88" s="396"/>
    </row>
    <row r="89" spans="1:27" x14ac:dyDescent="0.3">
      <c r="A89" s="395">
        <v>5063</v>
      </c>
      <c r="B89" s="396" t="s">
        <v>13</v>
      </c>
      <c r="C89" s="396" t="s">
        <v>112</v>
      </c>
      <c r="D89" s="396" t="s">
        <v>111</v>
      </c>
      <c r="E89" s="394">
        <v>200000</v>
      </c>
      <c r="F89" s="401">
        <v>44006</v>
      </c>
      <c r="G89" s="401">
        <v>44371</v>
      </c>
      <c r="H89" s="397"/>
      <c r="I89" s="394">
        <v>4.9000000000000004</v>
      </c>
      <c r="J89" s="393">
        <v>1825.7534246575342</v>
      </c>
      <c r="K89" s="393">
        <v>805.47945205479459</v>
      </c>
      <c r="L89" s="393"/>
      <c r="M89" s="393"/>
      <c r="N89" s="393">
        <v>2631.232876712329</v>
      </c>
      <c r="O89" s="393">
        <v>832.32876712328766</v>
      </c>
      <c r="P89" s="393"/>
      <c r="Q89" s="393"/>
      <c r="R89" s="393">
        <v>3463.5616438356165</v>
      </c>
      <c r="S89" s="393">
        <v>805.47945205479459</v>
      </c>
      <c r="T89" s="393"/>
      <c r="U89" s="393"/>
      <c r="V89" s="393">
        <v>4269.0410958904113</v>
      </c>
      <c r="W89" s="393">
        <v>832.32876712328766</v>
      </c>
      <c r="X89" s="393"/>
      <c r="Y89" s="393"/>
      <c r="Z89" s="393">
        <v>5101.3698630136987</v>
      </c>
      <c r="AA89" s="396"/>
    </row>
    <row r="90" spans="1:27" x14ac:dyDescent="0.3">
      <c r="A90" s="395">
        <v>5063</v>
      </c>
      <c r="B90" s="396" t="s">
        <v>25</v>
      </c>
      <c r="C90" s="396" t="s">
        <v>110</v>
      </c>
      <c r="D90" s="396" t="s">
        <v>109</v>
      </c>
      <c r="E90" s="394">
        <v>85425</v>
      </c>
      <c r="F90" s="401">
        <v>44013</v>
      </c>
      <c r="G90" s="401">
        <v>44378</v>
      </c>
      <c r="H90" s="397"/>
      <c r="I90" s="394">
        <v>4.4000000000000004</v>
      </c>
      <c r="J90" s="393">
        <v>628.16630136986305</v>
      </c>
      <c r="K90" s="393">
        <v>308.93424657534251</v>
      </c>
      <c r="L90" s="393"/>
      <c r="M90" s="393"/>
      <c r="N90" s="393">
        <v>937.10054794520556</v>
      </c>
      <c r="O90" s="393">
        <v>319.23205479452059</v>
      </c>
      <c r="P90" s="393"/>
      <c r="Q90" s="393"/>
      <c r="R90" s="393">
        <v>1256.3326027397261</v>
      </c>
      <c r="S90" s="393">
        <v>308.93424657534251</v>
      </c>
      <c r="T90" s="393"/>
      <c r="U90" s="393"/>
      <c r="V90" s="393">
        <v>1565.2668493150686</v>
      </c>
      <c r="W90" s="393">
        <v>319.23205479452059</v>
      </c>
      <c r="X90" s="393"/>
      <c r="Y90" s="393"/>
      <c r="Z90" s="393">
        <v>1884.4989041095891</v>
      </c>
      <c r="AA90" s="396"/>
    </row>
    <row r="91" spans="1:27" x14ac:dyDescent="0.3">
      <c r="A91" s="395">
        <v>5065</v>
      </c>
      <c r="B91" s="396" t="s">
        <v>106</v>
      </c>
      <c r="C91" s="396" t="s">
        <v>105</v>
      </c>
      <c r="D91" s="396" t="s">
        <v>104</v>
      </c>
      <c r="E91" s="394">
        <v>462162.98</v>
      </c>
      <c r="F91" s="401">
        <v>44025</v>
      </c>
      <c r="G91" s="401">
        <v>44390</v>
      </c>
      <c r="H91" s="397"/>
      <c r="I91" s="394">
        <v>5.9</v>
      </c>
      <c r="J91" s="393">
        <v>3660.5840415890407</v>
      </c>
      <c r="K91" s="393">
        <v>2241.1739030136987</v>
      </c>
      <c r="L91" s="393"/>
      <c r="M91" s="393"/>
      <c r="N91" s="393">
        <v>5901.7579446027394</v>
      </c>
      <c r="O91" s="393">
        <v>2315.8796997808217</v>
      </c>
      <c r="P91" s="393"/>
      <c r="Q91" s="393"/>
      <c r="R91" s="393">
        <v>8217.6376443835616</v>
      </c>
      <c r="S91" s="393">
        <v>2241.1739030136987</v>
      </c>
      <c r="T91" s="393"/>
      <c r="U91" s="393"/>
      <c r="V91" s="393">
        <v>10458.811547397261</v>
      </c>
      <c r="W91" s="393">
        <v>2315.8796997808217</v>
      </c>
      <c r="X91" s="393"/>
      <c r="Y91" s="393"/>
      <c r="Z91" s="393">
        <v>12774.691247178083</v>
      </c>
      <c r="AA91" s="396"/>
    </row>
    <row r="92" spans="1:27" x14ac:dyDescent="0.3">
      <c r="A92" s="395">
        <v>5065</v>
      </c>
      <c r="B92" s="396" t="s">
        <v>103</v>
      </c>
      <c r="C92" s="396" t="s">
        <v>102</v>
      </c>
      <c r="D92" s="396" t="s">
        <v>101</v>
      </c>
      <c r="E92" s="394">
        <v>462162.98</v>
      </c>
      <c r="F92" s="401">
        <v>44025</v>
      </c>
      <c r="G92" s="401">
        <v>44390</v>
      </c>
      <c r="H92" s="397"/>
      <c r="I92" s="394">
        <v>5.9</v>
      </c>
      <c r="J92" s="393">
        <v>3660.5840415890407</v>
      </c>
      <c r="K92" s="393">
        <v>2241.1739030136987</v>
      </c>
      <c r="L92" s="393"/>
      <c r="M92" s="393"/>
      <c r="N92" s="393">
        <v>5901.7579446027394</v>
      </c>
      <c r="O92" s="393">
        <v>2315.8796997808217</v>
      </c>
      <c r="P92" s="393"/>
      <c r="Q92" s="393"/>
      <c r="R92" s="393">
        <v>8217.6376443835616</v>
      </c>
      <c r="S92" s="393">
        <v>2241.1739030136987</v>
      </c>
      <c r="T92" s="393"/>
      <c r="U92" s="393"/>
      <c r="V92" s="393">
        <v>10458.811547397261</v>
      </c>
      <c r="W92" s="393">
        <v>2315.8796997808217</v>
      </c>
      <c r="X92" s="393"/>
      <c r="Y92" s="393"/>
      <c r="Z92" s="393">
        <v>12774.691247178083</v>
      </c>
      <c r="AA92" s="396"/>
    </row>
    <row r="93" spans="1:27" x14ac:dyDescent="0.3">
      <c r="A93" s="395">
        <v>5060</v>
      </c>
      <c r="B93" s="396" t="s">
        <v>16</v>
      </c>
      <c r="C93" s="396" t="s">
        <v>100</v>
      </c>
      <c r="D93" s="396" t="s">
        <v>99</v>
      </c>
      <c r="E93" s="394">
        <v>50000</v>
      </c>
      <c r="F93" s="401">
        <v>44027</v>
      </c>
      <c r="G93" s="401">
        <v>44392</v>
      </c>
      <c r="H93" s="397"/>
      <c r="I93" s="394">
        <v>1.9</v>
      </c>
      <c r="J93" s="393">
        <v>122.32876712328769</v>
      </c>
      <c r="K93" s="393">
        <v>78.08219178082193</v>
      </c>
      <c r="L93" s="393"/>
      <c r="M93" s="393"/>
      <c r="N93" s="393">
        <v>200.41095890410963</v>
      </c>
      <c r="O93" s="393">
        <v>80.684931506849324</v>
      </c>
      <c r="P93" s="393"/>
      <c r="Q93" s="393"/>
      <c r="R93" s="393">
        <v>281.09589041095899</v>
      </c>
      <c r="S93" s="393">
        <v>78.08219178082193</v>
      </c>
      <c r="T93" s="393"/>
      <c r="U93" s="393"/>
      <c r="V93" s="393">
        <v>359.1780821917809</v>
      </c>
      <c r="W93" s="393">
        <v>80.684931506849324</v>
      </c>
      <c r="X93" s="393"/>
      <c r="Y93" s="393"/>
      <c r="Z93" s="393">
        <v>439.8630136986302</v>
      </c>
      <c r="AA93" s="396"/>
    </row>
    <row r="94" spans="1:27" x14ac:dyDescent="0.3">
      <c r="A94" s="395">
        <v>5060</v>
      </c>
      <c r="B94" s="396" t="s">
        <v>19</v>
      </c>
      <c r="C94" s="396" t="s">
        <v>95</v>
      </c>
      <c r="D94" s="396" t="s">
        <v>94</v>
      </c>
      <c r="E94" s="394">
        <v>60000</v>
      </c>
      <c r="F94" s="401">
        <v>44032</v>
      </c>
      <c r="G94" s="401">
        <v>44397</v>
      </c>
      <c r="H94" s="397"/>
      <c r="I94" s="394">
        <v>1.9</v>
      </c>
      <c r="J94" s="393">
        <v>131.17808219178085</v>
      </c>
      <c r="K94" s="393">
        <v>93.69863013698631</v>
      </c>
      <c r="L94" s="393"/>
      <c r="M94" s="393"/>
      <c r="N94" s="393">
        <v>224.87671232876716</v>
      </c>
      <c r="O94" s="393">
        <v>96.821917808219183</v>
      </c>
      <c r="P94" s="393"/>
      <c r="Q94" s="393"/>
      <c r="R94" s="393">
        <v>321.69863013698637</v>
      </c>
      <c r="S94" s="393">
        <v>93.69863013698631</v>
      </c>
      <c r="T94" s="393"/>
      <c r="U94" s="393"/>
      <c r="V94" s="393">
        <v>415.39726027397268</v>
      </c>
      <c r="W94" s="393">
        <v>96.821917808219183</v>
      </c>
      <c r="X94" s="393"/>
      <c r="Y94" s="393"/>
      <c r="Z94" s="393">
        <v>512.21917808219189</v>
      </c>
      <c r="AA94" s="396"/>
    </row>
    <row r="95" spans="1:27" x14ac:dyDescent="0.3">
      <c r="A95" s="395">
        <v>5063</v>
      </c>
      <c r="B95" s="396" t="s">
        <v>13</v>
      </c>
      <c r="C95" s="396" t="s">
        <v>93</v>
      </c>
      <c r="D95" s="396" t="s">
        <v>90</v>
      </c>
      <c r="E95" s="394">
        <v>10000</v>
      </c>
      <c r="F95" s="401">
        <v>44028</v>
      </c>
      <c r="G95" s="401">
        <v>44393</v>
      </c>
      <c r="H95" s="397"/>
      <c r="I95" s="394">
        <v>5.15</v>
      </c>
      <c r="J95" s="393">
        <v>64.904109589041099</v>
      </c>
      <c r="K95" s="393">
        <v>42.328767123287676</v>
      </c>
      <c r="L95" s="393"/>
      <c r="M95" s="393"/>
      <c r="N95" s="393">
        <v>107.23287671232877</v>
      </c>
      <c r="O95" s="393">
        <v>43.739726027397261</v>
      </c>
      <c r="P95" s="393"/>
      <c r="Q95" s="393"/>
      <c r="R95" s="393">
        <v>150.97260273972603</v>
      </c>
      <c r="S95" s="393">
        <v>42.328767123287676</v>
      </c>
      <c r="T95" s="393"/>
      <c r="U95" s="393"/>
      <c r="V95" s="393">
        <v>193.30136986301369</v>
      </c>
      <c r="W95" s="393">
        <v>43.739726027397261</v>
      </c>
      <c r="X95" s="393"/>
      <c r="Y95" s="393"/>
      <c r="Z95" s="393">
        <v>237.04109589041096</v>
      </c>
      <c r="AA95" s="396"/>
    </row>
    <row r="96" spans="1:27" x14ac:dyDescent="0.3">
      <c r="A96" s="395">
        <v>5063</v>
      </c>
      <c r="B96" s="396" t="s">
        <v>13</v>
      </c>
      <c r="C96" s="396" t="s">
        <v>92</v>
      </c>
      <c r="D96" s="396" t="s">
        <v>90</v>
      </c>
      <c r="E96" s="394">
        <v>10000</v>
      </c>
      <c r="F96" s="401">
        <v>44028</v>
      </c>
      <c r="G96" s="401">
        <v>44393</v>
      </c>
      <c r="H96" s="397"/>
      <c r="I96" s="394">
        <v>5.15</v>
      </c>
      <c r="J96" s="393">
        <v>64.904109589041099</v>
      </c>
      <c r="K96" s="393">
        <v>42.328767123287676</v>
      </c>
      <c r="L96" s="393"/>
      <c r="M96" s="393"/>
      <c r="N96" s="393">
        <v>107.23287671232877</v>
      </c>
      <c r="O96" s="393">
        <v>43.739726027397261</v>
      </c>
      <c r="P96" s="393"/>
      <c r="Q96" s="393"/>
      <c r="R96" s="393">
        <v>150.97260273972603</v>
      </c>
      <c r="S96" s="393">
        <v>42.328767123287676</v>
      </c>
      <c r="T96" s="393"/>
      <c r="U96" s="393"/>
      <c r="V96" s="393">
        <v>193.30136986301369</v>
      </c>
      <c r="W96" s="393">
        <v>43.739726027397261</v>
      </c>
      <c r="X96" s="393"/>
      <c r="Y96" s="393"/>
      <c r="Z96" s="393">
        <v>237.04109589041096</v>
      </c>
      <c r="AA96" s="396"/>
    </row>
    <row r="97" spans="1:27" x14ac:dyDescent="0.3">
      <c r="A97" s="395">
        <v>5063</v>
      </c>
      <c r="B97" s="396" t="s">
        <v>13</v>
      </c>
      <c r="C97" s="396" t="s">
        <v>91</v>
      </c>
      <c r="D97" s="396" t="s">
        <v>90</v>
      </c>
      <c r="E97" s="394">
        <v>10000</v>
      </c>
      <c r="F97" s="401">
        <v>44028</v>
      </c>
      <c r="G97" s="401">
        <v>44393</v>
      </c>
      <c r="H97" s="397"/>
      <c r="I97" s="394">
        <v>5.15</v>
      </c>
      <c r="J97" s="393">
        <v>64.904109589041099</v>
      </c>
      <c r="K97" s="393">
        <v>42.328767123287676</v>
      </c>
      <c r="L97" s="393"/>
      <c r="M97" s="393"/>
      <c r="N97" s="393">
        <v>107.23287671232877</v>
      </c>
      <c r="O97" s="393">
        <v>43.739726027397261</v>
      </c>
      <c r="P97" s="393"/>
      <c r="Q97" s="393"/>
      <c r="R97" s="393">
        <v>150.97260273972603</v>
      </c>
      <c r="S97" s="393">
        <v>42.328767123287676</v>
      </c>
      <c r="T97" s="393"/>
      <c r="U97" s="393"/>
      <c r="V97" s="393">
        <v>193.30136986301369</v>
      </c>
      <c r="W97" s="393">
        <v>43.739726027397261</v>
      </c>
      <c r="X97" s="393"/>
      <c r="Y97" s="393"/>
      <c r="Z97" s="393">
        <v>237.04109589041096</v>
      </c>
      <c r="AA97" s="396"/>
    </row>
    <row r="98" spans="1:27" x14ac:dyDescent="0.3">
      <c r="A98" s="395">
        <v>5063</v>
      </c>
      <c r="B98" s="396" t="s">
        <v>13</v>
      </c>
      <c r="C98" s="396" t="s">
        <v>89</v>
      </c>
      <c r="D98" s="396" t="s">
        <v>88</v>
      </c>
      <c r="E98" s="394">
        <v>13000</v>
      </c>
      <c r="F98" s="401">
        <v>44028</v>
      </c>
      <c r="G98" s="401">
        <v>44393</v>
      </c>
      <c r="H98" s="397"/>
      <c r="I98" s="394">
        <v>5.15</v>
      </c>
      <c r="J98" s="393">
        <v>84.37534246575342</v>
      </c>
      <c r="K98" s="393">
        <v>55.027397260273972</v>
      </c>
      <c r="L98" s="393"/>
      <c r="M98" s="393"/>
      <c r="N98" s="393">
        <v>139.40273972602739</v>
      </c>
      <c r="O98" s="393">
        <v>56.861643835616434</v>
      </c>
      <c r="P98" s="393"/>
      <c r="Q98" s="393"/>
      <c r="R98" s="393">
        <v>196.26438356164383</v>
      </c>
      <c r="S98" s="393">
        <v>55.027397260273972</v>
      </c>
      <c r="T98" s="393"/>
      <c r="U98" s="393"/>
      <c r="V98" s="393">
        <v>251.2917808219178</v>
      </c>
      <c r="W98" s="393">
        <v>56.861643835616434</v>
      </c>
      <c r="X98" s="393"/>
      <c r="Y98" s="393"/>
      <c r="Z98" s="393">
        <v>308.15342465753423</v>
      </c>
      <c r="AA98" s="396"/>
    </row>
    <row r="99" spans="1:27" x14ac:dyDescent="0.3">
      <c r="A99" s="395">
        <v>5062</v>
      </c>
      <c r="B99" s="396" t="s">
        <v>85</v>
      </c>
      <c r="C99" s="396" t="s">
        <v>87</v>
      </c>
      <c r="D99" s="396" t="s">
        <v>86</v>
      </c>
      <c r="E99" s="394">
        <v>75139</v>
      </c>
      <c r="F99" s="401">
        <v>44036</v>
      </c>
      <c r="G99" s="401">
        <v>44401</v>
      </c>
      <c r="H99" s="397"/>
      <c r="I99" s="394">
        <v>3.4</v>
      </c>
      <c r="J99" s="393">
        <v>258.9722246575343</v>
      </c>
      <c r="K99" s="393">
        <v>209.97747945205481</v>
      </c>
      <c r="L99" s="393"/>
      <c r="M99" s="393"/>
      <c r="N99" s="393">
        <v>468.94970410958911</v>
      </c>
      <c r="O99" s="393">
        <v>216.97672876712332</v>
      </c>
      <c r="P99" s="393"/>
      <c r="Q99" s="393"/>
      <c r="R99" s="393">
        <v>685.9264328767124</v>
      </c>
      <c r="S99" s="393">
        <v>209.97747945205481</v>
      </c>
      <c r="T99" s="393"/>
      <c r="U99" s="393"/>
      <c r="V99" s="393">
        <v>895.90391232876721</v>
      </c>
      <c r="W99" s="393">
        <v>216.97672876712332</v>
      </c>
      <c r="X99" s="393"/>
      <c r="Y99" s="393"/>
      <c r="Z99" s="393">
        <v>1112.8806410958905</v>
      </c>
      <c r="AA99" s="396"/>
    </row>
    <row r="100" spans="1:27" x14ac:dyDescent="0.3">
      <c r="A100" s="395">
        <v>5062</v>
      </c>
      <c r="B100" s="396" t="s">
        <v>85</v>
      </c>
      <c r="C100" s="396" t="s">
        <v>84</v>
      </c>
      <c r="D100" s="396" t="s">
        <v>83</v>
      </c>
      <c r="E100" s="394">
        <v>220000</v>
      </c>
      <c r="F100" s="401">
        <v>44036</v>
      </c>
      <c r="G100" s="401">
        <v>44401</v>
      </c>
      <c r="H100" s="397"/>
      <c r="I100" s="394">
        <v>3.4</v>
      </c>
      <c r="J100" s="393">
        <v>758.24657534246592</v>
      </c>
      <c r="K100" s="393">
        <v>614.79452054794524</v>
      </c>
      <c r="L100" s="393"/>
      <c r="M100" s="393"/>
      <c r="N100" s="393">
        <v>1373.0410958904113</v>
      </c>
      <c r="O100" s="393">
        <v>635.28767123287685</v>
      </c>
      <c r="P100" s="393"/>
      <c r="Q100" s="393"/>
      <c r="R100" s="393">
        <v>2008.3287671232881</v>
      </c>
      <c r="S100" s="393">
        <v>614.79452054794535</v>
      </c>
      <c r="T100" s="393"/>
      <c r="U100" s="393"/>
      <c r="V100" s="393">
        <v>2623.1232876712334</v>
      </c>
      <c r="W100" s="393">
        <v>635.28767123287685</v>
      </c>
      <c r="X100" s="393"/>
      <c r="Y100" s="393"/>
      <c r="Z100" s="393">
        <v>3258.41095890411</v>
      </c>
      <c r="AA100" s="396"/>
    </row>
    <row r="101" spans="1:27" x14ac:dyDescent="0.3">
      <c r="A101" s="395">
        <v>5040</v>
      </c>
      <c r="B101" s="396" t="s">
        <v>82</v>
      </c>
      <c r="C101" s="396" t="s">
        <v>81</v>
      </c>
      <c r="D101" s="396" t="s">
        <v>80</v>
      </c>
      <c r="E101" s="394">
        <v>53900</v>
      </c>
      <c r="F101" s="401">
        <v>44038</v>
      </c>
      <c r="G101" s="401">
        <v>44403</v>
      </c>
      <c r="H101" s="397"/>
      <c r="I101" s="394">
        <v>6.15</v>
      </c>
      <c r="J101" s="393">
        <v>326.94410958904115</v>
      </c>
      <c r="K101" s="393">
        <v>272.45342465753424</v>
      </c>
      <c r="L101" s="393"/>
      <c r="M101" s="393"/>
      <c r="N101" s="393">
        <v>599.39753424657533</v>
      </c>
      <c r="O101" s="393">
        <v>281.53520547945209</v>
      </c>
      <c r="P101" s="393"/>
      <c r="Q101" s="393"/>
      <c r="R101" s="393">
        <v>880.93273972602742</v>
      </c>
      <c r="S101" s="393">
        <v>272.45342465753424</v>
      </c>
      <c r="T101" s="393"/>
      <c r="U101" s="393"/>
      <c r="V101" s="393">
        <v>1153.3861643835617</v>
      </c>
      <c r="W101" s="393">
        <v>281.53520547945209</v>
      </c>
      <c r="X101" s="393"/>
      <c r="Y101" s="393"/>
      <c r="Z101" s="393">
        <v>1434.9213698630138</v>
      </c>
      <c r="AA101" s="396"/>
    </row>
    <row r="102" spans="1:27" x14ac:dyDescent="0.3">
      <c r="A102" s="395">
        <v>5031</v>
      </c>
      <c r="B102" s="396" t="s">
        <v>7</v>
      </c>
      <c r="C102" s="396" t="s">
        <v>79</v>
      </c>
      <c r="D102" s="396" t="s">
        <v>78</v>
      </c>
      <c r="E102" s="394">
        <v>541000</v>
      </c>
      <c r="F102" s="401">
        <v>44037</v>
      </c>
      <c r="G102" s="401">
        <v>44402</v>
      </c>
      <c r="H102" s="397"/>
      <c r="I102" s="394">
        <v>6.9</v>
      </c>
      <c r="J102" s="393">
        <v>3784.0356164383561</v>
      </c>
      <c r="K102" s="393">
        <v>3068.1369863013701</v>
      </c>
      <c r="L102" s="393"/>
      <c r="M102" s="393"/>
      <c r="N102" s="393">
        <v>6852.1726027397262</v>
      </c>
      <c r="O102" s="393">
        <v>3170.4082191780822</v>
      </c>
      <c r="P102" s="393"/>
      <c r="Q102" s="393"/>
      <c r="R102" s="393">
        <v>10022.580821917809</v>
      </c>
      <c r="S102" s="393">
        <v>3068.1369863013701</v>
      </c>
      <c r="T102" s="393"/>
      <c r="U102" s="393"/>
      <c r="V102" s="393">
        <v>13090.717808219179</v>
      </c>
      <c r="W102" s="393">
        <v>3170.4082191780822</v>
      </c>
      <c r="X102" s="393"/>
      <c r="Y102" s="393"/>
      <c r="Z102" s="393">
        <v>16261.12602739726</v>
      </c>
      <c r="AA102" s="396"/>
    </row>
    <row r="103" spans="1:27" x14ac:dyDescent="0.3">
      <c r="A103" s="395">
        <v>5063</v>
      </c>
      <c r="B103" s="396" t="s">
        <v>77</v>
      </c>
      <c r="C103" s="396" t="s">
        <v>76</v>
      </c>
      <c r="D103" s="396" t="s">
        <v>75</v>
      </c>
      <c r="E103" s="394">
        <v>240000</v>
      </c>
      <c r="F103" s="401">
        <v>44034</v>
      </c>
      <c r="G103" s="401">
        <v>44399</v>
      </c>
      <c r="H103" s="397"/>
      <c r="I103" s="394">
        <v>5.4</v>
      </c>
      <c r="J103" s="393">
        <v>1313.7534246575347</v>
      </c>
      <c r="K103" s="393">
        <v>1065.2054794520548</v>
      </c>
      <c r="L103" s="393"/>
      <c r="M103" s="393"/>
      <c r="N103" s="393">
        <v>2378.9589041095896</v>
      </c>
      <c r="O103" s="393">
        <v>1100.7123287671236</v>
      </c>
      <c r="P103" s="393"/>
      <c r="Q103" s="393"/>
      <c r="R103" s="393">
        <v>3479.6712328767135</v>
      </c>
      <c r="S103" s="393">
        <v>1065.205479452055</v>
      </c>
      <c r="T103" s="393"/>
      <c r="U103" s="393"/>
      <c r="V103" s="393">
        <v>4544.8767123287689</v>
      </c>
      <c r="W103" s="393">
        <v>1100.7123287671236</v>
      </c>
      <c r="X103" s="393"/>
      <c r="Y103" s="393"/>
      <c r="Z103" s="393">
        <v>5645.5890410958928</v>
      </c>
      <c r="AA103" s="396"/>
    </row>
    <row r="104" spans="1:27" x14ac:dyDescent="0.3">
      <c r="A104" s="395">
        <v>5057</v>
      </c>
      <c r="B104" s="396" t="s">
        <v>74</v>
      </c>
      <c r="C104" s="396" t="s">
        <v>73</v>
      </c>
      <c r="D104" s="396" t="s">
        <v>72</v>
      </c>
      <c r="E104" s="394">
        <v>139000</v>
      </c>
      <c r="F104" s="401">
        <v>44042</v>
      </c>
      <c r="G104" s="401">
        <v>44407</v>
      </c>
      <c r="H104" s="397"/>
      <c r="I104" s="394">
        <v>3.4</v>
      </c>
      <c r="J104" s="393">
        <v>401.38630136986302</v>
      </c>
      <c r="K104" s="393">
        <v>388.43835616438361</v>
      </c>
      <c r="L104" s="393"/>
      <c r="M104" s="393"/>
      <c r="N104" s="393">
        <v>789.82465753424663</v>
      </c>
      <c r="O104" s="393">
        <v>401.38630136986302</v>
      </c>
      <c r="P104" s="393"/>
      <c r="Q104" s="393"/>
      <c r="R104" s="393">
        <v>1191.2109589041097</v>
      </c>
      <c r="S104" s="393">
        <v>388.43835616438361</v>
      </c>
      <c r="T104" s="393"/>
      <c r="U104" s="393"/>
      <c r="V104" s="393">
        <v>1579.6493150684933</v>
      </c>
      <c r="W104" s="393">
        <v>401.38630136986302</v>
      </c>
      <c r="X104" s="393"/>
      <c r="Y104" s="393"/>
      <c r="Z104" s="393">
        <v>1981.0356164383563</v>
      </c>
      <c r="AA104" s="396"/>
    </row>
    <row r="105" spans="1:27" x14ac:dyDescent="0.3">
      <c r="A105" s="395">
        <v>5062</v>
      </c>
      <c r="B105" s="396" t="s">
        <v>71</v>
      </c>
      <c r="C105" s="396" t="s">
        <v>70</v>
      </c>
      <c r="D105" s="396" t="s">
        <v>69</v>
      </c>
      <c r="E105" s="394">
        <v>100000</v>
      </c>
      <c r="F105" s="401">
        <v>44044</v>
      </c>
      <c r="G105" s="401">
        <v>44409</v>
      </c>
      <c r="H105" s="397"/>
      <c r="I105" s="394">
        <v>7.4</v>
      </c>
      <c r="J105" s="393">
        <v>608.21917808219189</v>
      </c>
      <c r="K105" s="393">
        <v>608.21917808219177</v>
      </c>
      <c r="L105" s="393"/>
      <c r="M105" s="393"/>
      <c r="N105" s="393">
        <v>1216.4383561643835</v>
      </c>
      <c r="O105" s="393">
        <v>628.49315068493161</v>
      </c>
      <c r="P105" s="393"/>
      <c r="Q105" s="393"/>
      <c r="R105" s="393">
        <v>1844.9315068493152</v>
      </c>
      <c r="S105" s="393">
        <v>608.21917808219189</v>
      </c>
      <c r="T105" s="393"/>
      <c r="U105" s="393"/>
      <c r="V105" s="393">
        <v>2453.1506849315069</v>
      </c>
      <c r="W105" s="393">
        <v>628.49315068493161</v>
      </c>
      <c r="X105" s="393"/>
      <c r="Y105" s="393"/>
      <c r="Z105" s="393">
        <v>3081.6438356164385</v>
      </c>
      <c r="AA105" s="396"/>
    </row>
    <row r="106" spans="1:27" x14ac:dyDescent="0.3">
      <c r="A106" s="395">
        <v>5063</v>
      </c>
      <c r="B106" s="396" t="s">
        <v>25</v>
      </c>
      <c r="C106" s="396" t="s">
        <v>68</v>
      </c>
      <c r="D106" s="396" t="s">
        <v>67</v>
      </c>
      <c r="E106" s="394">
        <v>100000</v>
      </c>
      <c r="F106" s="401">
        <v>44044</v>
      </c>
      <c r="G106" s="401">
        <v>44409</v>
      </c>
      <c r="H106" s="397"/>
      <c r="I106" s="394">
        <v>4.4000000000000004</v>
      </c>
      <c r="J106" s="393">
        <v>361.64383561643837</v>
      </c>
      <c r="K106" s="393">
        <v>361.64383561643837</v>
      </c>
      <c r="L106" s="393"/>
      <c r="M106" s="393"/>
      <c r="N106" s="393">
        <v>723.28767123287673</v>
      </c>
      <c r="O106" s="393">
        <v>373.69863013698631</v>
      </c>
      <c r="P106" s="393"/>
      <c r="Q106" s="393"/>
      <c r="R106" s="393">
        <v>1096.986301369863</v>
      </c>
      <c r="S106" s="393">
        <v>361.64383561643837</v>
      </c>
      <c r="T106" s="393"/>
      <c r="U106" s="393"/>
      <c r="V106" s="393">
        <v>1458.6301369863013</v>
      </c>
      <c r="W106" s="393">
        <v>373.69863013698631</v>
      </c>
      <c r="X106" s="393"/>
      <c r="Y106" s="393"/>
      <c r="Z106" s="393">
        <v>1832.3287671232877</v>
      </c>
      <c r="AA106" s="396"/>
    </row>
    <row r="107" spans="1:27" x14ac:dyDescent="0.3">
      <c r="A107" s="395">
        <v>5031</v>
      </c>
      <c r="B107" s="396" t="s">
        <v>7</v>
      </c>
      <c r="C107" s="396" t="s">
        <v>61</v>
      </c>
      <c r="D107" s="396" t="s">
        <v>60</v>
      </c>
      <c r="E107" s="394">
        <v>325000</v>
      </c>
      <c r="F107" s="401">
        <v>44069</v>
      </c>
      <c r="G107" s="401">
        <v>44434</v>
      </c>
      <c r="H107" s="397"/>
      <c r="I107" s="394">
        <v>6.9</v>
      </c>
      <c r="J107" s="393">
        <v>307.19178082191786</v>
      </c>
      <c r="K107" s="393">
        <v>1843.1506849315069</v>
      </c>
      <c r="L107" s="393"/>
      <c r="M107" s="393"/>
      <c r="N107" s="393">
        <v>2150.3424657534247</v>
      </c>
      <c r="O107" s="393">
        <v>1904.5890410958907</v>
      </c>
      <c r="P107" s="393"/>
      <c r="Q107" s="393"/>
      <c r="R107" s="393">
        <v>4054.9315068493152</v>
      </c>
      <c r="S107" s="393">
        <v>1843.1506849315072</v>
      </c>
      <c r="T107" s="393"/>
      <c r="U107" s="393"/>
      <c r="V107" s="393">
        <v>5898.0821917808225</v>
      </c>
      <c r="W107" s="393">
        <v>1904.5890410958907</v>
      </c>
      <c r="X107" s="393"/>
      <c r="Y107" s="393"/>
      <c r="Z107" s="393">
        <v>7802.6712328767135</v>
      </c>
      <c r="AA107" s="396"/>
    </row>
    <row r="108" spans="1:27" x14ac:dyDescent="0.3">
      <c r="A108" s="395">
        <v>5040</v>
      </c>
      <c r="B108" s="396" t="s">
        <v>59</v>
      </c>
      <c r="C108" s="396" t="s">
        <v>58</v>
      </c>
      <c r="D108" s="396" t="s">
        <v>57</v>
      </c>
      <c r="E108" s="394">
        <v>100000</v>
      </c>
      <c r="F108" s="401">
        <v>44070</v>
      </c>
      <c r="G108" s="401">
        <v>44435</v>
      </c>
      <c r="H108" s="397"/>
      <c r="I108" s="394">
        <v>6.4</v>
      </c>
      <c r="J108" s="393">
        <v>70.136986301369859</v>
      </c>
      <c r="K108" s="393">
        <v>526.02739726027391</v>
      </c>
      <c r="L108" s="393"/>
      <c r="M108" s="393"/>
      <c r="N108" s="393">
        <v>596.16438356164372</v>
      </c>
      <c r="O108" s="393">
        <v>543.56164383561645</v>
      </c>
      <c r="P108" s="393"/>
      <c r="Q108" s="393"/>
      <c r="R108" s="393">
        <v>1139.7260273972602</v>
      </c>
      <c r="S108" s="393">
        <v>526.02739726027391</v>
      </c>
      <c r="T108" s="393"/>
      <c r="U108" s="393"/>
      <c r="V108" s="393">
        <v>1665.7534246575342</v>
      </c>
      <c r="W108" s="393">
        <v>543.56164383561645</v>
      </c>
      <c r="X108" s="393"/>
      <c r="Y108" s="393"/>
      <c r="Z108" s="393">
        <v>2209.3150684931506</v>
      </c>
      <c r="AA108" s="396"/>
    </row>
    <row r="109" spans="1:27" x14ac:dyDescent="0.3">
      <c r="A109" s="395">
        <v>5055</v>
      </c>
      <c r="B109" s="396" t="s">
        <v>56</v>
      </c>
      <c r="C109" s="396" t="s">
        <v>55</v>
      </c>
      <c r="D109" s="396" t="s">
        <v>54</v>
      </c>
      <c r="E109" s="394">
        <v>60250</v>
      </c>
      <c r="F109" s="401">
        <v>44055</v>
      </c>
      <c r="G109" s="401">
        <v>44420</v>
      </c>
      <c r="H109" s="397"/>
      <c r="I109" s="394">
        <v>5.67</v>
      </c>
      <c r="J109" s="393">
        <v>93.593835616438369</v>
      </c>
      <c r="K109" s="393">
        <v>280.78150684931512</v>
      </c>
      <c r="L109" s="393"/>
      <c r="M109" s="393"/>
      <c r="N109" s="393">
        <v>374.37534246575348</v>
      </c>
      <c r="O109" s="393">
        <v>290.14089041095895</v>
      </c>
      <c r="P109" s="393"/>
      <c r="Q109" s="393"/>
      <c r="R109" s="393">
        <v>664.51623287671237</v>
      </c>
      <c r="S109" s="393">
        <v>280.78150684931512</v>
      </c>
      <c r="T109" s="393"/>
      <c r="U109" s="393"/>
      <c r="V109" s="393">
        <v>945.29773972602743</v>
      </c>
      <c r="W109" s="393">
        <v>290.14089041095895</v>
      </c>
      <c r="X109" s="393"/>
      <c r="Y109" s="393"/>
      <c r="Z109" s="393">
        <v>1235.4386301369864</v>
      </c>
      <c r="AA109" s="396"/>
    </row>
    <row r="110" spans="1:27" x14ac:dyDescent="0.3">
      <c r="A110" s="395">
        <v>5055</v>
      </c>
      <c r="B110" s="396" t="s">
        <v>53</v>
      </c>
      <c r="C110" s="396" t="s">
        <v>52</v>
      </c>
      <c r="D110" s="396" t="s">
        <v>51</v>
      </c>
      <c r="E110" s="394">
        <v>60250</v>
      </c>
      <c r="F110" s="401">
        <v>44055</v>
      </c>
      <c r="G110" s="401">
        <v>44420</v>
      </c>
      <c r="H110" s="397"/>
      <c r="I110" s="394">
        <v>5.67</v>
      </c>
      <c r="J110" s="393">
        <v>93.593835616438369</v>
      </c>
      <c r="K110" s="393">
        <v>280.78150684931512</v>
      </c>
      <c r="L110" s="393"/>
      <c r="M110" s="393"/>
      <c r="N110" s="393">
        <v>374.37534246575348</v>
      </c>
      <c r="O110" s="393">
        <v>290.14089041095895</v>
      </c>
      <c r="P110" s="393"/>
      <c r="Q110" s="393"/>
      <c r="R110" s="393">
        <v>664.51623287671237</v>
      </c>
      <c r="S110" s="393">
        <v>280.78150684931512</v>
      </c>
      <c r="T110" s="393"/>
      <c r="U110" s="393"/>
      <c r="V110" s="393">
        <v>945.29773972602743</v>
      </c>
      <c r="W110" s="393">
        <v>290.14089041095895</v>
      </c>
      <c r="X110" s="393"/>
      <c r="Y110" s="393"/>
      <c r="Z110" s="393">
        <v>1235.4386301369864</v>
      </c>
      <c r="AA110" s="396"/>
    </row>
    <row r="111" spans="1:27" x14ac:dyDescent="0.3">
      <c r="A111" s="395">
        <v>5057</v>
      </c>
      <c r="B111" s="396" t="s">
        <v>50</v>
      </c>
      <c r="C111" s="396" t="s">
        <v>49</v>
      </c>
      <c r="D111" s="396" t="s">
        <v>48</v>
      </c>
      <c r="E111" s="394">
        <v>150000</v>
      </c>
      <c r="F111" s="401">
        <v>44066</v>
      </c>
      <c r="G111" s="401">
        <v>44431</v>
      </c>
      <c r="H111" s="397"/>
      <c r="I111" s="394">
        <v>4.9000000000000004</v>
      </c>
      <c r="J111" s="393">
        <v>362.46575342465752</v>
      </c>
      <c r="K111" s="393">
        <v>604.109589041096</v>
      </c>
      <c r="L111" s="393"/>
      <c r="M111" s="393"/>
      <c r="N111" s="393">
        <v>966.57534246575347</v>
      </c>
      <c r="O111" s="393">
        <v>624.24657534246569</v>
      </c>
      <c r="P111" s="393"/>
      <c r="Q111" s="393"/>
      <c r="R111" s="393">
        <v>1590.821917808219</v>
      </c>
      <c r="S111" s="393">
        <v>604.10958904109589</v>
      </c>
      <c r="T111" s="393"/>
      <c r="U111" s="393"/>
      <c r="V111" s="393">
        <v>2194.9315068493152</v>
      </c>
      <c r="W111" s="393">
        <v>624.24657534246569</v>
      </c>
      <c r="X111" s="393"/>
      <c r="Y111" s="393"/>
      <c r="Z111" s="393">
        <v>2819.178082191781</v>
      </c>
      <c r="AA111" s="396"/>
    </row>
    <row r="112" spans="1:27" x14ac:dyDescent="0.3">
      <c r="A112" s="395">
        <v>5060</v>
      </c>
      <c r="B112" s="431" t="s">
        <v>47</v>
      </c>
      <c r="C112" s="431" t="s">
        <v>46</v>
      </c>
      <c r="D112" s="396" t="s">
        <v>45</v>
      </c>
      <c r="E112" s="394">
        <v>160000</v>
      </c>
      <c r="F112" s="401">
        <v>44075</v>
      </c>
      <c r="G112" s="401">
        <v>44440</v>
      </c>
      <c r="H112" s="397"/>
      <c r="I112" s="392">
        <v>6.4</v>
      </c>
      <c r="J112" s="393"/>
      <c r="K112" s="393">
        <v>841.64383561643831</v>
      </c>
      <c r="L112" s="393"/>
      <c r="M112" s="393"/>
      <c r="N112" s="393">
        <v>841.64383561643831</v>
      </c>
      <c r="O112" s="393">
        <v>869.69863013698625</v>
      </c>
      <c r="P112" s="393"/>
      <c r="Q112" s="393"/>
      <c r="R112" s="393">
        <v>1711.3424657534247</v>
      </c>
      <c r="S112" s="393">
        <v>841.64383561643831</v>
      </c>
      <c r="T112" s="393"/>
      <c r="U112" s="393"/>
      <c r="V112" s="393">
        <v>2552.9863013698632</v>
      </c>
      <c r="W112" s="393">
        <v>869.69863013698625</v>
      </c>
      <c r="X112" s="393"/>
      <c r="Y112" s="393"/>
      <c r="Z112" s="393">
        <v>3422.6849315068494</v>
      </c>
      <c r="AA112" s="396"/>
    </row>
    <row r="113" spans="1:27" x14ac:dyDescent="0.3">
      <c r="A113" s="395">
        <v>5060</v>
      </c>
      <c r="B113" s="431" t="s">
        <v>40</v>
      </c>
      <c r="C113" s="431" t="s">
        <v>44</v>
      </c>
      <c r="D113" s="396" t="s">
        <v>43</v>
      </c>
      <c r="E113" s="394">
        <v>615000</v>
      </c>
      <c r="F113" s="401">
        <v>44075</v>
      </c>
      <c r="G113" s="401">
        <v>44440</v>
      </c>
      <c r="H113" s="397"/>
      <c r="I113" s="392">
        <v>6.4</v>
      </c>
      <c r="J113" s="393"/>
      <c r="K113" s="393">
        <v>3235.0684931506848</v>
      </c>
      <c r="L113" s="393"/>
      <c r="M113" s="393"/>
      <c r="N113" s="393">
        <v>3235.0684931506848</v>
      </c>
      <c r="O113" s="393">
        <v>3342.9041095890411</v>
      </c>
      <c r="P113" s="393"/>
      <c r="Q113" s="393"/>
      <c r="R113" s="393">
        <v>6577.9726027397264</v>
      </c>
      <c r="S113" s="393">
        <v>3235.0684931506848</v>
      </c>
      <c r="T113" s="393"/>
      <c r="U113" s="393"/>
      <c r="V113" s="393">
        <v>9813.0410958904104</v>
      </c>
      <c r="W113" s="393">
        <v>3342.9041095890411</v>
      </c>
      <c r="X113" s="393"/>
      <c r="Y113" s="393"/>
      <c r="Z113" s="393">
        <v>13155.945205479451</v>
      </c>
      <c r="AA113" s="396"/>
    </row>
    <row r="114" spans="1:27" x14ac:dyDescent="0.3">
      <c r="A114" s="395">
        <v>5060</v>
      </c>
      <c r="B114" s="431" t="s">
        <v>40</v>
      </c>
      <c r="C114" s="431" t="s">
        <v>42</v>
      </c>
      <c r="D114" s="396" t="s">
        <v>41</v>
      </c>
      <c r="E114" s="394">
        <v>285000</v>
      </c>
      <c r="F114" s="401">
        <v>44075</v>
      </c>
      <c r="G114" s="401">
        <v>44440</v>
      </c>
      <c r="H114" s="397"/>
      <c r="I114" s="392">
        <v>6.4</v>
      </c>
      <c r="J114" s="393"/>
      <c r="K114" s="393">
        <v>1499.178082191781</v>
      </c>
      <c r="L114" s="393"/>
      <c r="M114" s="393"/>
      <c r="N114" s="393">
        <v>1499.178082191781</v>
      </c>
      <c r="O114" s="393">
        <v>1549.1506849315069</v>
      </c>
      <c r="P114" s="393"/>
      <c r="Q114" s="393"/>
      <c r="R114" s="393">
        <v>3048.3287671232879</v>
      </c>
      <c r="S114" s="393">
        <v>1499.178082191781</v>
      </c>
      <c r="T114" s="393"/>
      <c r="U114" s="393"/>
      <c r="V114" s="393">
        <v>4547.5068493150684</v>
      </c>
      <c r="W114" s="393">
        <v>1549.1506849315069</v>
      </c>
      <c r="X114" s="393"/>
      <c r="Y114" s="393"/>
      <c r="Z114" s="393">
        <v>6096.6575342465749</v>
      </c>
      <c r="AA114" s="396"/>
    </row>
    <row r="115" spans="1:27" x14ac:dyDescent="0.3">
      <c r="A115" s="395">
        <v>5060</v>
      </c>
      <c r="B115" s="431" t="s">
        <v>40</v>
      </c>
      <c r="C115" s="431" t="s">
        <v>39</v>
      </c>
      <c r="D115" s="396" t="s">
        <v>38</v>
      </c>
      <c r="E115" s="394">
        <v>500000</v>
      </c>
      <c r="F115" s="401">
        <v>44075</v>
      </c>
      <c r="G115" s="401">
        <v>44440</v>
      </c>
      <c r="H115" s="397"/>
      <c r="I115" s="392">
        <v>6.4</v>
      </c>
      <c r="J115" s="393"/>
      <c r="K115" s="393">
        <v>2630.1369863013697</v>
      </c>
      <c r="L115" s="393"/>
      <c r="M115" s="393"/>
      <c r="N115" s="393">
        <v>2630.1369863013697</v>
      </c>
      <c r="O115" s="393">
        <v>2717.8082191780823</v>
      </c>
      <c r="P115" s="393"/>
      <c r="Q115" s="393"/>
      <c r="R115" s="393">
        <v>5347.9452054794519</v>
      </c>
      <c r="S115" s="393">
        <v>2630.1369863013697</v>
      </c>
      <c r="T115" s="393"/>
      <c r="U115" s="393"/>
      <c r="V115" s="393">
        <v>7978.0821917808216</v>
      </c>
      <c r="W115" s="393">
        <v>2717.8082191780823</v>
      </c>
      <c r="X115" s="393"/>
      <c r="Y115" s="393"/>
      <c r="Z115" s="393">
        <v>10695.890410958904</v>
      </c>
      <c r="AA115" s="396"/>
    </row>
    <row r="116" spans="1:27" x14ac:dyDescent="0.3">
      <c r="A116" s="395">
        <v>5060</v>
      </c>
      <c r="B116" s="431" t="s">
        <v>37</v>
      </c>
      <c r="C116" s="431" t="s">
        <v>36</v>
      </c>
      <c r="D116" s="396" t="s">
        <v>35</v>
      </c>
      <c r="E116" s="394">
        <v>500000</v>
      </c>
      <c r="F116" s="401">
        <v>44075</v>
      </c>
      <c r="G116" s="401">
        <v>44440</v>
      </c>
      <c r="H116" s="397"/>
      <c r="I116" s="392">
        <v>2.9</v>
      </c>
      <c r="J116" s="393"/>
      <c r="K116" s="393">
        <v>1191.7808219178082</v>
      </c>
      <c r="L116" s="393"/>
      <c r="M116" s="393"/>
      <c r="N116" s="393">
        <v>1191.7808219178082</v>
      </c>
      <c r="O116" s="393">
        <v>1231.5068493150684</v>
      </c>
      <c r="P116" s="393"/>
      <c r="Q116" s="393"/>
      <c r="R116" s="393">
        <v>2423.2876712328766</v>
      </c>
      <c r="S116" s="393">
        <v>1191.780821917808</v>
      </c>
      <c r="T116" s="393"/>
      <c r="U116" s="393"/>
      <c r="V116" s="393">
        <v>3615.0684931506848</v>
      </c>
      <c r="W116" s="393">
        <v>1231.5068493150684</v>
      </c>
      <c r="X116" s="393"/>
      <c r="Y116" s="393"/>
      <c r="Z116" s="393">
        <v>4846.5753424657532</v>
      </c>
      <c r="AA116" s="396"/>
    </row>
    <row r="117" spans="1:27" x14ac:dyDescent="0.3">
      <c r="A117" s="395">
        <v>5050</v>
      </c>
      <c r="B117" s="431" t="s">
        <v>34</v>
      </c>
      <c r="C117" s="431" t="s">
        <v>33</v>
      </c>
      <c r="D117" s="396" t="s">
        <v>32</v>
      </c>
      <c r="E117" s="394">
        <v>300000</v>
      </c>
      <c r="F117" s="401">
        <v>44077</v>
      </c>
      <c r="G117" s="401">
        <v>44442</v>
      </c>
      <c r="H117" s="397"/>
      <c r="I117" s="392">
        <v>5.9</v>
      </c>
      <c r="J117" s="393"/>
      <c r="K117" s="393">
        <v>1454.7945205479452</v>
      </c>
      <c r="L117" s="393"/>
      <c r="M117" s="393"/>
      <c r="N117" s="393">
        <v>1454.7945205479452</v>
      </c>
      <c r="O117" s="393">
        <v>1503.2876712328766</v>
      </c>
      <c r="P117" s="393"/>
      <c r="Q117" s="393"/>
      <c r="R117" s="393">
        <v>2958.0821917808216</v>
      </c>
      <c r="S117" s="393">
        <v>1454.7945205479452</v>
      </c>
      <c r="T117" s="393"/>
      <c r="U117" s="393"/>
      <c r="V117" s="393">
        <v>4412.8767123287671</v>
      </c>
      <c r="W117" s="393">
        <v>1503.2876712328766</v>
      </c>
      <c r="X117" s="393"/>
      <c r="Y117" s="393"/>
      <c r="Z117" s="393">
        <v>5916.1643835616433</v>
      </c>
      <c r="AA117" s="396"/>
    </row>
    <row r="118" spans="1:27" x14ac:dyDescent="0.3">
      <c r="A118" s="395">
        <v>5050</v>
      </c>
      <c r="B118" s="431" t="s">
        <v>31</v>
      </c>
      <c r="C118" s="431" t="s">
        <v>30</v>
      </c>
      <c r="D118" s="396" t="s">
        <v>29</v>
      </c>
      <c r="E118" s="394">
        <v>220000</v>
      </c>
      <c r="F118" s="401">
        <v>44077</v>
      </c>
      <c r="G118" s="401">
        <v>44442</v>
      </c>
      <c r="H118" s="397"/>
      <c r="I118" s="392">
        <v>5.9</v>
      </c>
      <c r="J118" s="393"/>
      <c r="K118" s="393">
        <v>1066.8493150684931</v>
      </c>
      <c r="L118" s="393"/>
      <c r="M118" s="393"/>
      <c r="N118" s="393">
        <v>1066.8493150684931</v>
      </c>
      <c r="O118" s="393">
        <v>1102.4109589041095</v>
      </c>
      <c r="P118" s="393"/>
      <c r="Q118" s="393"/>
      <c r="R118" s="393">
        <v>2169.2602739726026</v>
      </c>
      <c r="S118" s="393">
        <v>1066.8493150684931</v>
      </c>
      <c r="T118" s="393"/>
      <c r="U118" s="393"/>
      <c r="V118" s="393">
        <v>3236.1095890410957</v>
      </c>
      <c r="W118" s="393">
        <v>1102.4109589041095</v>
      </c>
      <c r="X118" s="393"/>
      <c r="Y118" s="393"/>
      <c r="Z118" s="393">
        <v>4338.5205479452052</v>
      </c>
      <c r="AA118" s="396"/>
    </row>
    <row r="119" spans="1:27" x14ac:dyDescent="0.3">
      <c r="A119" s="395">
        <v>5064</v>
      </c>
      <c r="B119" s="431" t="s">
        <v>28</v>
      </c>
      <c r="C119" s="431" t="s">
        <v>27</v>
      </c>
      <c r="D119" s="396" t="s">
        <v>26</v>
      </c>
      <c r="E119" s="394">
        <v>100000</v>
      </c>
      <c r="F119" s="401">
        <v>44083</v>
      </c>
      <c r="G119" s="401">
        <v>44448</v>
      </c>
      <c r="H119" s="397"/>
      <c r="I119" s="392">
        <v>5.9</v>
      </c>
      <c r="J119" s="393"/>
      <c r="K119" s="393">
        <v>484.93150684931504</v>
      </c>
      <c r="L119" s="393"/>
      <c r="M119" s="393"/>
      <c r="N119" s="393">
        <v>484.93150684931504</v>
      </c>
      <c r="O119" s="393">
        <v>501.09589041095887</v>
      </c>
      <c r="P119" s="393"/>
      <c r="Q119" s="393"/>
      <c r="R119" s="393">
        <v>986.02739726027391</v>
      </c>
      <c r="S119" s="393">
        <v>484.93150684931504</v>
      </c>
      <c r="T119" s="393"/>
      <c r="U119" s="393"/>
      <c r="V119" s="393">
        <v>1470.958904109589</v>
      </c>
      <c r="W119" s="393">
        <v>501.09589041095887</v>
      </c>
      <c r="X119" s="393"/>
      <c r="Y119" s="393"/>
      <c r="Z119" s="393">
        <v>1972.0547945205478</v>
      </c>
      <c r="AA119" s="396"/>
    </row>
    <row r="120" spans="1:27" x14ac:dyDescent="0.3">
      <c r="A120" s="395">
        <v>5063</v>
      </c>
      <c r="B120" s="431" t="s">
        <v>25</v>
      </c>
      <c r="C120" s="431" t="s">
        <v>24</v>
      </c>
      <c r="D120" s="396" t="s">
        <v>23</v>
      </c>
      <c r="E120" s="394">
        <v>173000</v>
      </c>
      <c r="F120" s="401">
        <v>44075</v>
      </c>
      <c r="G120" s="401">
        <v>44440</v>
      </c>
      <c r="H120" s="397"/>
      <c r="I120" s="392">
        <v>4.4000000000000004</v>
      </c>
      <c r="J120" s="393"/>
      <c r="K120" s="393">
        <v>625.64383561643842</v>
      </c>
      <c r="L120" s="393"/>
      <c r="M120" s="393"/>
      <c r="N120" s="393">
        <v>625.64383561643842</v>
      </c>
      <c r="O120" s="393">
        <v>646.49863013698643</v>
      </c>
      <c r="P120" s="393"/>
      <c r="Q120" s="393"/>
      <c r="R120" s="393">
        <v>1272.1424657534249</v>
      </c>
      <c r="S120" s="393">
        <v>625.64383561643842</v>
      </c>
      <c r="T120" s="393"/>
      <c r="U120" s="393"/>
      <c r="V120" s="393">
        <v>1897.7863013698634</v>
      </c>
      <c r="W120" s="393">
        <v>646.49863013698643</v>
      </c>
      <c r="X120" s="393"/>
      <c r="Y120" s="393"/>
      <c r="Z120" s="393">
        <v>2544.2849315068497</v>
      </c>
      <c r="AA120" s="396"/>
    </row>
    <row r="121" spans="1:27" x14ac:dyDescent="0.3">
      <c r="A121" s="395">
        <v>5057</v>
      </c>
      <c r="B121" s="431" t="s">
        <v>22</v>
      </c>
      <c r="C121" s="431" t="s">
        <v>21</v>
      </c>
      <c r="D121" s="396" t="s">
        <v>20</v>
      </c>
      <c r="E121" s="394">
        <v>600000</v>
      </c>
      <c r="F121" s="401">
        <v>44094</v>
      </c>
      <c r="G121" s="401">
        <v>44459</v>
      </c>
      <c r="H121" s="397"/>
      <c r="I121" s="392">
        <v>6.6</v>
      </c>
      <c r="J121" s="393"/>
      <c r="K121" s="393">
        <v>3254.794520547945</v>
      </c>
      <c r="L121" s="393"/>
      <c r="M121" s="393"/>
      <c r="N121" s="393">
        <v>3254.794520547945</v>
      </c>
      <c r="O121" s="393">
        <v>3363.2876712328766</v>
      </c>
      <c r="P121" s="393"/>
      <c r="Q121" s="393"/>
      <c r="R121" s="393">
        <v>6618.0821917808216</v>
      </c>
      <c r="S121" s="393">
        <v>3254.794520547945</v>
      </c>
      <c r="T121" s="393"/>
      <c r="U121" s="393"/>
      <c r="V121" s="393">
        <v>9872.8767123287671</v>
      </c>
      <c r="W121" s="393">
        <v>3363.2876712328766</v>
      </c>
      <c r="X121" s="393"/>
      <c r="Y121" s="393"/>
      <c r="Z121" s="393">
        <v>13236.164383561643</v>
      </c>
      <c r="AA121" s="396"/>
    </row>
    <row r="122" spans="1:27" x14ac:dyDescent="0.3">
      <c r="A122" s="395">
        <v>5060</v>
      </c>
      <c r="B122" s="431" t="s">
        <v>19</v>
      </c>
      <c r="C122" s="431" t="s">
        <v>18</v>
      </c>
      <c r="D122" s="396" t="s">
        <v>17</v>
      </c>
      <c r="E122" s="394">
        <v>330000</v>
      </c>
      <c r="F122" s="401">
        <v>44098</v>
      </c>
      <c r="G122" s="401">
        <v>44463</v>
      </c>
      <c r="H122" s="397"/>
      <c r="I122" s="392">
        <v>1.9</v>
      </c>
      <c r="J122" s="393"/>
      <c r="K122" s="393">
        <v>515.34246575342456</v>
      </c>
      <c r="L122" s="393"/>
      <c r="M122" s="393"/>
      <c r="N122" s="393">
        <v>515.34246575342456</v>
      </c>
      <c r="O122" s="393">
        <v>532.52054794520541</v>
      </c>
      <c r="P122" s="393"/>
      <c r="Q122" s="393"/>
      <c r="R122" s="393">
        <v>1047.8630136986299</v>
      </c>
      <c r="S122" s="393">
        <v>515.34246575342456</v>
      </c>
      <c r="T122" s="393"/>
      <c r="U122" s="393"/>
      <c r="V122" s="393">
        <v>1563.2054794520545</v>
      </c>
      <c r="W122" s="393">
        <v>532.52054794520541</v>
      </c>
      <c r="X122" s="393"/>
      <c r="Y122" s="393"/>
      <c r="Z122" s="393">
        <v>2095.7260273972597</v>
      </c>
      <c r="AA122" s="396"/>
    </row>
    <row r="123" spans="1:27" x14ac:dyDescent="0.3">
      <c r="A123" s="395">
        <v>5060</v>
      </c>
      <c r="B123" s="431" t="s">
        <v>16</v>
      </c>
      <c r="C123" s="431" t="s">
        <v>15</v>
      </c>
      <c r="D123" s="396" t="s">
        <v>14</v>
      </c>
      <c r="E123" s="394">
        <v>330000</v>
      </c>
      <c r="F123" s="401">
        <v>44099</v>
      </c>
      <c r="G123" s="401">
        <v>44464</v>
      </c>
      <c r="H123" s="397"/>
      <c r="I123" s="392">
        <v>1.9</v>
      </c>
      <c r="J123" s="393"/>
      <c r="K123" s="393">
        <v>515.34246575342456</v>
      </c>
      <c r="L123" s="393"/>
      <c r="M123" s="393"/>
      <c r="N123" s="393">
        <v>515.34246575342456</v>
      </c>
      <c r="O123" s="393">
        <v>532.52054794520541</v>
      </c>
      <c r="P123" s="393"/>
      <c r="Q123" s="393"/>
      <c r="R123" s="393">
        <v>1047.8630136986299</v>
      </c>
      <c r="S123" s="393">
        <v>515.34246575342456</v>
      </c>
      <c r="T123" s="393"/>
      <c r="U123" s="393"/>
      <c r="V123" s="393">
        <v>1563.2054794520545</v>
      </c>
      <c r="W123" s="393">
        <v>532.52054794520541</v>
      </c>
      <c r="X123" s="393"/>
      <c r="Y123" s="393"/>
      <c r="Z123" s="393">
        <v>2095.7260273972597</v>
      </c>
      <c r="AA123" s="396"/>
    </row>
    <row r="124" spans="1:27" x14ac:dyDescent="0.3">
      <c r="A124" s="395">
        <v>5063</v>
      </c>
      <c r="B124" s="431" t="s">
        <v>13</v>
      </c>
      <c r="C124" s="431" t="s">
        <v>12</v>
      </c>
      <c r="D124" s="396" t="s">
        <v>11</v>
      </c>
      <c r="E124" s="394">
        <v>200000</v>
      </c>
      <c r="F124" s="401">
        <v>44101</v>
      </c>
      <c r="G124" s="401">
        <v>44466</v>
      </c>
      <c r="H124" s="397"/>
      <c r="I124" s="392">
        <v>8.9</v>
      </c>
      <c r="J124" s="393"/>
      <c r="K124" s="393">
        <v>1463.013698630137</v>
      </c>
      <c r="L124" s="393"/>
      <c r="M124" s="393"/>
      <c r="N124" s="393">
        <v>1463.013698630137</v>
      </c>
      <c r="O124" s="393">
        <v>1511.7808219178085</v>
      </c>
      <c r="P124" s="393"/>
      <c r="Q124" s="393"/>
      <c r="R124" s="393">
        <v>2974.7945205479455</v>
      </c>
      <c r="S124" s="393">
        <v>1463.0136986301372</v>
      </c>
      <c r="T124" s="393"/>
      <c r="U124" s="393"/>
      <c r="V124" s="393">
        <v>4437.8082191780832</v>
      </c>
      <c r="W124" s="393">
        <v>1511.7808219178085</v>
      </c>
      <c r="X124" s="393"/>
      <c r="Y124" s="393"/>
      <c r="Z124" s="393">
        <v>5949.5890410958918</v>
      </c>
      <c r="AA124" s="396"/>
    </row>
    <row r="125" spans="1:27" x14ac:dyDescent="0.3">
      <c r="A125" s="395">
        <v>5066</v>
      </c>
      <c r="B125" s="431" t="s">
        <v>10</v>
      </c>
      <c r="C125" s="431" t="s">
        <v>9</v>
      </c>
      <c r="D125" s="396" t="s">
        <v>8</v>
      </c>
      <c r="E125" s="394">
        <v>1030000</v>
      </c>
      <c r="F125" s="401">
        <v>44099</v>
      </c>
      <c r="G125" s="401">
        <v>44464</v>
      </c>
      <c r="H125" s="397"/>
      <c r="I125" s="392">
        <v>0.4</v>
      </c>
      <c r="J125" s="393"/>
      <c r="K125" s="393">
        <v>338.63013698630141</v>
      </c>
      <c r="L125" s="393"/>
      <c r="M125" s="393"/>
      <c r="N125" s="393">
        <v>338.63013698630141</v>
      </c>
      <c r="O125" s="393">
        <v>349.91780821917808</v>
      </c>
      <c r="P125" s="393"/>
      <c r="Q125" s="393"/>
      <c r="R125" s="393">
        <v>688.54794520547944</v>
      </c>
      <c r="S125" s="393">
        <v>338.63013698630141</v>
      </c>
      <c r="T125" s="393"/>
      <c r="U125" s="393"/>
      <c r="V125" s="393">
        <v>1027.178082191781</v>
      </c>
      <c r="W125" s="393">
        <v>349.91780821917808</v>
      </c>
      <c r="X125" s="393"/>
      <c r="Y125" s="393"/>
      <c r="Z125" s="393">
        <v>1377.0958904109591</v>
      </c>
      <c r="AA125" s="396"/>
    </row>
    <row r="126" spans="1:27" x14ac:dyDescent="0.3">
      <c r="A126" s="395">
        <v>5031</v>
      </c>
      <c r="B126" s="431" t="s">
        <v>7</v>
      </c>
      <c r="C126" s="431" t="s">
        <v>6</v>
      </c>
      <c r="D126" s="396" t="s">
        <v>5</v>
      </c>
      <c r="E126" s="394">
        <v>501000</v>
      </c>
      <c r="F126" s="401">
        <v>44099</v>
      </c>
      <c r="G126" s="401">
        <v>44464</v>
      </c>
      <c r="H126" s="397"/>
      <c r="I126" s="392">
        <v>6.4</v>
      </c>
      <c r="J126" s="393"/>
      <c r="K126" s="393">
        <v>2635.3972602739727</v>
      </c>
      <c r="L126" s="393"/>
      <c r="M126" s="393"/>
      <c r="N126" s="393">
        <v>2635.3972602739727</v>
      </c>
      <c r="O126" s="393">
        <v>2723.2438356164384</v>
      </c>
      <c r="P126" s="393"/>
      <c r="Q126" s="393"/>
      <c r="R126" s="393">
        <v>5358.6410958904107</v>
      </c>
      <c r="S126" s="393">
        <v>2635.3972602739727</v>
      </c>
      <c r="T126" s="393"/>
      <c r="U126" s="393"/>
      <c r="V126" s="393">
        <v>7994.038356164383</v>
      </c>
      <c r="W126" s="393">
        <v>2723.2438356164384</v>
      </c>
      <c r="X126" s="393"/>
      <c r="Y126" s="393"/>
      <c r="Z126" s="393">
        <v>10717.282191780821</v>
      </c>
      <c r="AA126" s="396"/>
    </row>
    <row r="127" spans="1:27" ht="52.8" x14ac:dyDescent="0.3">
      <c r="A127" s="395">
        <v>5062</v>
      </c>
      <c r="B127" s="422" t="s">
        <v>359</v>
      </c>
      <c r="C127" s="422" t="s">
        <v>746</v>
      </c>
      <c r="D127" s="422" t="s">
        <v>747</v>
      </c>
      <c r="E127" s="423">
        <v>197000</v>
      </c>
      <c r="F127" s="401">
        <v>44119</v>
      </c>
      <c r="G127" s="401">
        <v>44481</v>
      </c>
      <c r="H127" s="397"/>
      <c r="I127" s="392">
        <v>6.4</v>
      </c>
      <c r="J127" s="393"/>
      <c r="K127" s="393"/>
      <c r="L127" s="393"/>
      <c r="M127" s="393"/>
      <c r="N127" s="393"/>
      <c r="O127" s="393">
        <v>552.67945205479452</v>
      </c>
      <c r="P127" s="393">
        <v>-105.21</v>
      </c>
      <c r="Q127" s="393"/>
      <c r="R127" s="393">
        <v>447.46945205479454</v>
      </c>
      <c r="S127" s="393">
        <v>1036.2739726027398</v>
      </c>
      <c r="T127" s="393"/>
      <c r="U127" s="393"/>
      <c r="V127" s="393">
        <v>1483.7434246575344</v>
      </c>
      <c r="W127" s="393">
        <v>1070.8164383561643</v>
      </c>
      <c r="X127" s="393"/>
      <c r="Y127" s="393"/>
      <c r="Z127" s="393">
        <v>2554.5598630136988</v>
      </c>
      <c r="AA127" s="396"/>
    </row>
    <row r="128" spans="1:27" ht="52.8" x14ac:dyDescent="0.3">
      <c r="A128" s="395">
        <v>5060</v>
      </c>
      <c r="B128" s="422" t="s">
        <v>16</v>
      </c>
      <c r="C128" s="422" t="s">
        <v>748</v>
      </c>
      <c r="D128" s="422" t="s">
        <v>749</v>
      </c>
      <c r="E128" s="394">
        <v>25000</v>
      </c>
      <c r="F128" s="401">
        <v>44114</v>
      </c>
      <c r="G128" s="401">
        <v>44479</v>
      </c>
      <c r="H128" s="397"/>
      <c r="I128" s="392">
        <v>1.9</v>
      </c>
      <c r="J128" s="393"/>
      <c r="K128" s="393"/>
      <c r="L128" s="393"/>
      <c r="M128" s="393"/>
      <c r="N128" s="393"/>
      <c r="O128" s="393">
        <v>27.328767123287673</v>
      </c>
      <c r="P128" s="393"/>
      <c r="Q128" s="393"/>
      <c r="R128" s="393">
        <v>27.328767123287673</v>
      </c>
      <c r="S128" s="393">
        <v>39.041095890410965</v>
      </c>
      <c r="T128" s="393"/>
      <c r="U128" s="393"/>
      <c r="V128" s="393">
        <v>66.369863013698634</v>
      </c>
      <c r="W128" s="393">
        <v>40.342465753424662</v>
      </c>
      <c r="X128" s="393"/>
      <c r="Y128" s="393"/>
      <c r="Z128" s="393">
        <v>106.7123287671233</v>
      </c>
      <c r="AA128" s="396"/>
    </row>
    <row r="129" spans="1:28" ht="52.8" x14ac:dyDescent="0.3">
      <c r="A129" s="395">
        <v>5063</v>
      </c>
      <c r="B129" s="422" t="s">
        <v>77</v>
      </c>
      <c r="C129" s="422" t="s">
        <v>750</v>
      </c>
      <c r="D129" s="422" t="s">
        <v>751</v>
      </c>
      <c r="E129" s="394">
        <v>50000</v>
      </c>
      <c r="F129" s="401">
        <v>44111</v>
      </c>
      <c r="G129" s="401">
        <v>44476</v>
      </c>
      <c r="H129" s="397"/>
      <c r="I129" s="392">
        <v>5.4</v>
      </c>
      <c r="J129" s="393"/>
      <c r="K129" s="393"/>
      <c r="L129" s="393"/>
      <c r="M129" s="393"/>
      <c r="N129" s="393"/>
      <c r="O129" s="393">
        <v>177.53424657534248</v>
      </c>
      <c r="P129" s="393"/>
      <c r="Q129" s="393"/>
      <c r="R129" s="393">
        <v>177.53424657534248</v>
      </c>
      <c r="S129" s="393">
        <v>221.91780821917811</v>
      </c>
      <c r="T129" s="393"/>
      <c r="U129" s="393"/>
      <c r="V129" s="393">
        <v>399.45205479452056</v>
      </c>
      <c r="W129" s="393">
        <v>229.31506849315073</v>
      </c>
      <c r="X129" s="393"/>
      <c r="Y129" s="393"/>
      <c r="Z129" s="393">
        <v>628.76712328767132</v>
      </c>
      <c r="AA129" s="396"/>
      <c r="AB129" s="376"/>
    </row>
    <row r="130" spans="1:28" ht="52.8" x14ac:dyDescent="0.3">
      <c r="A130" s="395">
        <v>5060</v>
      </c>
      <c r="B130" s="422" t="s">
        <v>19</v>
      </c>
      <c r="C130" s="422" t="s">
        <v>752</v>
      </c>
      <c r="D130" s="422" t="s">
        <v>753</v>
      </c>
      <c r="E130" s="394">
        <v>25000</v>
      </c>
      <c r="F130" s="401">
        <v>44114</v>
      </c>
      <c r="G130" s="401">
        <v>44479</v>
      </c>
      <c r="H130" s="397"/>
      <c r="I130" s="392">
        <v>1.9</v>
      </c>
      <c r="J130" s="393"/>
      <c r="K130" s="393"/>
      <c r="L130" s="393"/>
      <c r="M130" s="393"/>
      <c r="N130" s="393"/>
      <c r="O130" s="393">
        <v>27.328767123287673</v>
      </c>
      <c r="P130" s="393"/>
      <c r="Q130" s="393"/>
      <c r="R130" s="393">
        <v>27.328767123287673</v>
      </c>
      <c r="S130" s="393">
        <v>39.041095890410965</v>
      </c>
      <c r="T130" s="393"/>
      <c r="U130" s="393"/>
      <c r="V130" s="393">
        <v>66.369863013698634</v>
      </c>
      <c r="W130" s="393">
        <v>40.342465753424662</v>
      </c>
      <c r="X130" s="393"/>
      <c r="Y130" s="393"/>
      <c r="Z130" s="393">
        <v>106.7123287671233</v>
      </c>
      <c r="AA130" s="396"/>
      <c r="AB130" s="376"/>
    </row>
    <row r="131" spans="1:28" ht="52.8" x14ac:dyDescent="0.3">
      <c r="A131" s="395">
        <v>5031</v>
      </c>
      <c r="B131" s="422" t="s">
        <v>7</v>
      </c>
      <c r="C131" s="422" t="s">
        <v>754</v>
      </c>
      <c r="D131" s="422" t="s">
        <v>755</v>
      </c>
      <c r="E131" s="394">
        <v>300000</v>
      </c>
      <c r="F131" s="401">
        <v>44124</v>
      </c>
      <c r="G131" s="401">
        <v>44489</v>
      </c>
      <c r="H131" s="397"/>
      <c r="I131" s="392">
        <v>6.9</v>
      </c>
      <c r="J131" s="393"/>
      <c r="K131" s="393"/>
      <c r="L131" s="393"/>
      <c r="M131" s="393"/>
      <c r="N131" s="393"/>
      <c r="O131" s="393">
        <v>623.83561643835617</v>
      </c>
      <c r="P131" s="393"/>
      <c r="Q131" s="393"/>
      <c r="R131" s="393">
        <v>623.83561643835617</v>
      </c>
      <c r="S131" s="393">
        <v>1701.3698630136987</v>
      </c>
      <c r="T131" s="393"/>
      <c r="U131" s="393"/>
      <c r="V131" s="393">
        <v>2325.205479452055</v>
      </c>
      <c r="W131" s="393">
        <v>1758.0821917808219</v>
      </c>
      <c r="X131" s="393"/>
      <c r="Y131" s="393"/>
      <c r="Z131" s="393">
        <v>4083.2876712328771</v>
      </c>
      <c r="AA131" s="396"/>
      <c r="AB131" s="376"/>
    </row>
    <row r="132" spans="1:28" ht="52.8" x14ac:dyDescent="0.3">
      <c r="A132" s="395">
        <v>5066</v>
      </c>
      <c r="B132" s="422" t="s">
        <v>10</v>
      </c>
      <c r="C132" s="422" t="s">
        <v>756</v>
      </c>
      <c r="D132" s="422" t="s">
        <v>757</v>
      </c>
      <c r="E132" s="394">
        <v>300000</v>
      </c>
      <c r="F132" s="401">
        <v>44105</v>
      </c>
      <c r="G132" s="401">
        <v>44470</v>
      </c>
      <c r="H132" s="397"/>
      <c r="I132" s="392">
        <v>0.4</v>
      </c>
      <c r="J132" s="393"/>
      <c r="K132" s="393"/>
      <c r="L132" s="393"/>
      <c r="M132" s="393"/>
      <c r="N132" s="393"/>
      <c r="O132" s="393">
        <v>98.630136986301366</v>
      </c>
      <c r="P132" s="393"/>
      <c r="Q132" s="393"/>
      <c r="R132" s="393">
        <v>98.630136986301366</v>
      </c>
      <c r="S132" s="393">
        <v>98.630136986301366</v>
      </c>
      <c r="T132" s="393"/>
      <c r="U132" s="393"/>
      <c r="V132" s="393">
        <v>197.26027397260273</v>
      </c>
      <c r="W132" s="393">
        <v>101.91780821917807</v>
      </c>
      <c r="X132" s="393"/>
      <c r="Y132" s="393"/>
      <c r="Z132" s="393">
        <v>299.17808219178079</v>
      </c>
      <c r="AA132" s="396"/>
      <c r="AB132" s="376"/>
    </row>
    <row r="133" spans="1:28" ht="52.8" x14ac:dyDescent="0.3">
      <c r="A133" s="395">
        <v>5063</v>
      </c>
      <c r="B133" s="422" t="s">
        <v>25</v>
      </c>
      <c r="C133" s="422" t="s">
        <v>758</v>
      </c>
      <c r="D133" s="422" t="s">
        <v>759</v>
      </c>
      <c r="E133" s="394">
        <v>188000</v>
      </c>
      <c r="F133" s="401">
        <v>44105</v>
      </c>
      <c r="G133" s="401">
        <v>44470</v>
      </c>
      <c r="H133" s="397"/>
      <c r="I133" s="392">
        <v>4.4000000000000004</v>
      </c>
      <c r="J133" s="393"/>
      <c r="K133" s="393"/>
      <c r="L133" s="393"/>
      <c r="M133" s="393"/>
      <c r="N133" s="393"/>
      <c r="O133" s="393">
        <v>679.89041095890411</v>
      </c>
      <c r="P133" s="393"/>
      <c r="Q133" s="393"/>
      <c r="R133" s="393">
        <v>679.89041095890411</v>
      </c>
      <c r="S133" s="393">
        <v>679.89041095890411</v>
      </c>
      <c r="T133" s="393"/>
      <c r="U133" s="393"/>
      <c r="V133" s="393">
        <v>1359.7808219178082</v>
      </c>
      <c r="W133" s="393">
        <v>702.55342465753426</v>
      </c>
      <c r="X133" s="393"/>
      <c r="Y133" s="393"/>
      <c r="Z133" s="393">
        <v>2062.3342465753426</v>
      </c>
      <c r="AA133" s="396"/>
      <c r="AB133" s="376"/>
    </row>
    <row r="134" spans="1:28" ht="52.8" x14ac:dyDescent="0.3">
      <c r="A134" s="395">
        <v>5064</v>
      </c>
      <c r="B134" s="422" t="s">
        <v>28</v>
      </c>
      <c r="C134" s="422" t="s">
        <v>760</v>
      </c>
      <c r="D134" s="422" t="s">
        <v>761</v>
      </c>
      <c r="E134" s="394">
        <v>100000</v>
      </c>
      <c r="F134" s="401">
        <v>44127</v>
      </c>
      <c r="G134" s="401">
        <v>44492</v>
      </c>
      <c r="H134" s="397"/>
      <c r="I134" s="392">
        <v>5.9</v>
      </c>
      <c r="J134" s="393"/>
      <c r="K134" s="393"/>
      <c r="L134" s="393"/>
      <c r="M134" s="393"/>
      <c r="N134" s="393"/>
      <c r="O134" s="393">
        <v>290.95890410958901</v>
      </c>
      <c r="P134" s="393"/>
      <c r="Q134" s="393"/>
      <c r="R134" s="393">
        <v>290.95890410958901</v>
      </c>
      <c r="S134" s="393">
        <v>484.93150684931504</v>
      </c>
      <c r="T134" s="393"/>
      <c r="U134" s="393"/>
      <c r="V134" s="393">
        <v>775.89041095890411</v>
      </c>
      <c r="W134" s="393">
        <v>501.09589041095887</v>
      </c>
      <c r="X134" s="393"/>
      <c r="Y134" s="393"/>
      <c r="Z134" s="393">
        <v>1276.986301369863</v>
      </c>
      <c r="AA134" s="396"/>
      <c r="AB134" s="376"/>
    </row>
    <row r="135" spans="1:28" ht="52.8" x14ac:dyDescent="0.3">
      <c r="A135" s="395">
        <v>5063</v>
      </c>
      <c r="B135" s="422" t="s">
        <v>77</v>
      </c>
      <c r="C135" s="422" t="s">
        <v>762</v>
      </c>
      <c r="D135" s="422" t="s">
        <v>763</v>
      </c>
      <c r="E135" s="394">
        <v>120000</v>
      </c>
      <c r="F135" s="401">
        <v>44134</v>
      </c>
      <c r="G135" s="401">
        <v>44499</v>
      </c>
      <c r="H135" s="397"/>
      <c r="I135" s="392">
        <v>5.4</v>
      </c>
      <c r="J135" s="393"/>
      <c r="K135" s="393"/>
      <c r="L135" s="393"/>
      <c r="M135" s="393"/>
      <c r="N135" s="393"/>
      <c r="O135" s="393">
        <v>35.5068493150685</v>
      </c>
      <c r="P135" s="393"/>
      <c r="Q135" s="393"/>
      <c r="R135" s="393">
        <v>35.5068493150685</v>
      </c>
      <c r="S135" s="393">
        <v>532.60273972602749</v>
      </c>
      <c r="T135" s="393"/>
      <c r="U135" s="393"/>
      <c r="V135" s="393">
        <v>568.109589041096</v>
      </c>
      <c r="W135" s="393">
        <v>550.3561643835618</v>
      </c>
      <c r="X135" s="393"/>
      <c r="Y135" s="393"/>
      <c r="Z135" s="393">
        <v>1118.4657534246578</v>
      </c>
      <c r="AA135" s="396"/>
      <c r="AB135" s="376"/>
    </row>
    <row r="136" spans="1:28" ht="52.8" x14ac:dyDescent="0.3">
      <c r="A136" s="395">
        <v>5057</v>
      </c>
      <c r="B136" s="422" t="s">
        <v>74</v>
      </c>
      <c r="C136" s="422" t="s">
        <v>764</v>
      </c>
      <c r="D136" s="422" t="s">
        <v>765</v>
      </c>
      <c r="E136" s="394">
        <v>118000</v>
      </c>
      <c r="F136" s="401">
        <v>44134</v>
      </c>
      <c r="G136" s="401">
        <v>44499</v>
      </c>
      <c r="H136" s="397"/>
      <c r="I136" s="392">
        <v>3.4</v>
      </c>
      <c r="J136" s="393"/>
      <c r="K136" s="393"/>
      <c r="L136" s="393"/>
      <c r="M136" s="393"/>
      <c r="N136" s="393"/>
      <c r="O136" s="393">
        <v>21.983561643835618</v>
      </c>
      <c r="P136" s="393"/>
      <c r="Q136" s="393"/>
      <c r="R136" s="393">
        <v>21.983561643835618</v>
      </c>
      <c r="S136" s="393">
        <v>329.75342465753425</v>
      </c>
      <c r="T136" s="393"/>
      <c r="U136" s="393"/>
      <c r="V136" s="393">
        <v>351.73698630136988</v>
      </c>
      <c r="W136" s="393">
        <v>340.74520547945207</v>
      </c>
      <c r="X136" s="393"/>
      <c r="Y136" s="393"/>
      <c r="Z136" s="393">
        <v>692.48219178082195</v>
      </c>
      <c r="AA136" s="396"/>
      <c r="AB136" s="376"/>
    </row>
    <row r="137" spans="1:28" ht="52.8" x14ac:dyDescent="0.3">
      <c r="A137" s="395">
        <v>5060</v>
      </c>
      <c r="B137" s="396" t="s">
        <v>40</v>
      </c>
      <c r="C137" s="396" t="s">
        <v>66</v>
      </c>
      <c r="D137" s="426" t="s">
        <v>766</v>
      </c>
      <c r="E137" s="394">
        <v>1604358.34</v>
      </c>
      <c r="F137" s="401">
        <v>44134</v>
      </c>
      <c r="G137" s="401">
        <v>44423</v>
      </c>
      <c r="H137" s="397"/>
      <c r="I137" s="394">
        <v>6.4</v>
      </c>
      <c r="J137" s="393"/>
      <c r="K137" s="393"/>
      <c r="L137" s="393"/>
      <c r="M137" s="393"/>
      <c r="N137" s="393"/>
      <c r="O137" s="393"/>
      <c r="P137" s="393"/>
      <c r="Q137" s="393"/>
      <c r="R137" s="393"/>
      <c r="S137" s="393">
        <v>8439.364418630139</v>
      </c>
      <c r="T137" s="393"/>
      <c r="U137" s="393"/>
      <c r="V137" s="393">
        <v>8439.364418630139</v>
      </c>
      <c r="W137" s="393">
        <v>8720.6765659178091</v>
      </c>
      <c r="X137" s="393"/>
      <c r="Y137" s="393"/>
      <c r="Z137" s="393">
        <v>17160.040984547948</v>
      </c>
      <c r="AA137" s="396"/>
      <c r="AB137" s="382"/>
    </row>
    <row r="138" spans="1:28" ht="52.8" x14ac:dyDescent="0.3">
      <c r="A138" s="427">
        <v>5060</v>
      </c>
      <c r="B138" s="426" t="s">
        <v>19</v>
      </c>
      <c r="C138" s="426" t="s">
        <v>767</v>
      </c>
      <c r="D138" s="426" t="s">
        <v>768</v>
      </c>
      <c r="E138" s="379">
        <v>78000</v>
      </c>
      <c r="F138" s="401">
        <v>44137</v>
      </c>
      <c r="G138" s="401">
        <v>44502</v>
      </c>
      <c r="H138" s="397"/>
      <c r="I138" s="379">
        <v>1.9</v>
      </c>
      <c r="J138" s="393"/>
      <c r="K138" s="393"/>
      <c r="L138" s="393"/>
      <c r="M138" s="393"/>
      <c r="N138" s="393"/>
      <c r="O138" s="393"/>
      <c r="P138" s="393"/>
      <c r="Q138" s="393"/>
      <c r="R138" s="393"/>
      <c r="S138" s="393">
        <v>121.8082191780822</v>
      </c>
      <c r="T138" s="393"/>
      <c r="U138" s="393"/>
      <c r="V138" s="393">
        <v>121.8082191780822</v>
      </c>
      <c r="W138" s="393">
        <v>125.86849315068494</v>
      </c>
      <c r="X138" s="393"/>
      <c r="Y138" s="393"/>
      <c r="Z138" s="393">
        <v>247.67671232876714</v>
      </c>
      <c r="AA138" s="396"/>
      <c r="AB138" s="382"/>
    </row>
    <row r="139" spans="1:28" ht="52.8" x14ac:dyDescent="0.3">
      <c r="A139" s="427">
        <v>5063</v>
      </c>
      <c r="B139" s="426" t="s">
        <v>77</v>
      </c>
      <c r="C139" s="426" t="s">
        <v>769</v>
      </c>
      <c r="D139" s="426" t="s">
        <v>770</v>
      </c>
      <c r="E139" s="379">
        <v>80000</v>
      </c>
      <c r="F139" s="401">
        <v>44138</v>
      </c>
      <c r="G139" s="401">
        <v>44503</v>
      </c>
      <c r="H139" s="397"/>
      <c r="I139" s="379">
        <v>5.4</v>
      </c>
      <c r="J139" s="393"/>
      <c r="K139" s="393"/>
      <c r="L139" s="393"/>
      <c r="M139" s="393"/>
      <c r="N139" s="393"/>
      <c r="O139" s="393"/>
      <c r="P139" s="393"/>
      <c r="Q139" s="393"/>
      <c r="R139" s="393"/>
      <c r="S139" s="393">
        <v>355.06849315068501</v>
      </c>
      <c r="T139" s="393"/>
      <c r="U139" s="393"/>
      <c r="V139" s="393">
        <v>355.06849315068501</v>
      </c>
      <c r="W139" s="393">
        <v>366.90410958904118</v>
      </c>
      <c r="X139" s="393"/>
      <c r="Y139" s="393"/>
      <c r="Z139" s="393">
        <v>721.9726027397262</v>
      </c>
      <c r="AA139" s="396"/>
      <c r="AB139" s="382"/>
    </row>
    <row r="140" spans="1:28" ht="52.8" x14ac:dyDescent="0.3">
      <c r="A140" s="427">
        <v>5060</v>
      </c>
      <c r="B140" s="426" t="s">
        <v>40</v>
      </c>
      <c r="C140" s="426" t="s">
        <v>771</v>
      </c>
      <c r="D140" s="426" t="s">
        <v>772</v>
      </c>
      <c r="E140" s="379">
        <v>250000</v>
      </c>
      <c r="F140" s="401">
        <v>44139</v>
      </c>
      <c r="G140" s="401">
        <v>44504</v>
      </c>
      <c r="H140" s="397"/>
      <c r="I140" s="379">
        <v>6.4</v>
      </c>
      <c r="J140" s="393"/>
      <c r="K140" s="393"/>
      <c r="L140" s="393"/>
      <c r="M140" s="393"/>
      <c r="N140" s="393"/>
      <c r="O140" s="393"/>
      <c r="P140" s="393"/>
      <c r="Q140" s="393"/>
      <c r="R140" s="393"/>
      <c r="S140" s="393">
        <v>1315.0684931506848</v>
      </c>
      <c r="T140" s="393"/>
      <c r="U140" s="393"/>
      <c r="V140" s="393">
        <v>1315.0684931506848</v>
      </c>
      <c r="W140" s="393">
        <v>1358.9041095890411</v>
      </c>
      <c r="X140" s="393"/>
      <c r="Y140" s="393"/>
      <c r="Z140" s="393">
        <v>2673.972602739726</v>
      </c>
      <c r="AA140" s="396"/>
      <c r="AB140" s="382"/>
    </row>
    <row r="141" spans="1:28" ht="52.8" x14ac:dyDescent="0.3">
      <c r="A141" s="427">
        <v>5060</v>
      </c>
      <c r="B141" s="426" t="s">
        <v>40</v>
      </c>
      <c r="C141" s="426" t="s">
        <v>773</v>
      </c>
      <c r="D141" s="426" t="s">
        <v>774</v>
      </c>
      <c r="E141" s="379">
        <v>320000</v>
      </c>
      <c r="F141" s="401">
        <v>44140</v>
      </c>
      <c r="G141" s="401">
        <v>44505</v>
      </c>
      <c r="H141" s="397"/>
      <c r="I141" s="379">
        <v>6.4</v>
      </c>
      <c r="J141" s="393"/>
      <c r="K141" s="393"/>
      <c r="L141" s="393"/>
      <c r="M141" s="393"/>
      <c r="N141" s="393"/>
      <c r="O141" s="393"/>
      <c r="P141" s="393"/>
      <c r="Q141" s="393"/>
      <c r="R141" s="393"/>
      <c r="S141" s="393">
        <v>1683.2876712328766</v>
      </c>
      <c r="T141" s="393"/>
      <c r="U141" s="393"/>
      <c r="V141" s="393">
        <v>1683.2876712328766</v>
      </c>
      <c r="W141" s="393">
        <v>1739.3972602739725</v>
      </c>
      <c r="X141" s="393"/>
      <c r="Y141" s="393"/>
      <c r="Z141" s="393">
        <v>3422.6849315068494</v>
      </c>
      <c r="AA141" s="396"/>
      <c r="AB141" s="382"/>
    </row>
    <row r="142" spans="1:28" ht="52.8" x14ac:dyDescent="0.3">
      <c r="A142" s="427">
        <v>5060</v>
      </c>
      <c r="B142" s="426" t="s">
        <v>40</v>
      </c>
      <c r="C142" s="426" t="s">
        <v>775</v>
      </c>
      <c r="D142" s="426" t="s">
        <v>776</v>
      </c>
      <c r="E142" s="379">
        <v>727000</v>
      </c>
      <c r="F142" s="401">
        <v>44150</v>
      </c>
      <c r="G142" s="401">
        <v>44515</v>
      </c>
      <c r="H142" s="397"/>
      <c r="I142" s="379">
        <v>6.4</v>
      </c>
      <c r="J142" s="393"/>
      <c r="K142" s="393"/>
      <c r="L142" s="393"/>
      <c r="M142" s="393"/>
      <c r="N142" s="393"/>
      <c r="O142" s="393"/>
      <c r="P142" s="393"/>
      <c r="Q142" s="393"/>
      <c r="R142" s="393"/>
      <c r="S142" s="393">
        <v>3824.2191780821918</v>
      </c>
      <c r="T142" s="393"/>
      <c r="U142" s="393"/>
      <c r="V142" s="393">
        <v>3824.2191780821918</v>
      </c>
      <c r="W142" s="393">
        <v>3951.6931506849314</v>
      </c>
      <c r="X142" s="393"/>
      <c r="Y142" s="393"/>
      <c r="Z142" s="393">
        <v>7775.9123287671227</v>
      </c>
      <c r="AA142" s="396"/>
      <c r="AB142" s="382"/>
    </row>
    <row r="143" spans="1:28" ht="52.8" x14ac:dyDescent="0.3">
      <c r="A143" s="427">
        <v>5004</v>
      </c>
      <c r="B143" s="426" t="s">
        <v>336</v>
      </c>
      <c r="C143" s="426" t="s">
        <v>777</v>
      </c>
      <c r="D143" s="426" t="s">
        <v>778</v>
      </c>
      <c r="E143" s="379">
        <v>38000</v>
      </c>
      <c r="F143" s="401">
        <v>44140</v>
      </c>
      <c r="G143" s="401">
        <v>44505</v>
      </c>
      <c r="H143" s="397"/>
      <c r="I143" s="379">
        <v>5.9</v>
      </c>
      <c r="J143" s="393"/>
      <c r="K143" s="393"/>
      <c r="L143" s="393"/>
      <c r="M143" s="393"/>
      <c r="N143" s="393"/>
      <c r="O143" s="393"/>
      <c r="P143" s="393"/>
      <c r="Q143" s="393"/>
      <c r="R143" s="393"/>
      <c r="S143" s="393">
        <v>184.27397260273972</v>
      </c>
      <c r="T143" s="393"/>
      <c r="U143" s="393"/>
      <c r="V143" s="393">
        <v>184.27397260273972</v>
      </c>
      <c r="W143" s="393">
        <v>190.41643835616438</v>
      </c>
      <c r="X143" s="393"/>
      <c r="Y143" s="393"/>
      <c r="Z143" s="393">
        <v>374.69041095890407</v>
      </c>
      <c r="AA143" s="396"/>
      <c r="AB143" s="382"/>
    </row>
    <row r="144" spans="1:28" ht="52.8" x14ac:dyDescent="0.3">
      <c r="A144" s="427">
        <v>5004</v>
      </c>
      <c r="B144" s="426" t="s">
        <v>336</v>
      </c>
      <c r="C144" s="426" t="s">
        <v>779</v>
      </c>
      <c r="D144" s="426" t="s">
        <v>780</v>
      </c>
      <c r="E144" s="379">
        <v>100000</v>
      </c>
      <c r="F144" s="401">
        <v>44158</v>
      </c>
      <c r="G144" s="401">
        <v>44523</v>
      </c>
      <c r="H144" s="397"/>
      <c r="I144" s="379">
        <v>5.9</v>
      </c>
      <c r="J144" s="393"/>
      <c r="K144" s="393"/>
      <c r="L144" s="393"/>
      <c r="M144" s="393"/>
      <c r="N144" s="393"/>
      <c r="O144" s="393"/>
      <c r="P144" s="393"/>
      <c r="Q144" s="393"/>
      <c r="R144" s="393"/>
      <c r="S144" s="393">
        <v>484.93150684931504</v>
      </c>
      <c r="T144" s="393"/>
      <c r="U144" s="393"/>
      <c r="V144" s="393">
        <v>484.93150684931504</v>
      </c>
      <c r="W144" s="393">
        <v>501.09589041095887</v>
      </c>
      <c r="X144" s="393"/>
      <c r="Y144" s="393"/>
      <c r="Z144" s="393">
        <v>986.02739726027391</v>
      </c>
      <c r="AA144" s="396"/>
      <c r="AB144" s="382"/>
    </row>
    <row r="145" spans="1:28" ht="52.8" x14ac:dyDescent="0.3">
      <c r="A145" s="427">
        <v>5004</v>
      </c>
      <c r="B145" s="426" t="s">
        <v>336</v>
      </c>
      <c r="C145" s="426" t="s">
        <v>781</v>
      </c>
      <c r="D145" s="426" t="s">
        <v>782</v>
      </c>
      <c r="E145" s="379">
        <v>94477.4</v>
      </c>
      <c r="F145" s="401">
        <v>44158</v>
      </c>
      <c r="G145" s="401">
        <v>44523</v>
      </c>
      <c r="H145" s="397"/>
      <c r="I145" s="379">
        <v>5.9</v>
      </c>
      <c r="J145" s="393"/>
      <c r="K145" s="393"/>
      <c r="L145" s="393"/>
      <c r="M145" s="393"/>
      <c r="N145" s="393"/>
      <c r="O145" s="393"/>
      <c r="P145" s="393"/>
      <c r="Q145" s="393"/>
      <c r="R145" s="393"/>
      <c r="S145" s="393">
        <v>458.15067945205482</v>
      </c>
      <c r="T145" s="393"/>
      <c r="U145" s="393"/>
      <c r="V145" s="393">
        <v>458.15067945205482</v>
      </c>
      <c r="W145" s="393">
        <v>473.42236876712332</v>
      </c>
      <c r="X145" s="393"/>
      <c r="Y145" s="393"/>
      <c r="Z145" s="393">
        <v>931.57304821917819</v>
      </c>
      <c r="AA145" s="396"/>
      <c r="AB145" s="382"/>
    </row>
    <row r="146" spans="1:28" ht="52.8" x14ac:dyDescent="0.3">
      <c r="A146" s="427">
        <v>5063</v>
      </c>
      <c r="B146" s="426" t="s">
        <v>25</v>
      </c>
      <c r="C146" s="426" t="s">
        <v>783</v>
      </c>
      <c r="D146" s="426" t="s">
        <v>784</v>
      </c>
      <c r="E146" s="379">
        <v>138000</v>
      </c>
      <c r="F146" s="401">
        <v>44136</v>
      </c>
      <c r="G146" s="401">
        <v>44501</v>
      </c>
      <c r="H146" s="397"/>
      <c r="I146" s="379">
        <v>4.4000000000000004</v>
      </c>
      <c r="J146" s="393"/>
      <c r="K146" s="393"/>
      <c r="L146" s="393"/>
      <c r="M146" s="393"/>
      <c r="N146" s="393"/>
      <c r="O146" s="393"/>
      <c r="P146" s="393"/>
      <c r="Q146" s="393"/>
      <c r="R146" s="393"/>
      <c r="S146" s="393">
        <v>499.06849315068496</v>
      </c>
      <c r="T146" s="393"/>
      <c r="U146" s="393"/>
      <c r="V146" s="393">
        <v>499.06849315068496</v>
      </c>
      <c r="W146" s="393">
        <v>515.7041095890412</v>
      </c>
      <c r="X146" s="393"/>
      <c r="Y146" s="393"/>
      <c r="Z146" s="393">
        <v>1014.7726027397262</v>
      </c>
      <c r="AA146" s="396"/>
      <c r="AB146" s="382"/>
    </row>
    <row r="147" spans="1:28" ht="52.8" x14ac:dyDescent="0.3">
      <c r="A147" s="427">
        <v>5063</v>
      </c>
      <c r="B147" s="426" t="s">
        <v>13</v>
      </c>
      <c r="C147" s="426" t="s">
        <v>785</v>
      </c>
      <c r="D147" s="426" t="s">
        <v>786</v>
      </c>
      <c r="E147" s="379">
        <v>50000</v>
      </c>
      <c r="F147" s="401">
        <v>44136</v>
      </c>
      <c r="G147" s="401">
        <v>44501</v>
      </c>
      <c r="H147" s="397"/>
      <c r="I147" s="379">
        <v>4.6500000000000004</v>
      </c>
      <c r="J147" s="393"/>
      <c r="K147" s="393"/>
      <c r="L147" s="393"/>
      <c r="M147" s="393"/>
      <c r="N147" s="393"/>
      <c r="O147" s="393"/>
      <c r="P147" s="393"/>
      <c r="Q147" s="393"/>
      <c r="R147" s="393"/>
      <c r="S147" s="393">
        <v>191.09589041095893</v>
      </c>
      <c r="T147" s="393"/>
      <c r="U147" s="393"/>
      <c r="V147" s="393">
        <v>191.09589041095893</v>
      </c>
      <c r="W147" s="393">
        <v>197.46575342465758</v>
      </c>
      <c r="X147" s="393"/>
      <c r="Y147" s="393"/>
      <c r="Z147" s="393">
        <v>388.56164383561651</v>
      </c>
      <c r="AA147" s="396"/>
      <c r="AB147" s="382"/>
    </row>
    <row r="148" spans="1:28" ht="52.8" x14ac:dyDescent="0.3">
      <c r="A148" s="427">
        <v>5055</v>
      </c>
      <c r="B148" s="426" t="s">
        <v>159</v>
      </c>
      <c r="C148" s="426" t="s">
        <v>787</v>
      </c>
      <c r="D148" s="426" t="s">
        <v>788</v>
      </c>
      <c r="E148" s="379">
        <v>687370</v>
      </c>
      <c r="F148" s="401">
        <v>44155</v>
      </c>
      <c r="G148" s="401">
        <v>44506</v>
      </c>
      <c r="H148" s="397"/>
      <c r="I148" s="379">
        <v>5.4</v>
      </c>
      <c r="J148" s="393"/>
      <c r="K148" s="393"/>
      <c r="L148" s="393"/>
      <c r="M148" s="393"/>
      <c r="N148" s="393"/>
      <c r="O148" s="393"/>
      <c r="P148" s="393"/>
      <c r="Q148" s="393"/>
      <c r="R148" s="393"/>
      <c r="S148" s="393">
        <v>3050.7928767123294</v>
      </c>
      <c r="T148" s="393"/>
      <c r="U148" s="393"/>
      <c r="V148" s="393">
        <v>3050.7928767123294</v>
      </c>
      <c r="W148" s="393">
        <v>3152.4859726027403</v>
      </c>
      <c r="X148" s="393"/>
      <c r="Y148" s="393"/>
      <c r="Z148" s="393">
        <v>6203.2788493150692</v>
      </c>
      <c r="AA148" s="396"/>
      <c r="AB148" s="382"/>
    </row>
    <row r="149" spans="1:28" ht="52.8" x14ac:dyDescent="0.3">
      <c r="A149" s="427">
        <v>5064</v>
      </c>
      <c r="B149" s="426" t="s">
        <v>28</v>
      </c>
      <c r="C149" s="426" t="s">
        <v>789</v>
      </c>
      <c r="D149" s="426" t="s">
        <v>790</v>
      </c>
      <c r="E149" s="379">
        <v>100000</v>
      </c>
      <c r="F149" s="401">
        <v>44158</v>
      </c>
      <c r="G149" s="401">
        <v>44523</v>
      </c>
      <c r="H149" s="397"/>
      <c r="I149" s="379">
        <v>5.9</v>
      </c>
      <c r="J149" s="393"/>
      <c r="K149" s="393"/>
      <c r="L149" s="393"/>
      <c r="M149" s="393"/>
      <c r="N149" s="393"/>
      <c r="O149" s="393"/>
      <c r="P149" s="393"/>
      <c r="Q149" s="393"/>
      <c r="R149" s="393"/>
      <c r="S149" s="393">
        <v>484.93150684931504</v>
      </c>
      <c r="T149" s="393"/>
      <c r="U149" s="393"/>
      <c r="V149" s="393">
        <v>484.93150684931504</v>
      </c>
      <c r="W149" s="393">
        <v>501.09589041095887</v>
      </c>
      <c r="X149" s="393"/>
      <c r="Y149" s="393"/>
      <c r="Z149" s="393">
        <v>986.02739726027391</v>
      </c>
      <c r="AA149" s="396"/>
      <c r="AB149" s="382"/>
    </row>
    <row r="150" spans="1:28" ht="52.8" x14ac:dyDescent="0.3">
      <c r="A150" s="395">
        <v>5055</v>
      </c>
      <c r="B150" s="396" t="s">
        <v>159</v>
      </c>
      <c r="C150" s="396" t="s">
        <v>288</v>
      </c>
      <c r="D150" s="426" t="s">
        <v>791</v>
      </c>
      <c r="E150" s="379">
        <v>58629.5</v>
      </c>
      <c r="F150" s="401">
        <v>44141</v>
      </c>
      <c r="G150" s="401">
        <v>44206</v>
      </c>
      <c r="H150" s="397"/>
      <c r="I150" s="397">
        <v>7.55</v>
      </c>
      <c r="J150" s="393"/>
      <c r="K150" s="393"/>
      <c r="L150" s="393"/>
      <c r="M150" s="393"/>
      <c r="N150" s="393"/>
      <c r="O150" s="393"/>
      <c r="P150" s="393"/>
      <c r="Q150" s="393"/>
      <c r="R150" s="393"/>
      <c r="S150" s="393">
        <v>291.05932602739722</v>
      </c>
      <c r="T150" s="393"/>
      <c r="U150" s="393"/>
      <c r="V150" s="393">
        <v>291.05932602739722</v>
      </c>
      <c r="W150" s="393">
        <v>375.95162945205476</v>
      </c>
      <c r="X150" s="393"/>
      <c r="Y150" s="393"/>
      <c r="Z150" s="393">
        <v>667.01095547945192</v>
      </c>
      <c r="AA150" s="396"/>
      <c r="AB150" s="376"/>
    </row>
    <row r="151" spans="1:28" ht="52.8" x14ac:dyDescent="0.3">
      <c r="A151" s="395">
        <v>5063</v>
      </c>
      <c r="B151" s="396" t="s">
        <v>25</v>
      </c>
      <c r="C151" s="396" t="s">
        <v>792</v>
      </c>
      <c r="D151" s="426" t="s">
        <v>793</v>
      </c>
      <c r="E151" s="379">
        <v>138000</v>
      </c>
      <c r="F151" s="401">
        <v>44166</v>
      </c>
      <c r="G151" s="401">
        <v>44531</v>
      </c>
      <c r="H151" s="397"/>
      <c r="I151" s="397">
        <v>4.4000000000000004</v>
      </c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>
        <v>499.06849315068496</v>
      </c>
      <c r="X151" s="393"/>
      <c r="Y151" s="393"/>
      <c r="Z151" s="393">
        <v>499.06849315068496</v>
      </c>
      <c r="AA151" s="396"/>
      <c r="AB151" s="376"/>
    </row>
    <row r="152" spans="1:28" ht="52.8" x14ac:dyDescent="0.3">
      <c r="A152" s="395">
        <v>5005</v>
      </c>
      <c r="B152" s="396" t="s">
        <v>10</v>
      </c>
      <c r="C152" s="396" t="s">
        <v>794</v>
      </c>
      <c r="D152" s="426" t="s">
        <v>795</v>
      </c>
      <c r="E152" s="379">
        <v>1400000</v>
      </c>
      <c r="F152" s="401">
        <v>44169</v>
      </c>
      <c r="G152" s="401">
        <v>44534</v>
      </c>
      <c r="H152" s="397"/>
      <c r="I152" s="397">
        <v>0.4</v>
      </c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>
        <v>567.67123287671234</v>
      </c>
      <c r="X152" s="393"/>
      <c r="Y152" s="393"/>
      <c r="Z152" s="393">
        <v>567.67123287671234</v>
      </c>
      <c r="AA152" s="396"/>
      <c r="AB152" s="376"/>
    </row>
    <row r="153" spans="1:28" ht="52.8" x14ac:dyDescent="0.3">
      <c r="A153" s="395">
        <v>5060</v>
      </c>
      <c r="B153" s="396" t="s">
        <v>40</v>
      </c>
      <c r="C153" s="396" t="s">
        <v>796</v>
      </c>
      <c r="D153" s="426" t="s">
        <v>797</v>
      </c>
      <c r="E153" s="379">
        <v>440000</v>
      </c>
      <c r="F153" s="401">
        <v>44176</v>
      </c>
      <c r="G153" s="401">
        <v>44541</v>
      </c>
      <c r="H153" s="397"/>
      <c r="I153" s="397">
        <v>6.4</v>
      </c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>
        <v>1543.0136986301368</v>
      </c>
      <c r="X153" s="393"/>
      <c r="Y153" s="393"/>
      <c r="Z153" s="393">
        <v>1543.0136986301368</v>
      </c>
      <c r="AA153" s="396"/>
      <c r="AB153" s="376"/>
    </row>
    <row r="154" spans="1:28" ht="52.8" x14ac:dyDescent="0.3">
      <c r="A154" s="395">
        <v>5060</v>
      </c>
      <c r="B154" s="396" t="s">
        <v>322</v>
      </c>
      <c r="C154" s="396" t="s">
        <v>798</v>
      </c>
      <c r="D154" s="426" t="s">
        <v>799</v>
      </c>
      <c r="E154" s="379">
        <v>33000</v>
      </c>
      <c r="F154" s="401">
        <v>44177</v>
      </c>
      <c r="G154" s="401">
        <v>44542</v>
      </c>
      <c r="H154" s="397"/>
      <c r="I154" s="397">
        <v>6.4</v>
      </c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>
        <v>109.93972602739727</v>
      </c>
      <c r="X154" s="393"/>
      <c r="Y154" s="393"/>
      <c r="Z154" s="393">
        <v>109.93972602739727</v>
      </c>
      <c r="AA154" s="396"/>
      <c r="AB154" s="376"/>
    </row>
    <row r="155" spans="1:28" ht="52.8" x14ac:dyDescent="0.3">
      <c r="A155" s="395">
        <v>5061</v>
      </c>
      <c r="B155" s="396" t="s">
        <v>317</v>
      </c>
      <c r="C155" s="396" t="s">
        <v>800</v>
      </c>
      <c r="D155" s="426" t="s">
        <v>801</v>
      </c>
      <c r="E155" s="379">
        <v>200000</v>
      </c>
      <c r="F155" s="401">
        <v>44182</v>
      </c>
      <c r="G155" s="401">
        <v>44547</v>
      </c>
      <c r="H155" s="397"/>
      <c r="I155" s="397">
        <v>5.65</v>
      </c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>
        <v>433.42465753424659</v>
      </c>
      <c r="X155" s="393"/>
      <c r="Y155" s="393"/>
      <c r="Z155" s="393">
        <v>433.42465753424659</v>
      </c>
      <c r="AA155" s="396"/>
      <c r="AB155" s="376"/>
    </row>
    <row r="156" spans="1:28" ht="52.8" x14ac:dyDescent="0.3">
      <c r="A156" s="395">
        <v>5031</v>
      </c>
      <c r="B156" s="396" t="s">
        <v>7</v>
      </c>
      <c r="C156" s="396" t="s">
        <v>802</v>
      </c>
      <c r="D156" s="426" t="s">
        <v>803</v>
      </c>
      <c r="E156" s="379">
        <v>400000</v>
      </c>
      <c r="F156" s="401">
        <v>44186</v>
      </c>
      <c r="G156" s="401">
        <v>44551</v>
      </c>
      <c r="H156" s="397"/>
      <c r="I156" s="397">
        <v>6.9</v>
      </c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>
        <v>756.16438356164394</v>
      </c>
      <c r="X156" s="393"/>
      <c r="Y156" s="393"/>
      <c r="Z156" s="393">
        <v>756.16438356164394</v>
      </c>
      <c r="AA156" s="396"/>
      <c r="AB156" s="376"/>
    </row>
    <row r="157" spans="1:28" ht="52.8" x14ac:dyDescent="0.3">
      <c r="A157" s="395">
        <v>5060</v>
      </c>
      <c r="B157" s="396" t="s">
        <v>40</v>
      </c>
      <c r="C157" s="396" t="s">
        <v>804</v>
      </c>
      <c r="D157" s="426" t="s">
        <v>805</v>
      </c>
      <c r="E157" s="379">
        <v>380000</v>
      </c>
      <c r="F157" s="401">
        <v>44186</v>
      </c>
      <c r="G157" s="401">
        <v>44551</v>
      </c>
      <c r="H157" s="397"/>
      <c r="I157" s="397">
        <v>6.4</v>
      </c>
      <c r="J157" s="393"/>
      <c r="K157" s="393"/>
      <c r="L157" s="393"/>
      <c r="M157" s="393"/>
      <c r="N157" s="393"/>
      <c r="O157" s="393"/>
      <c r="P157" s="393"/>
      <c r="Q157" s="393"/>
      <c r="R157" s="393"/>
      <c r="S157" s="393"/>
      <c r="T157" s="393"/>
      <c r="U157" s="393"/>
      <c r="V157" s="393"/>
      <c r="W157" s="393">
        <v>666.30136986301363</v>
      </c>
      <c r="X157" s="393"/>
      <c r="Y157" s="393"/>
      <c r="Z157" s="393">
        <v>666.30136986301363</v>
      </c>
      <c r="AA157" s="396"/>
      <c r="AB157" s="376"/>
    </row>
    <row r="158" spans="1:28" ht="52.8" x14ac:dyDescent="0.3">
      <c r="A158" s="395">
        <v>5060</v>
      </c>
      <c r="B158" s="396" t="s">
        <v>233</v>
      </c>
      <c r="C158" s="396" t="s">
        <v>806</v>
      </c>
      <c r="D158" s="426" t="s">
        <v>807</v>
      </c>
      <c r="E158" s="379">
        <v>206000</v>
      </c>
      <c r="F158" s="401">
        <v>44186</v>
      </c>
      <c r="G158" s="401">
        <v>44551</v>
      </c>
      <c r="H158" s="397"/>
      <c r="I158" s="397">
        <v>5.65</v>
      </c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>
        <v>318.8767123287671</v>
      </c>
      <c r="X158" s="393"/>
      <c r="Y158" s="393"/>
      <c r="Z158" s="393">
        <v>318.8767123287671</v>
      </c>
      <c r="AA158" s="396"/>
      <c r="AB158" s="376"/>
    </row>
    <row r="159" spans="1:28" ht="52.8" x14ac:dyDescent="0.3">
      <c r="A159" s="395">
        <v>5060</v>
      </c>
      <c r="B159" s="396" t="s">
        <v>233</v>
      </c>
      <c r="C159" s="396" t="s">
        <v>808</v>
      </c>
      <c r="D159" s="426" t="s">
        <v>809</v>
      </c>
      <c r="E159" s="379">
        <v>170000</v>
      </c>
      <c r="F159" s="401">
        <v>44186</v>
      </c>
      <c r="G159" s="401">
        <v>44551</v>
      </c>
      <c r="H159" s="397"/>
      <c r="I159" s="397">
        <v>5.65</v>
      </c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>
        <v>263.15068493150687</v>
      </c>
      <c r="X159" s="393"/>
      <c r="Y159" s="393"/>
      <c r="Z159" s="393">
        <v>263.15068493150687</v>
      </c>
      <c r="AA159" s="396"/>
      <c r="AB159" s="376"/>
    </row>
    <row r="160" spans="1:28" ht="52.8" x14ac:dyDescent="0.3">
      <c r="A160" s="395">
        <v>5060</v>
      </c>
      <c r="B160" s="396" t="s">
        <v>233</v>
      </c>
      <c r="C160" s="396" t="s">
        <v>810</v>
      </c>
      <c r="D160" s="426" t="s">
        <v>811</v>
      </c>
      <c r="E160" s="379">
        <v>130000</v>
      </c>
      <c r="F160" s="401">
        <v>44186</v>
      </c>
      <c r="G160" s="401">
        <v>44551</v>
      </c>
      <c r="H160" s="397"/>
      <c r="I160" s="397">
        <v>5.65</v>
      </c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>
        <v>201.23287671232876</v>
      </c>
      <c r="X160" s="393"/>
      <c r="Y160" s="393"/>
      <c r="Z160" s="393">
        <v>201.23287671232876</v>
      </c>
      <c r="AA160" s="396"/>
      <c r="AB160" s="376"/>
    </row>
    <row r="161" spans="1:27" ht="52.8" x14ac:dyDescent="0.3">
      <c r="A161" s="395">
        <v>5060</v>
      </c>
      <c r="B161" s="396" t="s">
        <v>233</v>
      </c>
      <c r="C161" s="396" t="s">
        <v>812</v>
      </c>
      <c r="D161" s="426" t="s">
        <v>813</v>
      </c>
      <c r="E161" s="379">
        <v>126000</v>
      </c>
      <c r="F161" s="401">
        <v>44186</v>
      </c>
      <c r="G161" s="401">
        <v>44551</v>
      </c>
      <c r="H161" s="397"/>
      <c r="I161" s="397">
        <v>5.65</v>
      </c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>
        <v>195.04109589041096</v>
      </c>
      <c r="X161" s="393"/>
      <c r="Y161" s="393"/>
      <c r="Z161" s="393">
        <v>195.04109589041096</v>
      </c>
      <c r="AA161" s="396"/>
    </row>
    <row r="162" spans="1:27" ht="52.8" x14ac:dyDescent="0.3">
      <c r="A162" s="395">
        <v>5060</v>
      </c>
      <c r="B162" s="396" t="s">
        <v>233</v>
      </c>
      <c r="C162" s="396" t="s">
        <v>814</v>
      </c>
      <c r="D162" s="426" t="s">
        <v>815</v>
      </c>
      <c r="E162" s="379">
        <v>51138.69</v>
      </c>
      <c r="F162" s="401">
        <v>44186</v>
      </c>
      <c r="G162" s="401">
        <v>44551</v>
      </c>
      <c r="H162" s="397"/>
      <c r="I162" s="397">
        <v>5.65</v>
      </c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>
        <v>79.159890000000004</v>
      </c>
      <c r="X162" s="393"/>
      <c r="Y162" s="393"/>
      <c r="Z162" s="393">
        <v>79.159890000000004</v>
      </c>
      <c r="AA162" s="396"/>
    </row>
    <row r="163" spans="1:27" ht="52.8" x14ac:dyDescent="0.3">
      <c r="A163" s="395">
        <v>5060</v>
      </c>
      <c r="B163" s="396" t="s">
        <v>233</v>
      </c>
      <c r="C163" s="396" t="s">
        <v>816</v>
      </c>
      <c r="D163" s="426" t="s">
        <v>817</v>
      </c>
      <c r="E163" s="379">
        <v>275000</v>
      </c>
      <c r="F163" s="401">
        <v>44186</v>
      </c>
      <c r="G163" s="401">
        <v>44551</v>
      </c>
      <c r="H163" s="397"/>
      <c r="I163" s="397">
        <v>5.65</v>
      </c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>
        <v>425.6849315068493</v>
      </c>
      <c r="X163" s="393"/>
      <c r="Y163" s="393"/>
      <c r="Z163" s="393">
        <v>425.6849315068493</v>
      </c>
      <c r="AA163" s="396"/>
    </row>
    <row r="164" spans="1:27" ht="52.8" x14ac:dyDescent="0.3">
      <c r="A164" s="395">
        <v>5060</v>
      </c>
      <c r="B164" s="396" t="s">
        <v>233</v>
      </c>
      <c r="C164" s="396" t="s">
        <v>818</v>
      </c>
      <c r="D164" s="426" t="s">
        <v>819</v>
      </c>
      <c r="E164" s="379">
        <v>254800</v>
      </c>
      <c r="F164" s="401">
        <v>44186</v>
      </c>
      <c r="G164" s="401">
        <v>44551</v>
      </c>
      <c r="H164" s="397"/>
      <c r="I164" s="397">
        <v>5.65</v>
      </c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>
        <v>394.41643835616441</v>
      </c>
      <c r="X164" s="393"/>
      <c r="Y164" s="393"/>
      <c r="Z164" s="393">
        <v>394.41643835616441</v>
      </c>
      <c r="AA164" s="396"/>
    </row>
    <row r="165" spans="1:27" ht="52.8" x14ac:dyDescent="0.3">
      <c r="A165" s="395">
        <v>5060</v>
      </c>
      <c r="B165" s="396" t="s">
        <v>233</v>
      </c>
      <c r="C165" s="396" t="s">
        <v>820</v>
      </c>
      <c r="D165" s="426" t="s">
        <v>821</v>
      </c>
      <c r="E165" s="379">
        <v>200000</v>
      </c>
      <c r="F165" s="401">
        <v>44186</v>
      </c>
      <c r="G165" s="401">
        <v>44551</v>
      </c>
      <c r="H165" s="397"/>
      <c r="I165" s="397">
        <v>5.65</v>
      </c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>
        <v>309.58904109589042</v>
      </c>
      <c r="X165" s="393"/>
      <c r="Y165" s="393"/>
      <c r="Z165" s="393">
        <v>309.58904109589042</v>
      </c>
      <c r="AA165" s="396"/>
    </row>
    <row r="166" spans="1:27" x14ac:dyDescent="0.3">
      <c r="A166" s="395"/>
      <c r="B166" s="396" t="s">
        <v>265</v>
      </c>
      <c r="C166" s="396" t="s">
        <v>264</v>
      </c>
      <c r="D166" s="396" t="s">
        <v>822</v>
      </c>
      <c r="E166" s="383">
        <v>102125.4</v>
      </c>
      <c r="F166" s="401">
        <v>44167</v>
      </c>
      <c r="G166" s="401">
        <v>44233</v>
      </c>
      <c r="H166" s="397"/>
      <c r="I166" s="397">
        <v>6.9</v>
      </c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>
        <v>559.87102849315067</v>
      </c>
      <c r="X166" s="393"/>
      <c r="Y166" s="393"/>
      <c r="Z166" s="393">
        <v>559.87102849315067</v>
      </c>
      <c r="AA166" s="396"/>
    </row>
    <row r="167" spans="1:27" x14ac:dyDescent="0.3">
      <c r="A167" s="395"/>
      <c r="B167" s="396" t="s">
        <v>40</v>
      </c>
      <c r="C167" s="396" t="s">
        <v>108</v>
      </c>
      <c r="D167" s="430" t="s">
        <v>823</v>
      </c>
      <c r="E167" s="383">
        <v>385483.99</v>
      </c>
      <c r="F167" s="401">
        <v>44183</v>
      </c>
      <c r="G167" s="401">
        <v>44389</v>
      </c>
      <c r="H167" s="397"/>
      <c r="I167" s="394">
        <v>6.4</v>
      </c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>
        <v>878.69227309589041</v>
      </c>
      <c r="X167" s="393"/>
      <c r="Y167" s="393"/>
      <c r="Z167" s="393">
        <v>878.69227309589041</v>
      </c>
      <c r="AA167" s="396"/>
    </row>
    <row r="168" spans="1:27" x14ac:dyDescent="0.3">
      <c r="A168" s="395"/>
      <c r="B168" s="422"/>
      <c r="C168" s="422"/>
      <c r="D168" s="422"/>
      <c r="E168" s="394"/>
      <c r="F168" s="401"/>
      <c r="G168" s="401"/>
      <c r="H168" s="397"/>
      <c r="I168" s="421"/>
      <c r="J168" s="419"/>
      <c r="K168" s="419"/>
      <c r="L168" s="419"/>
      <c r="M168" s="419"/>
      <c r="N168" s="393"/>
      <c r="O168" s="419"/>
      <c r="P168" s="419"/>
      <c r="Q168" s="419"/>
      <c r="R168" s="393"/>
      <c r="S168" s="419"/>
      <c r="T168" s="419"/>
      <c r="U168" s="419"/>
      <c r="V168" s="393"/>
      <c r="W168" s="419"/>
      <c r="X168" s="419"/>
      <c r="Y168" s="419">
        <v>-0.31</v>
      </c>
      <c r="Z168" s="393">
        <v>-0.31</v>
      </c>
      <c r="AA168" s="396"/>
    </row>
    <row r="169" spans="1:27" x14ac:dyDescent="0.3">
      <c r="A169" s="395"/>
      <c r="B169" s="422"/>
      <c r="C169" s="422"/>
      <c r="D169" s="422"/>
      <c r="E169" s="394"/>
      <c r="F169" s="401"/>
      <c r="G169" s="401"/>
      <c r="H169" s="397"/>
      <c r="I169" s="421"/>
      <c r="J169" s="419"/>
      <c r="K169" s="419"/>
      <c r="L169" s="419"/>
      <c r="M169" s="419"/>
      <c r="N169" s="393"/>
      <c r="O169" s="419"/>
      <c r="P169" s="419"/>
      <c r="Q169" s="419"/>
      <c r="R169" s="393"/>
      <c r="S169" s="419"/>
      <c r="T169" s="419"/>
      <c r="U169" s="419"/>
      <c r="V169" s="393"/>
      <c r="W169" s="419"/>
      <c r="X169" s="419"/>
      <c r="Y169" s="419"/>
      <c r="Z169" s="393"/>
      <c r="AA169" s="396"/>
    </row>
    <row r="170" spans="1:27" x14ac:dyDescent="0.3">
      <c r="A170" s="395"/>
      <c r="B170" s="422"/>
      <c r="C170" s="422"/>
      <c r="D170" s="422"/>
      <c r="E170" s="394"/>
      <c r="F170" s="401"/>
      <c r="G170" s="401"/>
      <c r="H170" s="397"/>
      <c r="I170" s="421"/>
      <c r="J170" s="419"/>
      <c r="K170" s="419"/>
      <c r="L170" s="419"/>
      <c r="M170" s="419"/>
      <c r="N170" s="393"/>
      <c r="O170" s="419"/>
      <c r="P170" s="419"/>
      <c r="Q170" s="419"/>
      <c r="R170" s="393"/>
      <c r="S170" s="419"/>
      <c r="T170" s="419"/>
      <c r="U170" s="419"/>
      <c r="V170" s="393"/>
      <c r="W170" s="419"/>
      <c r="X170" s="419"/>
      <c r="Y170" s="419"/>
      <c r="Z170" s="393"/>
      <c r="AA170" s="396"/>
    </row>
    <row r="171" spans="1:27" x14ac:dyDescent="0.3">
      <c r="A171" s="395"/>
      <c r="B171" s="422"/>
      <c r="C171" s="422"/>
      <c r="D171" s="422"/>
      <c r="E171" s="394"/>
      <c r="F171" s="401"/>
      <c r="G171" s="401"/>
      <c r="H171" s="397"/>
      <c r="I171" s="421"/>
      <c r="J171" s="419"/>
      <c r="K171" s="419"/>
      <c r="L171" s="419"/>
      <c r="M171" s="419"/>
      <c r="N171" s="393"/>
      <c r="O171" s="419"/>
      <c r="P171" s="419"/>
      <c r="Q171" s="419"/>
      <c r="R171" s="393"/>
      <c r="S171" s="419"/>
      <c r="T171" s="419"/>
      <c r="U171" s="419"/>
      <c r="V171" s="393"/>
      <c r="W171" s="419"/>
      <c r="X171" s="419"/>
      <c r="Y171" s="419"/>
      <c r="Z171" s="393"/>
      <c r="AA171" s="396"/>
    </row>
    <row r="172" spans="1:27" x14ac:dyDescent="0.3">
      <c r="A172" s="395"/>
      <c r="B172" s="422"/>
      <c r="C172" s="422"/>
      <c r="D172" s="422"/>
      <c r="E172" s="394"/>
      <c r="F172" s="401"/>
      <c r="G172" s="401"/>
      <c r="H172" s="397"/>
      <c r="I172" s="421"/>
      <c r="J172" s="419"/>
      <c r="K172" s="419"/>
      <c r="L172" s="419"/>
      <c r="M172" s="419"/>
      <c r="N172" s="393"/>
      <c r="O172" s="419"/>
      <c r="P172" s="419"/>
      <c r="Q172" s="419"/>
      <c r="R172" s="393"/>
      <c r="S172" s="419"/>
      <c r="T172" s="419"/>
      <c r="U172" s="419"/>
      <c r="V172" s="393"/>
      <c r="W172" s="419"/>
      <c r="X172" s="419"/>
      <c r="Y172" s="419"/>
      <c r="Z172" s="393"/>
      <c r="AA172" s="396"/>
    </row>
    <row r="173" spans="1:27" x14ac:dyDescent="0.3">
      <c r="A173" s="395"/>
      <c r="B173" s="407"/>
      <c r="C173" s="407"/>
      <c r="D173" s="407"/>
      <c r="E173" s="400"/>
      <c r="F173" s="408"/>
      <c r="G173" s="408"/>
      <c r="H173" s="409"/>
      <c r="I173" s="410"/>
      <c r="J173" s="419"/>
      <c r="K173" s="419"/>
      <c r="L173" s="419"/>
      <c r="M173" s="419"/>
      <c r="N173" s="393"/>
      <c r="O173" s="419"/>
      <c r="P173" s="419"/>
      <c r="Q173" s="419"/>
      <c r="R173" s="393"/>
      <c r="S173" s="419"/>
      <c r="T173" s="419"/>
      <c r="U173" s="419"/>
      <c r="V173" s="393"/>
      <c r="W173" s="419"/>
      <c r="X173" s="419"/>
      <c r="Y173" s="419"/>
      <c r="Z173" s="393"/>
      <c r="AA173" s="396"/>
    </row>
    <row r="174" spans="1:27" ht="15" thickBot="1" x14ac:dyDescent="0.35">
      <c r="A174" s="411" t="s">
        <v>4</v>
      </c>
      <c r="B174" s="412"/>
      <c r="C174" s="412"/>
      <c r="D174" s="413"/>
      <c r="E174" s="414">
        <v>38930542.480000004</v>
      </c>
      <c r="F174" s="415"/>
      <c r="G174" s="415"/>
      <c r="H174" s="413"/>
      <c r="I174" s="416">
        <v>5.1948818897637716</v>
      </c>
      <c r="J174" s="417">
        <v>666272.56402636319</v>
      </c>
      <c r="K174" s="417">
        <v>165562.85406057534</v>
      </c>
      <c r="L174" s="417"/>
      <c r="M174" s="417"/>
      <c r="N174" s="417">
        <v>831835.41808693775</v>
      </c>
      <c r="O174" s="417">
        <v>173617.29257492322</v>
      </c>
      <c r="P174" s="417">
        <v>-105.21</v>
      </c>
      <c r="Q174" s="417">
        <v>0</v>
      </c>
      <c r="R174" s="417">
        <v>1005347.5006618607</v>
      </c>
      <c r="S174" s="417">
        <v>192109.42684084937</v>
      </c>
      <c r="T174" s="417">
        <v>-3872.22</v>
      </c>
      <c r="U174" s="417">
        <v>-102.58</v>
      </c>
      <c r="V174" s="417">
        <v>1193482.1275027117</v>
      </c>
      <c r="W174" s="417">
        <v>192253.95746616999</v>
      </c>
      <c r="X174" s="417">
        <v>-345794.74</v>
      </c>
      <c r="Y174" s="417">
        <v>413.71999999999974</v>
      </c>
      <c r="Z174" s="417">
        <v>1040355.0649688812</v>
      </c>
      <c r="AA174" s="418"/>
    </row>
    <row r="175" spans="1:27" ht="15" thickTop="1" x14ac:dyDescent="0.3">
      <c r="A175" s="376"/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6"/>
      <c r="U175" s="376"/>
      <c r="V175" s="376"/>
      <c r="W175" s="376"/>
      <c r="X175" s="376"/>
      <c r="Y175" s="376"/>
      <c r="Z175" s="376"/>
      <c r="AA175" s="376"/>
    </row>
    <row r="176" spans="1:27" x14ac:dyDescent="0.3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6"/>
      <c r="O176" s="376"/>
      <c r="P176" s="376"/>
      <c r="Q176" s="376" t="s">
        <v>2</v>
      </c>
      <c r="R176" s="424">
        <v>1138488.4099999999</v>
      </c>
      <c r="S176" s="376"/>
      <c r="T176" s="376"/>
      <c r="U176" s="376" t="s">
        <v>2</v>
      </c>
      <c r="V176" s="424">
        <v>1193482.1200000001</v>
      </c>
      <c r="W176" s="376"/>
      <c r="X176" s="376"/>
      <c r="Y176" s="376" t="s">
        <v>2</v>
      </c>
      <c r="Z176" s="424">
        <v>1040355.06</v>
      </c>
      <c r="AA176" s="376"/>
    </row>
    <row r="177" spans="9:26" x14ac:dyDescent="0.3">
      <c r="I177" s="376"/>
      <c r="J177" s="376"/>
      <c r="K177" s="376"/>
      <c r="L177" s="376"/>
      <c r="M177" s="376"/>
      <c r="N177" s="376"/>
      <c r="O177" s="376"/>
      <c r="P177" s="376"/>
      <c r="Q177" s="376" t="s">
        <v>824</v>
      </c>
      <c r="R177" s="380">
        <v>133140.90933813923</v>
      </c>
      <c r="S177" s="376"/>
      <c r="T177" s="376"/>
      <c r="U177" s="376" t="s">
        <v>824</v>
      </c>
      <c r="V177" s="380">
        <v>-7.5027116108685732E-3</v>
      </c>
      <c r="W177" s="376"/>
      <c r="X177" s="376"/>
      <c r="Y177" s="376" t="s">
        <v>824</v>
      </c>
      <c r="Z177" s="380">
        <v>-4.9688811413943768E-3</v>
      </c>
    </row>
    <row r="178" spans="9:26" x14ac:dyDescent="0.3">
      <c r="I178" s="376"/>
      <c r="J178" s="376"/>
      <c r="K178" s="376"/>
      <c r="L178" s="376"/>
      <c r="M178" s="376"/>
      <c r="N178" s="376"/>
      <c r="O178" s="376"/>
      <c r="P178" s="376"/>
      <c r="Q178" s="376"/>
      <c r="R178" s="380"/>
      <c r="S178" s="376"/>
      <c r="T178" s="376"/>
      <c r="U178" s="376"/>
      <c r="V178" s="380"/>
      <c r="W178" s="376"/>
      <c r="X178" s="376"/>
      <c r="Y178" s="376"/>
      <c r="Z178" s="380"/>
    </row>
    <row r="179" spans="9:26" x14ac:dyDescent="0.3">
      <c r="I179" s="381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  <c r="U179" s="381"/>
      <c r="V179" s="376"/>
      <c r="W179" s="376"/>
      <c r="X179" s="381"/>
      <c r="Y179" s="381"/>
      <c r="Z179" s="376"/>
    </row>
    <row r="180" spans="9:26" x14ac:dyDescent="0.3"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376"/>
      <c r="U180" s="381"/>
      <c r="V180" s="376"/>
      <c r="W180" s="376"/>
      <c r="X180" s="376"/>
      <c r="Y180" s="381"/>
      <c r="Z180" s="376"/>
    </row>
    <row r="181" spans="9:26" x14ac:dyDescent="0.3"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81"/>
      <c r="V181" s="376"/>
      <c r="W181" s="376"/>
      <c r="X181" s="376"/>
      <c r="Y181" s="381"/>
      <c r="Z181" s="376"/>
    </row>
    <row r="182" spans="9:26" x14ac:dyDescent="0.3">
      <c r="I182" s="376"/>
      <c r="J182" s="376"/>
      <c r="K182" s="376"/>
      <c r="L182" s="376"/>
      <c r="M182" s="376"/>
      <c r="N182" s="376"/>
      <c r="O182" s="376"/>
      <c r="P182" s="376"/>
      <c r="Q182" s="376"/>
      <c r="R182" s="376"/>
      <c r="S182" s="376"/>
      <c r="T182" s="376"/>
      <c r="U182" s="381"/>
      <c r="V182" s="376"/>
      <c r="W182" s="376"/>
      <c r="X182" s="376"/>
      <c r="Y182" s="381"/>
      <c r="Z182" s="3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B726-8F23-4ED7-A3BD-557056B8BED1}">
  <dimension ref="A1:AA184"/>
  <sheetViews>
    <sheetView topLeftCell="A160" workbookViewId="0">
      <selection activeCell="G180" sqref="G180"/>
    </sheetView>
  </sheetViews>
  <sheetFormatPr baseColWidth="10" defaultRowHeight="14.4" x14ac:dyDescent="0.3"/>
  <cols>
    <col min="4" max="4" width="37.44140625" customWidth="1"/>
    <col min="5" max="5" width="14" bestFit="1" customWidth="1"/>
    <col min="6" max="6" width="14.6640625" customWidth="1"/>
    <col min="8" max="8" width="11" customWidth="1"/>
    <col min="9" max="9" width="12" bestFit="1" customWidth="1"/>
    <col min="10" max="10" width="13" hidden="1" customWidth="1"/>
    <col min="11" max="13" width="0" hidden="1" customWidth="1"/>
    <col min="14" max="14" width="13" hidden="1" customWidth="1"/>
    <col min="15" max="15" width="0" hidden="1" customWidth="1"/>
    <col min="16" max="16" width="12.77734375" hidden="1" customWidth="1"/>
    <col min="17" max="17" width="0" hidden="1" customWidth="1"/>
    <col min="18" max="18" width="13" hidden="1" customWidth="1"/>
    <col min="19" max="19" width="12.21875" hidden="1" customWidth="1"/>
    <col min="20" max="20" width="15.33203125" hidden="1" customWidth="1"/>
    <col min="21" max="21" width="13.33203125" hidden="1" customWidth="1"/>
    <col min="22" max="22" width="13" hidden="1" customWidth="1"/>
    <col min="24" max="24" width="12.77734375" bestFit="1" customWidth="1"/>
    <col min="26" max="26" width="13" bestFit="1" customWidth="1"/>
    <col min="27" max="27" width="27.5546875" bestFit="1" customWidth="1"/>
  </cols>
  <sheetData>
    <row r="1" spans="1:27" x14ac:dyDescent="0.3">
      <c r="A1" t="s">
        <v>500</v>
      </c>
      <c r="F1" s="64"/>
      <c r="G1" s="64"/>
    </row>
    <row r="2" spans="1:27" x14ac:dyDescent="0.3">
      <c r="A2" t="s">
        <v>499</v>
      </c>
      <c r="F2" s="64"/>
      <c r="G2" s="64"/>
      <c r="I2" s="2"/>
    </row>
    <row r="3" spans="1:27" x14ac:dyDescent="0.3">
      <c r="A3" t="s">
        <v>727</v>
      </c>
      <c r="F3" s="64"/>
      <c r="G3" s="64"/>
    </row>
    <row r="4" spans="1:27" x14ac:dyDescent="0.3">
      <c r="D4" s="15"/>
      <c r="E4" s="15"/>
      <c r="F4" s="64"/>
      <c r="G4" s="64"/>
      <c r="H4" s="15"/>
      <c r="I4" s="15"/>
      <c r="J4" s="15">
        <v>43799</v>
      </c>
      <c r="K4" s="15"/>
      <c r="L4" s="15"/>
      <c r="M4" s="15"/>
      <c r="N4" s="15">
        <v>43830</v>
      </c>
      <c r="O4" s="15"/>
      <c r="P4" s="15"/>
      <c r="Q4" s="15"/>
      <c r="R4" s="15">
        <v>43861</v>
      </c>
      <c r="S4" s="15"/>
      <c r="T4" s="15"/>
      <c r="U4" s="15"/>
      <c r="V4" s="15">
        <v>43863</v>
      </c>
      <c r="W4" s="15"/>
      <c r="X4" s="15"/>
      <c r="Y4" s="15"/>
      <c r="Z4" s="15">
        <v>43921</v>
      </c>
    </row>
    <row r="5" spans="1:27" ht="28.8" x14ac:dyDescent="0.3">
      <c r="A5" s="66" t="s">
        <v>497</v>
      </c>
      <c r="B5" s="61" t="s">
        <v>496</v>
      </c>
      <c r="C5" s="61" t="s">
        <v>495</v>
      </c>
      <c r="D5" s="67" t="s">
        <v>494</v>
      </c>
      <c r="E5" s="67" t="s">
        <v>493</v>
      </c>
      <c r="F5" s="68" t="s">
        <v>492</v>
      </c>
      <c r="G5" s="68" t="s">
        <v>491</v>
      </c>
      <c r="H5" s="69"/>
      <c r="I5" s="70" t="s">
        <v>490</v>
      </c>
      <c r="J5" s="71" t="s">
        <v>484</v>
      </c>
      <c r="K5" s="72" t="s">
        <v>487</v>
      </c>
      <c r="L5" s="72" t="s">
        <v>486</v>
      </c>
      <c r="M5" s="72" t="s">
        <v>489</v>
      </c>
      <c r="N5" s="72" t="s">
        <v>484</v>
      </c>
      <c r="O5" s="57" t="s">
        <v>487</v>
      </c>
      <c r="P5" s="57" t="s">
        <v>486</v>
      </c>
      <c r="Q5" s="57" t="s">
        <v>489</v>
      </c>
      <c r="R5" s="57" t="s">
        <v>484</v>
      </c>
      <c r="S5" s="56" t="s">
        <v>487</v>
      </c>
      <c r="T5" s="56" t="s">
        <v>486</v>
      </c>
      <c r="U5" s="56" t="s">
        <v>489</v>
      </c>
      <c r="V5" s="56" t="s">
        <v>484</v>
      </c>
      <c r="W5" s="55" t="s">
        <v>487</v>
      </c>
      <c r="X5" s="55" t="s">
        <v>486</v>
      </c>
      <c r="Y5" s="55" t="s">
        <v>489</v>
      </c>
      <c r="Z5" s="55" t="s">
        <v>484</v>
      </c>
      <c r="AA5" s="56" t="s">
        <v>728</v>
      </c>
    </row>
    <row r="6" spans="1:27" x14ac:dyDescent="0.3">
      <c r="A6" s="37"/>
      <c r="B6" s="25" t="s">
        <v>25</v>
      </c>
      <c r="C6" s="25" t="s">
        <v>604</v>
      </c>
      <c r="D6" s="88" t="s">
        <v>605</v>
      </c>
      <c r="E6" s="25"/>
      <c r="F6" s="89">
        <v>43525</v>
      </c>
      <c r="G6" s="47">
        <v>43891</v>
      </c>
      <c r="H6" s="26"/>
      <c r="I6" s="26">
        <v>4.4000000000000004</v>
      </c>
      <c r="J6" s="26">
        <v>4071.213850837139</v>
      </c>
      <c r="K6" s="26" t="e">
        <f>(+#REF!*$I6%)/360*31</f>
        <v>#REF!</v>
      </c>
      <c r="L6" s="26"/>
      <c r="M6" s="26"/>
      <c r="N6" s="26" t="e">
        <f t="shared" ref="N6:N69" si="0">+J6+K6+L6+M6</f>
        <v>#REF!</v>
      </c>
      <c r="O6" s="26" t="e">
        <f>(+#REF!*$I6%)/360*31</f>
        <v>#REF!</v>
      </c>
      <c r="P6" s="26"/>
      <c r="Q6" s="26"/>
      <c r="R6" s="26">
        <v>4999.4916286149164</v>
      </c>
      <c r="S6" s="26">
        <v>449.16666666666674</v>
      </c>
      <c r="T6" s="26"/>
      <c r="U6" s="26"/>
      <c r="V6" s="26">
        <f t="shared" ref="V6:V69" si="1">+R6+S6+T6+U6</f>
        <v>5448.6582952815834</v>
      </c>
      <c r="W6" s="26"/>
      <c r="X6" s="26">
        <v>-5419.57</v>
      </c>
      <c r="Y6" s="26">
        <v>-29.09</v>
      </c>
      <c r="Z6" s="26">
        <f t="shared" ref="Z6:Z69" si="2">+V6+W6+X6+Y6</f>
        <v>-1.7047184163310192E-3</v>
      </c>
      <c r="AA6" s="25" t="s">
        <v>218</v>
      </c>
    </row>
    <row r="7" spans="1:27" x14ac:dyDescent="0.3">
      <c r="A7" s="25"/>
      <c r="B7" s="25" t="s">
        <v>508</v>
      </c>
      <c r="C7" s="25" t="s">
        <v>606</v>
      </c>
      <c r="D7" s="88" t="s">
        <v>607</v>
      </c>
      <c r="E7" s="25"/>
      <c r="F7" s="89">
        <v>43532</v>
      </c>
      <c r="G7" s="47">
        <v>43898</v>
      </c>
      <c r="H7" s="26"/>
      <c r="I7" s="26">
        <v>4.9000000000000004</v>
      </c>
      <c r="J7" s="26">
        <v>7701.2244672754969</v>
      </c>
      <c r="K7" s="26" t="e">
        <f>(+#REF!*$I7%)/360*31</f>
        <v>#REF!</v>
      </c>
      <c r="L7" s="26"/>
      <c r="M7" s="26"/>
      <c r="N7" s="26" t="e">
        <f t="shared" si="0"/>
        <v>#REF!</v>
      </c>
      <c r="O7" s="26" t="e">
        <f>(+#REF!*$I7%)/360*31</f>
        <v>#REF!</v>
      </c>
      <c r="P7" s="26"/>
      <c r="Q7" s="26"/>
      <c r="R7" s="26">
        <v>9502.9272450532735</v>
      </c>
      <c r="S7" s="26">
        <v>871.79166666666674</v>
      </c>
      <c r="T7" s="26">
        <v>-10174.01</v>
      </c>
      <c r="U7" s="26">
        <v>-200.71</v>
      </c>
      <c r="V7" s="26">
        <f t="shared" si="1"/>
        <v>-1.0882800606566434E-3</v>
      </c>
      <c r="W7" s="26"/>
      <c r="X7" s="26"/>
      <c r="Y7" s="26"/>
      <c r="Z7" s="26">
        <f t="shared" si="2"/>
        <v>-1.0882800606566434E-3</v>
      </c>
      <c r="AA7" s="25" t="s">
        <v>218</v>
      </c>
    </row>
    <row r="8" spans="1:27" x14ac:dyDescent="0.3">
      <c r="A8" s="25"/>
      <c r="B8" s="25" t="s">
        <v>124</v>
      </c>
      <c r="C8" s="25" t="s">
        <v>608</v>
      </c>
      <c r="D8" s="88" t="s">
        <v>609</v>
      </c>
      <c r="E8" s="25"/>
      <c r="F8" s="89">
        <v>43536</v>
      </c>
      <c r="G8" s="47">
        <v>43902</v>
      </c>
      <c r="H8" s="26"/>
      <c r="I8" s="26">
        <v>4.9000000000000004</v>
      </c>
      <c r="J8" s="26">
        <v>1776.7161339421616</v>
      </c>
      <c r="K8" s="26" t="e">
        <f>(+#REF!*$I8%)/360*31</f>
        <v>#REF!</v>
      </c>
      <c r="L8" s="26"/>
      <c r="M8" s="26"/>
      <c r="N8" s="26" t="e">
        <f t="shared" si="0"/>
        <v>#REF!</v>
      </c>
      <c r="O8" s="26" t="e">
        <f>(+#REF!*$I8%)/360*31</f>
        <v>#REF!</v>
      </c>
      <c r="P8" s="26"/>
      <c r="Q8" s="26"/>
      <c r="R8" s="26">
        <v>2198.6605783866062</v>
      </c>
      <c r="S8" s="26">
        <v>204.16666666666666</v>
      </c>
      <c r="T8" s="26"/>
      <c r="U8" s="26"/>
      <c r="V8" s="26">
        <f t="shared" si="1"/>
        <v>2402.8272450532727</v>
      </c>
      <c r="W8" s="26"/>
      <c r="X8" s="26">
        <v>-2463.44</v>
      </c>
      <c r="Y8" s="26">
        <v>60.61</v>
      </c>
      <c r="Z8" s="26">
        <f t="shared" si="2"/>
        <v>-2.7549467273644268E-3</v>
      </c>
      <c r="AA8" s="25" t="s">
        <v>218</v>
      </c>
    </row>
    <row r="9" spans="1:27" x14ac:dyDescent="0.3">
      <c r="A9" s="25"/>
      <c r="B9" s="25" t="s">
        <v>16</v>
      </c>
      <c r="C9" s="25" t="s">
        <v>610</v>
      </c>
      <c r="D9" s="88" t="s">
        <v>611</v>
      </c>
      <c r="E9" s="25"/>
      <c r="F9" s="89">
        <v>43537</v>
      </c>
      <c r="G9" s="47">
        <v>43903</v>
      </c>
      <c r="H9" s="26"/>
      <c r="I9" s="26">
        <v>1.9</v>
      </c>
      <c r="J9" s="26">
        <v>995.17560882800603</v>
      </c>
      <c r="K9" s="26" t="e">
        <f>(+#REF!*$I9%)/360*31</f>
        <v>#REF!</v>
      </c>
      <c r="L9" s="26"/>
      <c r="M9" s="26"/>
      <c r="N9" s="26" t="e">
        <f t="shared" si="0"/>
        <v>#REF!</v>
      </c>
      <c r="O9" s="26" t="e">
        <f>(+#REF!*$I9%)/360*31</f>
        <v>#REF!</v>
      </c>
      <c r="P9" s="26"/>
      <c r="Q9" s="26"/>
      <c r="R9" s="26">
        <v>1232.4117199391173</v>
      </c>
      <c r="S9" s="26">
        <v>114.79166666666667</v>
      </c>
      <c r="T9" s="26"/>
      <c r="U9" s="26"/>
      <c r="V9" s="26">
        <f t="shared" si="1"/>
        <v>1347.2033866057841</v>
      </c>
      <c r="W9" s="26"/>
      <c r="X9" s="26">
        <v>-1381.27</v>
      </c>
      <c r="Y9" s="26">
        <v>34.07</v>
      </c>
      <c r="Z9" s="26">
        <f t="shared" si="2"/>
        <v>3.3866057841080988E-3</v>
      </c>
      <c r="AA9" s="25" t="s">
        <v>218</v>
      </c>
    </row>
    <row r="10" spans="1:27" x14ac:dyDescent="0.3">
      <c r="A10" s="25"/>
      <c r="B10" s="25" t="s">
        <v>233</v>
      </c>
      <c r="C10" s="25" t="s">
        <v>612</v>
      </c>
      <c r="D10" s="88" t="s">
        <v>613</v>
      </c>
      <c r="E10" s="25"/>
      <c r="F10" s="89">
        <v>43536</v>
      </c>
      <c r="G10" s="47">
        <v>43902</v>
      </c>
      <c r="H10" s="26"/>
      <c r="I10" s="26">
        <v>5.65</v>
      </c>
      <c r="J10" s="26">
        <v>3277.8599695585995</v>
      </c>
      <c r="K10" s="26" t="e">
        <f>(+#REF!*$I10%)/360*31</f>
        <v>#REF!</v>
      </c>
      <c r="L10" s="26"/>
      <c r="M10" s="26"/>
      <c r="N10" s="26" t="e">
        <f t="shared" si="0"/>
        <v>#REF!</v>
      </c>
      <c r="O10" s="26" t="e">
        <f>(+#REF!*$I10%)/360*31</f>
        <v>#REF!</v>
      </c>
      <c r="P10" s="26"/>
      <c r="Q10" s="26"/>
      <c r="R10" s="26">
        <v>4056.3044140030438</v>
      </c>
      <c r="S10" s="26">
        <v>376.66666666666669</v>
      </c>
      <c r="T10" s="26"/>
      <c r="U10" s="26"/>
      <c r="V10" s="26">
        <f t="shared" si="1"/>
        <v>4432.9710806697103</v>
      </c>
      <c r="W10" s="26"/>
      <c r="X10" s="26">
        <v>-4544.8</v>
      </c>
      <c r="Y10" s="26">
        <v>111.83</v>
      </c>
      <c r="Z10" s="26">
        <f t="shared" si="2"/>
        <v>1.0806697101344298E-3</v>
      </c>
      <c r="AA10" s="25" t="s">
        <v>218</v>
      </c>
    </row>
    <row r="11" spans="1:27" x14ac:dyDescent="0.3">
      <c r="A11" s="25"/>
      <c r="B11" s="25" t="s">
        <v>13</v>
      </c>
      <c r="C11" s="25" t="s">
        <v>614</v>
      </c>
      <c r="D11" s="88" t="s">
        <v>615</v>
      </c>
      <c r="E11" s="25"/>
      <c r="F11" s="89">
        <v>43538</v>
      </c>
      <c r="G11" s="47">
        <v>43904</v>
      </c>
      <c r="H11" s="26"/>
      <c r="I11" s="26">
        <v>4.6500000000000004</v>
      </c>
      <c r="J11" s="26">
        <v>3346.655251141553</v>
      </c>
      <c r="K11" s="26" t="e">
        <f>(+#REF!*$I11%)/360*31</f>
        <v>#REF!</v>
      </c>
      <c r="L11" s="26"/>
      <c r="M11" s="26"/>
      <c r="N11" s="26" t="e">
        <f t="shared" si="0"/>
        <v>#REF!</v>
      </c>
      <c r="O11" s="26" t="e">
        <f>(+#REF!*$I11%)/360*31</f>
        <v>#REF!</v>
      </c>
      <c r="P11" s="26"/>
      <c r="Q11" s="26"/>
      <c r="R11" s="26">
        <v>4147.4885844748869</v>
      </c>
      <c r="S11" s="26">
        <v>387.50000000000011</v>
      </c>
      <c r="T11" s="26"/>
      <c r="U11" s="26"/>
      <c r="V11" s="26">
        <f t="shared" si="1"/>
        <v>4534.9885844748869</v>
      </c>
      <c r="W11" s="26"/>
      <c r="X11" s="26">
        <v>-4675.51</v>
      </c>
      <c r="Y11" s="26">
        <v>140.52000000000001</v>
      </c>
      <c r="Z11" s="26">
        <f t="shared" si="2"/>
        <v>-1.4155251132876856E-3</v>
      </c>
      <c r="AA11" s="25" t="s">
        <v>218</v>
      </c>
    </row>
    <row r="12" spans="1:27" x14ac:dyDescent="0.3">
      <c r="A12" s="25"/>
      <c r="B12" s="25" t="s">
        <v>74</v>
      </c>
      <c r="C12" s="25" t="s">
        <v>616</v>
      </c>
      <c r="D12" s="88" t="s">
        <v>617</v>
      </c>
      <c r="E12" s="25"/>
      <c r="F12" s="89">
        <v>43544</v>
      </c>
      <c r="G12" s="47">
        <v>43910</v>
      </c>
      <c r="H12" s="26"/>
      <c r="I12" s="26">
        <v>3.4</v>
      </c>
      <c r="J12" s="26">
        <v>2391.1263318112638</v>
      </c>
      <c r="K12" s="26" t="e">
        <f>(+#REF!*$I12%)/360*31</f>
        <v>#REF!</v>
      </c>
      <c r="L12" s="26"/>
      <c r="M12" s="26"/>
      <c r="N12" s="26" t="e">
        <f t="shared" si="0"/>
        <v>#REF!</v>
      </c>
      <c r="O12" s="26" t="e">
        <f>(+#REF!*$I12%)/360*31</f>
        <v>#REF!</v>
      </c>
      <c r="P12" s="26"/>
      <c r="Q12" s="26"/>
      <c r="R12" s="26">
        <v>2976.6818873668194</v>
      </c>
      <c r="S12" s="26">
        <v>283.33333333333337</v>
      </c>
      <c r="T12" s="26"/>
      <c r="U12" s="26"/>
      <c r="V12" s="26">
        <f t="shared" si="1"/>
        <v>3260.0152207001529</v>
      </c>
      <c r="W12" s="26"/>
      <c r="X12" s="26">
        <v>-3418.66</v>
      </c>
      <c r="Y12" s="26">
        <v>158.63999999999999</v>
      </c>
      <c r="Z12" s="26">
        <f t="shared" si="2"/>
        <v>-4.7792998469731174E-3</v>
      </c>
      <c r="AA12" s="25" t="s">
        <v>218</v>
      </c>
    </row>
    <row r="13" spans="1:27" x14ac:dyDescent="0.3">
      <c r="A13" s="25"/>
      <c r="B13" s="25" t="s">
        <v>16</v>
      </c>
      <c r="C13" s="25" t="s">
        <v>618</v>
      </c>
      <c r="D13" s="88" t="s">
        <v>619</v>
      </c>
      <c r="E13" s="25"/>
      <c r="F13" s="89">
        <v>43515</v>
      </c>
      <c r="G13" s="47">
        <v>43880</v>
      </c>
      <c r="H13" s="26"/>
      <c r="I13" s="26">
        <v>1.9</v>
      </c>
      <c r="J13" s="26">
        <v>1301.2794901065449</v>
      </c>
      <c r="K13" s="26" t="e">
        <f>(+#REF!*$I13%)/360*31</f>
        <v>#REF!</v>
      </c>
      <c r="L13" s="26"/>
      <c r="M13" s="26"/>
      <c r="N13" s="26" t="e">
        <f t="shared" si="0"/>
        <v>#REF!</v>
      </c>
      <c r="O13" s="26" t="e">
        <f>(+#REF!*$I13%)/360*31</f>
        <v>#REF!</v>
      </c>
      <c r="P13" s="26"/>
      <c r="Q13" s="26"/>
      <c r="R13" s="26">
        <v>1587.5989345509893</v>
      </c>
      <c r="S13" s="26">
        <v>87.743055555555557</v>
      </c>
      <c r="T13" s="26">
        <v>-1662.5</v>
      </c>
      <c r="U13" s="26">
        <v>-12.84</v>
      </c>
      <c r="V13" s="26">
        <f t="shared" si="1"/>
        <v>1.9901065449268174E-3</v>
      </c>
      <c r="W13" s="26"/>
      <c r="X13" s="26"/>
      <c r="Y13" s="26"/>
      <c r="Z13" s="26">
        <f t="shared" si="2"/>
        <v>1.9901065449268174E-3</v>
      </c>
      <c r="AA13" s="25" t="s">
        <v>218</v>
      </c>
    </row>
    <row r="14" spans="1:27" x14ac:dyDescent="0.3">
      <c r="A14" s="25"/>
      <c r="B14" s="25" t="s">
        <v>74</v>
      </c>
      <c r="C14" s="25" t="s">
        <v>620</v>
      </c>
      <c r="D14" s="26" t="s">
        <v>621</v>
      </c>
      <c r="E14" s="27">
        <v>120000</v>
      </c>
      <c r="F14" s="47" t="s">
        <v>622</v>
      </c>
      <c r="G14" s="47" t="s">
        <v>623</v>
      </c>
      <c r="H14" s="26"/>
      <c r="I14" s="26">
        <v>3.4</v>
      </c>
      <c r="J14" s="26">
        <v>2645.7899543378999</v>
      </c>
      <c r="K14" s="26">
        <f t="shared" ref="K14:K68" si="3">(+$E14*$I14%)/360*31</f>
        <v>351.33333333333337</v>
      </c>
      <c r="L14" s="26"/>
      <c r="M14" s="26"/>
      <c r="N14" s="26">
        <f t="shared" si="0"/>
        <v>2997.1232876712334</v>
      </c>
      <c r="O14" s="26">
        <f t="shared" ref="O14:O68" si="4">(+$E14*$I14%)/360*31</f>
        <v>351.33333333333337</v>
      </c>
      <c r="P14" s="26"/>
      <c r="Q14" s="26"/>
      <c r="R14" s="26">
        <v>3348.4566210045668</v>
      </c>
      <c r="S14" s="26">
        <v>340</v>
      </c>
      <c r="T14" s="26"/>
      <c r="U14" s="26"/>
      <c r="V14" s="26">
        <f t="shared" si="1"/>
        <v>3688.4566210045668</v>
      </c>
      <c r="W14" s="26">
        <f>(+$E14*$I14%)/360*30</f>
        <v>340</v>
      </c>
      <c r="X14" s="26"/>
      <c r="Y14" s="26"/>
      <c r="Z14" s="26">
        <f t="shared" si="2"/>
        <v>4028.4566210045668</v>
      </c>
      <c r="AA14" s="25"/>
    </row>
    <row r="15" spans="1:27" x14ac:dyDescent="0.3">
      <c r="A15" s="25"/>
      <c r="B15" s="25" t="s">
        <v>74</v>
      </c>
      <c r="C15" s="25" t="s">
        <v>624</v>
      </c>
      <c r="D15" s="26" t="s">
        <v>625</v>
      </c>
      <c r="E15" s="26">
        <v>100000</v>
      </c>
      <c r="F15" s="47" t="s">
        <v>626</v>
      </c>
      <c r="G15" s="47" t="s">
        <v>627</v>
      </c>
      <c r="H15" s="26"/>
      <c r="I15" s="26">
        <v>3.4</v>
      </c>
      <c r="J15" s="26">
        <v>2055.7838660578391</v>
      </c>
      <c r="K15" s="26">
        <f t="shared" si="3"/>
        <v>292.77777777777783</v>
      </c>
      <c r="L15" s="26"/>
      <c r="M15" s="26"/>
      <c r="N15" s="26">
        <f t="shared" si="0"/>
        <v>2348.5616438356169</v>
      </c>
      <c r="O15" s="26">
        <f t="shared" si="4"/>
        <v>292.77777777777783</v>
      </c>
      <c r="P15" s="26"/>
      <c r="Q15" s="26"/>
      <c r="R15" s="26">
        <v>2641.3394216133947</v>
      </c>
      <c r="S15" s="26">
        <v>283.33333333333337</v>
      </c>
      <c r="T15" s="26"/>
      <c r="U15" s="26"/>
      <c r="V15" s="26">
        <f t="shared" si="1"/>
        <v>2924.6727549467282</v>
      </c>
      <c r="W15" s="26">
        <f t="shared" ref="W15:W65" si="5">(+$E15*$I15%)/360*30</f>
        <v>283.33333333333337</v>
      </c>
      <c r="X15" s="26"/>
      <c r="Y15" s="26"/>
      <c r="Z15" s="26">
        <f t="shared" si="2"/>
        <v>3208.0060882800617</v>
      </c>
      <c r="AA15" s="25"/>
    </row>
    <row r="16" spans="1:27" x14ac:dyDescent="0.3">
      <c r="A16" s="25"/>
      <c r="B16" s="25" t="s">
        <v>25</v>
      </c>
      <c r="C16" s="25" t="s">
        <v>628</v>
      </c>
      <c r="D16" s="26" t="s">
        <v>629</v>
      </c>
      <c r="E16" s="26">
        <v>122500</v>
      </c>
      <c r="F16" s="47" t="s">
        <v>630</v>
      </c>
      <c r="G16" s="47" t="s">
        <v>631</v>
      </c>
      <c r="H16" s="26"/>
      <c r="I16" s="26">
        <v>4.4000000000000004</v>
      </c>
      <c r="J16" s="26">
        <v>3613.4330289193313</v>
      </c>
      <c r="K16" s="26">
        <f t="shared" si="3"/>
        <v>464.13888888888897</v>
      </c>
      <c r="L16" s="26"/>
      <c r="M16" s="26"/>
      <c r="N16" s="26">
        <f t="shared" si="0"/>
        <v>4077.5719178082204</v>
      </c>
      <c r="O16" s="26">
        <f t="shared" si="4"/>
        <v>464.13888888888897</v>
      </c>
      <c r="P16" s="26"/>
      <c r="Q16" s="26"/>
      <c r="R16" s="26">
        <v>4541.7108066971095</v>
      </c>
      <c r="S16" s="26">
        <v>449.16666666666674</v>
      </c>
      <c r="T16" s="26"/>
      <c r="U16" s="26"/>
      <c r="V16" s="26">
        <f t="shared" si="1"/>
        <v>4990.8774733637765</v>
      </c>
      <c r="W16" s="26">
        <f t="shared" si="5"/>
        <v>449.16666666666674</v>
      </c>
      <c r="X16" s="26"/>
      <c r="Y16" s="26"/>
      <c r="Z16" s="26">
        <f t="shared" si="2"/>
        <v>5440.0441400304435</v>
      </c>
      <c r="AA16" s="25"/>
    </row>
    <row r="17" spans="1:27" x14ac:dyDescent="0.3">
      <c r="A17" s="25"/>
      <c r="B17" s="25" t="s">
        <v>177</v>
      </c>
      <c r="C17" s="25" t="s">
        <v>632</v>
      </c>
      <c r="D17" s="26" t="s">
        <v>633</v>
      </c>
      <c r="E17" s="26">
        <v>100000</v>
      </c>
      <c r="F17" s="47" t="s">
        <v>626</v>
      </c>
      <c r="G17" s="47" t="s">
        <v>627</v>
      </c>
      <c r="H17" s="26"/>
      <c r="I17" s="26">
        <v>5.9</v>
      </c>
      <c r="J17" s="26">
        <v>3567.3896499238967</v>
      </c>
      <c r="K17" s="26">
        <f t="shared" si="3"/>
        <v>508.05555555555554</v>
      </c>
      <c r="L17" s="26"/>
      <c r="M17" s="26"/>
      <c r="N17" s="26">
        <f t="shared" si="0"/>
        <v>4075.4452054794524</v>
      </c>
      <c r="O17" s="26">
        <f t="shared" si="4"/>
        <v>508.05555555555554</v>
      </c>
      <c r="P17" s="26"/>
      <c r="Q17" s="26"/>
      <c r="R17" s="26">
        <v>4583.5007610350076</v>
      </c>
      <c r="S17" s="26">
        <v>491.66666666666669</v>
      </c>
      <c r="T17" s="26"/>
      <c r="U17" s="26"/>
      <c r="V17" s="26">
        <f t="shared" si="1"/>
        <v>5075.1674277016746</v>
      </c>
      <c r="W17" s="26">
        <f t="shared" si="5"/>
        <v>491.66666666666669</v>
      </c>
      <c r="X17" s="26"/>
      <c r="Y17" s="26"/>
      <c r="Z17" s="26">
        <f t="shared" si="2"/>
        <v>5566.8340943683415</v>
      </c>
      <c r="AA17" s="25"/>
    </row>
    <row r="18" spans="1:27" x14ac:dyDescent="0.3">
      <c r="A18" s="25" t="s">
        <v>419</v>
      </c>
      <c r="B18" s="25" t="s">
        <v>177</v>
      </c>
      <c r="C18" s="25" t="s">
        <v>634</v>
      </c>
      <c r="D18" s="26" t="s">
        <v>635</v>
      </c>
      <c r="E18" s="26">
        <v>48500</v>
      </c>
      <c r="F18" s="47" t="s">
        <v>626</v>
      </c>
      <c r="G18" s="47" t="s">
        <v>627</v>
      </c>
      <c r="H18" s="26"/>
      <c r="I18" s="26">
        <v>5.9</v>
      </c>
      <c r="J18" s="26">
        <v>1730.1839802130899</v>
      </c>
      <c r="K18" s="26">
        <f t="shared" si="3"/>
        <v>246.40694444444443</v>
      </c>
      <c r="L18" s="26"/>
      <c r="M18" s="26"/>
      <c r="N18" s="26">
        <f t="shared" si="0"/>
        <v>1976.5909246575343</v>
      </c>
      <c r="O18" s="26">
        <f t="shared" si="4"/>
        <v>246.40694444444443</v>
      </c>
      <c r="P18" s="26"/>
      <c r="Q18" s="26"/>
      <c r="R18" s="26">
        <v>2222.9978691019787</v>
      </c>
      <c r="S18" s="26">
        <v>238.45833333333334</v>
      </c>
      <c r="T18" s="26"/>
      <c r="U18" s="26"/>
      <c r="V18" s="26">
        <f t="shared" si="1"/>
        <v>2461.4562024353122</v>
      </c>
      <c r="W18" s="26">
        <f t="shared" si="5"/>
        <v>238.45833333333334</v>
      </c>
      <c r="X18" s="26"/>
      <c r="Y18" s="26"/>
      <c r="Z18" s="26">
        <f t="shared" si="2"/>
        <v>2699.9145357686457</v>
      </c>
      <c r="AA18" s="25"/>
    </row>
    <row r="19" spans="1:27" x14ac:dyDescent="0.3">
      <c r="A19" s="25" t="s">
        <v>419</v>
      </c>
      <c r="B19" s="25" t="s">
        <v>177</v>
      </c>
      <c r="C19" s="25" t="s">
        <v>636</v>
      </c>
      <c r="D19" s="26" t="s">
        <v>637</v>
      </c>
      <c r="E19" s="26">
        <v>60000</v>
      </c>
      <c r="F19" s="47" t="s">
        <v>626</v>
      </c>
      <c r="G19" s="47" t="s">
        <v>627</v>
      </c>
      <c r="H19" s="26"/>
      <c r="I19" s="26">
        <v>5.9</v>
      </c>
      <c r="J19" s="26">
        <v>2140.4337899543384</v>
      </c>
      <c r="K19" s="26">
        <f t="shared" si="3"/>
        <v>304.83333333333337</v>
      </c>
      <c r="L19" s="26"/>
      <c r="M19" s="26"/>
      <c r="N19" s="26">
        <f t="shared" si="0"/>
        <v>2445.2671232876719</v>
      </c>
      <c r="O19" s="26">
        <f t="shared" si="4"/>
        <v>304.83333333333337</v>
      </c>
      <c r="P19" s="26"/>
      <c r="Q19" s="26"/>
      <c r="R19" s="26">
        <v>2750.1004566210054</v>
      </c>
      <c r="S19" s="26">
        <v>295</v>
      </c>
      <c r="T19" s="26"/>
      <c r="U19" s="26"/>
      <c r="V19" s="26">
        <f t="shared" si="1"/>
        <v>3045.1004566210054</v>
      </c>
      <c r="W19" s="26">
        <f t="shared" si="5"/>
        <v>295</v>
      </c>
      <c r="X19" s="26"/>
      <c r="Y19" s="26"/>
      <c r="Z19" s="26">
        <f t="shared" si="2"/>
        <v>3340.1004566210054</v>
      </c>
      <c r="AA19" s="25"/>
    </row>
    <row r="20" spans="1:27" x14ac:dyDescent="0.3">
      <c r="A20" s="25" t="s">
        <v>419</v>
      </c>
      <c r="B20" s="25" t="s">
        <v>177</v>
      </c>
      <c r="C20" s="25" t="s">
        <v>638</v>
      </c>
      <c r="D20" s="26" t="s">
        <v>639</v>
      </c>
      <c r="E20" s="26">
        <v>17500</v>
      </c>
      <c r="F20" s="47" t="s">
        <v>640</v>
      </c>
      <c r="G20" s="47" t="s">
        <v>627</v>
      </c>
      <c r="H20" s="26"/>
      <c r="I20" s="26">
        <v>5.9</v>
      </c>
      <c r="J20" s="26">
        <v>610.1493531202434</v>
      </c>
      <c r="K20" s="26">
        <f t="shared" si="3"/>
        <v>88.909722222222214</v>
      </c>
      <c r="L20" s="26"/>
      <c r="M20" s="26"/>
      <c r="N20" s="26">
        <f t="shared" si="0"/>
        <v>699.05907534246558</v>
      </c>
      <c r="O20" s="26">
        <f t="shared" si="4"/>
        <v>88.909722222222214</v>
      </c>
      <c r="P20" s="26"/>
      <c r="Q20" s="26"/>
      <c r="R20" s="26">
        <v>787.96879756468775</v>
      </c>
      <c r="S20" s="26">
        <v>86.041666666666657</v>
      </c>
      <c r="T20" s="26"/>
      <c r="U20" s="26"/>
      <c r="V20" s="26">
        <f t="shared" si="1"/>
        <v>874.01046423135438</v>
      </c>
      <c r="W20" s="26">
        <f t="shared" si="5"/>
        <v>86.041666666666657</v>
      </c>
      <c r="X20" s="26"/>
      <c r="Y20" s="26"/>
      <c r="Z20" s="26">
        <f t="shared" si="2"/>
        <v>960.05213089802101</v>
      </c>
      <c r="AA20" s="25"/>
    </row>
    <row r="21" spans="1:27" x14ac:dyDescent="0.3">
      <c r="A21" s="25" t="s">
        <v>419</v>
      </c>
      <c r="B21" s="25" t="s">
        <v>177</v>
      </c>
      <c r="C21" s="25" t="s">
        <v>641</v>
      </c>
      <c r="D21" s="26" t="s">
        <v>642</v>
      </c>
      <c r="E21" s="26">
        <v>50000</v>
      </c>
      <c r="F21" s="47" t="s">
        <v>640</v>
      </c>
      <c r="G21" s="47" t="s">
        <v>627</v>
      </c>
      <c r="H21" s="26"/>
      <c r="I21" s="26">
        <v>5.9</v>
      </c>
      <c r="J21" s="26">
        <v>1743.2838660578386</v>
      </c>
      <c r="K21" s="26">
        <f t="shared" si="3"/>
        <v>254.02777777777777</v>
      </c>
      <c r="L21" s="26"/>
      <c r="M21" s="26"/>
      <c r="N21" s="26">
        <f t="shared" si="0"/>
        <v>1997.3116438356165</v>
      </c>
      <c r="O21" s="26">
        <f t="shared" si="4"/>
        <v>254.02777777777777</v>
      </c>
      <c r="P21" s="26"/>
      <c r="Q21" s="26"/>
      <c r="R21" s="26">
        <v>2251.3394216133943</v>
      </c>
      <c r="S21" s="26">
        <v>245.83333333333334</v>
      </c>
      <c r="T21" s="26"/>
      <c r="U21" s="26"/>
      <c r="V21" s="26">
        <f t="shared" si="1"/>
        <v>2497.1727549467278</v>
      </c>
      <c r="W21" s="26">
        <f t="shared" si="5"/>
        <v>245.83333333333334</v>
      </c>
      <c r="X21" s="26"/>
      <c r="Y21" s="26"/>
      <c r="Z21" s="26">
        <f t="shared" si="2"/>
        <v>2743.0060882800612</v>
      </c>
      <c r="AA21" s="25"/>
    </row>
    <row r="22" spans="1:27" x14ac:dyDescent="0.3">
      <c r="A22" s="25" t="s">
        <v>419</v>
      </c>
      <c r="B22" s="25" t="s">
        <v>177</v>
      </c>
      <c r="C22" s="25" t="s">
        <v>643</v>
      </c>
      <c r="D22" s="26" t="s">
        <v>644</v>
      </c>
      <c r="E22" s="26">
        <v>50000</v>
      </c>
      <c r="F22" s="47" t="s">
        <v>626</v>
      </c>
      <c r="G22" s="47" t="s">
        <v>627</v>
      </c>
      <c r="H22" s="26"/>
      <c r="I22" s="26">
        <v>5.9</v>
      </c>
      <c r="J22" s="26">
        <v>1783.6948249619484</v>
      </c>
      <c r="K22" s="26">
        <f t="shared" si="3"/>
        <v>254.02777777777777</v>
      </c>
      <c r="L22" s="26"/>
      <c r="M22" s="26"/>
      <c r="N22" s="26">
        <f t="shared" si="0"/>
        <v>2037.7226027397262</v>
      </c>
      <c r="O22" s="26">
        <f t="shared" si="4"/>
        <v>254.02777777777777</v>
      </c>
      <c r="P22" s="26"/>
      <c r="Q22" s="26"/>
      <c r="R22" s="26">
        <v>2291.7503805175038</v>
      </c>
      <c r="S22" s="26">
        <v>245.83333333333334</v>
      </c>
      <c r="T22" s="26"/>
      <c r="U22" s="26"/>
      <c r="V22" s="26">
        <f t="shared" si="1"/>
        <v>2537.5837138508373</v>
      </c>
      <c r="W22" s="26">
        <f t="shared" si="5"/>
        <v>245.83333333333334</v>
      </c>
      <c r="X22" s="26"/>
      <c r="Y22" s="26"/>
      <c r="Z22" s="26">
        <f t="shared" si="2"/>
        <v>2783.4170471841708</v>
      </c>
      <c r="AA22" s="25"/>
    </row>
    <row r="23" spans="1:27" x14ac:dyDescent="0.3">
      <c r="A23" s="25" t="s">
        <v>419</v>
      </c>
      <c r="B23" s="25" t="s">
        <v>177</v>
      </c>
      <c r="C23" s="25" t="s">
        <v>645</v>
      </c>
      <c r="D23" s="26" t="s">
        <v>646</v>
      </c>
      <c r="E23" s="26">
        <v>20000</v>
      </c>
      <c r="F23" s="47" t="s">
        <v>640</v>
      </c>
      <c r="G23" s="47" t="s">
        <v>627</v>
      </c>
      <c r="H23" s="26"/>
      <c r="I23" s="26">
        <v>5.9</v>
      </c>
      <c r="J23" s="26">
        <v>697.31354642313556</v>
      </c>
      <c r="K23" s="26">
        <f t="shared" si="3"/>
        <v>101.61111111111111</v>
      </c>
      <c r="L23" s="26"/>
      <c r="M23" s="26"/>
      <c r="N23" s="26">
        <f t="shared" si="0"/>
        <v>798.92465753424665</v>
      </c>
      <c r="O23" s="26">
        <f t="shared" si="4"/>
        <v>101.61111111111111</v>
      </c>
      <c r="P23" s="26"/>
      <c r="Q23" s="26"/>
      <c r="R23" s="26">
        <v>900.53576864535773</v>
      </c>
      <c r="S23" s="26">
        <v>98.333333333333329</v>
      </c>
      <c r="T23" s="26"/>
      <c r="U23" s="26"/>
      <c r="V23" s="26">
        <f t="shared" si="1"/>
        <v>998.86910197869111</v>
      </c>
      <c r="W23" s="26">
        <f t="shared" si="5"/>
        <v>98.333333333333329</v>
      </c>
      <c r="X23" s="26"/>
      <c r="Y23" s="26"/>
      <c r="Z23" s="26">
        <f t="shared" si="2"/>
        <v>1097.2024353120244</v>
      </c>
      <c r="AA23" s="25"/>
    </row>
    <row r="24" spans="1:27" x14ac:dyDescent="0.3">
      <c r="A24" s="25" t="s">
        <v>419</v>
      </c>
      <c r="B24" s="25" t="s">
        <v>177</v>
      </c>
      <c r="C24" s="25" t="s">
        <v>647</v>
      </c>
      <c r="D24" s="26" t="s">
        <v>648</v>
      </c>
      <c r="E24" s="26">
        <v>87995</v>
      </c>
      <c r="F24" s="47" t="s">
        <v>640</v>
      </c>
      <c r="G24" s="47" t="s">
        <v>627</v>
      </c>
      <c r="H24" s="26"/>
      <c r="I24" s="26">
        <v>5.9</v>
      </c>
      <c r="J24" s="26">
        <v>3068.0052758751904</v>
      </c>
      <c r="K24" s="26">
        <f t="shared" si="3"/>
        <v>447.0634861111111</v>
      </c>
      <c r="L24" s="26"/>
      <c r="M24" s="26"/>
      <c r="N24" s="26">
        <f t="shared" si="0"/>
        <v>3515.0687619863015</v>
      </c>
      <c r="O24" s="26">
        <f t="shared" si="4"/>
        <v>447.0634861111111</v>
      </c>
      <c r="P24" s="26"/>
      <c r="Q24" s="26"/>
      <c r="R24" s="26">
        <v>3962.1322480974127</v>
      </c>
      <c r="S24" s="26">
        <v>432.64208333333329</v>
      </c>
      <c r="T24" s="26"/>
      <c r="U24" s="26"/>
      <c r="V24" s="26">
        <f t="shared" si="1"/>
        <v>4394.7743314307463</v>
      </c>
      <c r="W24" s="26">
        <f t="shared" si="5"/>
        <v>432.64208333333329</v>
      </c>
      <c r="X24" s="26"/>
      <c r="Y24" s="26"/>
      <c r="Z24" s="26">
        <f t="shared" si="2"/>
        <v>4827.4164147640795</v>
      </c>
      <c r="AA24" s="25"/>
    </row>
    <row r="25" spans="1:27" x14ac:dyDescent="0.3">
      <c r="A25" s="25"/>
      <c r="B25" s="25" t="s">
        <v>174</v>
      </c>
      <c r="C25" s="25" t="s">
        <v>649</v>
      </c>
      <c r="D25" s="26" t="s">
        <v>650</v>
      </c>
      <c r="E25" s="26">
        <v>810000</v>
      </c>
      <c r="F25" s="47" t="s">
        <v>651</v>
      </c>
      <c r="G25" s="47" t="s">
        <v>652</v>
      </c>
      <c r="H25" s="26"/>
      <c r="I25" s="26">
        <v>6.15</v>
      </c>
      <c r="J25" s="26">
        <v>31212.092465753427</v>
      </c>
      <c r="K25" s="26">
        <f t="shared" si="3"/>
        <v>4289.6250000000009</v>
      </c>
      <c r="L25" s="26"/>
      <c r="M25" s="26"/>
      <c r="N25" s="26">
        <f t="shared" si="0"/>
        <v>35501.717465753427</v>
      </c>
      <c r="O25" s="26">
        <f t="shared" si="4"/>
        <v>4289.6250000000009</v>
      </c>
      <c r="P25" s="26"/>
      <c r="Q25" s="26"/>
      <c r="R25" s="26">
        <v>39791.342465753427</v>
      </c>
      <c r="S25" s="26">
        <v>4151.2500000000009</v>
      </c>
      <c r="T25" s="26"/>
      <c r="U25" s="26"/>
      <c r="V25" s="26">
        <f t="shared" si="1"/>
        <v>43942.592465753427</v>
      </c>
      <c r="W25" s="26">
        <f t="shared" si="5"/>
        <v>4151.2500000000009</v>
      </c>
      <c r="X25" s="26"/>
      <c r="Y25" s="26"/>
      <c r="Z25" s="26">
        <f t="shared" si="2"/>
        <v>48093.842465753427</v>
      </c>
      <c r="AA25" s="25"/>
    </row>
    <row r="26" spans="1:27" x14ac:dyDescent="0.3">
      <c r="A26" s="25"/>
      <c r="B26" s="25" t="s">
        <v>174</v>
      </c>
      <c r="C26" s="25" t="s">
        <v>653</v>
      </c>
      <c r="D26" s="26" t="s">
        <v>654</v>
      </c>
      <c r="E26" s="26">
        <v>1050000</v>
      </c>
      <c r="F26" s="47" t="s">
        <v>655</v>
      </c>
      <c r="G26" s="47" t="s">
        <v>656</v>
      </c>
      <c r="H26" s="26"/>
      <c r="I26" s="26">
        <v>6.15</v>
      </c>
      <c r="J26" s="26">
        <v>39575.530821917811</v>
      </c>
      <c r="K26" s="26">
        <f t="shared" si="3"/>
        <v>5560.6250000000009</v>
      </c>
      <c r="L26" s="26"/>
      <c r="M26" s="26"/>
      <c r="N26" s="26">
        <f t="shared" si="0"/>
        <v>45136.155821917811</v>
      </c>
      <c r="O26" s="26">
        <f t="shared" si="4"/>
        <v>5560.6250000000009</v>
      </c>
      <c r="P26" s="26"/>
      <c r="Q26" s="26"/>
      <c r="R26" s="26">
        <v>50696.780821917811</v>
      </c>
      <c r="S26" s="26">
        <v>5381.2500000000009</v>
      </c>
      <c r="T26" s="26"/>
      <c r="U26" s="26"/>
      <c r="V26" s="26">
        <f t="shared" si="1"/>
        <v>56078.030821917811</v>
      </c>
      <c r="W26" s="26">
        <f t="shared" si="5"/>
        <v>5381.2500000000009</v>
      </c>
      <c r="X26" s="26"/>
      <c r="Y26" s="26"/>
      <c r="Z26" s="26">
        <f t="shared" si="2"/>
        <v>61459.280821917811</v>
      </c>
      <c r="AA26" s="25"/>
    </row>
    <row r="27" spans="1:27" x14ac:dyDescent="0.3">
      <c r="A27" s="25"/>
      <c r="B27" s="25" t="s">
        <v>174</v>
      </c>
      <c r="C27" s="25" t="s">
        <v>657</v>
      </c>
      <c r="D27" s="26" t="s">
        <v>658</v>
      </c>
      <c r="E27" s="26">
        <v>985000</v>
      </c>
      <c r="F27" s="47" t="s">
        <v>640</v>
      </c>
      <c r="G27" s="47" t="s">
        <v>659</v>
      </c>
      <c r="H27" s="26"/>
      <c r="I27" s="26">
        <v>6.15</v>
      </c>
      <c r="J27" s="26">
        <v>35797.89098173516</v>
      </c>
      <c r="K27" s="26">
        <f t="shared" si="3"/>
        <v>5216.3958333333339</v>
      </c>
      <c r="L27" s="26"/>
      <c r="M27" s="26"/>
      <c r="N27" s="26">
        <f t="shared" si="0"/>
        <v>41014.286815068495</v>
      </c>
      <c r="O27" s="26">
        <f t="shared" si="4"/>
        <v>5216.3958333333339</v>
      </c>
      <c r="P27" s="26"/>
      <c r="Q27" s="26"/>
      <c r="R27" s="26">
        <v>46230.682648401831</v>
      </c>
      <c r="S27" s="26">
        <v>5048.125</v>
      </c>
      <c r="T27" s="26"/>
      <c r="U27" s="26"/>
      <c r="V27" s="26">
        <f t="shared" si="1"/>
        <v>51278.807648401831</v>
      </c>
      <c r="W27" s="26">
        <f t="shared" si="5"/>
        <v>5048.125</v>
      </c>
      <c r="X27" s="26"/>
      <c r="Y27" s="26"/>
      <c r="Z27" s="26">
        <f t="shared" si="2"/>
        <v>56326.932648401831</v>
      </c>
      <c r="AA27" s="25"/>
    </row>
    <row r="28" spans="1:27" x14ac:dyDescent="0.3">
      <c r="A28" s="25"/>
      <c r="B28" s="25" t="s">
        <v>204</v>
      </c>
      <c r="C28" s="25" t="s">
        <v>660</v>
      </c>
      <c r="D28" s="26" t="s">
        <v>661</v>
      </c>
      <c r="E28" s="26">
        <v>330000</v>
      </c>
      <c r="F28" s="47" t="s">
        <v>662</v>
      </c>
      <c r="G28" s="47" t="s">
        <v>663</v>
      </c>
      <c r="H28" s="26"/>
      <c r="I28" s="26">
        <v>4.9000000000000004</v>
      </c>
      <c r="J28" s="26">
        <v>9865.6689497716889</v>
      </c>
      <c r="K28" s="26">
        <f t="shared" si="3"/>
        <v>1392.4166666666665</v>
      </c>
      <c r="L28" s="26"/>
      <c r="M28" s="26"/>
      <c r="N28" s="26">
        <f t="shared" si="0"/>
        <v>11258.085616438355</v>
      </c>
      <c r="O28" s="26">
        <f t="shared" si="4"/>
        <v>1392.4166666666665</v>
      </c>
      <c r="P28" s="26"/>
      <c r="Q28" s="26"/>
      <c r="R28" s="26">
        <v>12650.502283105021</v>
      </c>
      <c r="S28" s="26">
        <v>1347.5</v>
      </c>
      <c r="T28" s="26"/>
      <c r="U28" s="26"/>
      <c r="V28" s="26">
        <f t="shared" si="1"/>
        <v>13998.002283105021</v>
      </c>
      <c r="W28" s="26">
        <f t="shared" si="5"/>
        <v>1347.5</v>
      </c>
      <c r="X28" s="26"/>
      <c r="Y28" s="26"/>
      <c r="Z28" s="26">
        <f t="shared" si="2"/>
        <v>15345.502283105021</v>
      </c>
      <c r="AA28" s="25"/>
    </row>
    <row r="29" spans="1:27" x14ac:dyDescent="0.3">
      <c r="A29" s="25"/>
      <c r="B29" s="25" t="s">
        <v>211</v>
      </c>
      <c r="C29" s="25" t="s">
        <v>664</v>
      </c>
      <c r="D29" s="26" t="s">
        <v>665</v>
      </c>
      <c r="E29" s="26">
        <v>1100000</v>
      </c>
      <c r="F29" s="47" t="s">
        <v>666</v>
      </c>
      <c r="G29" s="47" t="s">
        <v>667</v>
      </c>
      <c r="H29" s="26"/>
      <c r="I29" s="26">
        <v>5.9</v>
      </c>
      <c r="J29" s="26">
        <v>42619.642313546428</v>
      </c>
      <c r="K29" s="26">
        <f t="shared" si="3"/>
        <v>5588.6111111111122</v>
      </c>
      <c r="L29" s="26"/>
      <c r="M29" s="26"/>
      <c r="N29" s="26">
        <f t="shared" si="0"/>
        <v>48208.253424657538</v>
      </c>
      <c r="O29" s="26">
        <f t="shared" si="4"/>
        <v>5588.6111111111122</v>
      </c>
      <c r="P29" s="26"/>
      <c r="Q29" s="26"/>
      <c r="R29" s="26">
        <v>53796.864535768647</v>
      </c>
      <c r="S29" s="26">
        <v>5408.3333333333339</v>
      </c>
      <c r="T29" s="26"/>
      <c r="U29" s="26"/>
      <c r="V29" s="26">
        <f t="shared" si="1"/>
        <v>59205.197869101983</v>
      </c>
      <c r="W29" s="26">
        <f t="shared" si="5"/>
        <v>5408.3333333333339</v>
      </c>
      <c r="X29" s="26"/>
      <c r="Y29" s="26"/>
      <c r="Z29" s="26">
        <f t="shared" si="2"/>
        <v>64613.531202435319</v>
      </c>
      <c r="AA29" s="25"/>
    </row>
    <row r="30" spans="1:27" x14ac:dyDescent="0.3">
      <c r="A30" s="25"/>
      <c r="B30" s="25" t="s">
        <v>16</v>
      </c>
      <c r="C30" s="25" t="s">
        <v>668</v>
      </c>
      <c r="D30" s="26" t="s">
        <v>669</v>
      </c>
      <c r="E30" s="26">
        <v>90000</v>
      </c>
      <c r="F30" s="47" t="s">
        <v>670</v>
      </c>
      <c r="G30" s="47" t="s">
        <v>671</v>
      </c>
      <c r="H30" s="26"/>
      <c r="I30" s="26">
        <v>1.9</v>
      </c>
      <c r="J30" s="26">
        <v>1132.321917808219</v>
      </c>
      <c r="K30" s="26">
        <f t="shared" si="3"/>
        <v>147.25</v>
      </c>
      <c r="L30" s="26"/>
      <c r="M30" s="26"/>
      <c r="N30" s="26">
        <f t="shared" si="0"/>
        <v>1279.571917808219</v>
      </c>
      <c r="O30" s="26">
        <f t="shared" si="4"/>
        <v>147.25</v>
      </c>
      <c r="P30" s="26"/>
      <c r="Q30" s="26"/>
      <c r="R30" s="26">
        <v>1426.821917808219</v>
      </c>
      <c r="S30" s="26">
        <v>142.5</v>
      </c>
      <c r="T30" s="26"/>
      <c r="U30" s="26"/>
      <c r="V30" s="26">
        <f t="shared" si="1"/>
        <v>1569.321917808219</v>
      </c>
      <c r="W30" s="26">
        <f t="shared" si="5"/>
        <v>142.5</v>
      </c>
      <c r="X30" s="26"/>
      <c r="Y30" s="26"/>
      <c r="Z30" s="26">
        <f t="shared" si="2"/>
        <v>1711.821917808219</v>
      </c>
      <c r="AA30" s="25"/>
    </row>
    <row r="31" spans="1:27" x14ac:dyDescent="0.3">
      <c r="A31" s="25"/>
      <c r="B31" s="25" t="s">
        <v>37</v>
      </c>
      <c r="C31" s="25" t="s">
        <v>672</v>
      </c>
      <c r="D31" s="26" t="s">
        <v>673</v>
      </c>
      <c r="F31" s="47" t="s">
        <v>622</v>
      </c>
      <c r="G31" s="47" t="s">
        <v>623</v>
      </c>
      <c r="H31" s="26"/>
      <c r="I31" s="26">
        <v>7.9</v>
      </c>
      <c r="J31" s="26">
        <v>6693.0593455098933</v>
      </c>
      <c r="K31" s="26" t="e">
        <f>(+#REF!*$I31%)/360*31</f>
        <v>#REF!</v>
      </c>
      <c r="L31" s="26"/>
      <c r="M31" s="26"/>
      <c r="N31" s="26" t="e">
        <f t="shared" si="0"/>
        <v>#REF!</v>
      </c>
      <c r="O31" s="26" t="e">
        <f>(+#REF!*$I31%)/360*31</f>
        <v>#REF!</v>
      </c>
      <c r="P31" s="26"/>
      <c r="Q31" s="26"/>
      <c r="R31" s="26">
        <v>13495.837123287671</v>
      </c>
      <c r="S31" s="26">
        <v>3291.666666666667</v>
      </c>
      <c r="T31" s="26"/>
      <c r="U31" s="26"/>
      <c r="V31" s="26">
        <f t="shared" si="1"/>
        <v>16787.503789954339</v>
      </c>
      <c r="W31" s="26"/>
      <c r="X31" s="26"/>
      <c r="Y31" s="26">
        <v>-16787.5</v>
      </c>
      <c r="Z31" s="26">
        <f t="shared" si="2"/>
        <v>3.789954338571988E-3</v>
      </c>
      <c r="AA31" s="25" t="s">
        <v>729</v>
      </c>
    </row>
    <row r="32" spans="1:27" x14ac:dyDescent="0.3">
      <c r="A32" s="25"/>
      <c r="B32" s="25" t="s">
        <v>77</v>
      </c>
      <c r="C32" s="25" t="s">
        <v>674</v>
      </c>
      <c r="D32" s="26" t="s">
        <v>675</v>
      </c>
      <c r="E32" s="26">
        <v>191200</v>
      </c>
      <c r="F32" s="47">
        <v>43592</v>
      </c>
      <c r="G32" s="47" t="s">
        <v>676</v>
      </c>
      <c r="H32" s="26"/>
      <c r="I32" s="26">
        <v>5.4</v>
      </c>
      <c r="J32" s="26">
        <v>6214.5238356164391</v>
      </c>
      <c r="K32" s="26">
        <f t="shared" si="3"/>
        <v>889.08000000000015</v>
      </c>
      <c r="L32" s="26"/>
      <c r="M32" s="26"/>
      <c r="N32" s="26">
        <f t="shared" si="0"/>
        <v>7103.603835616439</v>
      </c>
      <c r="O32" s="26">
        <f t="shared" si="4"/>
        <v>889.08000000000015</v>
      </c>
      <c r="P32" s="26"/>
      <c r="Q32" s="26"/>
      <c r="R32" s="26">
        <v>7992.683835616439</v>
      </c>
      <c r="S32" s="26">
        <v>860.40000000000009</v>
      </c>
      <c r="T32" s="26"/>
      <c r="U32" s="26"/>
      <c r="V32" s="26">
        <f t="shared" si="1"/>
        <v>8853.0838356164386</v>
      </c>
      <c r="W32" s="26">
        <f t="shared" si="5"/>
        <v>860.40000000000009</v>
      </c>
      <c r="X32" s="26"/>
      <c r="Y32" s="26"/>
      <c r="Z32" s="26">
        <f t="shared" si="2"/>
        <v>9713.4838356164382</v>
      </c>
      <c r="AA32" s="25"/>
    </row>
    <row r="33" spans="1:27" x14ac:dyDescent="0.3">
      <c r="A33" s="25"/>
      <c r="B33" s="25" t="s">
        <v>74</v>
      </c>
      <c r="C33" s="25" t="s">
        <v>677</v>
      </c>
      <c r="D33" s="26" t="s">
        <v>678</v>
      </c>
      <c r="E33" s="26">
        <v>75000</v>
      </c>
      <c r="F33" s="47">
        <v>43599</v>
      </c>
      <c r="G33" s="47">
        <v>43965</v>
      </c>
      <c r="H33" s="26"/>
      <c r="I33" s="26">
        <v>3.4</v>
      </c>
      <c r="J33" s="26">
        <v>1409.0981735159817</v>
      </c>
      <c r="K33" s="26">
        <f t="shared" si="3"/>
        <v>219.58333333333331</v>
      </c>
      <c r="L33" s="26"/>
      <c r="M33" s="26"/>
      <c r="N33" s="26">
        <f t="shared" si="0"/>
        <v>1628.6815068493149</v>
      </c>
      <c r="O33" s="26">
        <f t="shared" si="4"/>
        <v>219.58333333333331</v>
      </c>
      <c r="P33" s="26"/>
      <c r="Q33" s="26"/>
      <c r="R33" s="26">
        <v>1848.2648401826482</v>
      </c>
      <c r="S33" s="26">
        <v>212.5</v>
      </c>
      <c r="T33" s="26"/>
      <c r="U33" s="26"/>
      <c r="V33" s="26">
        <f t="shared" si="1"/>
        <v>2060.7648401826482</v>
      </c>
      <c r="W33" s="26">
        <f t="shared" si="5"/>
        <v>212.5</v>
      </c>
      <c r="X33" s="26"/>
      <c r="Y33" s="26"/>
      <c r="Z33" s="26">
        <f t="shared" si="2"/>
        <v>2273.2648401826482</v>
      </c>
      <c r="AA33" s="25"/>
    </row>
    <row r="34" spans="1:27" x14ac:dyDescent="0.3">
      <c r="A34" s="25"/>
      <c r="B34" s="25" t="s">
        <v>25</v>
      </c>
      <c r="C34" s="25" t="s">
        <v>679</v>
      </c>
      <c r="D34" s="26" t="s">
        <v>680</v>
      </c>
      <c r="E34" s="26">
        <v>150000</v>
      </c>
      <c r="F34" s="47">
        <v>43587</v>
      </c>
      <c r="G34" s="47">
        <v>43953</v>
      </c>
      <c r="H34" s="26"/>
      <c r="I34" s="26">
        <v>4.4000000000000004</v>
      </c>
      <c r="J34" s="26">
        <v>3864.0639269406397</v>
      </c>
      <c r="K34" s="26">
        <f t="shared" si="3"/>
        <v>568.33333333333337</v>
      </c>
      <c r="L34" s="26"/>
      <c r="M34" s="26"/>
      <c r="N34" s="26">
        <f t="shared" si="0"/>
        <v>4432.3972602739732</v>
      </c>
      <c r="O34" s="26">
        <f t="shared" si="4"/>
        <v>568.33333333333337</v>
      </c>
      <c r="P34" s="26"/>
      <c r="Q34" s="26"/>
      <c r="R34" s="26">
        <v>5000.7305936073062</v>
      </c>
      <c r="S34" s="26">
        <v>550.00000000000011</v>
      </c>
      <c r="T34" s="26"/>
      <c r="U34" s="26"/>
      <c r="V34" s="26">
        <f t="shared" si="1"/>
        <v>5550.7305936073062</v>
      </c>
      <c r="W34" s="26">
        <f t="shared" si="5"/>
        <v>550.00000000000011</v>
      </c>
      <c r="X34" s="26"/>
      <c r="Y34" s="26"/>
      <c r="Z34" s="26">
        <f t="shared" si="2"/>
        <v>6100.7305936073062</v>
      </c>
      <c r="AA34" s="25"/>
    </row>
    <row r="35" spans="1:27" x14ac:dyDescent="0.3">
      <c r="A35" s="25"/>
      <c r="B35" s="25" t="s">
        <v>13</v>
      </c>
      <c r="C35" s="25" t="s">
        <v>681</v>
      </c>
      <c r="D35" s="26" t="s">
        <v>682</v>
      </c>
      <c r="E35" s="26">
        <v>100000</v>
      </c>
      <c r="F35" s="47">
        <v>43593</v>
      </c>
      <c r="G35" s="47">
        <v>43953</v>
      </c>
      <c r="H35" s="26"/>
      <c r="I35" s="26">
        <v>4.9000000000000004</v>
      </c>
      <c r="J35" s="26">
        <v>2868.7747336377474</v>
      </c>
      <c r="K35" s="26">
        <f t="shared" si="3"/>
        <v>421.94444444444446</v>
      </c>
      <c r="L35" s="26"/>
      <c r="M35" s="26"/>
      <c r="N35" s="26">
        <f t="shared" si="0"/>
        <v>3290.7191780821918</v>
      </c>
      <c r="O35" s="26">
        <f t="shared" si="4"/>
        <v>421.94444444444446</v>
      </c>
      <c r="P35" s="26"/>
      <c r="Q35" s="26"/>
      <c r="R35" s="26">
        <v>3712.6636225266361</v>
      </c>
      <c r="S35" s="26">
        <v>408.33333333333331</v>
      </c>
      <c r="T35" s="26"/>
      <c r="U35" s="26"/>
      <c r="V35" s="26">
        <f t="shared" si="1"/>
        <v>4120.9969558599696</v>
      </c>
      <c r="W35" s="26">
        <f t="shared" si="5"/>
        <v>408.33333333333331</v>
      </c>
      <c r="X35" s="26"/>
      <c r="Y35" s="26"/>
      <c r="Z35" s="26">
        <f t="shared" si="2"/>
        <v>4529.3302891933026</v>
      </c>
      <c r="AA35" s="25"/>
    </row>
    <row r="36" spans="1:27" x14ac:dyDescent="0.3">
      <c r="A36" s="25"/>
      <c r="B36" s="25" t="s">
        <v>82</v>
      </c>
      <c r="C36" s="25" t="s">
        <v>683</v>
      </c>
      <c r="D36" s="26" t="s">
        <v>684</v>
      </c>
      <c r="E36" s="26">
        <v>41000</v>
      </c>
      <c r="F36" s="47">
        <v>43593</v>
      </c>
      <c r="G36" s="47">
        <v>43954</v>
      </c>
      <c r="H36" s="26"/>
      <c r="I36" s="26">
        <v>6.15</v>
      </c>
      <c r="J36" s="26">
        <v>1469.3398401826485</v>
      </c>
      <c r="K36" s="26">
        <f t="shared" si="3"/>
        <v>217.12916666666672</v>
      </c>
      <c r="L36" s="26"/>
      <c r="M36" s="26"/>
      <c r="N36" s="26">
        <f t="shared" si="0"/>
        <v>1686.4690068493151</v>
      </c>
      <c r="O36" s="26">
        <f t="shared" si="4"/>
        <v>217.12916666666672</v>
      </c>
      <c r="P36" s="26"/>
      <c r="Q36" s="26"/>
      <c r="R36" s="26">
        <v>1903.5981735159817</v>
      </c>
      <c r="S36" s="26">
        <v>210.12500000000006</v>
      </c>
      <c r="T36" s="26"/>
      <c r="U36" s="26"/>
      <c r="V36" s="26">
        <f t="shared" si="1"/>
        <v>2113.7231735159817</v>
      </c>
      <c r="W36" s="26">
        <f t="shared" si="5"/>
        <v>210.12500000000006</v>
      </c>
      <c r="X36" s="26"/>
      <c r="Y36" s="26"/>
      <c r="Z36" s="26">
        <f t="shared" si="2"/>
        <v>2323.8481735159817</v>
      </c>
      <c r="AA36" s="25"/>
    </row>
    <row r="37" spans="1:27" x14ac:dyDescent="0.3">
      <c r="A37" s="25"/>
      <c r="B37" s="25" t="s">
        <v>7</v>
      </c>
      <c r="C37" s="25" t="s">
        <v>685</v>
      </c>
      <c r="D37" s="26" t="s">
        <v>686</v>
      </c>
      <c r="E37" s="26">
        <v>95000</v>
      </c>
      <c r="F37" s="47">
        <v>43601</v>
      </c>
      <c r="G37" s="47">
        <v>43967</v>
      </c>
      <c r="H37" s="26"/>
      <c r="I37" s="26">
        <v>6.4</v>
      </c>
      <c r="J37" s="26">
        <v>3326.4170471841703</v>
      </c>
      <c r="K37" s="26">
        <f t="shared" si="3"/>
        <v>523.55555555555554</v>
      </c>
      <c r="L37" s="26"/>
      <c r="M37" s="26"/>
      <c r="N37" s="26">
        <f t="shared" si="0"/>
        <v>3849.972602739726</v>
      </c>
      <c r="O37" s="26">
        <f t="shared" si="4"/>
        <v>523.55555555555554</v>
      </c>
      <c r="P37" s="26"/>
      <c r="Q37" s="26"/>
      <c r="R37" s="26">
        <v>4373.5281582952812</v>
      </c>
      <c r="S37" s="26">
        <v>506.66666666666669</v>
      </c>
      <c r="T37" s="26"/>
      <c r="U37" s="26"/>
      <c r="V37" s="26">
        <f t="shared" si="1"/>
        <v>4880.1948249619481</v>
      </c>
      <c r="W37" s="26">
        <f t="shared" si="5"/>
        <v>506.66666666666669</v>
      </c>
      <c r="X37" s="26"/>
      <c r="Y37" s="26"/>
      <c r="Z37" s="26">
        <f t="shared" si="2"/>
        <v>5386.8614916286151</v>
      </c>
      <c r="AA37" s="25"/>
    </row>
    <row r="38" spans="1:27" x14ac:dyDescent="0.3">
      <c r="A38" s="25"/>
      <c r="B38" s="25" t="s">
        <v>7</v>
      </c>
      <c r="C38" s="25" t="s">
        <v>687</v>
      </c>
      <c r="D38" s="26" t="s">
        <v>688</v>
      </c>
      <c r="E38" s="26">
        <v>185000</v>
      </c>
      <c r="F38" s="47">
        <v>43601</v>
      </c>
      <c r="G38" s="47">
        <v>43967</v>
      </c>
      <c r="H38" s="26"/>
      <c r="I38" s="26">
        <v>6.4</v>
      </c>
      <c r="J38" s="26">
        <v>6477.759512937595</v>
      </c>
      <c r="K38" s="26">
        <f t="shared" si="3"/>
        <v>1019.5555555555554</v>
      </c>
      <c r="L38" s="26"/>
      <c r="M38" s="26"/>
      <c r="N38" s="26">
        <f t="shared" si="0"/>
        <v>7497.3150684931506</v>
      </c>
      <c r="O38" s="26">
        <f t="shared" si="4"/>
        <v>1019.5555555555554</v>
      </c>
      <c r="P38" s="26"/>
      <c r="Q38" s="26"/>
      <c r="R38" s="26">
        <v>8516.8706240487063</v>
      </c>
      <c r="S38" s="26">
        <v>986.66666666666652</v>
      </c>
      <c r="T38" s="26"/>
      <c r="U38" s="26"/>
      <c r="V38" s="26">
        <f t="shared" si="1"/>
        <v>9503.5372907153724</v>
      </c>
      <c r="W38" s="26">
        <f t="shared" si="5"/>
        <v>986.66666666666652</v>
      </c>
      <c r="X38" s="26"/>
      <c r="Y38" s="26"/>
      <c r="Z38" s="26">
        <f t="shared" si="2"/>
        <v>10490.203957382038</v>
      </c>
      <c r="AA38" s="25"/>
    </row>
    <row r="39" spans="1:27" x14ac:dyDescent="0.3">
      <c r="A39" s="25"/>
      <c r="B39" s="25" t="s">
        <v>127</v>
      </c>
      <c r="C39" s="25" t="s">
        <v>689</v>
      </c>
      <c r="D39" s="26" t="s">
        <v>690</v>
      </c>
      <c r="E39" s="26">
        <v>110000</v>
      </c>
      <c r="F39" s="47">
        <v>43612</v>
      </c>
      <c r="G39" s="47">
        <v>43978</v>
      </c>
      <c r="H39" s="26"/>
      <c r="I39" s="26">
        <v>3.9</v>
      </c>
      <c r="J39" s="26">
        <v>2217.8059360730595</v>
      </c>
      <c r="K39" s="26">
        <f t="shared" si="3"/>
        <v>369.41666666666663</v>
      </c>
      <c r="L39" s="26"/>
      <c r="M39" s="26"/>
      <c r="N39" s="26">
        <f t="shared" si="0"/>
        <v>2587.222602739726</v>
      </c>
      <c r="O39" s="26">
        <f t="shared" si="4"/>
        <v>369.41666666666663</v>
      </c>
      <c r="P39" s="26"/>
      <c r="Q39" s="26"/>
      <c r="R39" s="26">
        <v>2956.6392694063925</v>
      </c>
      <c r="S39" s="26">
        <v>357.5</v>
      </c>
      <c r="T39" s="26"/>
      <c r="U39" s="26"/>
      <c r="V39" s="26">
        <f t="shared" si="1"/>
        <v>3314.1392694063925</v>
      </c>
      <c r="W39" s="26">
        <f t="shared" si="5"/>
        <v>357.5</v>
      </c>
      <c r="X39" s="26"/>
      <c r="Y39" s="26"/>
      <c r="Z39" s="26">
        <f t="shared" si="2"/>
        <v>3671.6392694063925</v>
      </c>
      <c r="AA39" s="25"/>
    </row>
    <row r="40" spans="1:27" x14ac:dyDescent="0.3">
      <c r="A40" s="25">
        <v>5055</v>
      </c>
      <c r="B40" s="25" t="s">
        <v>159</v>
      </c>
      <c r="C40" s="25" t="s">
        <v>691</v>
      </c>
      <c r="D40" s="26" t="s">
        <v>692</v>
      </c>
      <c r="E40" s="26">
        <v>500000</v>
      </c>
      <c r="F40" s="47">
        <v>43600</v>
      </c>
      <c r="G40" s="47">
        <v>43966</v>
      </c>
      <c r="H40" s="26"/>
      <c r="I40" s="26">
        <v>6.85</v>
      </c>
      <c r="J40" s="26">
        <v>18832.286910197865</v>
      </c>
      <c r="K40" s="26">
        <f t="shared" si="3"/>
        <v>2949.3055555555552</v>
      </c>
      <c r="L40" s="26"/>
      <c r="M40" s="26"/>
      <c r="N40" s="26">
        <f t="shared" si="0"/>
        <v>21781.59246575342</v>
      </c>
      <c r="O40" s="26">
        <f t="shared" si="4"/>
        <v>2949.3055555555552</v>
      </c>
      <c r="P40" s="26"/>
      <c r="Q40" s="26"/>
      <c r="R40" s="26">
        <v>24730.898021308974</v>
      </c>
      <c r="S40" s="26">
        <v>2854.1666666666661</v>
      </c>
      <c r="T40" s="26"/>
      <c r="U40" s="26"/>
      <c r="V40" s="26">
        <f t="shared" si="1"/>
        <v>27585.064687975639</v>
      </c>
      <c r="W40" s="26">
        <f t="shared" si="5"/>
        <v>2854.1666666666661</v>
      </c>
      <c r="X40" s="26"/>
      <c r="Y40" s="26"/>
      <c r="Z40" s="26">
        <f t="shared" si="2"/>
        <v>30439.231354642303</v>
      </c>
      <c r="AA40" s="25"/>
    </row>
    <row r="41" spans="1:27" x14ac:dyDescent="0.3">
      <c r="A41" s="25"/>
      <c r="B41" s="25" t="s">
        <v>53</v>
      </c>
      <c r="C41" s="25" t="s">
        <v>693</v>
      </c>
      <c r="D41" s="26" t="s">
        <v>694</v>
      </c>
      <c r="E41" s="26">
        <v>500000</v>
      </c>
      <c r="F41" s="47">
        <v>43600</v>
      </c>
      <c r="G41" s="47">
        <v>43966</v>
      </c>
      <c r="H41" s="26"/>
      <c r="I41" s="26">
        <v>6.85</v>
      </c>
      <c r="J41" s="26">
        <v>18832.286910197865</v>
      </c>
      <c r="K41" s="26">
        <f t="shared" si="3"/>
        <v>2949.3055555555552</v>
      </c>
      <c r="L41" s="26"/>
      <c r="M41" s="26"/>
      <c r="N41" s="26">
        <f t="shared" si="0"/>
        <v>21781.59246575342</v>
      </c>
      <c r="O41" s="26">
        <f t="shared" si="4"/>
        <v>2949.3055555555552</v>
      </c>
      <c r="P41" s="26"/>
      <c r="Q41" s="26"/>
      <c r="R41" s="26">
        <v>24730.898021308974</v>
      </c>
      <c r="S41" s="26">
        <v>2854.1666666666661</v>
      </c>
      <c r="T41" s="26"/>
      <c r="U41" s="26"/>
      <c r="V41" s="26">
        <f t="shared" si="1"/>
        <v>27585.064687975639</v>
      </c>
      <c r="W41" s="26">
        <f t="shared" si="5"/>
        <v>2854.1666666666661</v>
      </c>
      <c r="X41" s="26"/>
      <c r="Y41" s="26"/>
      <c r="Z41" s="26">
        <f t="shared" si="2"/>
        <v>30439.231354642303</v>
      </c>
      <c r="AA41" s="25"/>
    </row>
    <row r="42" spans="1:27" x14ac:dyDescent="0.3">
      <c r="A42" s="25"/>
      <c r="B42" s="25" t="s">
        <v>77</v>
      </c>
      <c r="C42" s="25" t="s">
        <v>482</v>
      </c>
      <c r="D42" s="26" t="s">
        <v>481</v>
      </c>
      <c r="E42" s="26">
        <v>240000</v>
      </c>
      <c r="F42" s="47">
        <v>43622</v>
      </c>
      <c r="G42" s="47">
        <v>43988</v>
      </c>
      <c r="H42" s="26"/>
      <c r="I42" s="26">
        <v>5.4</v>
      </c>
      <c r="J42" s="26">
        <v>6344.8767123287671</v>
      </c>
      <c r="K42" s="26">
        <f t="shared" si="3"/>
        <v>1116.0000000000002</v>
      </c>
      <c r="L42" s="26"/>
      <c r="M42" s="26"/>
      <c r="N42" s="26">
        <f t="shared" si="0"/>
        <v>7460.8767123287671</v>
      </c>
      <c r="O42" s="26">
        <f t="shared" si="4"/>
        <v>1116.0000000000002</v>
      </c>
      <c r="P42" s="26"/>
      <c r="Q42" s="26"/>
      <c r="R42" s="26">
        <v>8576.8767123287671</v>
      </c>
      <c r="S42" s="26">
        <v>1080.0000000000002</v>
      </c>
      <c r="T42" s="26"/>
      <c r="U42" s="26"/>
      <c r="V42" s="26">
        <f t="shared" si="1"/>
        <v>9656.8767123287671</v>
      </c>
      <c r="W42" s="26">
        <f t="shared" si="5"/>
        <v>1080.0000000000002</v>
      </c>
      <c r="X42" s="26"/>
      <c r="Y42" s="26"/>
      <c r="Z42" s="26">
        <f t="shared" si="2"/>
        <v>10736.876712328767</v>
      </c>
      <c r="AA42" s="25"/>
    </row>
    <row r="43" spans="1:27" x14ac:dyDescent="0.3">
      <c r="A43" s="25"/>
      <c r="B43" s="25" t="s">
        <v>124</v>
      </c>
      <c r="C43" s="25" t="s">
        <v>480</v>
      </c>
      <c r="D43" s="26" t="s">
        <v>479</v>
      </c>
      <c r="E43" s="26">
        <v>158000</v>
      </c>
      <c r="F43" s="47">
        <v>43633</v>
      </c>
      <c r="G43" s="47">
        <v>43999</v>
      </c>
      <c r="H43" s="26"/>
      <c r="I43" s="26">
        <v>4.4000000000000004</v>
      </c>
      <c r="J43" s="26">
        <v>3194.0048706240491</v>
      </c>
      <c r="K43" s="26">
        <f t="shared" si="3"/>
        <v>598.6444444444445</v>
      </c>
      <c r="L43" s="26"/>
      <c r="M43" s="26"/>
      <c r="N43" s="26">
        <f t="shared" si="0"/>
        <v>3792.6493150684937</v>
      </c>
      <c r="O43" s="26">
        <f t="shared" si="4"/>
        <v>598.6444444444445</v>
      </c>
      <c r="P43" s="26"/>
      <c r="Q43" s="26"/>
      <c r="R43" s="26">
        <v>4391.2937595129379</v>
      </c>
      <c r="S43" s="26">
        <v>579.33333333333337</v>
      </c>
      <c r="T43" s="26"/>
      <c r="U43" s="26"/>
      <c r="V43" s="26">
        <f t="shared" si="1"/>
        <v>4970.6270928462709</v>
      </c>
      <c r="W43" s="26">
        <f t="shared" si="5"/>
        <v>579.33333333333337</v>
      </c>
      <c r="X43" s="26"/>
      <c r="Y43" s="26"/>
      <c r="Z43" s="26">
        <f t="shared" si="2"/>
        <v>5549.9604261796039</v>
      </c>
      <c r="AA43" s="25"/>
    </row>
    <row r="44" spans="1:27" x14ac:dyDescent="0.3">
      <c r="A44" s="25"/>
      <c r="B44" s="25" t="s">
        <v>117</v>
      </c>
      <c r="C44" s="25" t="s">
        <v>478</v>
      </c>
      <c r="D44" s="26" t="s">
        <v>477</v>
      </c>
      <c r="E44" s="26">
        <v>40000</v>
      </c>
      <c r="F44" s="47">
        <v>43644</v>
      </c>
      <c r="G44" s="47">
        <v>44010</v>
      </c>
      <c r="H44" s="26"/>
      <c r="I44" s="26">
        <v>5.87</v>
      </c>
      <c r="J44" s="26">
        <v>1007.9960426179604</v>
      </c>
      <c r="K44" s="26">
        <f t="shared" si="3"/>
        <v>202.1888888888889</v>
      </c>
      <c r="L44" s="26"/>
      <c r="M44" s="26"/>
      <c r="N44" s="26">
        <f t="shared" si="0"/>
        <v>1210.1849315068494</v>
      </c>
      <c r="O44" s="26">
        <f t="shared" si="4"/>
        <v>202.1888888888889</v>
      </c>
      <c r="P44" s="26"/>
      <c r="Q44" s="26"/>
      <c r="R44" s="26">
        <v>1412.3738203957382</v>
      </c>
      <c r="S44" s="26">
        <v>195.66666666666666</v>
      </c>
      <c r="T44" s="26"/>
      <c r="U44" s="26"/>
      <c r="V44" s="26">
        <f t="shared" si="1"/>
        <v>1608.040487062405</v>
      </c>
      <c r="W44" s="26">
        <f t="shared" si="5"/>
        <v>195.66666666666666</v>
      </c>
      <c r="X44" s="26"/>
      <c r="Y44" s="26"/>
      <c r="Z44" s="26">
        <f t="shared" si="2"/>
        <v>1803.7071537290717</v>
      </c>
      <c r="AA44" s="25"/>
    </row>
    <row r="45" spans="1:27" x14ac:dyDescent="0.3">
      <c r="A45" s="25"/>
      <c r="B45" s="25" t="s">
        <v>117</v>
      </c>
      <c r="C45" s="25" t="s">
        <v>476</v>
      </c>
      <c r="D45" s="26" t="s">
        <v>475</v>
      </c>
      <c r="E45" s="26">
        <v>60000</v>
      </c>
      <c r="F45" s="47">
        <v>43644</v>
      </c>
      <c r="G45" s="47">
        <v>44010</v>
      </c>
      <c r="H45" s="26"/>
      <c r="I45" s="26">
        <v>5.87</v>
      </c>
      <c r="J45" s="26">
        <v>1511.9940639269405</v>
      </c>
      <c r="K45" s="26">
        <f t="shared" si="3"/>
        <v>303.2833333333333</v>
      </c>
      <c r="L45" s="26"/>
      <c r="M45" s="26"/>
      <c r="N45" s="26">
        <f t="shared" si="0"/>
        <v>1815.2773972602738</v>
      </c>
      <c r="O45" s="26">
        <f t="shared" si="4"/>
        <v>303.2833333333333</v>
      </c>
      <c r="P45" s="26"/>
      <c r="Q45" s="26"/>
      <c r="R45" s="26">
        <v>2118.5607305936073</v>
      </c>
      <c r="S45" s="26">
        <v>293.5</v>
      </c>
      <c r="T45" s="26"/>
      <c r="U45" s="26"/>
      <c r="V45" s="26">
        <f t="shared" si="1"/>
        <v>2412.0607305936073</v>
      </c>
      <c r="W45" s="26">
        <f t="shared" si="5"/>
        <v>293.5</v>
      </c>
      <c r="X45" s="26"/>
      <c r="Y45" s="26"/>
      <c r="Z45" s="26">
        <f t="shared" si="2"/>
        <v>2705.5607305936073</v>
      </c>
      <c r="AA45" s="25"/>
    </row>
    <row r="46" spans="1:27" x14ac:dyDescent="0.3">
      <c r="A46" s="25"/>
      <c r="B46" s="25" t="s">
        <v>117</v>
      </c>
      <c r="C46" s="25" t="s">
        <v>474</v>
      </c>
      <c r="D46" s="26" t="s">
        <v>473</v>
      </c>
      <c r="E46" s="26">
        <v>100000</v>
      </c>
      <c r="F46" s="47">
        <v>43644</v>
      </c>
      <c r="G46" s="47">
        <v>44010</v>
      </c>
      <c r="H46" s="26"/>
      <c r="I46" s="26">
        <v>5.85</v>
      </c>
      <c r="J46" s="26">
        <v>2511.4041095890411</v>
      </c>
      <c r="K46" s="26">
        <f t="shared" si="3"/>
        <v>503.75</v>
      </c>
      <c r="L46" s="26"/>
      <c r="M46" s="26"/>
      <c r="N46" s="26">
        <f t="shared" si="0"/>
        <v>3015.1541095890411</v>
      </c>
      <c r="O46" s="26">
        <f t="shared" si="4"/>
        <v>503.75</v>
      </c>
      <c r="P46" s="26"/>
      <c r="Q46" s="26"/>
      <c r="R46" s="26">
        <v>3518.9041095890411</v>
      </c>
      <c r="S46" s="26">
        <v>487.5</v>
      </c>
      <c r="T46" s="26"/>
      <c r="U46" s="26"/>
      <c r="V46" s="26">
        <f t="shared" si="1"/>
        <v>4006.4041095890411</v>
      </c>
      <c r="W46" s="26">
        <f t="shared" si="5"/>
        <v>487.5</v>
      </c>
      <c r="X46" s="26"/>
      <c r="Y46" s="26"/>
      <c r="Z46" s="26">
        <f t="shared" si="2"/>
        <v>4493.9041095890407</v>
      </c>
      <c r="AA46" s="25"/>
    </row>
    <row r="47" spans="1:27" x14ac:dyDescent="0.3">
      <c r="A47" s="25"/>
      <c r="B47" s="25" t="s">
        <v>25</v>
      </c>
      <c r="C47" s="25" t="s">
        <v>472</v>
      </c>
      <c r="D47" s="26" t="s">
        <v>471</v>
      </c>
      <c r="E47" s="26">
        <v>150000</v>
      </c>
      <c r="F47" s="47">
        <v>43617</v>
      </c>
      <c r="G47" s="47">
        <v>43983</v>
      </c>
      <c r="H47" s="26"/>
      <c r="I47" s="26">
        <v>4.4000000000000004</v>
      </c>
      <c r="J47" s="26">
        <v>3321.5981735159821</v>
      </c>
      <c r="K47" s="26">
        <f t="shared" si="3"/>
        <v>568.33333333333337</v>
      </c>
      <c r="L47" s="26"/>
      <c r="M47" s="26"/>
      <c r="N47" s="26">
        <f t="shared" si="0"/>
        <v>3889.9315068493156</v>
      </c>
      <c r="O47" s="26">
        <f t="shared" si="4"/>
        <v>568.33333333333337</v>
      </c>
      <c r="P47" s="26"/>
      <c r="Q47" s="26"/>
      <c r="R47" s="26">
        <v>4458.2648401826491</v>
      </c>
      <c r="S47" s="26">
        <v>550.00000000000011</v>
      </c>
      <c r="T47" s="26"/>
      <c r="U47" s="26"/>
      <c r="V47" s="26">
        <f t="shared" si="1"/>
        <v>5008.2648401826491</v>
      </c>
      <c r="W47" s="26">
        <f t="shared" si="5"/>
        <v>550.00000000000011</v>
      </c>
      <c r="X47" s="26"/>
      <c r="Y47" s="26"/>
      <c r="Z47" s="26">
        <f t="shared" si="2"/>
        <v>5558.2648401826491</v>
      </c>
      <c r="AA47" s="25"/>
    </row>
    <row r="48" spans="1:27" x14ac:dyDescent="0.3">
      <c r="A48" s="25"/>
      <c r="B48" s="25" t="s">
        <v>13</v>
      </c>
      <c r="C48" s="25" t="s">
        <v>470</v>
      </c>
      <c r="D48" s="26" t="s">
        <v>469</v>
      </c>
      <c r="E48" s="26">
        <v>437500</v>
      </c>
      <c r="F48" s="47">
        <v>43627</v>
      </c>
      <c r="G48" s="47">
        <v>43993</v>
      </c>
      <c r="H48" s="26"/>
      <c r="I48" s="26">
        <v>8.9</v>
      </c>
      <c r="J48" s="26">
        <v>18529.390220700156</v>
      </c>
      <c r="K48" s="26">
        <f t="shared" si="3"/>
        <v>3352.9513888888896</v>
      </c>
      <c r="L48" s="26"/>
      <c r="M48" s="26"/>
      <c r="N48" s="26">
        <f t="shared" si="0"/>
        <v>21882.341609589046</v>
      </c>
      <c r="O48" s="26">
        <f t="shared" si="4"/>
        <v>3352.9513888888896</v>
      </c>
      <c r="P48" s="26"/>
      <c r="Q48" s="26"/>
      <c r="R48" s="26">
        <v>25235.292998477937</v>
      </c>
      <c r="S48" s="26">
        <v>3244.7916666666674</v>
      </c>
      <c r="T48" s="26"/>
      <c r="U48" s="26"/>
      <c r="V48" s="26">
        <f t="shared" si="1"/>
        <v>28480.084665144605</v>
      </c>
      <c r="W48" s="26">
        <f t="shared" si="5"/>
        <v>3244.7916666666674</v>
      </c>
      <c r="X48" s="26"/>
      <c r="Y48" s="26"/>
      <c r="Z48" s="26">
        <f t="shared" si="2"/>
        <v>31724.876331811272</v>
      </c>
      <c r="AA48" s="25"/>
    </row>
    <row r="49" spans="1:27" x14ac:dyDescent="0.3">
      <c r="A49" s="25"/>
      <c r="B49" s="25" t="s">
        <v>13</v>
      </c>
      <c r="C49" s="25" t="s">
        <v>468</v>
      </c>
      <c r="D49" s="26" t="s">
        <v>467</v>
      </c>
      <c r="E49" s="26">
        <v>200000</v>
      </c>
      <c r="F49" s="47">
        <v>43640</v>
      </c>
      <c r="G49" s="47">
        <v>44006</v>
      </c>
      <c r="H49" s="26"/>
      <c r="I49" s="26">
        <v>4.6500000000000004</v>
      </c>
      <c r="J49" s="26">
        <v>4094.4063926940653</v>
      </c>
      <c r="K49" s="26">
        <f t="shared" si="3"/>
        <v>800.83333333333348</v>
      </c>
      <c r="L49" s="26"/>
      <c r="M49" s="26"/>
      <c r="N49" s="26">
        <f t="shared" si="0"/>
        <v>4895.2397260273992</v>
      </c>
      <c r="O49" s="26">
        <f t="shared" si="4"/>
        <v>800.83333333333348</v>
      </c>
      <c r="P49" s="26"/>
      <c r="Q49" s="26"/>
      <c r="R49" s="26">
        <v>5696.0730593607332</v>
      </c>
      <c r="S49" s="26">
        <v>775.00000000000023</v>
      </c>
      <c r="T49" s="26"/>
      <c r="U49" s="26"/>
      <c r="V49" s="26">
        <f t="shared" si="1"/>
        <v>6471.0730593607332</v>
      </c>
      <c r="W49" s="26">
        <f t="shared" si="5"/>
        <v>775.00000000000023</v>
      </c>
      <c r="X49" s="26"/>
      <c r="Y49" s="26"/>
      <c r="Z49" s="26">
        <f t="shared" si="2"/>
        <v>7246.0730593607332</v>
      </c>
      <c r="AA49" s="25"/>
    </row>
    <row r="50" spans="1:27" x14ac:dyDescent="0.3">
      <c r="A50" s="25"/>
      <c r="B50" s="25" t="s">
        <v>40</v>
      </c>
      <c r="C50" s="25" t="s">
        <v>466</v>
      </c>
      <c r="D50" s="26" t="s">
        <v>465</v>
      </c>
      <c r="E50" s="26">
        <v>1200000</v>
      </c>
      <c r="F50" s="47">
        <v>43642</v>
      </c>
      <c r="G50" s="47">
        <v>44008</v>
      </c>
      <c r="H50" s="26"/>
      <c r="I50" s="26">
        <v>6.4</v>
      </c>
      <c r="J50" s="26">
        <v>33391.050228310502</v>
      </c>
      <c r="K50" s="26">
        <f t="shared" si="3"/>
        <v>6613.3333333333339</v>
      </c>
      <c r="L50" s="26"/>
      <c r="M50" s="26"/>
      <c r="N50" s="26">
        <f t="shared" si="0"/>
        <v>40004.383561643837</v>
      </c>
      <c r="O50" s="26">
        <f t="shared" si="4"/>
        <v>6613.3333333333339</v>
      </c>
      <c r="P50" s="26"/>
      <c r="Q50" s="26"/>
      <c r="R50" s="26">
        <v>46617.716894977173</v>
      </c>
      <c r="S50" s="26">
        <v>6400</v>
      </c>
      <c r="T50" s="26"/>
      <c r="U50" s="26"/>
      <c r="V50" s="26">
        <f t="shared" si="1"/>
        <v>53017.716894977173</v>
      </c>
      <c r="W50" s="26">
        <f t="shared" si="5"/>
        <v>6400</v>
      </c>
      <c r="X50" s="26"/>
      <c r="Y50" s="26"/>
      <c r="Z50" s="26">
        <f t="shared" si="2"/>
        <v>59417.716894977173</v>
      </c>
      <c r="AA50" s="25"/>
    </row>
    <row r="51" spans="1:27" x14ac:dyDescent="0.3">
      <c r="A51" s="25"/>
      <c r="B51" s="25" t="s">
        <v>40</v>
      </c>
      <c r="C51" s="25" t="s">
        <v>464</v>
      </c>
      <c r="D51" s="26" t="s">
        <v>463</v>
      </c>
      <c r="E51" s="26">
        <v>320000</v>
      </c>
      <c r="F51" s="47">
        <v>43642</v>
      </c>
      <c r="G51" s="47">
        <v>44008</v>
      </c>
      <c r="H51" s="26"/>
      <c r="I51" s="26">
        <v>6.4</v>
      </c>
      <c r="J51" s="26">
        <v>8904.2800608828002</v>
      </c>
      <c r="K51" s="26">
        <f t="shared" si="3"/>
        <v>1763.5555555555554</v>
      </c>
      <c r="L51" s="26"/>
      <c r="M51" s="26"/>
      <c r="N51" s="26">
        <f t="shared" si="0"/>
        <v>10667.835616438355</v>
      </c>
      <c r="O51" s="26">
        <f t="shared" si="4"/>
        <v>1763.5555555555554</v>
      </c>
      <c r="P51" s="26"/>
      <c r="Q51" s="26"/>
      <c r="R51" s="26">
        <v>12431.39117199391</v>
      </c>
      <c r="S51" s="26">
        <v>1706.6666666666665</v>
      </c>
      <c r="T51" s="26"/>
      <c r="U51" s="26"/>
      <c r="V51" s="26">
        <f t="shared" si="1"/>
        <v>14138.057838660576</v>
      </c>
      <c r="W51" s="26">
        <f t="shared" si="5"/>
        <v>1706.6666666666665</v>
      </c>
      <c r="X51" s="26"/>
      <c r="Y51" s="26"/>
      <c r="Z51" s="26">
        <f t="shared" si="2"/>
        <v>15844.724505327242</v>
      </c>
      <c r="AA51" s="25"/>
    </row>
    <row r="52" spans="1:27" x14ac:dyDescent="0.3">
      <c r="A52" s="25"/>
      <c r="B52" s="25" t="s">
        <v>143</v>
      </c>
      <c r="C52" s="25" t="s">
        <v>462</v>
      </c>
      <c r="D52" s="26" t="s">
        <v>461</v>
      </c>
      <c r="E52" s="26">
        <v>1400055.56</v>
      </c>
      <c r="F52" s="47">
        <v>43619</v>
      </c>
      <c r="G52" s="47">
        <v>43985</v>
      </c>
      <c r="H52" s="26"/>
      <c r="I52" s="26">
        <v>6.9</v>
      </c>
      <c r="J52" s="26">
        <v>48088.712012118733</v>
      </c>
      <c r="K52" s="26">
        <f t="shared" si="3"/>
        <v>8318.6634523333341</v>
      </c>
      <c r="L52" s="26"/>
      <c r="M52" s="26"/>
      <c r="N52" s="26">
        <f t="shared" si="0"/>
        <v>56407.375464452067</v>
      </c>
      <c r="O52" s="26">
        <f t="shared" si="4"/>
        <v>8318.6634523333341</v>
      </c>
      <c r="P52" s="26"/>
      <c r="Q52" s="26"/>
      <c r="R52" s="26">
        <v>64726.038916785401</v>
      </c>
      <c r="S52" s="26">
        <v>8050.3194700000013</v>
      </c>
      <c r="T52" s="26"/>
      <c r="U52" s="26"/>
      <c r="V52" s="26">
        <f t="shared" si="1"/>
        <v>72776.358386785403</v>
      </c>
      <c r="W52" s="26">
        <f t="shared" si="5"/>
        <v>8050.3194700000013</v>
      </c>
      <c r="X52" s="26"/>
      <c r="Y52" s="26"/>
      <c r="Z52" s="26">
        <f t="shared" si="2"/>
        <v>80826.677856785405</v>
      </c>
      <c r="AA52" s="25"/>
    </row>
    <row r="53" spans="1:27" x14ac:dyDescent="0.3">
      <c r="A53" s="25"/>
      <c r="B53" s="25" t="s">
        <v>127</v>
      </c>
      <c r="C53" s="25" t="s">
        <v>460</v>
      </c>
      <c r="D53" s="26" t="s">
        <v>459</v>
      </c>
      <c r="E53" s="26">
        <v>400000</v>
      </c>
      <c r="F53" s="47">
        <v>43633</v>
      </c>
      <c r="G53" s="47">
        <v>43999</v>
      </c>
      <c r="H53" s="26"/>
      <c r="I53" s="26">
        <v>5.9</v>
      </c>
      <c r="J53" s="26">
        <v>10842.709284627092</v>
      </c>
      <c r="K53" s="26">
        <f t="shared" si="3"/>
        <v>2032.2222222222222</v>
      </c>
      <c r="L53" s="26"/>
      <c r="M53" s="26"/>
      <c r="N53" s="26">
        <f t="shared" si="0"/>
        <v>12874.931506849314</v>
      </c>
      <c r="O53" s="26">
        <f t="shared" si="4"/>
        <v>2032.2222222222222</v>
      </c>
      <c r="P53" s="26"/>
      <c r="Q53" s="26"/>
      <c r="R53" s="26">
        <v>14907.153729071537</v>
      </c>
      <c r="S53" s="26">
        <v>1966.6666666666667</v>
      </c>
      <c r="T53" s="26"/>
      <c r="U53" s="26"/>
      <c r="V53" s="26">
        <f t="shared" si="1"/>
        <v>16873.820395738203</v>
      </c>
      <c r="W53" s="26">
        <f t="shared" si="5"/>
        <v>1966.6666666666667</v>
      </c>
      <c r="X53" s="26"/>
      <c r="Y53" s="26"/>
      <c r="Z53" s="26">
        <f t="shared" si="2"/>
        <v>18840.487062404871</v>
      </c>
      <c r="AA53" s="25"/>
    </row>
    <row r="54" spans="1:27" x14ac:dyDescent="0.3">
      <c r="A54" s="25"/>
      <c r="B54" s="25" t="s">
        <v>127</v>
      </c>
      <c r="C54" s="25" t="s">
        <v>458</v>
      </c>
      <c r="D54" s="26" t="s">
        <v>457</v>
      </c>
      <c r="E54" s="26">
        <v>140000</v>
      </c>
      <c r="F54" s="47">
        <v>43633</v>
      </c>
      <c r="G54" s="47">
        <v>43999</v>
      </c>
      <c r="H54" s="26"/>
      <c r="I54" s="26">
        <v>5.9</v>
      </c>
      <c r="J54" s="26">
        <v>3794.9482496194823</v>
      </c>
      <c r="K54" s="26">
        <f t="shared" si="3"/>
        <v>711.27777777777771</v>
      </c>
      <c r="L54" s="26"/>
      <c r="M54" s="26"/>
      <c r="N54" s="26">
        <f t="shared" si="0"/>
        <v>4506.2260273972597</v>
      </c>
      <c r="O54" s="26">
        <f t="shared" si="4"/>
        <v>711.27777777777771</v>
      </c>
      <c r="P54" s="26"/>
      <c r="Q54" s="26"/>
      <c r="R54" s="26">
        <v>5217.5038051750371</v>
      </c>
      <c r="S54" s="26">
        <v>688.33333333333326</v>
      </c>
      <c r="T54" s="26"/>
      <c r="U54" s="26"/>
      <c r="V54" s="26">
        <f t="shared" si="1"/>
        <v>5905.8371385083701</v>
      </c>
      <c r="W54" s="26">
        <f t="shared" si="5"/>
        <v>688.33333333333326</v>
      </c>
      <c r="X54" s="26"/>
      <c r="Y54" s="26"/>
      <c r="Z54" s="26">
        <f t="shared" si="2"/>
        <v>6594.1704718417031</v>
      </c>
      <c r="AA54" s="25"/>
    </row>
    <row r="55" spans="1:27" x14ac:dyDescent="0.3">
      <c r="A55" s="25"/>
      <c r="B55" s="25" t="s">
        <v>22</v>
      </c>
      <c r="C55" s="25" t="s">
        <v>456</v>
      </c>
      <c r="D55" s="26" t="s">
        <v>455</v>
      </c>
      <c r="E55" s="26">
        <v>1100000</v>
      </c>
      <c r="F55" s="47">
        <v>43617</v>
      </c>
      <c r="G55" s="47">
        <v>43983</v>
      </c>
      <c r="H55" s="26"/>
      <c r="I55" s="26">
        <v>6.6</v>
      </c>
      <c r="J55" s="26">
        <v>36537.579908675798</v>
      </c>
      <c r="K55" s="26">
        <f t="shared" si="3"/>
        <v>6251.6666666666661</v>
      </c>
      <c r="L55" s="26"/>
      <c r="M55" s="26"/>
      <c r="N55" s="26">
        <f t="shared" si="0"/>
        <v>42789.246575342462</v>
      </c>
      <c r="O55" s="26">
        <f t="shared" si="4"/>
        <v>6251.6666666666661</v>
      </c>
      <c r="P55" s="26"/>
      <c r="Q55" s="26"/>
      <c r="R55" s="26">
        <v>49040.913242009126</v>
      </c>
      <c r="S55" s="26">
        <v>6050</v>
      </c>
      <c r="T55" s="26"/>
      <c r="U55" s="26"/>
      <c r="V55" s="26">
        <f t="shared" si="1"/>
        <v>55090.913242009126</v>
      </c>
      <c r="W55" s="26">
        <f t="shared" si="5"/>
        <v>6050</v>
      </c>
      <c r="X55" s="26"/>
      <c r="Y55" s="26"/>
      <c r="Z55" s="26">
        <f t="shared" si="2"/>
        <v>61140.913242009126</v>
      </c>
      <c r="AA55" s="25"/>
    </row>
    <row r="56" spans="1:27" x14ac:dyDescent="0.3">
      <c r="A56" s="25"/>
      <c r="B56" s="25" t="s">
        <v>138</v>
      </c>
      <c r="C56" s="25" t="s">
        <v>454</v>
      </c>
      <c r="D56" s="26" t="s">
        <v>453</v>
      </c>
      <c r="E56" s="26">
        <v>300000</v>
      </c>
      <c r="F56" s="47">
        <v>43623</v>
      </c>
      <c r="G56" s="47">
        <v>43989</v>
      </c>
      <c r="H56" s="26"/>
      <c r="I56" s="26">
        <v>6.49</v>
      </c>
      <c r="J56" s="26">
        <v>9478.6598173515995</v>
      </c>
      <c r="K56" s="26">
        <f t="shared" si="3"/>
        <v>1676.5833333333335</v>
      </c>
      <c r="L56" s="26"/>
      <c r="M56" s="26"/>
      <c r="N56" s="26">
        <f t="shared" si="0"/>
        <v>11155.243150684933</v>
      </c>
      <c r="O56" s="26">
        <f t="shared" si="4"/>
        <v>1676.5833333333335</v>
      </c>
      <c r="P56" s="26"/>
      <c r="Q56" s="26"/>
      <c r="R56" s="26">
        <v>12831.826484018267</v>
      </c>
      <c r="S56" s="26">
        <v>1622.5</v>
      </c>
      <c r="T56" s="26"/>
      <c r="U56" s="26"/>
      <c r="V56" s="26">
        <f t="shared" si="1"/>
        <v>14454.326484018267</v>
      </c>
      <c r="W56" s="26">
        <f t="shared" si="5"/>
        <v>1622.5</v>
      </c>
      <c r="X56" s="26"/>
      <c r="Y56" s="26"/>
      <c r="Z56" s="26">
        <f t="shared" si="2"/>
        <v>16076.826484018267</v>
      </c>
      <c r="AA56" s="25"/>
    </row>
    <row r="57" spans="1:27" x14ac:dyDescent="0.3">
      <c r="A57" s="25" t="s">
        <v>452</v>
      </c>
      <c r="B57" s="25" t="s">
        <v>103</v>
      </c>
      <c r="C57" s="25" t="s">
        <v>451</v>
      </c>
      <c r="D57" s="26" t="s">
        <v>450</v>
      </c>
      <c r="E57" s="26">
        <v>537381.17000000004</v>
      </c>
      <c r="F57" s="47">
        <v>43659</v>
      </c>
      <c r="G57" s="47">
        <v>44025</v>
      </c>
      <c r="H57" s="26"/>
      <c r="I57" s="26">
        <v>5.9</v>
      </c>
      <c r="J57" s="26">
        <v>12308.196312178843</v>
      </c>
      <c r="K57" s="26">
        <f t="shared" si="3"/>
        <v>2730.1948886944447</v>
      </c>
      <c r="L57" s="26"/>
      <c r="M57" s="26"/>
      <c r="N57" s="26">
        <f t="shared" si="0"/>
        <v>15038.391200873288</v>
      </c>
      <c r="O57" s="26">
        <f t="shared" si="4"/>
        <v>2730.1948886944447</v>
      </c>
      <c r="P57" s="26"/>
      <c r="Q57" s="26"/>
      <c r="R57" s="26">
        <v>17768.586089567732</v>
      </c>
      <c r="S57" s="26">
        <v>2642.1240858333335</v>
      </c>
      <c r="T57" s="26"/>
      <c r="U57" s="26"/>
      <c r="V57" s="26">
        <f t="shared" si="1"/>
        <v>20410.710175401065</v>
      </c>
      <c r="W57" s="26">
        <f t="shared" si="5"/>
        <v>2642.1240858333335</v>
      </c>
      <c r="X57" s="26"/>
      <c r="Y57" s="26"/>
      <c r="Z57" s="26">
        <f t="shared" si="2"/>
        <v>23052.834261234399</v>
      </c>
      <c r="AA57" s="25"/>
    </row>
    <row r="58" spans="1:27" x14ac:dyDescent="0.3">
      <c r="A58" s="25" t="s">
        <v>429</v>
      </c>
      <c r="B58" s="25" t="s">
        <v>85</v>
      </c>
      <c r="C58" s="25" t="s">
        <v>449</v>
      </c>
      <c r="D58" s="26" t="s">
        <v>448</v>
      </c>
      <c r="E58" s="26">
        <v>75139</v>
      </c>
      <c r="F58" s="47">
        <v>43670</v>
      </c>
      <c r="G58" s="47">
        <v>44036</v>
      </c>
      <c r="H58" s="26"/>
      <c r="I58" s="26">
        <f>VLOOKUP(C58,[4]Hoja2!D:F,3,FALSE)</f>
        <v>7.4</v>
      </c>
      <c r="J58" s="26">
        <v>1990.9547663622529</v>
      </c>
      <c r="K58" s="26">
        <f t="shared" si="3"/>
        <v>478.80240555555565</v>
      </c>
      <c r="L58" s="26"/>
      <c r="M58" s="26"/>
      <c r="N58" s="26">
        <f t="shared" si="0"/>
        <v>2469.7571719178086</v>
      </c>
      <c r="O58" s="26">
        <f t="shared" si="4"/>
        <v>478.80240555555565</v>
      </c>
      <c r="P58" s="26"/>
      <c r="Q58" s="26"/>
      <c r="R58" s="26">
        <v>2948.5595774733642</v>
      </c>
      <c r="S58" s="26">
        <v>463.35716666666673</v>
      </c>
      <c r="T58" s="26"/>
      <c r="U58" s="26"/>
      <c r="V58" s="26">
        <f t="shared" si="1"/>
        <v>3411.9167441400309</v>
      </c>
      <c r="W58" s="26">
        <f t="shared" si="5"/>
        <v>463.35716666666673</v>
      </c>
      <c r="X58" s="26"/>
      <c r="Y58" s="26"/>
      <c r="Z58" s="26">
        <f t="shared" si="2"/>
        <v>3875.2739108066976</v>
      </c>
      <c r="AA58" s="25"/>
    </row>
    <row r="59" spans="1:27" x14ac:dyDescent="0.3">
      <c r="A59" s="25" t="s">
        <v>429</v>
      </c>
      <c r="B59" s="25" t="s">
        <v>85</v>
      </c>
      <c r="C59" s="25" t="s">
        <v>447</v>
      </c>
      <c r="D59" s="26" t="s">
        <v>446</v>
      </c>
      <c r="E59" s="26">
        <v>220000</v>
      </c>
      <c r="F59" s="47">
        <v>43670</v>
      </c>
      <c r="G59" s="47">
        <v>44036</v>
      </c>
      <c r="H59" s="26"/>
      <c r="I59" s="26">
        <f>VLOOKUP(C59,[4]Hoja2!D:F,3,FALSE)</f>
        <v>7.4</v>
      </c>
      <c r="J59" s="26">
        <v>5829.3302891933045</v>
      </c>
      <c r="K59" s="26">
        <f t="shared" si="3"/>
        <v>1401.8888888888891</v>
      </c>
      <c r="L59" s="26"/>
      <c r="M59" s="26"/>
      <c r="N59" s="26">
        <f t="shared" si="0"/>
        <v>7231.219178082194</v>
      </c>
      <c r="O59" s="26">
        <f t="shared" si="4"/>
        <v>1401.8888888888891</v>
      </c>
      <c r="P59" s="26"/>
      <c r="Q59" s="26"/>
      <c r="R59" s="26">
        <v>8633.1080669710827</v>
      </c>
      <c r="S59" s="26">
        <v>1356.666666666667</v>
      </c>
      <c r="T59" s="26"/>
      <c r="U59" s="26"/>
      <c r="V59" s="26">
        <f t="shared" si="1"/>
        <v>9989.7747336377506</v>
      </c>
      <c r="W59" s="26">
        <f t="shared" si="5"/>
        <v>1356.666666666667</v>
      </c>
      <c r="X59" s="26"/>
      <c r="Y59" s="26"/>
      <c r="Z59" s="26">
        <f t="shared" si="2"/>
        <v>11346.441400304418</v>
      </c>
      <c r="AA59" s="25"/>
    </row>
    <row r="60" spans="1:27" x14ac:dyDescent="0.3">
      <c r="A60" s="25" t="s">
        <v>432</v>
      </c>
      <c r="B60" s="25" t="s">
        <v>25</v>
      </c>
      <c r="C60" s="25" t="s">
        <v>445</v>
      </c>
      <c r="D60" s="26" t="s">
        <v>695</v>
      </c>
      <c r="E60" s="26">
        <v>150000</v>
      </c>
      <c r="F60" s="47">
        <v>43647</v>
      </c>
      <c r="G60" s="47">
        <v>44013</v>
      </c>
      <c r="H60" s="26"/>
      <c r="I60" s="26">
        <v>4.4000000000000004</v>
      </c>
      <c r="J60" s="26">
        <v>2779.1324200913245</v>
      </c>
      <c r="K60" s="26">
        <f t="shared" si="3"/>
        <v>568.33333333333337</v>
      </c>
      <c r="L60" s="26"/>
      <c r="M60" s="26"/>
      <c r="N60" s="26">
        <f t="shared" si="0"/>
        <v>3347.465753424658</v>
      </c>
      <c r="O60" s="26">
        <f t="shared" si="4"/>
        <v>568.33333333333337</v>
      </c>
      <c r="P60" s="26"/>
      <c r="Q60" s="26"/>
      <c r="R60" s="26">
        <v>3915.7990867579915</v>
      </c>
      <c r="S60" s="26">
        <v>550.00000000000011</v>
      </c>
      <c r="T60" s="26"/>
      <c r="U60" s="26"/>
      <c r="V60" s="26">
        <f t="shared" si="1"/>
        <v>4465.799086757992</v>
      </c>
      <c r="W60" s="26">
        <f t="shared" si="5"/>
        <v>550.00000000000011</v>
      </c>
      <c r="X60" s="26"/>
      <c r="Y60" s="26"/>
      <c r="Z60" s="26">
        <f t="shared" si="2"/>
        <v>5015.799086757992</v>
      </c>
      <c r="AA60" s="25"/>
    </row>
    <row r="61" spans="1:27" x14ac:dyDescent="0.3">
      <c r="A61" s="25" t="s">
        <v>443</v>
      </c>
      <c r="B61" s="25" t="s">
        <v>82</v>
      </c>
      <c r="C61" s="25" t="s">
        <v>696</v>
      </c>
      <c r="D61" s="26" t="s">
        <v>697</v>
      </c>
      <c r="F61" s="47">
        <v>43676</v>
      </c>
      <c r="G61" s="47">
        <v>43894</v>
      </c>
      <c r="H61" s="26"/>
      <c r="I61" s="26">
        <f>VLOOKUP(C61,[4]Hoja2!D:F,3,FALSE)</f>
        <v>6.15</v>
      </c>
      <c r="J61" s="26">
        <v>975.20023997146131</v>
      </c>
      <c r="K61" s="26" t="e">
        <f>(+#REF!*$I61%)/360*31</f>
        <v>#REF!</v>
      </c>
      <c r="L61" s="26"/>
      <c r="M61" s="26"/>
      <c r="N61" s="26" t="e">
        <f t="shared" si="0"/>
        <v>#REF!</v>
      </c>
      <c r="O61" s="26" t="e">
        <f>(+#REF!*$I61%)/360*31</f>
        <v>#REF!</v>
      </c>
      <c r="P61" s="26"/>
      <c r="Q61" s="26"/>
      <c r="R61" s="26">
        <v>1426.966492388128</v>
      </c>
      <c r="S61" s="26">
        <v>218.59657375000003</v>
      </c>
      <c r="T61" s="26"/>
      <c r="U61" s="26"/>
      <c r="V61" s="26">
        <f t="shared" si="1"/>
        <v>1645.5630661381281</v>
      </c>
      <c r="W61" s="26"/>
      <c r="X61" s="26">
        <v>-1032.55</v>
      </c>
      <c r="Y61" s="26">
        <v>-613.01</v>
      </c>
      <c r="Z61" s="26">
        <f t="shared" si="2"/>
        <v>3.0661381281333888E-3</v>
      </c>
      <c r="AA61" s="25" t="s">
        <v>218</v>
      </c>
    </row>
    <row r="62" spans="1:27" x14ac:dyDescent="0.3">
      <c r="A62" s="25" t="s">
        <v>443</v>
      </c>
      <c r="B62" s="25" t="s">
        <v>82</v>
      </c>
      <c r="C62" s="25" t="s">
        <v>442</v>
      </c>
      <c r="D62" s="26" t="s">
        <v>441</v>
      </c>
      <c r="E62" s="26">
        <v>53900</v>
      </c>
      <c r="F62" s="47">
        <v>43677</v>
      </c>
      <c r="G62" s="47">
        <v>44038</v>
      </c>
      <c r="H62" s="26"/>
      <c r="I62" s="26">
        <v>6.15</v>
      </c>
      <c r="J62" s="26">
        <v>1168.7747374429225</v>
      </c>
      <c r="K62" s="26">
        <f t="shared" si="3"/>
        <v>285.44541666666669</v>
      </c>
      <c r="L62" s="26"/>
      <c r="M62" s="26"/>
      <c r="N62" s="26">
        <f t="shared" si="0"/>
        <v>1454.2201541095892</v>
      </c>
      <c r="O62" s="26">
        <f t="shared" si="4"/>
        <v>285.44541666666669</v>
      </c>
      <c r="P62" s="26"/>
      <c r="Q62" s="26"/>
      <c r="R62" s="26">
        <v>1739.6655707762559</v>
      </c>
      <c r="S62" s="26">
        <v>276.23750000000001</v>
      </c>
      <c r="T62" s="26"/>
      <c r="U62" s="26"/>
      <c r="V62" s="26">
        <f t="shared" si="1"/>
        <v>2015.9030707762558</v>
      </c>
      <c r="W62" s="26">
        <f t="shared" si="5"/>
        <v>276.23750000000001</v>
      </c>
      <c r="X62" s="26"/>
      <c r="Y62" s="26"/>
      <c r="Z62" s="26">
        <f t="shared" si="2"/>
        <v>2292.140570776256</v>
      </c>
      <c r="AA62" s="25"/>
    </row>
    <row r="63" spans="1:27" x14ac:dyDescent="0.3">
      <c r="A63" s="25" t="s">
        <v>440</v>
      </c>
      <c r="B63" s="25" t="s">
        <v>7</v>
      </c>
      <c r="C63" s="25" t="s">
        <v>439</v>
      </c>
      <c r="D63" s="26" t="s">
        <v>438</v>
      </c>
      <c r="E63" s="26">
        <v>500000</v>
      </c>
      <c r="F63" s="47">
        <v>43671</v>
      </c>
      <c r="G63" s="47">
        <v>44037</v>
      </c>
      <c r="H63" s="26"/>
      <c r="I63" s="26">
        <f>VLOOKUP(C63,[4]Hoja2!D:F,3,FALSE)</f>
        <v>6.9</v>
      </c>
      <c r="J63" s="26">
        <v>12258.789954337899</v>
      </c>
      <c r="K63" s="26">
        <f t="shared" si="3"/>
        <v>2970.833333333333</v>
      </c>
      <c r="L63" s="26"/>
      <c r="M63" s="26"/>
      <c r="N63" s="26">
        <f t="shared" si="0"/>
        <v>15229.623287671231</v>
      </c>
      <c r="O63" s="26">
        <f t="shared" si="4"/>
        <v>2970.833333333333</v>
      </c>
      <c r="P63" s="26"/>
      <c r="Q63" s="26"/>
      <c r="R63" s="26">
        <v>18200.456621004563</v>
      </c>
      <c r="S63" s="26">
        <v>2875</v>
      </c>
      <c r="T63" s="26"/>
      <c r="U63" s="26"/>
      <c r="V63" s="26">
        <f t="shared" si="1"/>
        <v>21075.456621004563</v>
      </c>
      <c r="W63" s="26">
        <f t="shared" si="5"/>
        <v>2875</v>
      </c>
      <c r="X63" s="26"/>
      <c r="Y63" s="26"/>
      <c r="Z63" s="26">
        <f t="shared" si="2"/>
        <v>23950.456621004563</v>
      </c>
      <c r="AA63" s="25"/>
    </row>
    <row r="64" spans="1:27" x14ac:dyDescent="0.3">
      <c r="A64" s="25" t="s">
        <v>437</v>
      </c>
      <c r="B64" s="25" t="s">
        <v>106</v>
      </c>
      <c r="C64" s="25" t="s">
        <v>436</v>
      </c>
      <c r="D64" s="26" t="s">
        <v>435</v>
      </c>
      <c r="E64" s="26">
        <v>537381.16</v>
      </c>
      <c r="F64" s="47">
        <v>43659</v>
      </c>
      <c r="G64" s="47">
        <v>44025</v>
      </c>
      <c r="H64" s="26"/>
      <c r="I64" s="26">
        <f>VLOOKUP(C64,[4]Hoja2!D:F,3,FALSE)</f>
        <v>5.9</v>
      </c>
      <c r="J64" s="26">
        <v>12308.196083138511</v>
      </c>
      <c r="K64" s="26">
        <f t="shared" si="3"/>
        <v>2730.1948378888892</v>
      </c>
      <c r="L64" s="26"/>
      <c r="M64" s="26"/>
      <c r="N64" s="26">
        <f t="shared" si="0"/>
        <v>15038.3909210274</v>
      </c>
      <c r="O64" s="26">
        <f t="shared" si="4"/>
        <v>2730.1948378888892</v>
      </c>
      <c r="P64" s="26"/>
      <c r="Q64" s="26"/>
      <c r="R64" s="26">
        <v>17768.585758916288</v>
      </c>
      <c r="S64" s="26">
        <v>2642.1240366666671</v>
      </c>
      <c r="T64" s="26"/>
      <c r="U64" s="26"/>
      <c r="V64" s="26">
        <f t="shared" si="1"/>
        <v>20410.709795582956</v>
      </c>
      <c r="W64" s="26">
        <f t="shared" si="5"/>
        <v>2642.1240366666671</v>
      </c>
      <c r="X64" s="26"/>
      <c r="Y64" s="26"/>
      <c r="Z64" s="26">
        <f t="shared" si="2"/>
        <v>23052.833832249624</v>
      </c>
      <c r="AA64" s="25"/>
    </row>
    <row r="65" spans="1:27" x14ac:dyDescent="0.3">
      <c r="A65" s="25" t="s">
        <v>419</v>
      </c>
      <c r="B65" s="25" t="s">
        <v>40</v>
      </c>
      <c r="C65" s="25" t="s">
        <v>434</v>
      </c>
      <c r="D65" s="26" t="s">
        <v>433</v>
      </c>
      <c r="E65" s="26">
        <v>1100000</v>
      </c>
      <c r="F65" s="47">
        <v>43658</v>
      </c>
      <c r="G65" s="47">
        <v>44024</v>
      </c>
      <c r="H65" s="26"/>
      <c r="I65" s="26">
        <f>VLOOKUP(C65,[4]Hoja2!D:F,3,FALSE)</f>
        <v>6.4</v>
      </c>
      <c r="J65" s="26">
        <v>27522.435312024354</v>
      </c>
      <c r="K65" s="26">
        <f t="shared" si="3"/>
        <v>6062.2222222222217</v>
      </c>
      <c r="L65" s="26"/>
      <c r="M65" s="26"/>
      <c r="N65" s="26">
        <f t="shared" si="0"/>
        <v>33584.657534246573</v>
      </c>
      <c r="O65" s="26">
        <f t="shared" si="4"/>
        <v>6062.2222222222217</v>
      </c>
      <c r="P65" s="26"/>
      <c r="Q65" s="26"/>
      <c r="R65" s="26">
        <v>39646.879756468792</v>
      </c>
      <c r="S65" s="26">
        <v>5866.6666666666661</v>
      </c>
      <c r="T65" s="26"/>
      <c r="U65" s="26"/>
      <c r="V65" s="26">
        <f t="shared" si="1"/>
        <v>45513.546423135456</v>
      </c>
      <c r="W65" s="26">
        <f t="shared" si="5"/>
        <v>5866.6666666666661</v>
      </c>
      <c r="X65" s="26"/>
      <c r="Y65" s="26"/>
      <c r="Z65" s="26">
        <f t="shared" si="2"/>
        <v>51380.213089802121</v>
      </c>
      <c r="AA65" s="25"/>
    </row>
    <row r="66" spans="1:27" x14ac:dyDescent="0.3">
      <c r="A66" s="25" t="s">
        <v>419</v>
      </c>
      <c r="B66" s="25" t="s">
        <v>40</v>
      </c>
      <c r="C66" s="25" t="s">
        <v>698</v>
      </c>
      <c r="D66" s="26" t="s">
        <v>699</v>
      </c>
      <c r="F66" s="47">
        <v>43658</v>
      </c>
      <c r="G66" s="47">
        <v>44024</v>
      </c>
      <c r="H66" s="26"/>
      <c r="I66" s="26">
        <f>VLOOKUP(C66,[4]Hoja2!D:F,3,FALSE)</f>
        <v>6.4</v>
      </c>
      <c r="J66" s="26">
        <v>54294.258751902591</v>
      </c>
      <c r="K66" s="26" t="e">
        <f>(+#REF!*$I66%)/360*31</f>
        <v>#REF!</v>
      </c>
      <c r="L66" s="26"/>
      <c r="M66" s="26"/>
      <c r="N66" s="26" t="e">
        <f t="shared" si="0"/>
        <v>#REF!</v>
      </c>
      <c r="O66" s="26" t="e">
        <f>(+#REF!*$I66%)/360*31</f>
        <v>#REF!</v>
      </c>
      <c r="P66" s="26"/>
      <c r="Q66" s="26"/>
      <c r="R66" s="26">
        <v>78212.480974124817</v>
      </c>
      <c r="S66" s="26">
        <v>11573.333333333334</v>
      </c>
      <c r="T66" s="26"/>
      <c r="U66" s="26"/>
      <c r="V66" s="26">
        <f>+R66+S66+T66+U66</f>
        <v>89785.814307458146</v>
      </c>
      <c r="W66" s="26"/>
      <c r="X66" s="26"/>
      <c r="Y66" s="26">
        <v>-89785.81</v>
      </c>
      <c r="Z66" s="26">
        <f t="shared" si="2"/>
        <v>4.30745814810507E-3</v>
      </c>
      <c r="AA66" s="25" t="s">
        <v>730</v>
      </c>
    </row>
    <row r="67" spans="1:27" x14ac:dyDescent="0.3">
      <c r="A67" s="25" t="s">
        <v>414</v>
      </c>
      <c r="B67" s="25" t="s">
        <v>74</v>
      </c>
      <c r="C67" s="25" t="s">
        <v>700</v>
      </c>
      <c r="D67" s="26" t="s">
        <v>701</v>
      </c>
      <c r="F67" s="47">
        <v>43644</v>
      </c>
      <c r="G67" s="47">
        <v>43763</v>
      </c>
      <c r="H67" s="26"/>
      <c r="I67" s="26">
        <v>3.4</v>
      </c>
      <c r="J67" s="26">
        <v>379.67010654490082</v>
      </c>
      <c r="K67" s="26" t="e">
        <f>(+#REF!*$I67%)/360*31</f>
        <v>#REF!</v>
      </c>
      <c r="L67" s="26"/>
      <c r="M67" s="26"/>
      <c r="N67" s="26" t="e">
        <f t="shared" si="0"/>
        <v>#REF!</v>
      </c>
      <c r="O67" s="26" t="e">
        <f>(+#REF!*$I67%)/360*31</f>
        <v>#REF!</v>
      </c>
      <c r="P67" s="26"/>
      <c r="Q67" s="26"/>
      <c r="R67" s="26">
        <v>1164.3145509893452</v>
      </c>
      <c r="S67" s="26">
        <v>379.66666666666663</v>
      </c>
      <c r="T67" s="26"/>
      <c r="U67" s="26"/>
      <c r="V67" s="26">
        <f t="shared" si="1"/>
        <v>1543.9812176560117</v>
      </c>
      <c r="W67" s="26"/>
      <c r="X67" s="26"/>
      <c r="Y67" s="26">
        <v>-1543.98</v>
      </c>
      <c r="Z67" s="26">
        <f t="shared" si="2"/>
        <v>1.2176560117040935E-3</v>
      </c>
      <c r="AA67" s="25"/>
    </row>
    <row r="68" spans="1:27" x14ac:dyDescent="0.3">
      <c r="A68" s="25" t="s">
        <v>429</v>
      </c>
      <c r="B68" s="25" t="s">
        <v>85</v>
      </c>
      <c r="C68" s="25" t="s">
        <v>702</v>
      </c>
      <c r="D68" s="25" t="s">
        <v>703</v>
      </c>
      <c r="E68" s="42">
        <v>200000</v>
      </c>
      <c r="F68" s="25" t="s">
        <v>426</v>
      </c>
      <c r="G68" s="25" t="s">
        <v>425</v>
      </c>
      <c r="H68" s="26"/>
      <c r="I68" s="26">
        <v>7.4</v>
      </c>
      <c r="J68" s="26">
        <v>5015.5555555555566</v>
      </c>
      <c r="K68" s="26">
        <f t="shared" si="3"/>
        <v>1274.4444444444446</v>
      </c>
      <c r="L68" s="26"/>
      <c r="M68" s="26"/>
      <c r="N68" s="26">
        <f t="shared" si="0"/>
        <v>6290.0000000000009</v>
      </c>
      <c r="O68" s="26">
        <f t="shared" si="4"/>
        <v>1274.4444444444446</v>
      </c>
      <c r="P68" s="26"/>
      <c r="Q68" s="26"/>
      <c r="R68" s="26">
        <v>7564.4444444444453</v>
      </c>
      <c r="S68" s="26">
        <v>1233.3333333333335</v>
      </c>
      <c r="T68" s="26"/>
      <c r="U68" s="26"/>
      <c r="V68" s="26">
        <f t="shared" si="1"/>
        <v>8797.7777777777792</v>
      </c>
      <c r="W68" s="26">
        <f>(+$E68*$I68%)/360*31</f>
        <v>1274.4444444444446</v>
      </c>
      <c r="X68" s="26"/>
      <c r="Y68" s="26"/>
      <c r="Z68" s="26">
        <f t="shared" si="2"/>
        <v>10072.222222222224</v>
      </c>
      <c r="AA68" s="25"/>
    </row>
    <row r="69" spans="1:27" x14ac:dyDescent="0.3">
      <c r="A69" s="25" t="s">
        <v>429</v>
      </c>
      <c r="B69" s="25" t="s">
        <v>85</v>
      </c>
      <c r="C69" s="25" t="s">
        <v>226</v>
      </c>
      <c r="D69" s="25" t="s">
        <v>704</v>
      </c>
      <c r="F69" s="25" t="s">
        <v>426</v>
      </c>
      <c r="G69" s="25" t="s">
        <v>425</v>
      </c>
      <c r="H69" s="26"/>
      <c r="I69" s="26">
        <v>7.4</v>
      </c>
      <c r="J69" s="26">
        <v>8040.9956666666685</v>
      </c>
      <c r="K69" s="26" t="e">
        <f>(+#REF!*$I69%)/360*31</f>
        <v>#REF!</v>
      </c>
      <c r="L69" s="26">
        <f>[5]dc!J144</f>
        <v>0</v>
      </c>
      <c r="M69" s="26"/>
      <c r="N69" s="26" t="e">
        <f t="shared" si="0"/>
        <v>#REF!</v>
      </c>
      <c r="O69" s="26" t="e">
        <f>(+#REF!*$I69%)/360*31</f>
        <v>#REF!</v>
      </c>
      <c r="P69" s="26">
        <f>[5]dc!N144</f>
        <v>0</v>
      </c>
      <c r="Q69" s="26"/>
      <c r="R69" s="26">
        <v>13332.871333333336</v>
      </c>
      <c r="S69" s="26">
        <v>2560.5850000000005</v>
      </c>
      <c r="T69" s="26"/>
      <c r="U69" s="26"/>
      <c r="V69" s="26">
        <f t="shared" si="1"/>
        <v>15893.456333333337</v>
      </c>
      <c r="W69" s="26"/>
      <c r="X69" s="26"/>
      <c r="Y69" s="26">
        <v>-15893.46</v>
      </c>
      <c r="Z69" s="26">
        <f t="shared" si="2"/>
        <v>-3.6666666619566968E-3</v>
      </c>
      <c r="AA69" s="25"/>
    </row>
    <row r="70" spans="1:27" x14ac:dyDescent="0.3">
      <c r="A70" s="25" t="s">
        <v>432</v>
      </c>
      <c r="B70" s="25" t="s">
        <v>25</v>
      </c>
      <c r="C70" s="25" t="s">
        <v>431</v>
      </c>
      <c r="D70" s="25" t="s">
        <v>430</v>
      </c>
      <c r="E70" s="42">
        <v>100000</v>
      </c>
      <c r="F70" s="25" t="s">
        <v>426</v>
      </c>
      <c r="G70" s="25" t="s">
        <v>425</v>
      </c>
      <c r="H70" s="26"/>
      <c r="I70" s="26">
        <v>4.4000000000000004</v>
      </c>
      <c r="J70" s="26">
        <v>1491.1111111111109</v>
      </c>
      <c r="K70" s="26">
        <f t="shared" ref="K70:K116" si="6">(+$E70*$I70%)/360*31</f>
        <v>378.88888888888886</v>
      </c>
      <c r="L70" s="26"/>
      <c r="M70" s="26"/>
      <c r="N70" s="26">
        <f t="shared" ref="N70:N132" si="7">+J70+K70+L70+M70</f>
        <v>1869.9999999999998</v>
      </c>
      <c r="O70" s="26">
        <f t="shared" ref="O70:O132" si="8">(+$E70*$I70%)/360*31</f>
        <v>378.88888888888886</v>
      </c>
      <c r="P70" s="26"/>
      <c r="Q70" s="26"/>
      <c r="R70" s="26">
        <v>2248.8888888888887</v>
      </c>
      <c r="S70" s="26">
        <v>366.66666666666663</v>
      </c>
      <c r="T70" s="26"/>
      <c r="U70" s="26"/>
      <c r="V70" s="26">
        <f t="shared" ref="V70:V133" si="9">+R70+S70+T70+U70</f>
        <v>2615.5555555555552</v>
      </c>
      <c r="W70" s="26">
        <f t="shared" ref="W70:W133" si="10">(+$E70*$I70%)/360*30</f>
        <v>366.66666666666663</v>
      </c>
      <c r="X70" s="26"/>
      <c r="Y70" s="26"/>
      <c r="Z70" s="26">
        <f t="shared" ref="Z70:Z133" si="11">+V70+W70+X70+Y70</f>
        <v>2982.2222222222217</v>
      </c>
      <c r="AA70" s="25"/>
    </row>
    <row r="71" spans="1:27" x14ac:dyDescent="0.3">
      <c r="A71" s="25" t="s">
        <v>419</v>
      </c>
      <c r="B71" s="25" t="s">
        <v>177</v>
      </c>
      <c r="C71" s="25" t="s">
        <v>706</v>
      </c>
      <c r="D71" s="25" t="s">
        <v>707</v>
      </c>
      <c r="F71" s="25" t="s">
        <v>416</v>
      </c>
      <c r="G71" s="25" t="s">
        <v>415</v>
      </c>
      <c r="H71" s="26"/>
      <c r="I71" s="26">
        <v>5.9</v>
      </c>
      <c r="J71" s="26">
        <v>499.86222222222216</v>
      </c>
      <c r="K71" s="26" t="e">
        <f>(+#REF!*$I71%)/360*31</f>
        <v>#REF!</v>
      </c>
      <c r="L71" s="26"/>
      <c r="M71" s="26"/>
      <c r="N71" s="26" t="e">
        <f t="shared" si="7"/>
        <v>#REF!</v>
      </c>
      <c r="O71" s="26" t="e">
        <f>(+#REF!*$I71%)/360*31</f>
        <v>#REF!</v>
      </c>
      <c r="P71" s="26"/>
      <c r="Q71" s="26"/>
      <c r="R71" s="26">
        <v>1007.9177777777777</v>
      </c>
      <c r="S71" s="26">
        <v>245.83333333333334</v>
      </c>
      <c r="T71" s="26"/>
      <c r="U71" s="26"/>
      <c r="V71" s="26">
        <f t="shared" si="9"/>
        <v>1253.751111111111</v>
      </c>
      <c r="W71" s="26"/>
      <c r="X71" s="26"/>
      <c r="Y71" s="26">
        <v>-1253.75</v>
      </c>
      <c r="Z71" s="26">
        <f t="shared" si="11"/>
        <v>1.1111111109585181E-3</v>
      </c>
      <c r="AA71" s="25"/>
    </row>
    <row r="72" spans="1:27" x14ac:dyDescent="0.3">
      <c r="A72" s="25" t="s">
        <v>429</v>
      </c>
      <c r="B72" s="25" t="s">
        <v>71</v>
      </c>
      <c r="C72" s="25" t="s">
        <v>428</v>
      </c>
      <c r="D72" s="25" t="s">
        <v>427</v>
      </c>
      <c r="E72" s="42">
        <v>100000</v>
      </c>
      <c r="F72" s="25" t="s">
        <v>426</v>
      </c>
      <c r="G72" s="25" t="s">
        <v>425</v>
      </c>
      <c r="H72" s="26"/>
      <c r="I72" s="26">
        <v>7.4</v>
      </c>
      <c r="J72" s="26">
        <v>2507.7777777777783</v>
      </c>
      <c r="K72" s="26">
        <f t="shared" si="6"/>
        <v>637.22222222222229</v>
      </c>
      <c r="L72" s="26"/>
      <c r="M72" s="26"/>
      <c r="N72" s="26">
        <f t="shared" si="7"/>
        <v>3145.0000000000005</v>
      </c>
      <c r="O72" s="26">
        <f t="shared" si="8"/>
        <v>637.22222222222229</v>
      </c>
      <c r="P72" s="26"/>
      <c r="Q72" s="26"/>
      <c r="R72" s="26">
        <v>3782.2222222222226</v>
      </c>
      <c r="S72" s="26">
        <v>616.66666666666674</v>
      </c>
      <c r="T72" s="26"/>
      <c r="U72" s="26"/>
      <c r="V72" s="26">
        <f t="shared" si="9"/>
        <v>4398.8888888888896</v>
      </c>
      <c r="W72" s="26">
        <f t="shared" si="10"/>
        <v>616.66666666666674</v>
      </c>
      <c r="X72" s="26"/>
      <c r="Y72" s="26"/>
      <c r="Z72" s="26">
        <f t="shared" si="11"/>
        <v>5015.5555555555566</v>
      </c>
      <c r="AA72" s="25"/>
    </row>
    <row r="73" spans="1:27" x14ac:dyDescent="0.3">
      <c r="A73" s="25" t="s">
        <v>424</v>
      </c>
      <c r="B73" s="25" t="s">
        <v>64</v>
      </c>
      <c r="C73" s="25" t="s">
        <v>423</v>
      </c>
      <c r="D73" s="25" t="s">
        <v>422</v>
      </c>
      <c r="E73" s="42">
        <v>250000</v>
      </c>
      <c r="F73" s="25" t="s">
        <v>421</v>
      </c>
      <c r="G73" s="25" t="s">
        <v>420</v>
      </c>
      <c r="H73" s="26"/>
      <c r="I73" s="26">
        <v>4.9000000000000004</v>
      </c>
      <c r="J73" s="26">
        <v>4151.3888888888887</v>
      </c>
      <c r="K73" s="26">
        <f t="shared" si="6"/>
        <v>1054.8611111111111</v>
      </c>
      <c r="L73" s="26"/>
      <c r="M73" s="26"/>
      <c r="N73" s="26">
        <f t="shared" si="7"/>
        <v>5206.25</v>
      </c>
      <c r="O73" s="26">
        <f t="shared" si="8"/>
        <v>1054.8611111111111</v>
      </c>
      <c r="P73" s="26"/>
      <c r="Q73" s="26"/>
      <c r="R73" s="26">
        <v>6261.1111111111113</v>
      </c>
      <c r="S73" s="26">
        <v>1020.8333333333334</v>
      </c>
      <c r="T73" s="26"/>
      <c r="U73" s="26"/>
      <c r="V73" s="26">
        <f t="shared" si="9"/>
        <v>7281.9444444444443</v>
      </c>
      <c r="W73" s="26">
        <f t="shared" si="10"/>
        <v>1020.8333333333334</v>
      </c>
      <c r="X73" s="26"/>
      <c r="Y73" s="26"/>
      <c r="Z73" s="26">
        <f t="shared" si="11"/>
        <v>8302.7777777777774</v>
      </c>
      <c r="AA73" s="25"/>
    </row>
    <row r="74" spans="1:27" x14ac:dyDescent="0.3">
      <c r="A74" s="25" t="s">
        <v>419</v>
      </c>
      <c r="B74" s="25" t="s">
        <v>40</v>
      </c>
      <c r="C74" s="25" t="s">
        <v>418</v>
      </c>
      <c r="D74" s="25" t="s">
        <v>417</v>
      </c>
      <c r="E74" s="42">
        <v>2170000</v>
      </c>
      <c r="F74" s="25" t="s">
        <v>416</v>
      </c>
      <c r="G74" s="25" t="s">
        <v>415</v>
      </c>
      <c r="H74" s="26"/>
      <c r="I74" s="26">
        <v>6.4</v>
      </c>
      <c r="J74" s="26">
        <v>47064.888888888891</v>
      </c>
      <c r="K74" s="26">
        <f t="shared" si="6"/>
        <v>11959.111111111111</v>
      </c>
      <c r="L74" s="26"/>
      <c r="M74" s="26"/>
      <c r="N74" s="26">
        <f t="shared" si="7"/>
        <v>59024</v>
      </c>
      <c r="O74" s="26">
        <f t="shared" si="8"/>
        <v>11959.111111111111</v>
      </c>
      <c r="P74" s="26"/>
      <c r="Q74" s="26"/>
      <c r="R74" s="26">
        <v>70983.111111111109</v>
      </c>
      <c r="S74" s="26">
        <v>11573.333333333334</v>
      </c>
      <c r="T74" s="26"/>
      <c r="U74" s="26"/>
      <c r="V74" s="26">
        <f t="shared" si="9"/>
        <v>82556.444444444438</v>
      </c>
      <c r="W74" s="26">
        <f t="shared" si="10"/>
        <v>11573.333333333334</v>
      </c>
      <c r="X74" s="26"/>
      <c r="Y74" s="26"/>
      <c r="Z74" s="26">
        <f t="shared" si="11"/>
        <v>94129.777777777766</v>
      </c>
      <c r="AA74" s="25"/>
    </row>
    <row r="75" spans="1:27" x14ac:dyDescent="0.3">
      <c r="A75" s="25" t="s">
        <v>414</v>
      </c>
      <c r="B75" s="25" t="s">
        <v>50</v>
      </c>
      <c r="C75" s="25" t="s">
        <v>413</v>
      </c>
      <c r="D75" s="25" t="s">
        <v>412</v>
      </c>
      <c r="E75" s="42">
        <v>150000</v>
      </c>
      <c r="F75" s="25" t="s">
        <v>411</v>
      </c>
      <c r="G75" s="25" t="s">
        <v>410</v>
      </c>
      <c r="H75" s="26"/>
      <c r="I75" s="26">
        <v>4.9000000000000004</v>
      </c>
      <c r="J75" s="26">
        <v>2490.8333333333335</v>
      </c>
      <c r="K75" s="26">
        <f t="shared" si="6"/>
        <v>632.91666666666674</v>
      </c>
      <c r="L75" s="26"/>
      <c r="M75" s="26"/>
      <c r="N75" s="26">
        <f t="shared" si="7"/>
        <v>3123.75</v>
      </c>
      <c r="O75" s="26">
        <f t="shared" si="8"/>
        <v>632.91666666666674</v>
      </c>
      <c r="P75" s="26"/>
      <c r="Q75" s="26"/>
      <c r="R75" s="26">
        <v>3756.666666666667</v>
      </c>
      <c r="S75" s="26">
        <v>612.5</v>
      </c>
      <c r="T75" s="26"/>
      <c r="U75" s="26"/>
      <c r="V75" s="26">
        <f t="shared" si="9"/>
        <v>4369.166666666667</v>
      </c>
      <c r="W75" s="26">
        <f t="shared" si="10"/>
        <v>612.5</v>
      </c>
      <c r="X75" s="26"/>
      <c r="Y75" s="26"/>
      <c r="Z75" s="26">
        <f t="shared" si="11"/>
        <v>4981.666666666667</v>
      </c>
      <c r="AA75" s="25"/>
    </row>
    <row r="76" spans="1:27" x14ac:dyDescent="0.3">
      <c r="A76" s="25" t="s">
        <v>419</v>
      </c>
      <c r="B76" s="25" t="s">
        <v>37</v>
      </c>
      <c r="C76" s="25" t="s">
        <v>709</v>
      </c>
      <c r="D76" s="25" t="s">
        <v>710</v>
      </c>
      <c r="F76" s="25" t="s">
        <v>416</v>
      </c>
      <c r="G76" s="25" t="s">
        <v>415</v>
      </c>
      <c r="H76" s="26"/>
      <c r="I76" s="26">
        <v>6.9</v>
      </c>
      <c r="J76" s="26">
        <v>7599.5866666666698</v>
      </c>
      <c r="K76" s="26" t="e">
        <f>(+#REF!*$I76%)/360*31</f>
        <v>#REF!</v>
      </c>
      <c r="L76" s="26"/>
      <c r="M76" s="26"/>
      <c r="N76" s="26" t="e">
        <f t="shared" si="7"/>
        <v>#REF!</v>
      </c>
      <c r="O76" s="26" t="e">
        <f>(+#REF!*$I76%)/360*31</f>
        <v>#REF!</v>
      </c>
      <c r="P76" s="26"/>
      <c r="Q76" s="26"/>
      <c r="R76" s="26">
        <v>15323.753333333338</v>
      </c>
      <c r="S76" s="26">
        <v>3737.5000000000009</v>
      </c>
      <c r="T76" s="26"/>
      <c r="U76" s="26"/>
      <c r="V76" s="26">
        <f t="shared" si="9"/>
        <v>19061.253333333338</v>
      </c>
      <c r="W76" s="26"/>
      <c r="X76" s="26"/>
      <c r="Y76" s="26">
        <v>-19061.25</v>
      </c>
      <c r="Z76" s="26">
        <f t="shared" si="11"/>
        <v>3.3333333376504015E-3</v>
      </c>
      <c r="AA76" s="25"/>
    </row>
    <row r="77" spans="1:27" x14ac:dyDescent="0.3">
      <c r="A77" s="25">
        <v>5055</v>
      </c>
      <c r="B77" s="25" t="s">
        <v>159</v>
      </c>
      <c r="C77" s="25" t="s">
        <v>409</v>
      </c>
      <c r="D77" s="25" t="s">
        <v>408</v>
      </c>
      <c r="E77" s="42">
        <v>200000</v>
      </c>
      <c r="F77" s="25" t="s">
        <v>404</v>
      </c>
      <c r="G77" s="25" t="s">
        <v>403</v>
      </c>
      <c r="H77" s="26"/>
      <c r="I77" s="26">
        <v>5.65</v>
      </c>
      <c r="J77" s="26">
        <v>3829.4444444444443</v>
      </c>
      <c r="K77" s="26">
        <f t="shared" si="6"/>
        <v>973.05555555555554</v>
      </c>
      <c r="L77" s="26"/>
      <c r="M77" s="26"/>
      <c r="N77" s="26">
        <f t="shared" si="7"/>
        <v>4802.5</v>
      </c>
      <c r="O77" s="26">
        <f t="shared" si="8"/>
        <v>973.05555555555554</v>
      </c>
      <c r="P77" s="26"/>
      <c r="Q77" s="26"/>
      <c r="R77" s="26">
        <v>5775.5555555555557</v>
      </c>
      <c r="S77" s="26">
        <v>941.66666666666663</v>
      </c>
      <c r="T77" s="26"/>
      <c r="U77" s="26"/>
      <c r="V77" s="26">
        <f t="shared" si="9"/>
        <v>6717.2222222222226</v>
      </c>
      <c r="W77" s="26">
        <f t="shared" si="10"/>
        <v>941.66666666666663</v>
      </c>
      <c r="X77" s="26"/>
      <c r="Y77" s="26"/>
      <c r="Z77" s="26">
        <f t="shared" si="11"/>
        <v>7658.8888888888896</v>
      </c>
      <c r="AA77" s="25"/>
    </row>
    <row r="78" spans="1:27" x14ac:dyDescent="0.3">
      <c r="A78" s="25" t="s">
        <v>407</v>
      </c>
      <c r="B78" s="25" t="s">
        <v>53</v>
      </c>
      <c r="C78" s="25" t="s">
        <v>406</v>
      </c>
      <c r="D78" s="25" t="s">
        <v>405</v>
      </c>
      <c r="E78" s="42">
        <v>200000</v>
      </c>
      <c r="F78" s="25" t="s">
        <v>404</v>
      </c>
      <c r="G78" s="25" t="s">
        <v>403</v>
      </c>
      <c r="H78" s="26"/>
      <c r="I78" s="26">
        <v>5.65</v>
      </c>
      <c r="J78" s="26">
        <v>3829.4444444444443</v>
      </c>
      <c r="K78" s="26">
        <f t="shared" si="6"/>
        <v>973.05555555555554</v>
      </c>
      <c r="L78" s="26"/>
      <c r="M78" s="26"/>
      <c r="N78" s="26">
        <f t="shared" si="7"/>
        <v>4802.5</v>
      </c>
      <c r="O78" s="26">
        <f t="shared" si="8"/>
        <v>973.05555555555554</v>
      </c>
      <c r="P78" s="26"/>
      <c r="Q78" s="26"/>
      <c r="R78" s="26">
        <v>5775.5555555555557</v>
      </c>
      <c r="S78" s="26">
        <v>941.66666666666663</v>
      </c>
      <c r="T78" s="26"/>
      <c r="U78" s="26"/>
      <c r="V78" s="26">
        <f t="shared" si="9"/>
        <v>6717.2222222222226</v>
      </c>
      <c r="W78" s="26">
        <f t="shared" si="10"/>
        <v>941.66666666666663</v>
      </c>
      <c r="X78" s="26"/>
      <c r="Y78" s="26"/>
      <c r="Z78" s="26">
        <f t="shared" si="11"/>
        <v>7658.8888888888896</v>
      </c>
      <c r="AA78" s="25"/>
    </row>
    <row r="79" spans="1:27" x14ac:dyDescent="0.3">
      <c r="A79" s="90">
        <v>5031</v>
      </c>
      <c r="B79" s="90" t="s">
        <v>7</v>
      </c>
      <c r="C79" s="90" t="s">
        <v>402</v>
      </c>
      <c r="D79" s="90" t="s">
        <v>401</v>
      </c>
      <c r="E79" s="91">
        <v>300000</v>
      </c>
      <c r="F79" s="31">
        <v>43703</v>
      </c>
      <c r="G79" s="31">
        <v>44069</v>
      </c>
      <c r="H79" s="26"/>
      <c r="I79" s="26">
        <v>6.9</v>
      </c>
      <c r="J79" s="26">
        <v>5462.5</v>
      </c>
      <c r="K79" s="26">
        <f t="shared" si="6"/>
        <v>1782.5</v>
      </c>
      <c r="L79" s="26"/>
      <c r="M79" s="26"/>
      <c r="N79" s="26">
        <f t="shared" si="7"/>
        <v>7245</v>
      </c>
      <c r="O79" s="26">
        <f t="shared" si="8"/>
        <v>1782.5</v>
      </c>
      <c r="P79" s="26"/>
      <c r="Q79" s="26"/>
      <c r="R79" s="26">
        <v>9027.5</v>
      </c>
      <c r="S79" s="26">
        <v>1725</v>
      </c>
      <c r="T79" s="26"/>
      <c r="U79" s="26"/>
      <c r="V79" s="26">
        <f t="shared" si="9"/>
        <v>10752.5</v>
      </c>
      <c r="W79" s="26">
        <f t="shared" si="10"/>
        <v>1725</v>
      </c>
      <c r="X79" s="26"/>
      <c r="Y79" s="26"/>
      <c r="Z79" s="26">
        <f t="shared" si="11"/>
        <v>12477.5</v>
      </c>
      <c r="AA79" s="25"/>
    </row>
    <row r="80" spans="1:27" x14ac:dyDescent="0.3">
      <c r="A80" s="90">
        <v>5040</v>
      </c>
      <c r="B80" s="90" t="s">
        <v>59</v>
      </c>
      <c r="C80" s="90" t="s">
        <v>400</v>
      </c>
      <c r="D80" s="90" t="s">
        <v>711</v>
      </c>
      <c r="E80" s="91">
        <v>440000</v>
      </c>
      <c r="F80" s="31">
        <v>43704</v>
      </c>
      <c r="G80" s="31">
        <v>44070</v>
      </c>
      <c r="H80" s="26"/>
      <c r="I80" s="26">
        <v>6.4</v>
      </c>
      <c r="J80" s="26">
        <v>7352.8888888888896</v>
      </c>
      <c r="K80" s="26">
        <f t="shared" si="6"/>
        <v>2424.8888888888891</v>
      </c>
      <c r="L80" s="26"/>
      <c r="M80" s="26"/>
      <c r="N80" s="26">
        <f t="shared" si="7"/>
        <v>9777.7777777777792</v>
      </c>
      <c r="O80" s="26">
        <f t="shared" si="8"/>
        <v>2424.8888888888891</v>
      </c>
      <c r="P80" s="26"/>
      <c r="Q80" s="26"/>
      <c r="R80" s="26">
        <v>12202.666666666668</v>
      </c>
      <c r="S80" s="26">
        <v>2346.666666666667</v>
      </c>
      <c r="T80" s="26"/>
      <c r="U80" s="26"/>
      <c r="V80" s="26">
        <f t="shared" si="9"/>
        <v>14549.333333333336</v>
      </c>
      <c r="W80" s="26">
        <f t="shared" si="10"/>
        <v>2346.666666666667</v>
      </c>
      <c r="X80" s="26"/>
      <c r="Y80" s="26"/>
      <c r="Z80" s="26">
        <f t="shared" si="11"/>
        <v>16896.000000000004</v>
      </c>
      <c r="AA80" s="25"/>
    </row>
    <row r="81" spans="1:27" x14ac:dyDescent="0.3">
      <c r="A81" s="90">
        <v>5063</v>
      </c>
      <c r="B81" s="90" t="s">
        <v>25</v>
      </c>
      <c r="C81" s="90" t="s">
        <v>398</v>
      </c>
      <c r="D81" s="90" t="s">
        <v>397</v>
      </c>
      <c r="E81" s="91">
        <v>173000</v>
      </c>
      <c r="F81" s="31">
        <v>43709</v>
      </c>
      <c r="G81" s="31">
        <v>44075</v>
      </c>
      <c r="H81" s="26"/>
      <c r="I81" s="26">
        <v>4.4000000000000004</v>
      </c>
      <c r="J81" s="26">
        <v>1903</v>
      </c>
      <c r="K81" s="26">
        <f t="shared" si="6"/>
        <v>655.47777777777787</v>
      </c>
      <c r="L81" s="26"/>
      <c r="M81" s="26"/>
      <c r="N81" s="26">
        <f t="shared" si="7"/>
        <v>2558.4777777777781</v>
      </c>
      <c r="O81" s="26">
        <f t="shared" si="8"/>
        <v>655.47777777777787</v>
      </c>
      <c r="P81" s="26"/>
      <c r="Q81" s="26"/>
      <c r="R81" s="26">
        <v>3213.9555555555562</v>
      </c>
      <c r="S81" s="26">
        <v>634.33333333333337</v>
      </c>
      <c r="T81" s="26"/>
      <c r="U81" s="26"/>
      <c r="V81" s="26">
        <f t="shared" si="9"/>
        <v>3848.2888888888897</v>
      </c>
      <c r="W81" s="26">
        <f t="shared" si="10"/>
        <v>634.33333333333337</v>
      </c>
      <c r="X81" s="26"/>
      <c r="Y81" s="26"/>
      <c r="Z81" s="26">
        <f t="shared" si="11"/>
        <v>4482.6222222222232</v>
      </c>
      <c r="AA81" s="25"/>
    </row>
    <row r="82" spans="1:27" x14ac:dyDescent="0.3">
      <c r="A82" s="90">
        <v>5050</v>
      </c>
      <c r="B82" s="90" t="s">
        <v>31</v>
      </c>
      <c r="C82" s="90" t="s">
        <v>396</v>
      </c>
      <c r="D82" s="90" t="s">
        <v>395</v>
      </c>
      <c r="E82" s="91">
        <v>220000</v>
      </c>
      <c r="F82" s="31">
        <v>43711</v>
      </c>
      <c r="G82" s="31">
        <v>44076</v>
      </c>
      <c r="H82" s="26"/>
      <c r="I82" s="26">
        <v>5.9</v>
      </c>
      <c r="J82" s="26">
        <v>3172.8888888888887</v>
      </c>
      <c r="K82" s="26">
        <f t="shared" si="6"/>
        <v>1117.7222222222222</v>
      </c>
      <c r="L82" s="26"/>
      <c r="M82" s="26"/>
      <c r="N82" s="26">
        <f t="shared" si="7"/>
        <v>4290.6111111111113</v>
      </c>
      <c r="O82" s="26">
        <f t="shared" si="8"/>
        <v>1117.7222222222222</v>
      </c>
      <c r="P82" s="26"/>
      <c r="Q82" s="26"/>
      <c r="R82" s="26">
        <v>5408.3333333333339</v>
      </c>
      <c r="S82" s="26">
        <v>1081.6666666666667</v>
      </c>
      <c r="T82" s="26"/>
      <c r="U82" s="26"/>
      <c r="V82" s="26">
        <f t="shared" si="9"/>
        <v>6490.0000000000009</v>
      </c>
      <c r="W82" s="26">
        <f t="shared" si="10"/>
        <v>1081.6666666666667</v>
      </c>
      <c r="X82" s="26"/>
      <c r="Y82" s="26"/>
      <c r="Z82" s="26">
        <f t="shared" si="11"/>
        <v>7571.6666666666679</v>
      </c>
      <c r="AA82" s="25"/>
    </row>
    <row r="83" spans="1:27" x14ac:dyDescent="0.3">
      <c r="A83" s="90">
        <v>5050</v>
      </c>
      <c r="B83" s="90" t="s">
        <v>34</v>
      </c>
      <c r="C83" s="90" t="s">
        <v>394</v>
      </c>
      <c r="D83" s="90" t="s">
        <v>393</v>
      </c>
      <c r="E83" s="91">
        <v>300000</v>
      </c>
      <c r="F83" s="31">
        <v>43711</v>
      </c>
      <c r="G83" s="31">
        <v>44077</v>
      </c>
      <c r="H83" s="26"/>
      <c r="I83" s="26">
        <v>5.9</v>
      </c>
      <c r="J83" s="26">
        <v>4326.6666666666661</v>
      </c>
      <c r="K83" s="26">
        <f t="shared" si="6"/>
        <v>1524.1666666666665</v>
      </c>
      <c r="L83" s="26"/>
      <c r="M83" s="26"/>
      <c r="N83" s="26">
        <f t="shared" si="7"/>
        <v>5850.8333333333321</v>
      </c>
      <c r="O83" s="26">
        <f t="shared" si="8"/>
        <v>1524.1666666666665</v>
      </c>
      <c r="P83" s="26"/>
      <c r="Q83" s="26"/>
      <c r="R83" s="26">
        <v>7374.9999999999982</v>
      </c>
      <c r="S83" s="26">
        <v>1475</v>
      </c>
      <c r="T83" s="26"/>
      <c r="U83" s="26"/>
      <c r="V83" s="26">
        <f t="shared" si="9"/>
        <v>8849.9999999999982</v>
      </c>
      <c r="W83" s="26">
        <f t="shared" si="10"/>
        <v>1475</v>
      </c>
      <c r="X83" s="26"/>
      <c r="Y83" s="26"/>
      <c r="Z83" s="26">
        <f t="shared" si="11"/>
        <v>10324.999999999998</v>
      </c>
      <c r="AA83" s="25"/>
    </row>
    <row r="84" spans="1:27" x14ac:dyDescent="0.3">
      <c r="A84" s="90">
        <v>5062</v>
      </c>
      <c r="B84" s="90" t="s">
        <v>390</v>
      </c>
      <c r="C84" s="90" t="s">
        <v>392</v>
      </c>
      <c r="D84" s="90" t="s">
        <v>391</v>
      </c>
      <c r="E84" s="91">
        <v>100000</v>
      </c>
      <c r="F84" s="31">
        <v>43709</v>
      </c>
      <c r="G84" s="31">
        <v>44078</v>
      </c>
      <c r="H84" s="26"/>
      <c r="I84" s="26">
        <v>5.9</v>
      </c>
      <c r="J84" s="26">
        <v>1475</v>
      </c>
      <c r="K84" s="26">
        <f t="shared" si="6"/>
        <v>508.05555555555554</v>
      </c>
      <c r="L84" s="26"/>
      <c r="M84" s="26"/>
      <c r="N84" s="26">
        <f t="shared" si="7"/>
        <v>1983.0555555555557</v>
      </c>
      <c r="O84" s="26">
        <f t="shared" si="8"/>
        <v>508.05555555555554</v>
      </c>
      <c r="P84" s="26"/>
      <c r="Q84" s="26"/>
      <c r="R84" s="26">
        <v>2491.1111111111113</v>
      </c>
      <c r="S84" s="26">
        <v>491.66666666666669</v>
      </c>
      <c r="T84" s="26"/>
      <c r="U84" s="26"/>
      <c r="V84" s="26">
        <f t="shared" si="9"/>
        <v>2982.7777777777778</v>
      </c>
      <c r="W84" s="26">
        <f t="shared" si="10"/>
        <v>491.66666666666669</v>
      </c>
      <c r="X84" s="26"/>
      <c r="Y84" s="26"/>
      <c r="Z84" s="26">
        <f t="shared" si="11"/>
        <v>3474.4444444444443</v>
      </c>
      <c r="AA84" s="25"/>
    </row>
    <row r="85" spans="1:27" x14ac:dyDescent="0.3">
      <c r="A85" s="90">
        <v>5062</v>
      </c>
      <c r="B85" s="90" t="s">
        <v>390</v>
      </c>
      <c r="C85" s="90" t="s">
        <v>389</v>
      </c>
      <c r="D85" s="90" t="s">
        <v>388</v>
      </c>
      <c r="E85" s="91">
        <v>950000</v>
      </c>
      <c r="F85" s="31">
        <v>43709</v>
      </c>
      <c r="G85" s="31">
        <v>44079</v>
      </c>
      <c r="H85" s="26"/>
      <c r="I85" s="26">
        <v>5.9</v>
      </c>
      <c r="J85" s="26">
        <v>14012.500000000002</v>
      </c>
      <c r="K85" s="26">
        <f t="shared" si="6"/>
        <v>4826.5277777777783</v>
      </c>
      <c r="L85" s="26"/>
      <c r="M85" s="26"/>
      <c r="N85" s="26">
        <f t="shared" si="7"/>
        <v>18839.027777777781</v>
      </c>
      <c r="O85" s="26">
        <f t="shared" si="8"/>
        <v>4826.5277777777783</v>
      </c>
      <c r="P85" s="26"/>
      <c r="Q85" s="26"/>
      <c r="R85" s="26">
        <v>23665.555555555558</v>
      </c>
      <c r="S85" s="26">
        <v>4670.8333333333339</v>
      </c>
      <c r="T85" s="26"/>
      <c r="U85" s="26"/>
      <c r="V85" s="26">
        <f t="shared" si="9"/>
        <v>28336.388888888891</v>
      </c>
      <c r="W85" s="26">
        <f t="shared" si="10"/>
        <v>4670.8333333333339</v>
      </c>
      <c r="X85" s="26"/>
      <c r="Y85" s="26"/>
      <c r="Z85" s="26">
        <f t="shared" si="11"/>
        <v>33007.222222222226</v>
      </c>
      <c r="AA85" s="25"/>
    </row>
    <row r="86" spans="1:27" x14ac:dyDescent="0.3">
      <c r="A86" s="90">
        <v>5056</v>
      </c>
      <c r="B86" s="90" t="s">
        <v>47</v>
      </c>
      <c r="C86" s="90" t="s">
        <v>387</v>
      </c>
      <c r="D86" s="90" t="s">
        <v>386</v>
      </c>
      <c r="E86" s="91">
        <v>160000</v>
      </c>
      <c r="F86" s="31">
        <v>43709</v>
      </c>
      <c r="G86" s="31">
        <v>44080</v>
      </c>
      <c r="H86" s="26"/>
      <c r="I86" s="26">
        <v>6.4</v>
      </c>
      <c r="J86" s="26">
        <v>2560</v>
      </c>
      <c r="K86" s="26">
        <f t="shared" si="6"/>
        <v>881.77777777777771</v>
      </c>
      <c r="L86" s="26"/>
      <c r="M86" s="26"/>
      <c r="N86" s="26">
        <f t="shared" si="7"/>
        <v>3441.7777777777778</v>
      </c>
      <c r="O86" s="26">
        <f t="shared" si="8"/>
        <v>881.77777777777771</v>
      </c>
      <c r="P86" s="26"/>
      <c r="Q86" s="26"/>
      <c r="R86" s="26">
        <v>4323.5555555555557</v>
      </c>
      <c r="S86" s="26">
        <v>853.33333333333326</v>
      </c>
      <c r="T86" s="26"/>
      <c r="U86" s="26"/>
      <c r="V86" s="26">
        <f t="shared" si="9"/>
        <v>5176.8888888888887</v>
      </c>
      <c r="W86" s="26">
        <f t="shared" si="10"/>
        <v>853.33333333333326</v>
      </c>
      <c r="X86" s="26"/>
      <c r="Y86" s="26"/>
      <c r="Z86" s="26">
        <f t="shared" si="11"/>
        <v>6030.2222222222217</v>
      </c>
      <c r="AA86" s="25"/>
    </row>
    <row r="87" spans="1:27" x14ac:dyDescent="0.3">
      <c r="A87" s="90">
        <v>5063</v>
      </c>
      <c r="B87" s="90" t="s">
        <v>77</v>
      </c>
      <c r="C87" s="90" t="s">
        <v>385</v>
      </c>
      <c r="D87" s="90" t="s">
        <v>384</v>
      </c>
      <c r="E87" s="91">
        <v>240000</v>
      </c>
      <c r="F87" s="31">
        <v>43668</v>
      </c>
      <c r="G87" s="31">
        <v>44081</v>
      </c>
      <c r="H87" s="26"/>
      <c r="I87" s="26">
        <v>5.4</v>
      </c>
      <c r="J87" s="26">
        <v>4680.0000000000009</v>
      </c>
      <c r="K87" s="26">
        <f t="shared" si="6"/>
        <v>1116.0000000000002</v>
      </c>
      <c r="L87" s="26"/>
      <c r="M87" s="26"/>
      <c r="N87" s="26">
        <f t="shared" si="7"/>
        <v>5796.0000000000009</v>
      </c>
      <c r="O87" s="26">
        <f t="shared" si="8"/>
        <v>1116.0000000000002</v>
      </c>
      <c r="P87" s="26"/>
      <c r="Q87" s="26"/>
      <c r="R87" s="26">
        <v>6912.0000000000009</v>
      </c>
      <c r="S87" s="26">
        <v>1080.0000000000002</v>
      </c>
      <c r="T87" s="26"/>
      <c r="U87" s="26"/>
      <c r="V87" s="26">
        <f t="shared" si="9"/>
        <v>7992.0000000000009</v>
      </c>
      <c r="W87" s="26">
        <f t="shared" si="10"/>
        <v>1080.0000000000002</v>
      </c>
      <c r="X87" s="26"/>
      <c r="Y87" s="26"/>
      <c r="Z87" s="26">
        <f t="shared" si="11"/>
        <v>9072.0000000000018</v>
      </c>
      <c r="AA87" s="25"/>
    </row>
    <row r="88" spans="1:27" x14ac:dyDescent="0.3">
      <c r="A88" s="90">
        <v>5057</v>
      </c>
      <c r="B88" s="90" t="s">
        <v>22</v>
      </c>
      <c r="C88" s="90" t="s">
        <v>383</v>
      </c>
      <c r="D88" s="90" t="s">
        <v>382</v>
      </c>
      <c r="E88" s="91">
        <v>600000</v>
      </c>
      <c r="F88" s="31">
        <v>43728</v>
      </c>
      <c r="G88" s="31">
        <v>44082</v>
      </c>
      <c r="H88" s="26"/>
      <c r="I88" s="26">
        <v>6.6</v>
      </c>
      <c r="J88" s="26">
        <v>7810</v>
      </c>
      <c r="K88" s="26">
        <f t="shared" si="6"/>
        <v>3410</v>
      </c>
      <c r="L88" s="26"/>
      <c r="M88" s="26"/>
      <c r="N88" s="26">
        <f t="shared" si="7"/>
        <v>11220</v>
      </c>
      <c r="O88" s="26">
        <f t="shared" si="8"/>
        <v>3410</v>
      </c>
      <c r="P88" s="26"/>
      <c r="Q88" s="26"/>
      <c r="R88" s="26">
        <v>14630</v>
      </c>
      <c r="S88" s="26">
        <v>3300</v>
      </c>
      <c r="T88" s="26"/>
      <c r="U88" s="26"/>
      <c r="V88" s="26">
        <f t="shared" si="9"/>
        <v>17930</v>
      </c>
      <c r="W88" s="26">
        <f t="shared" si="10"/>
        <v>3300</v>
      </c>
      <c r="X88" s="26"/>
      <c r="Y88" s="26"/>
      <c r="Z88" s="26">
        <f t="shared" si="11"/>
        <v>21230</v>
      </c>
      <c r="AA88" s="25"/>
    </row>
    <row r="89" spans="1:27" x14ac:dyDescent="0.3">
      <c r="A89" s="90">
        <v>5060</v>
      </c>
      <c r="B89" s="90" t="s">
        <v>37</v>
      </c>
      <c r="C89" s="90" t="s">
        <v>381</v>
      </c>
      <c r="D89" s="90" t="s">
        <v>380</v>
      </c>
      <c r="E89" s="91">
        <v>650000</v>
      </c>
      <c r="F89" s="31">
        <v>43710</v>
      </c>
      <c r="G89" s="31">
        <v>44083</v>
      </c>
      <c r="H89" s="26"/>
      <c r="I89" s="26">
        <v>2.9</v>
      </c>
      <c r="J89" s="26">
        <v>4660.1388888888887</v>
      </c>
      <c r="K89" s="26">
        <f t="shared" si="6"/>
        <v>1623.1944444444446</v>
      </c>
      <c r="L89" s="26"/>
      <c r="M89" s="26"/>
      <c r="N89" s="26">
        <f t="shared" si="7"/>
        <v>6283.333333333333</v>
      </c>
      <c r="O89" s="26">
        <f t="shared" si="8"/>
        <v>1623.1944444444446</v>
      </c>
      <c r="P89" s="26"/>
      <c r="Q89" s="26"/>
      <c r="R89" s="26">
        <v>7906.5277777777774</v>
      </c>
      <c r="S89" s="26">
        <v>1570.8333333333335</v>
      </c>
      <c r="T89" s="26"/>
      <c r="U89" s="26"/>
      <c r="V89" s="26">
        <f t="shared" si="9"/>
        <v>9477.3611111111113</v>
      </c>
      <c r="W89" s="26">
        <f t="shared" si="10"/>
        <v>1570.8333333333335</v>
      </c>
      <c r="X89" s="26"/>
      <c r="Y89" s="26"/>
      <c r="Z89" s="26">
        <f t="shared" si="11"/>
        <v>11048.194444444445</v>
      </c>
      <c r="AA89" s="25"/>
    </row>
    <row r="90" spans="1:27" x14ac:dyDescent="0.3">
      <c r="A90" s="90">
        <v>5060</v>
      </c>
      <c r="B90" s="90" t="s">
        <v>19</v>
      </c>
      <c r="C90" s="90" t="s">
        <v>379</v>
      </c>
      <c r="D90" s="90" t="s">
        <v>378</v>
      </c>
      <c r="E90" s="91">
        <v>330000</v>
      </c>
      <c r="F90" s="31">
        <v>43732</v>
      </c>
      <c r="G90" s="31">
        <v>44084</v>
      </c>
      <c r="H90" s="26"/>
      <c r="I90" s="26">
        <v>1.9</v>
      </c>
      <c r="J90" s="26">
        <v>1166.9166666666667</v>
      </c>
      <c r="K90" s="26">
        <f t="shared" si="6"/>
        <v>539.91666666666674</v>
      </c>
      <c r="L90" s="26"/>
      <c r="M90" s="26"/>
      <c r="N90" s="26">
        <f t="shared" si="7"/>
        <v>1706.8333333333335</v>
      </c>
      <c r="O90" s="26">
        <f t="shared" si="8"/>
        <v>539.91666666666674</v>
      </c>
      <c r="P90" s="26"/>
      <c r="Q90" s="26"/>
      <c r="R90" s="26">
        <v>2246.75</v>
      </c>
      <c r="S90" s="26">
        <v>522.5</v>
      </c>
      <c r="T90" s="26"/>
      <c r="U90" s="26"/>
      <c r="V90" s="26">
        <f t="shared" si="9"/>
        <v>2769.25</v>
      </c>
      <c r="W90" s="26">
        <f t="shared" si="10"/>
        <v>522.5</v>
      </c>
      <c r="X90" s="26"/>
      <c r="Y90" s="26"/>
      <c r="Z90" s="26">
        <f t="shared" si="11"/>
        <v>3291.75</v>
      </c>
      <c r="AA90" s="25"/>
    </row>
    <row r="91" spans="1:27" x14ac:dyDescent="0.3">
      <c r="A91" s="90">
        <v>5063</v>
      </c>
      <c r="B91" s="90" t="s">
        <v>13</v>
      </c>
      <c r="C91" s="90" t="s">
        <v>377</v>
      </c>
      <c r="D91" s="90" t="s">
        <v>376</v>
      </c>
      <c r="E91" s="91">
        <v>50000</v>
      </c>
      <c r="F91" s="31">
        <v>43733</v>
      </c>
      <c r="G91" s="31">
        <v>44085</v>
      </c>
      <c r="H91" s="26"/>
      <c r="I91" s="26">
        <v>4.6500000000000004</v>
      </c>
      <c r="J91" s="26">
        <v>426.25000000000011</v>
      </c>
      <c r="K91" s="26">
        <f t="shared" si="6"/>
        <v>200.20833333333337</v>
      </c>
      <c r="L91" s="26"/>
      <c r="M91" s="26"/>
      <c r="N91" s="26">
        <f t="shared" si="7"/>
        <v>626.45833333333348</v>
      </c>
      <c r="O91" s="26">
        <f t="shared" si="8"/>
        <v>200.20833333333337</v>
      </c>
      <c r="P91" s="26"/>
      <c r="Q91" s="26"/>
      <c r="R91" s="26">
        <v>826.66666666666686</v>
      </c>
      <c r="S91" s="26">
        <v>193.75000000000006</v>
      </c>
      <c r="T91" s="26"/>
      <c r="U91" s="26"/>
      <c r="V91" s="26">
        <f t="shared" si="9"/>
        <v>1020.416666666667</v>
      </c>
      <c r="W91" s="26">
        <f t="shared" si="10"/>
        <v>193.75000000000006</v>
      </c>
      <c r="X91" s="26"/>
      <c r="Y91" s="26"/>
      <c r="Z91" s="26">
        <f t="shared" si="11"/>
        <v>1214.166666666667</v>
      </c>
      <c r="AA91" s="25"/>
    </row>
    <row r="92" spans="1:27" x14ac:dyDescent="0.3">
      <c r="A92" s="90">
        <v>5063</v>
      </c>
      <c r="B92" s="90" t="s">
        <v>13</v>
      </c>
      <c r="C92" s="90" t="s">
        <v>375</v>
      </c>
      <c r="D92" s="90" t="s">
        <v>374</v>
      </c>
      <c r="E92" s="91">
        <v>200000</v>
      </c>
      <c r="F92" s="31">
        <v>43735</v>
      </c>
      <c r="G92" s="31">
        <v>44086</v>
      </c>
      <c r="H92" s="26"/>
      <c r="I92" s="26">
        <v>8.9</v>
      </c>
      <c r="J92" s="26">
        <v>3164.4444444444453</v>
      </c>
      <c r="K92" s="26">
        <f t="shared" si="6"/>
        <v>1532.7777777777783</v>
      </c>
      <c r="L92" s="26"/>
      <c r="M92" s="26"/>
      <c r="N92" s="26">
        <f t="shared" si="7"/>
        <v>4697.2222222222235</v>
      </c>
      <c r="O92" s="26">
        <f t="shared" si="8"/>
        <v>1532.7777777777783</v>
      </c>
      <c r="P92" s="26"/>
      <c r="Q92" s="26"/>
      <c r="R92" s="26">
        <v>6230.0000000000018</v>
      </c>
      <c r="S92" s="26">
        <v>1483.3333333333337</v>
      </c>
      <c r="T92" s="26"/>
      <c r="U92" s="26"/>
      <c r="V92" s="26">
        <f t="shared" si="9"/>
        <v>7713.3333333333358</v>
      </c>
      <c r="W92" s="26">
        <f t="shared" si="10"/>
        <v>1483.3333333333337</v>
      </c>
      <c r="X92" s="26"/>
      <c r="Y92" s="26"/>
      <c r="Z92" s="26">
        <f t="shared" si="11"/>
        <v>9196.6666666666697</v>
      </c>
      <c r="AA92" s="25"/>
    </row>
    <row r="93" spans="1:27" x14ac:dyDescent="0.3">
      <c r="A93" s="90">
        <v>5057</v>
      </c>
      <c r="B93" s="90" t="s">
        <v>74</v>
      </c>
      <c r="C93" s="90" t="s">
        <v>373</v>
      </c>
      <c r="D93" s="90" t="s">
        <v>372</v>
      </c>
      <c r="E93" s="91">
        <v>170000</v>
      </c>
      <c r="F93" s="31">
        <v>43739</v>
      </c>
      <c r="G93" s="31">
        <v>44105</v>
      </c>
      <c r="H93" s="26"/>
      <c r="I93" s="26">
        <v>3.4</v>
      </c>
      <c r="J93" s="26">
        <v>963.33333333333348</v>
      </c>
      <c r="K93" s="26">
        <f t="shared" si="6"/>
        <v>497.72222222222229</v>
      </c>
      <c r="L93" s="26"/>
      <c r="M93" s="26"/>
      <c r="N93" s="26">
        <f t="shared" si="7"/>
        <v>1461.0555555555557</v>
      </c>
      <c r="O93" s="26">
        <f t="shared" si="8"/>
        <v>497.72222222222229</v>
      </c>
      <c r="P93" s="26"/>
      <c r="Q93" s="26"/>
      <c r="R93" s="26">
        <v>1958.7777777777778</v>
      </c>
      <c r="S93" s="26">
        <v>481.66666666666674</v>
      </c>
      <c r="T93" s="26"/>
      <c r="U93" s="26"/>
      <c r="V93" s="26">
        <f t="shared" si="9"/>
        <v>2440.4444444444443</v>
      </c>
      <c r="W93" s="26">
        <f t="shared" si="10"/>
        <v>481.66666666666674</v>
      </c>
      <c r="X93" s="26"/>
      <c r="Y93" s="26"/>
      <c r="Z93" s="26">
        <f t="shared" si="11"/>
        <v>2922.1111111111113</v>
      </c>
      <c r="AA93" s="25"/>
    </row>
    <row r="94" spans="1:27" x14ac:dyDescent="0.3">
      <c r="A94" s="90">
        <v>5063</v>
      </c>
      <c r="B94" s="90" t="s">
        <v>25</v>
      </c>
      <c r="C94" s="90" t="s">
        <v>371</v>
      </c>
      <c r="D94" s="90" t="s">
        <v>370</v>
      </c>
      <c r="E94" s="91">
        <v>188000</v>
      </c>
      <c r="F94" s="31">
        <v>43739</v>
      </c>
      <c r="G94" s="31">
        <v>44105</v>
      </c>
      <c r="H94" s="26"/>
      <c r="I94" s="26">
        <v>4.4000000000000004</v>
      </c>
      <c r="J94" s="26">
        <v>1378.6666666666667</v>
      </c>
      <c r="K94" s="26">
        <f t="shared" si="6"/>
        <v>712.31111111111113</v>
      </c>
      <c r="L94" s="26"/>
      <c r="M94" s="26"/>
      <c r="N94" s="26">
        <f t="shared" si="7"/>
        <v>2090.9777777777781</v>
      </c>
      <c r="O94" s="26">
        <f t="shared" si="8"/>
        <v>712.31111111111113</v>
      </c>
      <c r="P94" s="26"/>
      <c r="Q94" s="26"/>
      <c r="R94" s="26">
        <v>2803.2888888888892</v>
      </c>
      <c r="S94" s="26">
        <v>689.33333333333337</v>
      </c>
      <c r="T94" s="26"/>
      <c r="U94" s="26"/>
      <c r="V94" s="26">
        <f t="shared" si="9"/>
        <v>3492.6222222222227</v>
      </c>
      <c r="W94" s="26">
        <f t="shared" si="10"/>
        <v>689.33333333333337</v>
      </c>
      <c r="X94" s="26"/>
      <c r="Y94" s="26"/>
      <c r="Z94" s="26">
        <f t="shared" si="11"/>
        <v>4181.9555555555562</v>
      </c>
      <c r="AA94" s="25"/>
    </row>
    <row r="95" spans="1:27" x14ac:dyDescent="0.3">
      <c r="A95" s="90">
        <v>5005</v>
      </c>
      <c r="B95" s="90" t="s">
        <v>10</v>
      </c>
      <c r="C95" s="90" t="s">
        <v>369</v>
      </c>
      <c r="D95" s="90" t="s">
        <v>368</v>
      </c>
      <c r="E95" s="91">
        <v>300000</v>
      </c>
      <c r="F95" s="31">
        <v>43739</v>
      </c>
      <c r="G95" s="31">
        <v>44105</v>
      </c>
      <c r="H95" s="26"/>
      <c r="I95" s="26">
        <v>0.4</v>
      </c>
      <c r="J95" s="26">
        <v>200</v>
      </c>
      <c r="K95" s="26">
        <f t="shared" si="6"/>
        <v>103.33333333333334</v>
      </c>
      <c r="L95" s="26"/>
      <c r="M95" s="26"/>
      <c r="N95" s="26">
        <f t="shared" si="7"/>
        <v>303.33333333333337</v>
      </c>
      <c r="O95" s="26">
        <f t="shared" si="8"/>
        <v>103.33333333333334</v>
      </c>
      <c r="P95" s="26"/>
      <c r="Q95" s="26"/>
      <c r="R95" s="26">
        <v>406.66666666666674</v>
      </c>
      <c r="S95" s="26">
        <v>100</v>
      </c>
      <c r="T95" s="26"/>
      <c r="U95" s="26"/>
      <c r="V95" s="26">
        <f t="shared" si="9"/>
        <v>506.66666666666674</v>
      </c>
      <c r="W95" s="26">
        <f t="shared" si="10"/>
        <v>100</v>
      </c>
      <c r="X95" s="26"/>
      <c r="Y95" s="26"/>
      <c r="Z95" s="26">
        <f t="shared" si="11"/>
        <v>606.66666666666674</v>
      </c>
      <c r="AA95" s="25"/>
    </row>
    <row r="96" spans="1:27" x14ac:dyDescent="0.3">
      <c r="A96" s="90">
        <v>5063</v>
      </c>
      <c r="B96" s="90" t="s">
        <v>77</v>
      </c>
      <c r="C96" s="90" t="s">
        <v>367</v>
      </c>
      <c r="D96" s="90" t="s">
        <v>366</v>
      </c>
      <c r="E96" s="91">
        <v>50000</v>
      </c>
      <c r="F96" s="31">
        <v>43745</v>
      </c>
      <c r="G96" s="31">
        <v>44111</v>
      </c>
      <c r="H96" s="26"/>
      <c r="I96" s="26">
        <v>5.4</v>
      </c>
      <c r="J96" s="26">
        <v>450.00000000000006</v>
      </c>
      <c r="K96" s="26">
        <f t="shared" si="6"/>
        <v>232.50000000000003</v>
      </c>
      <c r="L96" s="26"/>
      <c r="M96" s="26"/>
      <c r="N96" s="26">
        <f t="shared" si="7"/>
        <v>682.50000000000011</v>
      </c>
      <c r="O96" s="26">
        <f t="shared" si="8"/>
        <v>232.50000000000003</v>
      </c>
      <c r="P96" s="26"/>
      <c r="Q96" s="26"/>
      <c r="R96" s="26">
        <v>915.00000000000011</v>
      </c>
      <c r="S96" s="26">
        <v>225.00000000000003</v>
      </c>
      <c r="T96" s="26"/>
      <c r="U96" s="26"/>
      <c r="V96" s="26">
        <f t="shared" si="9"/>
        <v>1140.0000000000002</v>
      </c>
      <c r="W96" s="26">
        <f t="shared" si="10"/>
        <v>225.00000000000003</v>
      </c>
      <c r="X96" s="26"/>
      <c r="Y96" s="26"/>
      <c r="Z96" s="26">
        <f t="shared" si="11"/>
        <v>1365.0000000000002</v>
      </c>
      <c r="AA96" s="25"/>
    </row>
    <row r="97" spans="1:27" x14ac:dyDescent="0.3">
      <c r="A97" s="90">
        <v>5060</v>
      </c>
      <c r="B97" s="90" t="s">
        <v>16</v>
      </c>
      <c r="C97" s="90" t="s">
        <v>365</v>
      </c>
      <c r="D97" s="90" t="s">
        <v>364</v>
      </c>
      <c r="E97" s="91">
        <v>25000</v>
      </c>
      <c r="F97" s="31">
        <v>43748</v>
      </c>
      <c r="G97" s="31">
        <v>44114</v>
      </c>
      <c r="H97" s="26"/>
      <c r="I97" s="26">
        <v>1.9</v>
      </c>
      <c r="J97" s="26">
        <v>67.291666666666671</v>
      </c>
      <c r="K97" s="26">
        <f t="shared" si="6"/>
        <v>40.902777777777779</v>
      </c>
      <c r="L97" s="26"/>
      <c r="M97" s="26"/>
      <c r="N97" s="26">
        <f t="shared" si="7"/>
        <v>108.19444444444446</v>
      </c>
      <c r="O97" s="26">
        <f t="shared" si="8"/>
        <v>40.902777777777779</v>
      </c>
      <c r="P97" s="26"/>
      <c r="Q97" s="26"/>
      <c r="R97" s="26">
        <v>149.09722222222223</v>
      </c>
      <c r="S97" s="26">
        <v>39.583333333333336</v>
      </c>
      <c r="T97" s="26"/>
      <c r="U97" s="26"/>
      <c r="V97" s="26">
        <f t="shared" si="9"/>
        <v>188.68055555555557</v>
      </c>
      <c r="W97" s="26">
        <f t="shared" si="10"/>
        <v>39.583333333333336</v>
      </c>
      <c r="X97" s="26"/>
      <c r="Y97" s="26"/>
      <c r="Z97" s="26">
        <f t="shared" si="11"/>
        <v>228.26388888888891</v>
      </c>
      <c r="AA97" s="25"/>
    </row>
    <row r="98" spans="1:27" x14ac:dyDescent="0.3">
      <c r="A98" s="90">
        <v>5060</v>
      </c>
      <c r="B98" s="90" t="s">
        <v>19</v>
      </c>
      <c r="C98" s="90" t="s">
        <v>363</v>
      </c>
      <c r="D98" s="90" t="s">
        <v>362</v>
      </c>
      <c r="E98" s="91">
        <v>25000</v>
      </c>
      <c r="F98" s="31">
        <v>43748</v>
      </c>
      <c r="G98" s="31">
        <v>44114</v>
      </c>
      <c r="H98" s="26"/>
      <c r="I98" s="26">
        <v>1.9</v>
      </c>
      <c r="J98" s="26">
        <v>67.291666666666671</v>
      </c>
      <c r="K98" s="26">
        <f t="shared" si="6"/>
        <v>40.902777777777779</v>
      </c>
      <c r="L98" s="26"/>
      <c r="M98" s="26"/>
      <c r="N98" s="26">
        <f t="shared" si="7"/>
        <v>108.19444444444446</v>
      </c>
      <c r="O98" s="26">
        <f t="shared" si="8"/>
        <v>40.902777777777779</v>
      </c>
      <c r="P98" s="26"/>
      <c r="Q98" s="26"/>
      <c r="R98" s="26">
        <v>149.09722222222223</v>
      </c>
      <c r="S98" s="26">
        <v>39.583333333333336</v>
      </c>
      <c r="T98" s="26"/>
      <c r="U98" s="26"/>
      <c r="V98" s="26">
        <f t="shared" si="9"/>
        <v>188.68055555555557</v>
      </c>
      <c r="W98" s="26">
        <f t="shared" si="10"/>
        <v>39.583333333333336</v>
      </c>
      <c r="X98" s="26"/>
      <c r="Y98" s="26"/>
      <c r="Z98" s="26">
        <f t="shared" si="11"/>
        <v>228.26388888888891</v>
      </c>
      <c r="AA98" s="25"/>
    </row>
    <row r="99" spans="1:27" x14ac:dyDescent="0.3">
      <c r="A99" s="90">
        <v>5031</v>
      </c>
      <c r="B99" s="90" t="s">
        <v>329</v>
      </c>
      <c r="C99" s="90" t="s">
        <v>361</v>
      </c>
      <c r="D99" s="90" t="s">
        <v>360</v>
      </c>
      <c r="E99" s="91">
        <v>750000</v>
      </c>
      <c r="F99" s="31">
        <v>43748</v>
      </c>
      <c r="G99" s="31">
        <v>44114</v>
      </c>
      <c r="H99" s="26"/>
      <c r="I99" s="26">
        <v>5.5</v>
      </c>
      <c r="J99" s="26">
        <v>5843.75</v>
      </c>
      <c r="K99" s="26">
        <f t="shared" si="6"/>
        <v>3552.083333333333</v>
      </c>
      <c r="L99" s="26"/>
      <c r="M99" s="26"/>
      <c r="N99" s="26">
        <f t="shared" si="7"/>
        <v>9395.8333333333321</v>
      </c>
      <c r="O99" s="26">
        <f t="shared" si="8"/>
        <v>3552.083333333333</v>
      </c>
      <c r="P99" s="26"/>
      <c r="Q99" s="26"/>
      <c r="R99" s="26">
        <v>12947.916666666664</v>
      </c>
      <c r="S99" s="26">
        <v>3437.5</v>
      </c>
      <c r="T99" s="26"/>
      <c r="U99" s="26"/>
      <c r="V99" s="26">
        <f t="shared" si="9"/>
        <v>16385.416666666664</v>
      </c>
      <c r="W99" s="26">
        <f t="shared" si="10"/>
        <v>3437.5</v>
      </c>
      <c r="X99" s="26"/>
      <c r="Y99" s="26"/>
      <c r="Z99" s="26">
        <f t="shared" si="11"/>
        <v>19822.916666666664</v>
      </c>
      <c r="AA99" s="25"/>
    </row>
    <row r="100" spans="1:27" x14ac:dyDescent="0.3">
      <c r="A100" s="90">
        <v>5062</v>
      </c>
      <c r="B100" s="90" t="s">
        <v>359</v>
      </c>
      <c r="C100" s="90" t="s">
        <v>358</v>
      </c>
      <c r="D100" s="90" t="s">
        <v>357</v>
      </c>
      <c r="E100" s="91">
        <v>200000</v>
      </c>
      <c r="F100" s="31">
        <v>43750</v>
      </c>
      <c r="G100" s="31">
        <v>44116</v>
      </c>
      <c r="H100" s="26"/>
      <c r="I100" s="26">
        <v>6.4</v>
      </c>
      <c r="J100" s="26">
        <v>1742.2222222222222</v>
      </c>
      <c r="K100" s="26">
        <f t="shared" si="6"/>
        <v>1102.2222222222222</v>
      </c>
      <c r="L100" s="26"/>
      <c r="M100" s="26"/>
      <c r="N100" s="26">
        <f t="shared" si="7"/>
        <v>2844.4444444444443</v>
      </c>
      <c r="O100" s="26">
        <f t="shared" si="8"/>
        <v>1102.2222222222222</v>
      </c>
      <c r="P100" s="26"/>
      <c r="Q100" s="26"/>
      <c r="R100" s="26">
        <v>3946.6666666666665</v>
      </c>
      <c r="S100" s="26">
        <v>1066.6666666666667</v>
      </c>
      <c r="T100" s="26"/>
      <c r="U100" s="26"/>
      <c r="V100" s="26">
        <f t="shared" si="9"/>
        <v>5013.333333333333</v>
      </c>
      <c r="W100" s="26">
        <f t="shared" si="10"/>
        <v>1066.6666666666667</v>
      </c>
      <c r="X100" s="26"/>
      <c r="Y100" s="26"/>
      <c r="Z100" s="26">
        <f t="shared" si="11"/>
        <v>6080</v>
      </c>
      <c r="AA100" s="25"/>
    </row>
    <row r="101" spans="1:27" x14ac:dyDescent="0.3">
      <c r="A101" s="90">
        <v>5057</v>
      </c>
      <c r="B101" s="90" t="s">
        <v>74</v>
      </c>
      <c r="C101" s="90" t="s">
        <v>356</v>
      </c>
      <c r="D101" s="90" t="s">
        <v>355</v>
      </c>
      <c r="E101" s="91">
        <v>134000</v>
      </c>
      <c r="F101" s="31">
        <v>43763</v>
      </c>
      <c r="G101" s="31">
        <v>44129</v>
      </c>
      <c r="H101" s="26"/>
      <c r="I101" s="26">
        <v>3.4</v>
      </c>
      <c r="J101" s="26">
        <v>455.59999999999997</v>
      </c>
      <c r="K101" s="26">
        <f t="shared" si="6"/>
        <v>392.32222222222219</v>
      </c>
      <c r="L101" s="26"/>
      <c r="M101" s="26"/>
      <c r="N101" s="26">
        <f t="shared" si="7"/>
        <v>847.92222222222222</v>
      </c>
      <c r="O101" s="26">
        <f t="shared" si="8"/>
        <v>392.32222222222219</v>
      </c>
      <c r="P101" s="26"/>
      <c r="Q101" s="26"/>
      <c r="R101" s="26">
        <v>1240.2444444444445</v>
      </c>
      <c r="S101" s="26">
        <v>379.66666666666663</v>
      </c>
      <c r="T101" s="26"/>
      <c r="U101" s="26"/>
      <c r="V101" s="26">
        <f t="shared" si="9"/>
        <v>1619.911111111111</v>
      </c>
      <c r="W101" s="26">
        <f t="shared" si="10"/>
        <v>379.66666666666663</v>
      </c>
      <c r="X101" s="26"/>
      <c r="Y101" s="26"/>
      <c r="Z101" s="26">
        <f t="shared" si="11"/>
        <v>1999.5777777777776</v>
      </c>
      <c r="AA101" s="25"/>
    </row>
    <row r="102" spans="1:27" x14ac:dyDescent="0.3">
      <c r="A102" s="90">
        <v>5057</v>
      </c>
      <c r="B102" s="90" t="s">
        <v>74</v>
      </c>
      <c r="C102" s="90" t="s">
        <v>354</v>
      </c>
      <c r="D102" s="90" t="s">
        <v>353</v>
      </c>
      <c r="E102" s="91">
        <v>118000</v>
      </c>
      <c r="F102" s="31">
        <v>43768</v>
      </c>
      <c r="G102" s="31">
        <v>44134</v>
      </c>
      <c r="H102" s="26"/>
      <c r="I102" s="26">
        <v>3.4</v>
      </c>
      <c r="J102" s="26">
        <v>345.47777777777782</v>
      </c>
      <c r="K102" s="26">
        <f t="shared" si="6"/>
        <v>345.47777777777782</v>
      </c>
      <c r="L102" s="26"/>
      <c r="M102" s="26"/>
      <c r="N102" s="26">
        <f t="shared" si="7"/>
        <v>690.95555555555563</v>
      </c>
      <c r="O102" s="26">
        <f t="shared" si="8"/>
        <v>345.47777777777782</v>
      </c>
      <c r="P102" s="26"/>
      <c r="Q102" s="26"/>
      <c r="R102" s="26">
        <v>1036.4333333333334</v>
      </c>
      <c r="S102" s="26">
        <v>334.33333333333337</v>
      </c>
      <c r="T102" s="26"/>
      <c r="U102" s="26"/>
      <c r="V102" s="26">
        <f t="shared" si="9"/>
        <v>1370.7666666666669</v>
      </c>
      <c r="W102" s="26">
        <f t="shared" si="10"/>
        <v>334.33333333333337</v>
      </c>
      <c r="X102" s="26"/>
      <c r="Y102" s="26"/>
      <c r="Z102" s="26">
        <f t="shared" si="11"/>
        <v>1705.1000000000004</v>
      </c>
      <c r="AA102" s="25"/>
    </row>
    <row r="103" spans="1:27" x14ac:dyDescent="0.3">
      <c r="A103" s="90">
        <v>5063</v>
      </c>
      <c r="B103" s="90" t="s">
        <v>77</v>
      </c>
      <c r="C103" s="90" t="s">
        <v>352</v>
      </c>
      <c r="D103" s="90" t="s">
        <v>351</v>
      </c>
      <c r="E103" s="91">
        <v>120000</v>
      </c>
      <c r="F103" s="31">
        <v>43768</v>
      </c>
      <c r="G103" s="31">
        <v>44134</v>
      </c>
      <c r="H103" s="26"/>
      <c r="I103" s="26">
        <v>5.4</v>
      </c>
      <c r="J103" s="26">
        <v>558.00000000000011</v>
      </c>
      <c r="K103" s="26">
        <f t="shared" si="6"/>
        <v>558.00000000000011</v>
      </c>
      <c r="L103" s="26"/>
      <c r="M103" s="26"/>
      <c r="N103" s="26">
        <f t="shared" si="7"/>
        <v>1116.0000000000002</v>
      </c>
      <c r="O103" s="26">
        <f t="shared" si="8"/>
        <v>558.00000000000011</v>
      </c>
      <c r="P103" s="26"/>
      <c r="Q103" s="26"/>
      <c r="R103" s="26">
        <v>1674.0000000000005</v>
      </c>
      <c r="S103" s="26">
        <v>540.00000000000011</v>
      </c>
      <c r="T103" s="26"/>
      <c r="U103" s="26"/>
      <c r="V103" s="26">
        <f t="shared" si="9"/>
        <v>2214.0000000000005</v>
      </c>
      <c r="W103" s="26">
        <f t="shared" si="10"/>
        <v>540.00000000000011</v>
      </c>
      <c r="X103" s="26"/>
      <c r="Y103" s="26"/>
      <c r="Z103" s="26">
        <f t="shared" si="11"/>
        <v>2754.0000000000005</v>
      </c>
      <c r="AA103" s="25"/>
    </row>
    <row r="104" spans="1:27" x14ac:dyDescent="0.3">
      <c r="A104" s="90">
        <v>5005</v>
      </c>
      <c r="B104" s="90" t="s">
        <v>10</v>
      </c>
      <c r="C104" s="90" t="s">
        <v>350</v>
      </c>
      <c r="D104" s="90" t="s">
        <v>349</v>
      </c>
      <c r="E104" s="91">
        <v>1030000</v>
      </c>
      <c r="F104" s="31">
        <v>43775</v>
      </c>
      <c r="G104" s="31">
        <v>44099</v>
      </c>
      <c r="H104" s="26"/>
      <c r="I104" s="26">
        <v>0.4</v>
      </c>
      <c r="J104" s="26">
        <v>755.33333333333337</v>
      </c>
      <c r="K104" s="26">
        <f t="shared" si="6"/>
        <v>354.77777777777777</v>
      </c>
      <c r="L104" s="26"/>
      <c r="M104" s="26"/>
      <c r="N104" s="26">
        <f t="shared" si="7"/>
        <v>1110.1111111111111</v>
      </c>
      <c r="O104" s="26">
        <f t="shared" si="8"/>
        <v>354.77777777777777</v>
      </c>
      <c r="P104" s="26"/>
      <c r="Q104" s="26"/>
      <c r="R104" s="26">
        <v>1464.8888888888889</v>
      </c>
      <c r="S104" s="26">
        <v>343.33333333333331</v>
      </c>
      <c r="T104" s="26"/>
      <c r="U104" s="26"/>
      <c r="V104" s="26">
        <f t="shared" si="9"/>
        <v>1808.2222222222222</v>
      </c>
      <c r="W104" s="26">
        <f t="shared" si="10"/>
        <v>343.33333333333331</v>
      </c>
      <c r="X104" s="26"/>
      <c r="Y104" s="26"/>
      <c r="Z104" s="26">
        <f t="shared" si="11"/>
        <v>2151.5555555555557</v>
      </c>
      <c r="AA104" s="25"/>
    </row>
    <row r="105" spans="1:27" x14ac:dyDescent="0.3">
      <c r="A105" s="90">
        <v>5004</v>
      </c>
      <c r="B105" s="90" t="s">
        <v>336</v>
      </c>
      <c r="C105" s="90" t="s">
        <v>348</v>
      </c>
      <c r="D105" s="90" t="s">
        <v>347</v>
      </c>
      <c r="E105" s="91">
        <v>38000</v>
      </c>
      <c r="F105" s="31">
        <v>43774</v>
      </c>
      <c r="G105" s="31">
        <v>44140</v>
      </c>
      <c r="H105" s="26"/>
      <c r="I105" s="26">
        <v>5.9</v>
      </c>
      <c r="J105" s="26">
        <v>155.69444444444446</v>
      </c>
      <c r="K105" s="26">
        <f t="shared" si="6"/>
        <v>193.0611111111111</v>
      </c>
      <c r="L105" s="26"/>
      <c r="M105" s="26"/>
      <c r="N105" s="26">
        <f t="shared" si="7"/>
        <v>348.75555555555559</v>
      </c>
      <c r="O105" s="26">
        <f t="shared" si="8"/>
        <v>193.0611111111111</v>
      </c>
      <c r="P105" s="26"/>
      <c r="Q105" s="26"/>
      <c r="R105" s="26">
        <v>541.81666666666672</v>
      </c>
      <c r="S105" s="26">
        <v>186.83333333333334</v>
      </c>
      <c r="T105" s="26"/>
      <c r="U105" s="26"/>
      <c r="V105" s="26">
        <f t="shared" si="9"/>
        <v>728.65000000000009</v>
      </c>
      <c r="W105" s="26">
        <f t="shared" si="10"/>
        <v>186.83333333333334</v>
      </c>
      <c r="X105" s="26"/>
      <c r="Y105" s="26"/>
      <c r="Z105" s="26">
        <f t="shared" si="11"/>
        <v>915.48333333333346</v>
      </c>
      <c r="AA105" s="25"/>
    </row>
    <row r="106" spans="1:27" x14ac:dyDescent="0.3">
      <c r="A106" s="90">
        <v>5063</v>
      </c>
      <c r="B106" s="90" t="s">
        <v>77</v>
      </c>
      <c r="C106" s="90" t="s">
        <v>346</v>
      </c>
      <c r="D106" s="90" t="s">
        <v>345</v>
      </c>
      <c r="E106" s="91">
        <v>80000</v>
      </c>
      <c r="F106" s="31">
        <v>43772</v>
      </c>
      <c r="G106" s="31">
        <v>44138</v>
      </c>
      <c r="H106" s="26"/>
      <c r="I106" s="26">
        <v>5.4</v>
      </c>
      <c r="J106" s="26">
        <v>324.00000000000006</v>
      </c>
      <c r="K106" s="26">
        <f t="shared" si="6"/>
        <v>372.00000000000006</v>
      </c>
      <c r="L106" s="26"/>
      <c r="M106" s="26"/>
      <c r="N106" s="26">
        <f t="shared" si="7"/>
        <v>696.00000000000011</v>
      </c>
      <c r="O106" s="26">
        <f t="shared" si="8"/>
        <v>372.00000000000006</v>
      </c>
      <c r="P106" s="26"/>
      <c r="Q106" s="26"/>
      <c r="R106" s="26">
        <v>1068.0000000000002</v>
      </c>
      <c r="S106" s="26">
        <v>360.00000000000006</v>
      </c>
      <c r="T106" s="26"/>
      <c r="U106" s="26"/>
      <c r="V106" s="26">
        <f t="shared" si="9"/>
        <v>1428.0000000000002</v>
      </c>
      <c r="W106" s="26">
        <f t="shared" si="10"/>
        <v>360.00000000000006</v>
      </c>
      <c r="X106" s="26"/>
      <c r="Y106" s="26"/>
      <c r="Z106" s="26">
        <f t="shared" si="11"/>
        <v>1788.0000000000002</v>
      </c>
      <c r="AA106" s="25"/>
    </row>
    <row r="107" spans="1:27" x14ac:dyDescent="0.3">
      <c r="A107" s="90">
        <v>5060</v>
      </c>
      <c r="B107" s="90" t="s">
        <v>19</v>
      </c>
      <c r="C107" s="90" t="s">
        <v>344</v>
      </c>
      <c r="D107" s="90" t="s">
        <v>343</v>
      </c>
      <c r="E107" s="91">
        <v>78000</v>
      </c>
      <c r="F107" s="31">
        <v>43771</v>
      </c>
      <c r="G107" s="31">
        <v>44137</v>
      </c>
      <c r="H107" s="26"/>
      <c r="I107" s="26">
        <v>1.9</v>
      </c>
      <c r="J107" s="26">
        <v>115.26666666666665</v>
      </c>
      <c r="K107" s="26">
        <f t="shared" si="6"/>
        <v>127.61666666666666</v>
      </c>
      <c r="L107" s="26"/>
      <c r="M107" s="26"/>
      <c r="N107" s="26">
        <f t="shared" si="7"/>
        <v>242.88333333333333</v>
      </c>
      <c r="O107" s="26">
        <f t="shared" si="8"/>
        <v>127.61666666666666</v>
      </c>
      <c r="P107" s="26"/>
      <c r="Q107" s="26"/>
      <c r="R107" s="26">
        <v>370.5</v>
      </c>
      <c r="S107" s="26">
        <v>123.49999999999999</v>
      </c>
      <c r="T107" s="26"/>
      <c r="U107" s="26"/>
      <c r="V107" s="26">
        <f t="shared" si="9"/>
        <v>494</v>
      </c>
      <c r="W107" s="26">
        <f t="shared" si="10"/>
        <v>123.49999999999999</v>
      </c>
      <c r="X107" s="26"/>
      <c r="Y107" s="26"/>
      <c r="Z107" s="26">
        <f t="shared" si="11"/>
        <v>617.5</v>
      </c>
      <c r="AA107" s="25"/>
    </row>
    <row r="108" spans="1:27" x14ac:dyDescent="0.3">
      <c r="A108" s="90">
        <v>5063</v>
      </c>
      <c r="B108" s="90" t="s">
        <v>25</v>
      </c>
      <c r="C108" s="90" t="s">
        <v>342</v>
      </c>
      <c r="D108" s="90" t="s">
        <v>341</v>
      </c>
      <c r="E108" s="91">
        <v>138000</v>
      </c>
      <c r="F108" s="31">
        <v>43770</v>
      </c>
      <c r="G108" s="31">
        <v>44136</v>
      </c>
      <c r="H108" s="26"/>
      <c r="I108" s="26">
        <v>4.4000000000000004</v>
      </c>
      <c r="J108" s="26">
        <v>489.13333333333344</v>
      </c>
      <c r="K108" s="26">
        <f t="shared" si="6"/>
        <v>522.86666666666679</v>
      </c>
      <c r="L108" s="26"/>
      <c r="M108" s="26"/>
      <c r="N108" s="26">
        <f t="shared" si="7"/>
        <v>1012.0000000000002</v>
      </c>
      <c r="O108" s="26">
        <f t="shared" si="8"/>
        <v>522.86666666666679</v>
      </c>
      <c r="P108" s="26"/>
      <c r="Q108" s="26"/>
      <c r="R108" s="26">
        <v>1534.866666666667</v>
      </c>
      <c r="S108" s="26">
        <v>506.00000000000011</v>
      </c>
      <c r="T108" s="26"/>
      <c r="U108" s="26"/>
      <c r="V108" s="26">
        <f t="shared" si="9"/>
        <v>2040.8666666666672</v>
      </c>
      <c r="W108" s="26">
        <f t="shared" si="10"/>
        <v>506.00000000000011</v>
      </c>
      <c r="X108" s="26"/>
      <c r="Y108" s="26"/>
      <c r="Z108" s="26">
        <f t="shared" si="11"/>
        <v>2546.8666666666672</v>
      </c>
      <c r="AA108" s="25"/>
    </row>
    <row r="109" spans="1:27" x14ac:dyDescent="0.3">
      <c r="A109" s="90">
        <v>5063</v>
      </c>
      <c r="B109" s="90" t="s">
        <v>712</v>
      </c>
      <c r="C109" s="90" t="s">
        <v>713</v>
      </c>
      <c r="D109" s="90" t="s">
        <v>714</v>
      </c>
      <c r="F109" s="31">
        <v>43783</v>
      </c>
      <c r="G109" s="31">
        <v>44149</v>
      </c>
      <c r="H109" s="26"/>
      <c r="I109" s="26">
        <v>4.0999999999999996</v>
      </c>
      <c r="J109" s="26">
        <v>455.55555555555549</v>
      </c>
      <c r="K109" s="26">
        <f>(+$AA109*$I109%)/360*31</f>
        <v>0</v>
      </c>
      <c r="L109" s="26"/>
      <c r="M109" s="26"/>
      <c r="N109" s="26">
        <f t="shared" si="7"/>
        <v>455.55555555555549</v>
      </c>
      <c r="O109" s="26">
        <f>(+$AA109*$I109%)/360*31</f>
        <v>0</v>
      </c>
      <c r="P109" s="26">
        <v>-1741.1</v>
      </c>
      <c r="Q109" s="26">
        <v>-479.73</v>
      </c>
      <c r="R109" s="26">
        <v>3.333333333102928E-3</v>
      </c>
      <c r="S109" s="26">
        <v>854.16666666666652</v>
      </c>
      <c r="T109" s="26"/>
      <c r="U109" s="26">
        <v>-479.73</v>
      </c>
      <c r="V109" s="26">
        <f t="shared" si="9"/>
        <v>374.4399999999996</v>
      </c>
      <c r="W109" s="26"/>
      <c r="X109" s="26"/>
      <c r="Y109" s="26">
        <v>-374.44</v>
      </c>
      <c r="Z109" s="26">
        <f t="shared" si="11"/>
        <v>0</v>
      </c>
      <c r="AA109" s="91"/>
    </row>
    <row r="110" spans="1:27" x14ac:dyDescent="0.3">
      <c r="A110" s="90">
        <v>5060</v>
      </c>
      <c r="B110" s="90" t="s">
        <v>40</v>
      </c>
      <c r="C110" s="90" t="s">
        <v>340</v>
      </c>
      <c r="D110" s="90" t="s">
        <v>339</v>
      </c>
      <c r="E110" s="91">
        <v>727000</v>
      </c>
      <c r="F110" s="31">
        <v>43784</v>
      </c>
      <c r="G110" s="31">
        <v>44150</v>
      </c>
      <c r="H110" s="26"/>
      <c r="I110" s="26">
        <v>6.4</v>
      </c>
      <c r="J110" s="26">
        <v>1938.6666666666665</v>
      </c>
      <c r="K110" s="26">
        <f t="shared" si="6"/>
        <v>4006.5777777777776</v>
      </c>
      <c r="L110" s="26"/>
      <c r="M110" s="26"/>
      <c r="N110" s="26">
        <f t="shared" si="7"/>
        <v>5945.2444444444445</v>
      </c>
      <c r="O110" s="26">
        <f t="shared" si="8"/>
        <v>4006.5777777777776</v>
      </c>
      <c r="P110" s="26"/>
      <c r="Q110" s="26"/>
      <c r="R110" s="26">
        <v>9951.8222222222212</v>
      </c>
      <c r="S110" s="26">
        <v>3877.333333333333</v>
      </c>
      <c r="T110" s="26"/>
      <c r="U110" s="26"/>
      <c r="V110" s="26">
        <f t="shared" si="9"/>
        <v>13829.155555555553</v>
      </c>
      <c r="W110" s="26">
        <f t="shared" si="10"/>
        <v>3877.333333333333</v>
      </c>
      <c r="X110" s="26"/>
      <c r="Y110" s="26"/>
      <c r="Z110" s="26">
        <f t="shared" si="11"/>
        <v>17706.488888888885</v>
      </c>
      <c r="AA110" s="25"/>
    </row>
    <row r="111" spans="1:27" x14ac:dyDescent="0.3">
      <c r="A111" s="90">
        <v>5063</v>
      </c>
      <c r="B111" s="90" t="s">
        <v>715</v>
      </c>
      <c r="C111" s="90" t="s">
        <v>716</v>
      </c>
      <c r="D111" s="90" t="s">
        <v>717</v>
      </c>
      <c r="F111" s="31">
        <v>43789</v>
      </c>
      <c r="G111" s="31">
        <v>44155</v>
      </c>
      <c r="H111" s="26"/>
      <c r="I111" s="26">
        <v>4.0999999999999996</v>
      </c>
      <c r="J111" s="26">
        <v>5694.4444444444434</v>
      </c>
      <c r="K111" s="26">
        <f>(+$AA111*$I111%)/360*31</f>
        <v>0</v>
      </c>
      <c r="L111" s="26"/>
      <c r="M111" s="26"/>
      <c r="N111" s="26">
        <f t="shared" si="7"/>
        <v>5694.4444444444434</v>
      </c>
      <c r="O111" s="26">
        <f>(+$AA111*$I111%)/360*31</f>
        <v>0</v>
      </c>
      <c r="P111" s="26">
        <v>-31452.052</v>
      </c>
      <c r="Q111" s="26">
        <v>-9547.9500000000007</v>
      </c>
      <c r="R111" s="26">
        <v>-2.0000000076834112E-3</v>
      </c>
      <c r="S111" s="26">
        <v>17083.333333333328</v>
      </c>
      <c r="T111" s="26"/>
      <c r="U111" s="26">
        <v>-9547.9500000000007</v>
      </c>
      <c r="V111" s="26">
        <f t="shared" si="9"/>
        <v>7535.3813333333201</v>
      </c>
      <c r="W111" s="26"/>
      <c r="X111" s="26"/>
      <c r="Y111" s="26">
        <v>-7535.38</v>
      </c>
      <c r="Z111" s="26">
        <f t="shared" si="11"/>
        <v>1.3333333199625486E-3</v>
      </c>
      <c r="AA111" s="91"/>
    </row>
    <row r="112" spans="1:27" x14ac:dyDescent="0.3">
      <c r="A112" s="90">
        <v>5063</v>
      </c>
      <c r="B112" s="90" t="s">
        <v>718</v>
      </c>
      <c r="C112" s="90" t="s">
        <v>719</v>
      </c>
      <c r="D112" s="90" t="s">
        <v>720</v>
      </c>
      <c r="F112" s="31">
        <v>43789</v>
      </c>
      <c r="G112" s="31">
        <v>44155</v>
      </c>
      <c r="H112" s="26"/>
      <c r="I112" s="26">
        <v>4.0999999999999996</v>
      </c>
      <c r="J112" s="26">
        <v>5694.4444444444434</v>
      </c>
      <c r="K112" s="26">
        <f>(+$AA112*$I112%)/360*31</f>
        <v>0</v>
      </c>
      <c r="L112" s="26"/>
      <c r="M112" s="26"/>
      <c r="N112" s="26">
        <f t="shared" si="7"/>
        <v>5694.4444444444434</v>
      </c>
      <c r="O112" s="26">
        <f>(+$AA112*$I112%)/360*31</f>
        <v>0</v>
      </c>
      <c r="P112" s="26">
        <v>-31452.05</v>
      </c>
      <c r="Q112" s="26">
        <v>-9547.9500000000007</v>
      </c>
      <c r="R112" s="26">
        <v>0</v>
      </c>
      <c r="S112" s="26">
        <v>17083.333333333328</v>
      </c>
      <c r="T112" s="26"/>
      <c r="U112" s="26">
        <v>-9547.9500000000007</v>
      </c>
      <c r="V112" s="26">
        <f t="shared" si="9"/>
        <v>7535.3833333333278</v>
      </c>
      <c r="W112" s="26"/>
      <c r="X112" s="26"/>
      <c r="Y112" s="26">
        <v>-7535.38</v>
      </c>
      <c r="Z112" s="26">
        <f t="shared" si="11"/>
        <v>3.3333333276459598E-3</v>
      </c>
      <c r="AA112" s="91"/>
    </row>
    <row r="113" spans="1:27" x14ac:dyDescent="0.3">
      <c r="A113" s="90">
        <v>5004</v>
      </c>
      <c r="B113" s="90" t="s">
        <v>336</v>
      </c>
      <c r="C113" s="90" t="s">
        <v>338</v>
      </c>
      <c r="D113" s="90" t="s">
        <v>337</v>
      </c>
      <c r="E113" s="91">
        <v>100000</v>
      </c>
      <c r="F113" s="31">
        <v>43792</v>
      </c>
      <c r="G113" s="31">
        <v>44158</v>
      </c>
      <c r="H113" s="26"/>
      <c r="I113" s="26">
        <v>5.9</v>
      </c>
      <c r="J113" s="26">
        <v>278.61111111111114</v>
      </c>
      <c r="K113" s="26">
        <f t="shared" si="6"/>
        <v>508.05555555555554</v>
      </c>
      <c r="L113" s="26"/>
      <c r="M113" s="26"/>
      <c r="N113" s="26">
        <f t="shared" si="7"/>
        <v>786.66666666666674</v>
      </c>
      <c r="O113" s="26">
        <f t="shared" si="8"/>
        <v>508.05555555555554</v>
      </c>
      <c r="P113" s="26"/>
      <c r="Q113" s="26"/>
      <c r="R113" s="26">
        <v>1294.7222222222222</v>
      </c>
      <c r="S113" s="26">
        <v>491.66666666666669</v>
      </c>
      <c r="T113" s="26"/>
      <c r="U113" s="26"/>
      <c r="V113" s="26">
        <f t="shared" si="9"/>
        <v>1786.3888888888889</v>
      </c>
      <c r="W113" s="26">
        <f t="shared" si="10"/>
        <v>491.66666666666669</v>
      </c>
      <c r="X113" s="26"/>
      <c r="Y113" s="26"/>
      <c r="Z113" s="26">
        <f t="shared" si="11"/>
        <v>2278.0555555555557</v>
      </c>
      <c r="AA113" s="25"/>
    </row>
    <row r="114" spans="1:27" x14ac:dyDescent="0.3">
      <c r="A114" s="90">
        <v>5004</v>
      </c>
      <c r="B114" s="90" t="s">
        <v>336</v>
      </c>
      <c r="C114" s="90" t="s">
        <v>335</v>
      </c>
      <c r="D114" s="90" t="s">
        <v>334</v>
      </c>
      <c r="E114" s="91">
        <v>94477.4</v>
      </c>
      <c r="F114" s="31">
        <v>43792</v>
      </c>
      <c r="G114" s="31">
        <v>44158</v>
      </c>
      <c r="H114" s="26"/>
      <c r="I114" s="26">
        <v>5.9</v>
      </c>
      <c r="J114" s="26">
        <v>263.22453388888891</v>
      </c>
      <c r="K114" s="26">
        <f t="shared" si="6"/>
        <v>479.99767944444449</v>
      </c>
      <c r="L114" s="26"/>
      <c r="M114" s="26"/>
      <c r="N114" s="26">
        <f t="shared" si="7"/>
        <v>743.22221333333346</v>
      </c>
      <c r="O114" s="26">
        <f t="shared" si="8"/>
        <v>479.99767944444449</v>
      </c>
      <c r="P114" s="26"/>
      <c r="Q114" s="26"/>
      <c r="R114" s="26">
        <v>1223.2198927777779</v>
      </c>
      <c r="S114" s="26">
        <v>464.51388333333341</v>
      </c>
      <c r="T114" s="26"/>
      <c r="U114" s="26"/>
      <c r="V114" s="26">
        <f t="shared" si="9"/>
        <v>1687.7337761111112</v>
      </c>
      <c r="W114" s="26">
        <f t="shared" si="10"/>
        <v>464.51388333333341</v>
      </c>
      <c r="X114" s="26"/>
      <c r="Y114" s="26"/>
      <c r="Z114" s="26">
        <f t="shared" si="11"/>
        <v>2152.2476594444447</v>
      </c>
      <c r="AA114" s="25"/>
    </row>
    <row r="115" spans="1:27" x14ac:dyDescent="0.3">
      <c r="A115" s="90">
        <v>5004</v>
      </c>
      <c r="B115" s="90" t="s">
        <v>117</v>
      </c>
      <c r="C115" s="90" t="s">
        <v>333</v>
      </c>
      <c r="D115" s="90" t="s">
        <v>332</v>
      </c>
      <c r="E115" s="91">
        <v>100000</v>
      </c>
      <c r="F115" s="31">
        <v>43792</v>
      </c>
      <c r="G115" s="31">
        <v>44158</v>
      </c>
      <c r="H115" s="26"/>
      <c r="I115" s="26">
        <v>5.85</v>
      </c>
      <c r="J115" s="26">
        <v>276.25</v>
      </c>
      <c r="K115" s="26">
        <f t="shared" si="6"/>
        <v>503.75</v>
      </c>
      <c r="L115" s="26"/>
      <c r="M115" s="26"/>
      <c r="N115" s="26">
        <f t="shared" si="7"/>
        <v>780</v>
      </c>
      <c r="O115" s="26">
        <f t="shared" si="8"/>
        <v>503.75</v>
      </c>
      <c r="P115" s="26"/>
      <c r="Q115" s="26"/>
      <c r="R115" s="26">
        <v>1283.75</v>
      </c>
      <c r="S115" s="26">
        <v>487.5</v>
      </c>
      <c r="T115" s="26"/>
      <c r="U115" s="26"/>
      <c r="V115" s="26">
        <f t="shared" si="9"/>
        <v>1771.25</v>
      </c>
      <c r="W115" s="26">
        <f t="shared" si="10"/>
        <v>487.5</v>
      </c>
      <c r="X115" s="26"/>
      <c r="Y115" s="26"/>
      <c r="Z115" s="26">
        <f t="shared" si="11"/>
        <v>2258.75</v>
      </c>
      <c r="AA115" s="25"/>
    </row>
    <row r="116" spans="1:27" x14ac:dyDescent="0.3">
      <c r="A116" s="90">
        <v>5004</v>
      </c>
      <c r="B116" s="90" t="s">
        <v>117</v>
      </c>
      <c r="C116" s="90" t="s">
        <v>331</v>
      </c>
      <c r="D116" s="90" t="s">
        <v>330</v>
      </c>
      <c r="E116" s="91">
        <v>150000</v>
      </c>
      <c r="F116" s="31">
        <v>43793</v>
      </c>
      <c r="G116" s="31">
        <v>44159</v>
      </c>
      <c r="H116" s="26"/>
      <c r="I116" s="26">
        <v>5.85</v>
      </c>
      <c r="J116" s="26">
        <v>390</v>
      </c>
      <c r="K116" s="26">
        <f t="shared" si="6"/>
        <v>755.625</v>
      </c>
      <c r="L116" s="26"/>
      <c r="M116" s="26"/>
      <c r="N116" s="26">
        <f t="shared" si="7"/>
        <v>1145.625</v>
      </c>
      <c r="O116" s="26">
        <f t="shared" si="8"/>
        <v>755.625</v>
      </c>
      <c r="P116" s="26"/>
      <c r="Q116" s="26"/>
      <c r="R116" s="26">
        <v>1901.25</v>
      </c>
      <c r="S116" s="26">
        <v>731.25</v>
      </c>
      <c r="T116" s="26"/>
      <c r="U116" s="26"/>
      <c r="V116" s="26">
        <f t="shared" si="9"/>
        <v>2632.5</v>
      </c>
      <c r="W116" s="26">
        <f t="shared" si="10"/>
        <v>731.25</v>
      </c>
      <c r="X116" s="26"/>
      <c r="Y116" s="26"/>
      <c r="Z116" s="26">
        <f t="shared" si="11"/>
        <v>3363.75</v>
      </c>
      <c r="AA116" s="25"/>
    </row>
    <row r="117" spans="1:27" x14ac:dyDescent="0.3">
      <c r="A117" s="25">
        <v>5031</v>
      </c>
      <c r="B117" s="25" t="s">
        <v>329</v>
      </c>
      <c r="C117" s="25" t="s">
        <v>328</v>
      </c>
      <c r="D117" s="25" t="s">
        <v>327</v>
      </c>
      <c r="E117" s="92">
        <v>249387.92</v>
      </c>
      <c r="F117" s="31">
        <v>43801</v>
      </c>
      <c r="G117" s="31">
        <v>44166</v>
      </c>
      <c r="H117" s="26"/>
      <c r="I117" s="26">
        <v>6.4</v>
      </c>
      <c r="J117" s="26"/>
      <c r="K117" s="26">
        <f>(+$E117*$I117%)/360*1</f>
        <v>44.335630222222221</v>
      </c>
      <c r="L117" s="26"/>
      <c r="M117" s="26"/>
      <c r="N117" s="26">
        <f t="shared" si="7"/>
        <v>44.335630222222221</v>
      </c>
      <c r="O117" s="26">
        <f t="shared" si="8"/>
        <v>1374.4045368888887</v>
      </c>
      <c r="P117" s="26"/>
      <c r="Q117" s="26"/>
      <c r="R117" s="26">
        <v>1418.7401671111111</v>
      </c>
      <c r="S117" s="26">
        <v>1330.0689066666666</v>
      </c>
      <c r="T117" s="26"/>
      <c r="U117" s="26"/>
      <c r="V117" s="26">
        <f t="shared" si="9"/>
        <v>2748.8090737777775</v>
      </c>
      <c r="W117" s="26">
        <f t="shared" si="10"/>
        <v>1330.0689066666666</v>
      </c>
      <c r="X117" s="26"/>
      <c r="Y117" s="26"/>
      <c r="Z117" s="26">
        <f t="shared" si="11"/>
        <v>4078.8779804444439</v>
      </c>
      <c r="AA117" s="25"/>
    </row>
    <row r="118" spans="1:27" x14ac:dyDescent="0.3">
      <c r="A118" s="25">
        <v>5063</v>
      </c>
      <c r="B118" s="25" t="s">
        <v>25</v>
      </c>
      <c r="C118" s="25" t="s">
        <v>326</v>
      </c>
      <c r="D118" s="25" t="s">
        <v>325</v>
      </c>
      <c r="E118" s="92">
        <v>138000</v>
      </c>
      <c r="F118" s="31">
        <v>43800</v>
      </c>
      <c r="G118" s="31">
        <v>44166</v>
      </c>
      <c r="H118" s="26"/>
      <c r="I118" s="26">
        <v>4.4000000000000004</v>
      </c>
      <c r="J118" s="26"/>
      <c r="K118" s="26">
        <f>(+$E118*$I118%)/360*1</f>
        <v>16.866666666666671</v>
      </c>
      <c r="L118" s="26"/>
      <c r="M118" s="26"/>
      <c r="N118" s="26">
        <f t="shared" si="7"/>
        <v>16.866666666666671</v>
      </c>
      <c r="O118" s="26">
        <f t="shared" si="8"/>
        <v>522.86666666666679</v>
      </c>
      <c r="P118" s="26"/>
      <c r="Q118" s="26"/>
      <c r="R118" s="26">
        <v>539.73333333333346</v>
      </c>
      <c r="S118" s="26">
        <v>506.00000000000011</v>
      </c>
      <c r="T118" s="26"/>
      <c r="U118" s="26"/>
      <c r="V118" s="26">
        <f t="shared" si="9"/>
        <v>1045.7333333333336</v>
      </c>
      <c r="W118" s="26">
        <f t="shared" si="10"/>
        <v>506.00000000000011</v>
      </c>
      <c r="X118" s="26"/>
      <c r="Y118" s="26"/>
      <c r="Z118" s="26">
        <f t="shared" si="11"/>
        <v>1551.7333333333336</v>
      </c>
      <c r="AA118" s="25"/>
    </row>
    <row r="119" spans="1:27" x14ac:dyDescent="0.3">
      <c r="A119" s="25">
        <v>5040</v>
      </c>
      <c r="B119" s="25" t="s">
        <v>508</v>
      </c>
      <c r="C119" s="25" t="s">
        <v>721</v>
      </c>
      <c r="D119" s="25" t="s">
        <v>722</v>
      </c>
      <c r="F119" s="31">
        <v>43800</v>
      </c>
      <c r="G119" s="31">
        <v>43800</v>
      </c>
      <c r="H119" s="26"/>
      <c r="I119" s="26">
        <v>4.9000000000000004</v>
      </c>
      <c r="J119" s="26"/>
      <c r="K119" s="26" t="e">
        <f>(+#REF!*$I119%)/360*1</f>
        <v>#REF!</v>
      </c>
      <c r="L119" s="26"/>
      <c r="M119" s="26"/>
      <c r="N119" s="26" t="e">
        <f t="shared" si="7"/>
        <v>#REF!</v>
      </c>
      <c r="O119" s="26" t="e">
        <f>(+#REF!*$I119%)/360*31</f>
        <v>#REF!</v>
      </c>
      <c r="P119" s="26"/>
      <c r="Q119" s="26"/>
      <c r="R119" s="26">
        <v>1030.5244444444445</v>
      </c>
      <c r="S119" s="26">
        <v>966.11666666666667</v>
      </c>
      <c r="T119" s="26">
        <v>-2731.6</v>
      </c>
      <c r="U119" s="26">
        <v>734.96</v>
      </c>
      <c r="V119" s="26">
        <f t="shared" si="9"/>
        <v>1.1111111111858918E-3</v>
      </c>
      <c r="W119" s="26"/>
      <c r="X119" s="26"/>
      <c r="Y119" s="26">
        <v>0</v>
      </c>
      <c r="Z119" s="26">
        <f t="shared" si="11"/>
        <v>1.1111111111858918E-3</v>
      </c>
      <c r="AA119" s="25"/>
    </row>
    <row r="120" spans="1:27" x14ac:dyDescent="0.3">
      <c r="A120" s="25">
        <v>5005</v>
      </c>
      <c r="B120" s="25" t="s">
        <v>10</v>
      </c>
      <c r="C120" s="25" t="s">
        <v>324</v>
      </c>
      <c r="D120" s="25" t="s">
        <v>323</v>
      </c>
      <c r="E120" s="92">
        <v>1400000</v>
      </c>
      <c r="F120" s="31">
        <v>43803</v>
      </c>
      <c r="G120" s="31">
        <v>44169</v>
      </c>
      <c r="H120" s="26"/>
      <c r="I120" s="26">
        <v>0.4</v>
      </c>
      <c r="J120" s="26"/>
      <c r="K120" s="26">
        <f>(+$E120*$I120%)/360*4</f>
        <v>62.222222222222221</v>
      </c>
      <c r="L120" s="26"/>
      <c r="M120" s="26"/>
      <c r="N120" s="26">
        <f t="shared" si="7"/>
        <v>62.222222222222221</v>
      </c>
      <c r="O120" s="26">
        <f t="shared" si="8"/>
        <v>482.22222222222223</v>
      </c>
      <c r="P120" s="26"/>
      <c r="Q120" s="26"/>
      <c r="R120" s="26">
        <v>544.44444444444446</v>
      </c>
      <c r="S120" s="26">
        <v>466.66666666666669</v>
      </c>
      <c r="T120" s="26"/>
      <c r="U120" s="26"/>
      <c r="V120" s="26">
        <f t="shared" si="9"/>
        <v>1011.1111111111111</v>
      </c>
      <c r="W120" s="26">
        <f t="shared" si="10"/>
        <v>466.66666666666669</v>
      </c>
      <c r="X120" s="26"/>
      <c r="Y120" s="26"/>
      <c r="Z120" s="26">
        <f t="shared" si="11"/>
        <v>1477.7777777777778</v>
      </c>
      <c r="AA120" s="25"/>
    </row>
    <row r="121" spans="1:27" x14ac:dyDescent="0.3">
      <c r="A121" s="25">
        <v>5056</v>
      </c>
      <c r="B121" s="25" t="s">
        <v>322</v>
      </c>
      <c r="C121" s="25" t="s">
        <v>321</v>
      </c>
      <c r="D121" s="25" t="s">
        <v>320</v>
      </c>
      <c r="E121" s="92">
        <v>33000</v>
      </c>
      <c r="F121" s="31">
        <v>43811</v>
      </c>
      <c r="G121" s="31">
        <v>44177</v>
      </c>
      <c r="H121" s="26"/>
      <c r="I121" s="26">
        <v>6.4</v>
      </c>
      <c r="J121" s="26"/>
      <c r="K121" s="26">
        <f>(+$E121*$I121%)/360*12</f>
        <v>70.399999999999991</v>
      </c>
      <c r="L121" s="26"/>
      <c r="M121" s="26"/>
      <c r="N121" s="26">
        <f t="shared" si="7"/>
        <v>70.399999999999991</v>
      </c>
      <c r="O121" s="26">
        <f t="shared" si="8"/>
        <v>181.86666666666665</v>
      </c>
      <c r="P121" s="26"/>
      <c r="Q121" s="26"/>
      <c r="R121" s="26">
        <v>252.26666666666665</v>
      </c>
      <c r="S121" s="26">
        <v>176</v>
      </c>
      <c r="T121" s="26"/>
      <c r="U121" s="26"/>
      <c r="V121" s="26">
        <f t="shared" si="9"/>
        <v>428.26666666666665</v>
      </c>
      <c r="W121" s="26">
        <f t="shared" si="10"/>
        <v>176</v>
      </c>
      <c r="X121" s="26"/>
      <c r="Y121" s="26"/>
      <c r="Z121" s="26">
        <f t="shared" si="11"/>
        <v>604.26666666666665</v>
      </c>
      <c r="AA121" s="25"/>
    </row>
    <row r="122" spans="1:27" x14ac:dyDescent="0.3">
      <c r="A122" s="25">
        <v>5005</v>
      </c>
      <c r="B122" s="25" t="s">
        <v>265</v>
      </c>
      <c r="C122" s="25" t="s">
        <v>319</v>
      </c>
      <c r="D122" s="25" t="s">
        <v>318</v>
      </c>
      <c r="E122" s="92">
        <v>30000</v>
      </c>
      <c r="F122" s="31">
        <v>43815</v>
      </c>
      <c r="G122" s="31">
        <v>44181</v>
      </c>
      <c r="H122" s="26"/>
      <c r="I122" s="26">
        <v>6.9</v>
      </c>
      <c r="J122" s="26"/>
      <c r="K122" s="26">
        <f>(+$E122*$I122%)/360*16</f>
        <v>92</v>
      </c>
      <c r="L122" s="26"/>
      <c r="M122" s="26"/>
      <c r="N122" s="26">
        <f t="shared" si="7"/>
        <v>92</v>
      </c>
      <c r="O122" s="26">
        <f t="shared" si="8"/>
        <v>178.25</v>
      </c>
      <c r="P122" s="26"/>
      <c r="Q122" s="26"/>
      <c r="R122" s="26">
        <v>270.25</v>
      </c>
      <c r="S122" s="26">
        <v>172.5</v>
      </c>
      <c r="T122" s="26"/>
      <c r="U122" s="26"/>
      <c r="V122" s="26">
        <f t="shared" si="9"/>
        <v>442.75</v>
      </c>
      <c r="W122" s="26">
        <f t="shared" si="10"/>
        <v>172.5</v>
      </c>
      <c r="X122" s="26"/>
      <c r="Y122" s="26"/>
      <c r="Z122" s="26">
        <f t="shared" si="11"/>
        <v>615.25</v>
      </c>
      <c r="AA122" s="25"/>
    </row>
    <row r="123" spans="1:27" x14ac:dyDescent="0.3">
      <c r="A123" s="25">
        <v>5061</v>
      </c>
      <c r="B123" s="25" t="s">
        <v>317</v>
      </c>
      <c r="C123" s="25" t="s">
        <v>316</v>
      </c>
      <c r="D123" s="25" t="s">
        <v>315</v>
      </c>
      <c r="E123" s="92">
        <v>200000</v>
      </c>
      <c r="F123" s="31">
        <v>43816</v>
      </c>
      <c r="G123" s="31">
        <v>44182</v>
      </c>
      <c r="H123" s="26"/>
      <c r="I123" s="26">
        <v>5.65</v>
      </c>
      <c r="J123" s="26"/>
      <c r="K123" s="26">
        <f>(+$E123*$I123%)/360*17</f>
        <v>533.61111111111109</v>
      </c>
      <c r="L123" s="26"/>
      <c r="M123" s="26"/>
      <c r="N123" s="26">
        <f t="shared" si="7"/>
        <v>533.61111111111109</v>
      </c>
      <c r="O123" s="26">
        <f t="shared" si="8"/>
        <v>973.05555555555554</v>
      </c>
      <c r="P123" s="26"/>
      <c r="Q123" s="26"/>
      <c r="R123" s="26">
        <v>1506.6666666666665</v>
      </c>
      <c r="S123" s="26">
        <v>941.66666666666663</v>
      </c>
      <c r="T123" s="26"/>
      <c r="U123" s="26"/>
      <c r="V123" s="26">
        <f t="shared" si="9"/>
        <v>2448.333333333333</v>
      </c>
      <c r="W123" s="26">
        <f t="shared" si="10"/>
        <v>941.66666666666663</v>
      </c>
      <c r="X123" s="26"/>
      <c r="Y123" s="26"/>
      <c r="Z123" s="26">
        <f t="shared" si="11"/>
        <v>3389.9999999999995</v>
      </c>
      <c r="AA123" s="25"/>
    </row>
    <row r="124" spans="1:27" x14ac:dyDescent="0.3">
      <c r="A124" s="25">
        <v>5031</v>
      </c>
      <c r="B124" s="25" t="s">
        <v>329</v>
      </c>
      <c r="C124" s="25" t="s">
        <v>723</v>
      </c>
      <c r="D124" s="25" t="s">
        <v>724</v>
      </c>
      <c r="E124" s="92">
        <v>500000</v>
      </c>
      <c r="F124" s="31">
        <v>43819</v>
      </c>
      <c r="G124" s="31">
        <v>44185</v>
      </c>
      <c r="H124" s="26"/>
      <c r="I124" s="26">
        <v>5.4</v>
      </c>
      <c r="J124" s="26"/>
      <c r="K124" s="26">
        <f>(+$E124*$I124%)/360*20</f>
        <v>1500.0000000000002</v>
      </c>
      <c r="L124" s="26"/>
      <c r="M124" s="26"/>
      <c r="N124" s="26">
        <f t="shared" si="7"/>
        <v>1500.0000000000002</v>
      </c>
      <c r="O124" s="26">
        <f t="shared" si="8"/>
        <v>2325.0000000000005</v>
      </c>
      <c r="P124" s="26"/>
      <c r="Q124" s="26"/>
      <c r="R124" s="26">
        <v>3825.0000000000009</v>
      </c>
      <c r="S124" s="26">
        <v>2250.0000000000005</v>
      </c>
      <c r="T124" s="26"/>
      <c r="U124" s="26"/>
      <c r="V124" s="26">
        <f t="shared" si="9"/>
        <v>6075.0000000000018</v>
      </c>
      <c r="W124" s="26">
        <f t="shared" si="10"/>
        <v>2250.0000000000005</v>
      </c>
      <c r="X124" s="26"/>
      <c r="Y124" s="26"/>
      <c r="Z124" s="26">
        <f t="shared" si="11"/>
        <v>8325.0000000000018</v>
      </c>
      <c r="AA124" s="25"/>
    </row>
    <row r="125" spans="1:27" x14ac:dyDescent="0.3">
      <c r="A125" s="25">
        <v>5060</v>
      </c>
      <c r="B125" s="25" t="s">
        <v>233</v>
      </c>
      <c r="C125" s="25" t="s">
        <v>314</v>
      </c>
      <c r="D125" s="25" t="s">
        <v>313</v>
      </c>
      <c r="E125" s="92">
        <v>170000</v>
      </c>
      <c r="F125" s="31">
        <v>43822</v>
      </c>
      <c r="G125" s="31">
        <v>44186</v>
      </c>
      <c r="H125" s="26"/>
      <c r="I125" s="26">
        <v>5.65</v>
      </c>
      <c r="J125" s="26"/>
      <c r="K125" s="26">
        <f t="shared" ref="K125:K132" si="12">(+$E125*$I125%)/360*21</f>
        <v>560.29166666666674</v>
      </c>
      <c r="L125" s="26"/>
      <c r="M125" s="26"/>
      <c r="N125" s="26">
        <f t="shared" si="7"/>
        <v>560.29166666666674</v>
      </c>
      <c r="O125" s="26">
        <f t="shared" si="8"/>
        <v>827.09722222222229</v>
      </c>
      <c r="P125" s="26"/>
      <c r="Q125" s="26"/>
      <c r="R125" s="26">
        <v>1387.3888888888891</v>
      </c>
      <c r="S125" s="26">
        <v>800.41666666666674</v>
      </c>
      <c r="T125" s="26"/>
      <c r="U125" s="26"/>
      <c r="V125" s="26">
        <f t="shared" si="9"/>
        <v>2187.8055555555557</v>
      </c>
      <c r="W125" s="26">
        <f t="shared" si="10"/>
        <v>800.41666666666674</v>
      </c>
      <c r="X125" s="26"/>
      <c r="Y125" s="26"/>
      <c r="Z125" s="26">
        <f t="shared" si="11"/>
        <v>2988.2222222222226</v>
      </c>
      <c r="AA125" s="25"/>
    </row>
    <row r="126" spans="1:27" x14ac:dyDescent="0.3">
      <c r="A126" s="25">
        <v>5060</v>
      </c>
      <c r="B126" s="25" t="s">
        <v>233</v>
      </c>
      <c r="C126" s="25" t="s">
        <v>312</v>
      </c>
      <c r="D126" s="25" t="s">
        <v>311</v>
      </c>
      <c r="E126" s="92">
        <v>254800</v>
      </c>
      <c r="F126" s="31">
        <v>43822</v>
      </c>
      <c r="G126" s="31">
        <v>44186</v>
      </c>
      <c r="H126" s="26"/>
      <c r="I126" s="26">
        <v>5.65</v>
      </c>
      <c r="J126" s="26"/>
      <c r="K126" s="26">
        <f t="shared" si="12"/>
        <v>839.77833333333331</v>
      </c>
      <c r="L126" s="26"/>
      <c r="M126" s="26"/>
      <c r="N126" s="26">
        <f t="shared" si="7"/>
        <v>839.77833333333331</v>
      </c>
      <c r="O126" s="26">
        <f t="shared" si="8"/>
        <v>1239.6727777777778</v>
      </c>
      <c r="P126" s="26"/>
      <c r="Q126" s="26"/>
      <c r="R126" s="26">
        <v>2079.451111111111</v>
      </c>
      <c r="S126" s="26">
        <v>1199.6833333333334</v>
      </c>
      <c r="T126" s="26"/>
      <c r="U126" s="26"/>
      <c r="V126" s="26">
        <f t="shared" si="9"/>
        <v>3279.1344444444444</v>
      </c>
      <c r="W126" s="26">
        <f t="shared" si="10"/>
        <v>1199.6833333333334</v>
      </c>
      <c r="X126" s="26"/>
      <c r="Y126" s="26"/>
      <c r="Z126" s="26">
        <f t="shared" si="11"/>
        <v>4478.8177777777782</v>
      </c>
      <c r="AA126" s="25"/>
    </row>
    <row r="127" spans="1:27" x14ac:dyDescent="0.3">
      <c r="A127" s="25">
        <v>5060</v>
      </c>
      <c r="B127" s="25" t="s">
        <v>233</v>
      </c>
      <c r="C127" s="25" t="s">
        <v>310</v>
      </c>
      <c r="D127" s="25" t="s">
        <v>309</v>
      </c>
      <c r="E127" s="92">
        <v>126000</v>
      </c>
      <c r="F127" s="31">
        <v>43822</v>
      </c>
      <c r="G127" s="31">
        <v>44186</v>
      </c>
      <c r="H127" s="26"/>
      <c r="I127" s="26">
        <v>5.65</v>
      </c>
      <c r="J127" s="26"/>
      <c r="K127" s="26">
        <f t="shared" si="12"/>
        <v>415.27499999999998</v>
      </c>
      <c r="L127" s="26"/>
      <c r="M127" s="26"/>
      <c r="N127" s="26">
        <f t="shared" si="7"/>
        <v>415.27499999999998</v>
      </c>
      <c r="O127" s="26">
        <f t="shared" si="8"/>
        <v>613.02499999999998</v>
      </c>
      <c r="P127" s="26"/>
      <c r="Q127" s="26"/>
      <c r="R127" s="26">
        <v>1028.3</v>
      </c>
      <c r="S127" s="26">
        <v>593.25</v>
      </c>
      <c r="T127" s="26"/>
      <c r="U127" s="26"/>
      <c r="V127" s="26">
        <f t="shared" si="9"/>
        <v>1621.55</v>
      </c>
      <c r="W127" s="26">
        <f t="shared" si="10"/>
        <v>593.25</v>
      </c>
      <c r="X127" s="26"/>
      <c r="Y127" s="26"/>
      <c r="Z127" s="26">
        <f t="shared" si="11"/>
        <v>2214.8000000000002</v>
      </c>
      <c r="AA127" s="25"/>
    </row>
    <row r="128" spans="1:27" x14ac:dyDescent="0.3">
      <c r="A128" s="25">
        <v>5060</v>
      </c>
      <c r="B128" s="25" t="s">
        <v>233</v>
      </c>
      <c r="C128" s="25" t="s">
        <v>308</v>
      </c>
      <c r="D128" s="25" t="s">
        <v>307</v>
      </c>
      <c r="E128" s="92">
        <v>275000</v>
      </c>
      <c r="F128" s="31">
        <v>43822</v>
      </c>
      <c r="G128" s="31">
        <v>44186</v>
      </c>
      <c r="H128" s="26"/>
      <c r="I128" s="26">
        <v>5.65</v>
      </c>
      <c r="J128" s="26"/>
      <c r="K128" s="26">
        <f t="shared" si="12"/>
        <v>906.35416666666663</v>
      </c>
      <c r="L128" s="26"/>
      <c r="M128" s="26"/>
      <c r="N128" s="26">
        <f t="shared" si="7"/>
        <v>906.35416666666663</v>
      </c>
      <c r="O128" s="26">
        <f t="shared" si="8"/>
        <v>1337.9513888888889</v>
      </c>
      <c r="P128" s="26"/>
      <c r="Q128" s="26"/>
      <c r="R128" s="26">
        <v>2244.3055555555557</v>
      </c>
      <c r="S128" s="26">
        <v>1294.7916666666667</v>
      </c>
      <c r="T128" s="26"/>
      <c r="U128" s="26"/>
      <c r="V128" s="26">
        <f t="shared" si="9"/>
        <v>3539.0972222222226</v>
      </c>
      <c r="W128" s="26">
        <f t="shared" si="10"/>
        <v>1294.7916666666667</v>
      </c>
      <c r="X128" s="26"/>
      <c r="Y128" s="26"/>
      <c r="Z128" s="26">
        <f t="shared" si="11"/>
        <v>4833.8888888888896</v>
      </c>
      <c r="AA128" s="25"/>
    </row>
    <row r="129" spans="1:27" x14ac:dyDescent="0.3">
      <c r="A129" s="25">
        <v>5060</v>
      </c>
      <c r="B129" s="25" t="s">
        <v>233</v>
      </c>
      <c r="C129" s="25" t="s">
        <v>306</v>
      </c>
      <c r="D129" s="25" t="s">
        <v>305</v>
      </c>
      <c r="E129" s="92">
        <v>206000</v>
      </c>
      <c r="F129" s="31">
        <v>43822</v>
      </c>
      <c r="G129" s="31">
        <v>44186</v>
      </c>
      <c r="H129" s="26"/>
      <c r="I129" s="26">
        <v>5.65</v>
      </c>
      <c r="J129" s="26"/>
      <c r="K129" s="26">
        <f t="shared" si="12"/>
        <v>678.94166666666672</v>
      </c>
      <c r="L129" s="26"/>
      <c r="M129" s="26"/>
      <c r="N129" s="26">
        <f t="shared" si="7"/>
        <v>678.94166666666672</v>
      </c>
      <c r="O129" s="26">
        <f t="shared" si="8"/>
        <v>1002.2472222222223</v>
      </c>
      <c r="P129" s="26"/>
      <c r="Q129" s="26"/>
      <c r="R129" s="26">
        <v>1681.1888888888889</v>
      </c>
      <c r="S129" s="26">
        <v>969.91666666666663</v>
      </c>
      <c r="T129" s="26"/>
      <c r="U129" s="26"/>
      <c r="V129" s="26">
        <f t="shared" si="9"/>
        <v>2651.1055555555554</v>
      </c>
      <c r="W129" s="26">
        <f t="shared" si="10"/>
        <v>969.91666666666663</v>
      </c>
      <c r="X129" s="26"/>
      <c r="Y129" s="26"/>
      <c r="Z129" s="26">
        <f t="shared" si="11"/>
        <v>3621.0222222222219</v>
      </c>
      <c r="AA129" s="25"/>
    </row>
    <row r="130" spans="1:27" x14ac:dyDescent="0.3">
      <c r="A130" s="25">
        <v>5060</v>
      </c>
      <c r="B130" s="25" t="s">
        <v>233</v>
      </c>
      <c r="C130" s="25" t="s">
        <v>304</v>
      </c>
      <c r="D130" s="25" t="s">
        <v>303</v>
      </c>
      <c r="E130" s="92">
        <v>130000</v>
      </c>
      <c r="F130" s="31">
        <v>43822</v>
      </c>
      <c r="G130" s="31">
        <v>44186</v>
      </c>
      <c r="H130" s="26"/>
      <c r="I130" s="26">
        <v>5.65</v>
      </c>
      <c r="J130" s="26"/>
      <c r="K130" s="26">
        <f t="shared" si="12"/>
        <v>428.45833333333337</v>
      </c>
      <c r="L130" s="26"/>
      <c r="M130" s="26"/>
      <c r="N130" s="26">
        <f t="shared" si="7"/>
        <v>428.45833333333337</v>
      </c>
      <c r="O130" s="26">
        <f t="shared" si="8"/>
        <v>632.48611111111109</v>
      </c>
      <c r="P130" s="26"/>
      <c r="Q130" s="26"/>
      <c r="R130" s="26">
        <v>1060.9444444444443</v>
      </c>
      <c r="S130" s="26">
        <v>612.08333333333337</v>
      </c>
      <c r="T130" s="26"/>
      <c r="U130" s="26"/>
      <c r="V130" s="26">
        <f t="shared" si="9"/>
        <v>1673.0277777777778</v>
      </c>
      <c r="W130" s="26">
        <f t="shared" si="10"/>
        <v>612.08333333333337</v>
      </c>
      <c r="X130" s="26"/>
      <c r="Y130" s="26"/>
      <c r="Z130" s="26">
        <f t="shared" si="11"/>
        <v>2285.1111111111113</v>
      </c>
      <c r="AA130" s="25"/>
    </row>
    <row r="131" spans="1:27" x14ac:dyDescent="0.3">
      <c r="A131" s="25">
        <v>5060</v>
      </c>
      <c r="B131" s="25" t="s">
        <v>233</v>
      </c>
      <c r="C131" s="25" t="s">
        <v>302</v>
      </c>
      <c r="D131" s="25" t="s">
        <v>301</v>
      </c>
      <c r="E131" s="92">
        <v>51138.69</v>
      </c>
      <c r="F131" s="31">
        <v>43822</v>
      </c>
      <c r="G131" s="31">
        <v>44186</v>
      </c>
      <c r="H131" s="26"/>
      <c r="I131" s="26">
        <v>5.65</v>
      </c>
      <c r="J131" s="26"/>
      <c r="K131" s="26">
        <f t="shared" si="12"/>
        <v>168.54459912500002</v>
      </c>
      <c r="L131" s="26"/>
      <c r="M131" s="26"/>
      <c r="N131" s="26">
        <f t="shared" si="7"/>
        <v>168.54459912500002</v>
      </c>
      <c r="O131" s="26">
        <f t="shared" si="8"/>
        <v>248.80393204166671</v>
      </c>
      <c r="P131" s="26"/>
      <c r="Q131" s="26"/>
      <c r="R131" s="26">
        <v>417.3485311666667</v>
      </c>
      <c r="S131" s="26">
        <v>240.77799875000005</v>
      </c>
      <c r="T131" s="26"/>
      <c r="U131" s="26"/>
      <c r="V131" s="26">
        <f t="shared" si="9"/>
        <v>658.12652991666675</v>
      </c>
      <c r="W131" s="26">
        <f t="shared" si="10"/>
        <v>240.77799875000005</v>
      </c>
      <c r="X131" s="26"/>
      <c r="Y131" s="26"/>
      <c r="Z131" s="26">
        <f t="shared" si="11"/>
        <v>898.90452866666681</v>
      </c>
      <c r="AA131" s="25"/>
    </row>
    <row r="132" spans="1:27" x14ac:dyDescent="0.3">
      <c r="A132" s="25">
        <v>5060</v>
      </c>
      <c r="B132" s="25" t="s">
        <v>233</v>
      </c>
      <c r="C132" s="25" t="s">
        <v>300</v>
      </c>
      <c r="D132" s="25" t="s">
        <v>299</v>
      </c>
      <c r="E132" s="92">
        <v>200000</v>
      </c>
      <c r="F132" s="31">
        <v>43822</v>
      </c>
      <c r="G132" s="31">
        <v>44186</v>
      </c>
      <c r="H132" s="26"/>
      <c r="I132" s="26">
        <v>5.65</v>
      </c>
      <c r="J132" s="26"/>
      <c r="K132" s="26">
        <f t="shared" si="12"/>
        <v>659.16666666666663</v>
      </c>
      <c r="L132" s="26"/>
      <c r="M132" s="26"/>
      <c r="N132" s="26">
        <f t="shared" si="7"/>
        <v>659.16666666666663</v>
      </c>
      <c r="O132" s="26">
        <f t="shared" si="8"/>
        <v>973.05555555555554</v>
      </c>
      <c r="P132" s="26"/>
      <c r="Q132" s="26"/>
      <c r="R132" s="26">
        <v>1632.2222222222222</v>
      </c>
      <c r="S132" s="26">
        <v>941.66666666666663</v>
      </c>
      <c r="T132" s="26"/>
      <c r="U132" s="26"/>
      <c r="V132" s="26">
        <f t="shared" si="9"/>
        <v>2573.8888888888887</v>
      </c>
      <c r="W132" s="26">
        <f t="shared" si="10"/>
        <v>941.66666666666663</v>
      </c>
      <c r="X132" s="26"/>
      <c r="Y132" s="26"/>
      <c r="Z132" s="26">
        <f t="shared" si="11"/>
        <v>3515.5555555555552</v>
      </c>
      <c r="AA132" s="25"/>
    </row>
    <row r="133" spans="1:27" x14ac:dyDescent="0.3">
      <c r="A133" s="25">
        <v>5063</v>
      </c>
      <c r="B133" s="25" t="s">
        <v>25</v>
      </c>
      <c r="C133" s="25" t="s">
        <v>298</v>
      </c>
      <c r="D133" s="25" t="s">
        <v>297</v>
      </c>
      <c r="E133" s="92">
        <v>160000</v>
      </c>
      <c r="F133" s="31">
        <v>43832</v>
      </c>
      <c r="G133" s="31">
        <v>44198</v>
      </c>
      <c r="H133" s="26"/>
      <c r="I133" s="26">
        <v>4.4000000000000004</v>
      </c>
      <c r="J133" s="26"/>
      <c r="K133" s="26"/>
      <c r="L133" s="26"/>
      <c r="M133" s="26"/>
      <c r="N133" s="26"/>
      <c r="O133" s="26">
        <f>(+$E133*$I133%)/360*29</f>
        <v>567.1111111111112</v>
      </c>
      <c r="P133" s="26"/>
      <c r="Q133" s="26"/>
      <c r="R133" s="26">
        <v>567.1111111111112</v>
      </c>
      <c r="S133" s="26">
        <v>586.66666666666674</v>
      </c>
      <c r="T133" s="26"/>
      <c r="U133" s="26"/>
      <c r="V133" s="26">
        <f t="shared" si="9"/>
        <v>1153.7777777777778</v>
      </c>
      <c r="W133" s="26">
        <f t="shared" si="10"/>
        <v>586.66666666666674</v>
      </c>
      <c r="X133" s="26"/>
      <c r="Y133" s="26"/>
      <c r="Z133" s="26">
        <f t="shared" si="11"/>
        <v>1740.4444444444446</v>
      </c>
      <c r="AA133" s="25"/>
    </row>
    <row r="134" spans="1:27" x14ac:dyDescent="0.3">
      <c r="A134" s="25">
        <v>5060</v>
      </c>
      <c r="B134" s="25" t="s">
        <v>19</v>
      </c>
      <c r="C134" s="25" t="s">
        <v>296</v>
      </c>
      <c r="D134" s="25" t="s">
        <v>295</v>
      </c>
      <c r="E134" s="92">
        <v>60000</v>
      </c>
      <c r="F134" s="31">
        <v>43837</v>
      </c>
      <c r="G134" s="31">
        <v>44203</v>
      </c>
      <c r="H134" s="26"/>
      <c r="I134" s="26">
        <v>1.9</v>
      </c>
      <c r="J134" s="26"/>
      <c r="K134" s="26"/>
      <c r="L134" s="26"/>
      <c r="M134" s="26"/>
      <c r="N134" s="26"/>
      <c r="O134" s="26">
        <f>(+$E134*$I134%)/360*24</f>
        <v>76</v>
      </c>
      <c r="P134" s="26"/>
      <c r="Q134" s="26"/>
      <c r="R134" s="26">
        <v>76</v>
      </c>
      <c r="S134" s="26">
        <v>95</v>
      </c>
      <c r="T134" s="26"/>
      <c r="U134" s="26"/>
      <c r="V134" s="26">
        <f t="shared" ref="V134:V173" si="13">+R134+S134+T134+U134</f>
        <v>171</v>
      </c>
      <c r="W134" s="26">
        <f t="shared" ref="W134:W143" si="14">(+$E134*$I134%)/360*30</f>
        <v>95</v>
      </c>
      <c r="X134" s="26"/>
      <c r="Y134" s="26"/>
      <c r="Z134" s="26">
        <f t="shared" ref="Z134:Z173" si="15">+V134+W134+X134+Y134</f>
        <v>266</v>
      </c>
      <c r="AA134" s="25"/>
    </row>
    <row r="135" spans="1:27" x14ac:dyDescent="0.3">
      <c r="A135" s="25">
        <v>5060</v>
      </c>
      <c r="B135" s="25" t="s">
        <v>16</v>
      </c>
      <c r="C135" s="25" t="s">
        <v>294</v>
      </c>
      <c r="D135" s="25" t="s">
        <v>293</v>
      </c>
      <c r="E135" s="92">
        <v>60000</v>
      </c>
      <c r="F135" s="31">
        <v>43838</v>
      </c>
      <c r="G135" s="31">
        <v>44204</v>
      </c>
      <c r="H135" s="26"/>
      <c r="I135" s="26">
        <v>1.9</v>
      </c>
      <c r="J135" s="26"/>
      <c r="K135" s="26"/>
      <c r="L135" s="26"/>
      <c r="M135" s="26"/>
      <c r="N135" s="26"/>
      <c r="O135" s="26">
        <f>(+$E135*$I135%)/360*23</f>
        <v>72.833333333333329</v>
      </c>
      <c r="P135" s="26"/>
      <c r="Q135" s="26"/>
      <c r="R135" s="26">
        <v>72.833333333333329</v>
      </c>
      <c r="S135" s="26">
        <v>95</v>
      </c>
      <c r="T135" s="26"/>
      <c r="U135" s="26"/>
      <c r="V135" s="26">
        <f t="shared" si="13"/>
        <v>167.83333333333331</v>
      </c>
      <c r="W135" s="26">
        <f t="shared" si="14"/>
        <v>95</v>
      </c>
      <c r="X135" s="26"/>
      <c r="Y135" s="26"/>
      <c r="Z135" s="26">
        <f t="shared" si="15"/>
        <v>262.83333333333331</v>
      </c>
      <c r="AA135" s="25"/>
    </row>
    <row r="136" spans="1:27" x14ac:dyDescent="0.3">
      <c r="A136" s="25">
        <v>5060</v>
      </c>
      <c r="B136" s="25" t="s">
        <v>233</v>
      </c>
      <c r="C136" s="25" t="s">
        <v>292</v>
      </c>
      <c r="D136" s="25" t="s">
        <v>291</v>
      </c>
      <c r="E136" s="92">
        <v>59000</v>
      </c>
      <c r="F136" s="31">
        <v>43846</v>
      </c>
      <c r="G136" s="31">
        <v>44212</v>
      </c>
      <c r="H136" s="26"/>
      <c r="I136" s="26">
        <v>5.65</v>
      </c>
      <c r="J136" s="26"/>
      <c r="K136" s="26"/>
      <c r="L136" s="26"/>
      <c r="M136" s="26"/>
      <c r="N136" s="26"/>
      <c r="O136" s="26">
        <f>(+$E136*$I136%)/360*25</f>
        <v>231.49305555555557</v>
      </c>
      <c r="P136" s="26"/>
      <c r="Q136" s="26"/>
      <c r="R136" s="26">
        <v>231.49305555555557</v>
      </c>
      <c r="S136" s="26">
        <v>277.79166666666669</v>
      </c>
      <c r="T136" s="26"/>
      <c r="U136" s="26"/>
      <c r="V136" s="26">
        <f t="shared" si="13"/>
        <v>509.28472222222229</v>
      </c>
      <c r="W136" s="26">
        <f t="shared" si="14"/>
        <v>277.79166666666669</v>
      </c>
      <c r="X136" s="26"/>
      <c r="Y136" s="26"/>
      <c r="Z136" s="26">
        <f t="shared" si="15"/>
        <v>787.07638888888891</v>
      </c>
      <c r="AA136" s="25"/>
    </row>
    <row r="137" spans="1:27" x14ac:dyDescent="0.3">
      <c r="A137" s="25">
        <v>5060</v>
      </c>
      <c r="B137" s="25" t="s">
        <v>19</v>
      </c>
      <c r="C137" s="25" t="s">
        <v>290</v>
      </c>
      <c r="D137" s="25" t="s">
        <v>289</v>
      </c>
      <c r="E137" s="92">
        <v>50000</v>
      </c>
      <c r="F137" s="31">
        <v>43846</v>
      </c>
      <c r="G137" s="31">
        <v>44212</v>
      </c>
      <c r="H137" s="26"/>
      <c r="I137" s="26">
        <v>1.9</v>
      </c>
      <c r="J137" s="26"/>
      <c r="K137" s="26"/>
      <c r="L137" s="26"/>
      <c r="M137" s="26"/>
      <c r="N137" s="26"/>
      <c r="O137" s="26">
        <f>(+$E137*$I137%)/360*25</f>
        <v>65.972222222222214</v>
      </c>
      <c r="P137" s="26"/>
      <c r="Q137" s="26"/>
      <c r="R137" s="26">
        <v>65.972222222222214</v>
      </c>
      <c r="S137" s="26">
        <v>79.166666666666671</v>
      </c>
      <c r="T137" s="26"/>
      <c r="U137" s="26"/>
      <c r="V137" s="26">
        <f t="shared" si="13"/>
        <v>145.13888888888889</v>
      </c>
      <c r="W137" s="26">
        <f t="shared" si="14"/>
        <v>79.166666666666671</v>
      </c>
      <c r="X137" s="26"/>
      <c r="Y137" s="26"/>
      <c r="Z137" s="26">
        <f t="shared" si="15"/>
        <v>224.30555555555554</v>
      </c>
      <c r="AA137" s="25"/>
    </row>
    <row r="138" spans="1:27" x14ac:dyDescent="0.3">
      <c r="A138" s="25">
        <v>5055</v>
      </c>
      <c r="B138" s="25" t="s">
        <v>159</v>
      </c>
      <c r="C138" s="25" t="s">
        <v>288</v>
      </c>
      <c r="D138" s="25" t="s">
        <v>287</v>
      </c>
      <c r="E138" s="92">
        <v>746000</v>
      </c>
      <c r="F138" s="31">
        <v>43851</v>
      </c>
      <c r="G138" s="31">
        <v>44206</v>
      </c>
      <c r="H138" s="26"/>
      <c r="I138" s="26">
        <v>7.55</v>
      </c>
      <c r="J138" s="26"/>
      <c r="K138" s="26"/>
      <c r="L138" s="26"/>
      <c r="M138" s="26"/>
      <c r="N138" s="26"/>
      <c r="O138" s="26">
        <f>(+$E138*$I138%)/360*21</f>
        <v>3285.5083333333332</v>
      </c>
      <c r="P138" s="26"/>
      <c r="Q138" s="26"/>
      <c r="R138" s="26">
        <v>3285.5083333333332</v>
      </c>
      <c r="S138" s="26">
        <v>4693.5833333333339</v>
      </c>
      <c r="T138" s="26"/>
      <c r="U138" s="26"/>
      <c r="V138" s="26">
        <f t="shared" si="13"/>
        <v>7979.0916666666672</v>
      </c>
      <c r="W138" s="26">
        <f t="shared" si="14"/>
        <v>4693.5833333333339</v>
      </c>
      <c r="X138" s="26"/>
      <c r="Y138" s="26"/>
      <c r="Z138" s="26">
        <f t="shared" si="15"/>
        <v>12672.675000000001</v>
      </c>
      <c r="AA138" s="25"/>
    </row>
    <row r="139" spans="1:27" x14ac:dyDescent="0.3">
      <c r="A139" s="25">
        <v>5055</v>
      </c>
      <c r="B139" s="25" t="s">
        <v>159</v>
      </c>
      <c r="C139" s="25" t="s">
        <v>286</v>
      </c>
      <c r="D139" s="25" t="s">
        <v>285</v>
      </c>
      <c r="E139" s="92">
        <v>50000</v>
      </c>
      <c r="F139" s="31">
        <v>43851</v>
      </c>
      <c r="G139" s="31">
        <v>44210</v>
      </c>
      <c r="H139" s="26"/>
      <c r="I139" s="26">
        <v>5.65</v>
      </c>
      <c r="J139" s="26"/>
      <c r="K139" s="26"/>
      <c r="L139" s="26"/>
      <c r="M139" s="26"/>
      <c r="N139" s="26"/>
      <c r="O139" s="26">
        <f>(+$E139*$I139%)/360*17</f>
        <v>133.40277777777777</v>
      </c>
      <c r="P139" s="26"/>
      <c r="Q139" s="26"/>
      <c r="R139" s="26">
        <v>133.40277777777777</v>
      </c>
      <c r="S139" s="26">
        <v>235.41666666666666</v>
      </c>
      <c r="T139" s="26"/>
      <c r="U139" s="26"/>
      <c r="V139" s="26">
        <f t="shared" si="13"/>
        <v>368.81944444444446</v>
      </c>
      <c r="W139" s="26">
        <f t="shared" si="14"/>
        <v>235.41666666666666</v>
      </c>
      <c r="X139" s="26"/>
      <c r="Y139" s="26"/>
      <c r="Z139" s="26">
        <f t="shared" si="15"/>
        <v>604.23611111111109</v>
      </c>
      <c r="AA139" s="25"/>
    </row>
    <row r="140" spans="1:27" x14ac:dyDescent="0.3">
      <c r="A140" s="25">
        <v>5055</v>
      </c>
      <c r="B140" s="25" t="s">
        <v>159</v>
      </c>
      <c r="C140" s="25" t="s">
        <v>284</v>
      </c>
      <c r="D140" s="25" t="s">
        <v>283</v>
      </c>
      <c r="E140" s="92">
        <v>220000</v>
      </c>
      <c r="F140" s="31">
        <v>43852</v>
      </c>
      <c r="G140" s="31">
        <v>44218</v>
      </c>
      <c r="H140" s="26"/>
      <c r="I140" s="26">
        <v>5.65</v>
      </c>
      <c r="J140" s="26"/>
      <c r="K140" s="26"/>
      <c r="L140" s="26"/>
      <c r="M140" s="26"/>
      <c r="N140" s="26"/>
      <c r="O140" s="26">
        <f>(+$E140*$I140%)/360*9</f>
        <v>310.75</v>
      </c>
      <c r="P140" s="26"/>
      <c r="Q140" s="26"/>
      <c r="R140" s="26">
        <v>310.75</v>
      </c>
      <c r="S140" s="26">
        <v>1035.8333333333333</v>
      </c>
      <c r="T140" s="26"/>
      <c r="U140" s="26"/>
      <c r="V140" s="26">
        <f t="shared" si="13"/>
        <v>1346.5833333333333</v>
      </c>
      <c r="W140" s="26">
        <f t="shared" si="14"/>
        <v>1035.8333333333333</v>
      </c>
      <c r="X140" s="26"/>
      <c r="Y140" s="26"/>
      <c r="Z140" s="26">
        <f t="shared" si="15"/>
        <v>2382.4166666666665</v>
      </c>
      <c r="AA140" s="25"/>
    </row>
    <row r="141" spans="1:27" x14ac:dyDescent="0.3">
      <c r="A141" s="25">
        <v>5060</v>
      </c>
      <c r="B141" s="25" t="s">
        <v>16</v>
      </c>
      <c r="C141" s="25" t="s">
        <v>282</v>
      </c>
      <c r="D141" s="25" t="s">
        <v>281</v>
      </c>
      <c r="E141" s="92">
        <v>60000</v>
      </c>
      <c r="F141" s="31">
        <v>43852</v>
      </c>
      <c r="G141" s="31">
        <v>44218</v>
      </c>
      <c r="H141" s="26"/>
      <c r="I141" s="26">
        <v>1.9</v>
      </c>
      <c r="J141" s="26"/>
      <c r="K141" s="26"/>
      <c r="L141" s="26"/>
      <c r="M141" s="26"/>
      <c r="N141" s="26"/>
      <c r="O141" s="26">
        <f>(+$E141*$I141%)/360*9</f>
        <v>28.5</v>
      </c>
      <c r="P141" s="26"/>
      <c r="Q141" s="26"/>
      <c r="R141" s="26">
        <v>28.5</v>
      </c>
      <c r="S141" s="26">
        <v>95</v>
      </c>
      <c r="T141" s="26"/>
      <c r="U141" s="26"/>
      <c r="V141" s="26">
        <f t="shared" si="13"/>
        <v>123.5</v>
      </c>
      <c r="W141" s="26">
        <f t="shared" si="14"/>
        <v>95</v>
      </c>
      <c r="X141" s="26"/>
      <c r="Y141" s="26"/>
      <c r="Z141" s="26">
        <f t="shared" si="15"/>
        <v>218.5</v>
      </c>
      <c r="AA141" s="25"/>
    </row>
    <row r="142" spans="1:27" x14ac:dyDescent="0.3">
      <c r="A142" s="25">
        <v>5055</v>
      </c>
      <c r="B142" s="25" t="s">
        <v>159</v>
      </c>
      <c r="C142" s="25" t="s">
        <v>280</v>
      </c>
      <c r="D142" s="25" t="s">
        <v>279</v>
      </c>
      <c r="E142" s="92">
        <v>2200000</v>
      </c>
      <c r="F142" s="31">
        <v>43848</v>
      </c>
      <c r="G142" s="31">
        <v>44214</v>
      </c>
      <c r="H142" s="26"/>
      <c r="I142" s="26">
        <v>6.85</v>
      </c>
      <c r="J142" s="26"/>
      <c r="K142" s="26"/>
      <c r="L142" s="26"/>
      <c r="M142" s="26"/>
      <c r="N142" s="26"/>
      <c r="O142" s="26">
        <f>(+$E142*$I142%)/360*13</f>
        <v>5441.9444444444434</v>
      </c>
      <c r="P142" s="26"/>
      <c r="Q142" s="26"/>
      <c r="R142" s="26">
        <v>5441.9444444444434</v>
      </c>
      <c r="S142" s="26">
        <v>12558.33333333333</v>
      </c>
      <c r="T142" s="26"/>
      <c r="U142" s="26"/>
      <c r="V142" s="26">
        <f t="shared" si="13"/>
        <v>18000.277777777774</v>
      </c>
      <c r="W142" s="26">
        <f t="shared" si="14"/>
        <v>12558.33333333333</v>
      </c>
      <c r="X142" s="26"/>
      <c r="Y142" s="26"/>
      <c r="Z142" s="26">
        <f t="shared" si="15"/>
        <v>30558.611111111102</v>
      </c>
      <c r="AA142" s="25"/>
    </row>
    <row r="143" spans="1:27" x14ac:dyDescent="0.3">
      <c r="A143" s="25"/>
      <c r="B143" s="25" t="s">
        <v>712</v>
      </c>
      <c r="C143" s="25" t="s">
        <v>731</v>
      </c>
      <c r="D143" s="25" t="s">
        <v>725</v>
      </c>
      <c r="E143" s="92"/>
      <c r="F143" s="31"/>
      <c r="G143" s="31"/>
      <c r="H143" s="26"/>
      <c r="I143" s="93"/>
      <c r="J143" s="26"/>
      <c r="K143" s="26"/>
      <c r="L143" s="26"/>
      <c r="M143" s="26"/>
      <c r="N143" s="26"/>
      <c r="O143" s="26"/>
      <c r="P143" s="26">
        <v>-10193.84</v>
      </c>
      <c r="Q143" s="26">
        <v>10193.84</v>
      </c>
      <c r="R143" s="26">
        <v>0</v>
      </c>
      <c r="S143" s="26">
        <v>0</v>
      </c>
      <c r="T143" s="26"/>
      <c r="U143" s="26">
        <v>10193.84</v>
      </c>
      <c r="V143" s="26">
        <f t="shared" si="13"/>
        <v>10193.84</v>
      </c>
      <c r="W143" s="26">
        <f t="shared" si="14"/>
        <v>0</v>
      </c>
      <c r="X143" s="26"/>
      <c r="Y143" s="26">
        <v>-10193.84</v>
      </c>
      <c r="Z143" s="26">
        <f t="shared" si="15"/>
        <v>0</v>
      </c>
      <c r="AA143" s="25" t="s">
        <v>732</v>
      </c>
    </row>
    <row r="144" spans="1:27" x14ac:dyDescent="0.3">
      <c r="A144" s="25">
        <v>5063</v>
      </c>
      <c r="B144" s="25" t="s">
        <v>25</v>
      </c>
      <c r="C144" s="25" t="s">
        <v>278</v>
      </c>
      <c r="D144" s="25" t="s">
        <v>277</v>
      </c>
      <c r="E144" s="94">
        <v>175000</v>
      </c>
      <c r="F144" s="31">
        <v>43862</v>
      </c>
      <c r="G144" s="31">
        <v>44228</v>
      </c>
      <c r="H144" s="26"/>
      <c r="I144" s="30">
        <f>VLOOKUP(C144,[1]Hoja1!G:H,2,FALSE)</f>
        <v>4.4000000000000004</v>
      </c>
      <c r="J144" s="27"/>
      <c r="K144" s="27"/>
      <c r="L144" s="27"/>
      <c r="M144" s="27"/>
      <c r="N144" s="27"/>
      <c r="O144" s="27"/>
      <c r="P144" s="27"/>
      <c r="Q144" s="27"/>
      <c r="R144" s="27"/>
      <c r="S144" s="26">
        <v>0</v>
      </c>
      <c r="T144" s="27"/>
      <c r="U144" s="27"/>
      <c r="V144" s="27"/>
      <c r="W144" s="26">
        <f>(+$E144*$I144%)/360*60</f>
        <v>1283.3333333333335</v>
      </c>
      <c r="X144" s="27"/>
      <c r="Y144" s="27"/>
      <c r="Z144" s="26">
        <f t="shared" si="15"/>
        <v>1283.3333333333335</v>
      </c>
      <c r="AA144" s="25"/>
    </row>
    <row r="145" spans="1:27" x14ac:dyDescent="0.3">
      <c r="A145" s="25">
        <v>5005</v>
      </c>
      <c r="B145" s="25" t="s">
        <v>265</v>
      </c>
      <c r="C145" s="25" t="s">
        <v>276</v>
      </c>
      <c r="D145" s="25" t="s">
        <v>275</v>
      </c>
      <c r="E145" s="94">
        <v>15300</v>
      </c>
      <c r="F145" s="31">
        <v>43865</v>
      </c>
      <c r="G145" s="31">
        <v>44231</v>
      </c>
      <c r="H145" s="26"/>
      <c r="I145" s="30">
        <f>VLOOKUP(C145,[1]Hoja1!G:H,2,FALSE)</f>
        <v>6.9</v>
      </c>
      <c r="J145" s="27"/>
      <c r="K145" s="27"/>
      <c r="L145" s="27"/>
      <c r="M145" s="27"/>
      <c r="N145" s="27"/>
      <c r="O145" s="27"/>
      <c r="P145" s="27"/>
      <c r="Q145" s="27"/>
      <c r="R145" s="27"/>
      <c r="S145" s="26">
        <v>0</v>
      </c>
      <c r="T145" s="27"/>
      <c r="U145" s="27"/>
      <c r="V145" s="27"/>
      <c r="W145" s="26">
        <f>(+$E145*$I145%)/360*56</f>
        <v>164.22</v>
      </c>
      <c r="X145" s="27"/>
      <c r="Y145" s="27"/>
      <c r="Z145" s="26">
        <f t="shared" si="15"/>
        <v>164.22</v>
      </c>
      <c r="AA145" s="25"/>
    </row>
    <row r="146" spans="1:27" x14ac:dyDescent="0.3">
      <c r="A146" s="25">
        <v>5028</v>
      </c>
      <c r="B146" s="25" t="s">
        <v>274</v>
      </c>
      <c r="C146" s="25" t="s">
        <v>273</v>
      </c>
      <c r="D146" s="25" t="s">
        <v>272</v>
      </c>
      <c r="E146" s="94">
        <v>1400000</v>
      </c>
      <c r="F146" s="31">
        <v>43865</v>
      </c>
      <c r="G146" s="31">
        <v>44231</v>
      </c>
      <c r="H146" s="26"/>
      <c r="I146" s="30">
        <f>VLOOKUP(C146,[1]Hoja1!G:H,2,FALSE)</f>
        <v>7.9</v>
      </c>
      <c r="J146" s="27"/>
      <c r="K146" s="27"/>
      <c r="L146" s="27"/>
      <c r="M146" s="27"/>
      <c r="N146" s="27"/>
      <c r="O146" s="27"/>
      <c r="P146" s="27"/>
      <c r="Q146" s="27"/>
      <c r="R146" s="27"/>
      <c r="S146" s="26">
        <v>0</v>
      </c>
      <c r="T146" s="27"/>
      <c r="U146" s="27"/>
      <c r="V146" s="27"/>
      <c r="W146" s="26">
        <f>(+$E146*$I146%)/360*56</f>
        <v>17204.444444444445</v>
      </c>
      <c r="X146" s="27"/>
      <c r="Y146" s="27"/>
      <c r="Z146" s="26">
        <f t="shared" si="15"/>
        <v>17204.444444444445</v>
      </c>
      <c r="AA146" s="25"/>
    </row>
    <row r="147" spans="1:27" x14ac:dyDescent="0.3">
      <c r="A147" s="25">
        <v>5060</v>
      </c>
      <c r="B147" s="25" t="s">
        <v>37</v>
      </c>
      <c r="C147" s="25" t="s">
        <v>270</v>
      </c>
      <c r="D147" s="25" t="s">
        <v>271</v>
      </c>
      <c r="E147" s="94">
        <v>130000</v>
      </c>
      <c r="F147" s="31">
        <v>43866</v>
      </c>
      <c r="G147" s="31">
        <v>44232</v>
      </c>
      <c r="H147" s="26"/>
      <c r="I147" s="30">
        <f>VLOOKUP(C147,[1]Hoja1!G:H,2,FALSE)</f>
        <v>2.9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6">
        <v>0</v>
      </c>
      <c r="T147" s="27"/>
      <c r="U147" s="27"/>
      <c r="V147" s="27"/>
      <c r="W147" s="26">
        <f>(+$E147*$I147%)/360*55</f>
        <v>575.97222222222217</v>
      </c>
      <c r="X147" s="27"/>
      <c r="Y147" s="27"/>
      <c r="Z147" s="26">
        <f t="shared" si="15"/>
        <v>575.97222222222217</v>
      </c>
      <c r="AA147" s="25"/>
    </row>
    <row r="148" spans="1:27" x14ac:dyDescent="0.3">
      <c r="A148" s="25">
        <v>5057</v>
      </c>
      <c r="B148" s="25" t="s">
        <v>268</v>
      </c>
      <c r="C148" s="25" t="s">
        <v>267</v>
      </c>
      <c r="D148" s="25" t="s">
        <v>266</v>
      </c>
      <c r="E148" s="94">
        <v>500000</v>
      </c>
      <c r="F148" s="31">
        <v>43866</v>
      </c>
      <c r="G148" s="31">
        <v>44232</v>
      </c>
      <c r="H148" s="26"/>
      <c r="I148" s="30">
        <f>VLOOKUP(C148,[1]Hoja1!G:H,2,FALSE)</f>
        <v>3.4</v>
      </c>
      <c r="J148" s="27"/>
      <c r="K148" s="27"/>
      <c r="L148" s="27"/>
      <c r="M148" s="27"/>
      <c r="N148" s="27"/>
      <c r="O148" s="27"/>
      <c r="P148" s="27"/>
      <c r="Q148" s="27"/>
      <c r="R148" s="27"/>
      <c r="S148" s="26">
        <v>0</v>
      </c>
      <c r="T148" s="27"/>
      <c r="U148" s="27"/>
      <c r="V148" s="27"/>
      <c r="W148" s="26">
        <f>(+$E148*$I148%)/360*55</f>
        <v>2597.2222222222222</v>
      </c>
      <c r="X148" s="27"/>
      <c r="Y148" s="27"/>
      <c r="Z148" s="26">
        <f t="shared" si="15"/>
        <v>2597.2222222222222</v>
      </c>
      <c r="AA148" s="25"/>
    </row>
    <row r="149" spans="1:27" x14ac:dyDescent="0.3">
      <c r="A149" s="25">
        <v>5005</v>
      </c>
      <c r="B149" s="25" t="s">
        <v>265</v>
      </c>
      <c r="C149" s="25" t="s">
        <v>264</v>
      </c>
      <c r="D149" s="25" t="s">
        <v>263</v>
      </c>
      <c r="E149" s="94">
        <v>188600</v>
      </c>
      <c r="F149" s="31">
        <v>43867</v>
      </c>
      <c r="G149" s="31">
        <v>44233</v>
      </c>
      <c r="H149" s="26"/>
      <c r="I149" s="30">
        <f>VLOOKUP(C149,[1]Hoja1!G:H,2,FALSE)</f>
        <v>6.9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6">
        <v>0</v>
      </c>
      <c r="T149" s="27"/>
      <c r="U149" s="27"/>
      <c r="V149" s="27"/>
      <c r="W149" s="26">
        <f>(+$E149*$I149%)/360*54</f>
        <v>1952.0100000000004</v>
      </c>
      <c r="X149" s="27"/>
      <c r="Y149" s="27"/>
      <c r="Z149" s="26">
        <f t="shared" si="15"/>
        <v>1952.0100000000004</v>
      </c>
      <c r="AA149" s="25"/>
    </row>
    <row r="150" spans="1:27" x14ac:dyDescent="0.3">
      <c r="A150" s="25">
        <v>5028</v>
      </c>
      <c r="B150" s="25" t="s">
        <v>262</v>
      </c>
      <c r="C150" s="25" t="s">
        <v>261</v>
      </c>
      <c r="D150" s="25" t="s">
        <v>260</v>
      </c>
      <c r="E150" s="94">
        <v>300000</v>
      </c>
      <c r="F150" s="31">
        <v>43865</v>
      </c>
      <c r="G150" s="31">
        <v>44231</v>
      </c>
      <c r="H150" s="26"/>
      <c r="I150" s="30">
        <f>VLOOKUP(C150,[1]Hoja1!G:H,2,FALSE)</f>
        <v>7.9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6">
        <v>0</v>
      </c>
      <c r="T150" s="27"/>
      <c r="U150" s="27"/>
      <c r="V150" s="27"/>
      <c r="W150" s="26">
        <f>(+$E150*$I150%)/360*56</f>
        <v>3686.6666666666665</v>
      </c>
      <c r="X150" s="27"/>
      <c r="Y150" s="27"/>
      <c r="Z150" s="26">
        <f t="shared" si="15"/>
        <v>3686.6666666666665</v>
      </c>
      <c r="AA150" s="25"/>
    </row>
    <row r="151" spans="1:27" x14ac:dyDescent="0.3">
      <c r="A151" s="25">
        <v>5060</v>
      </c>
      <c r="B151" s="25" t="s">
        <v>19</v>
      </c>
      <c r="C151" s="25" t="s">
        <v>259</v>
      </c>
      <c r="D151" s="25" t="s">
        <v>258</v>
      </c>
      <c r="E151" s="94">
        <v>72500</v>
      </c>
      <c r="F151" s="31">
        <v>43864</v>
      </c>
      <c r="G151" s="31">
        <v>44230</v>
      </c>
      <c r="H151" s="26"/>
      <c r="I151" s="30">
        <f>VLOOKUP(C151,[1]Hoja1!G:H,2,FALSE)</f>
        <v>1.9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6">
        <v>0</v>
      </c>
      <c r="T151" s="27"/>
      <c r="U151" s="27"/>
      <c r="V151" s="27"/>
      <c r="W151" s="26">
        <f>(+$E151*$I151%)/360*57</f>
        <v>218.10416666666666</v>
      </c>
      <c r="X151" s="27"/>
      <c r="Y151" s="27"/>
      <c r="Z151" s="26">
        <f t="shared" si="15"/>
        <v>218.10416666666666</v>
      </c>
      <c r="AA151" s="25"/>
    </row>
    <row r="152" spans="1:27" x14ac:dyDescent="0.3">
      <c r="A152" s="25">
        <v>5060</v>
      </c>
      <c r="B152" s="25" t="s">
        <v>19</v>
      </c>
      <c r="C152" s="25" t="s">
        <v>257</v>
      </c>
      <c r="D152" s="25" t="s">
        <v>256</v>
      </c>
      <c r="E152" s="94">
        <v>90000</v>
      </c>
      <c r="F152" s="31">
        <v>43864</v>
      </c>
      <c r="G152" s="31">
        <v>44230</v>
      </c>
      <c r="H152" s="26"/>
      <c r="I152" s="30">
        <f>VLOOKUP(C152,[1]Hoja1!G:H,2,FALSE)</f>
        <v>1.9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6">
        <v>0</v>
      </c>
      <c r="T152" s="27"/>
      <c r="U152" s="27"/>
      <c r="V152" s="27"/>
      <c r="W152" s="26">
        <f>(+$E152*$I152%)/360*57</f>
        <v>270.75</v>
      </c>
      <c r="X152" s="27"/>
      <c r="Y152" s="27"/>
      <c r="Z152" s="26">
        <f t="shared" si="15"/>
        <v>270.75</v>
      </c>
      <c r="AA152" s="25"/>
    </row>
    <row r="153" spans="1:27" x14ac:dyDescent="0.3">
      <c r="A153" s="25">
        <v>5055</v>
      </c>
      <c r="B153" s="25" t="s">
        <v>56</v>
      </c>
      <c r="C153" s="25" t="s">
        <v>255</v>
      </c>
      <c r="D153" s="25" t="s">
        <v>254</v>
      </c>
      <c r="E153" s="94">
        <v>1000000</v>
      </c>
      <c r="F153" s="31">
        <v>43878</v>
      </c>
      <c r="G153" s="31">
        <v>44244</v>
      </c>
      <c r="H153" s="26"/>
      <c r="I153" s="30">
        <f>VLOOKUP(C153,[1]Hoja1!G:H,2,FALSE)</f>
        <v>5.4</v>
      </c>
      <c r="J153" s="27"/>
      <c r="K153" s="27"/>
      <c r="L153" s="27"/>
      <c r="M153" s="27"/>
      <c r="N153" s="27"/>
      <c r="O153" s="27"/>
      <c r="P153" s="27"/>
      <c r="Q153" s="27"/>
      <c r="R153" s="27"/>
      <c r="S153" s="26">
        <v>0</v>
      </c>
      <c r="T153" s="27"/>
      <c r="U153" s="27"/>
      <c r="V153" s="27"/>
      <c r="W153" s="26">
        <f>(+$E153*$I153%)/360*43</f>
        <v>6450.0000000000009</v>
      </c>
      <c r="X153" s="27"/>
      <c r="Y153" s="27"/>
      <c r="Z153" s="26">
        <f t="shared" si="15"/>
        <v>6450.0000000000009</v>
      </c>
      <c r="AA153" s="25"/>
    </row>
    <row r="154" spans="1:27" x14ac:dyDescent="0.3">
      <c r="A154" s="25">
        <v>5055</v>
      </c>
      <c r="B154" s="25" t="s">
        <v>56</v>
      </c>
      <c r="C154" s="25" t="s">
        <v>253</v>
      </c>
      <c r="D154" s="25" t="s">
        <v>252</v>
      </c>
      <c r="E154" s="94">
        <v>1500000</v>
      </c>
      <c r="F154" s="31">
        <v>43879</v>
      </c>
      <c r="G154" s="31">
        <v>44245</v>
      </c>
      <c r="H154" s="26"/>
      <c r="I154" s="30">
        <f>VLOOKUP(C154,[1]Hoja1!G:H,2,FALSE)</f>
        <v>6.9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6">
        <v>0</v>
      </c>
      <c r="T154" s="27"/>
      <c r="U154" s="27"/>
      <c r="V154" s="27"/>
      <c r="W154" s="26">
        <f>(+$E154*$I154%)/360*42</f>
        <v>12075.000000000002</v>
      </c>
      <c r="X154" s="27"/>
      <c r="Y154" s="27"/>
      <c r="Z154" s="26">
        <f t="shared" si="15"/>
        <v>12075.000000000002</v>
      </c>
      <c r="AA154" s="25"/>
    </row>
    <row r="155" spans="1:27" x14ac:dyDescent="0.3">
      <c r="A155" s="25">
        <v>5063</v>
      </c>
      <c r="B155" s="25" t="s">
        <v>77</v>
      </c>
      <c r="C155" s="25" t="s">
        <v>251</v>
      </c>
      <c r="D155" s="25" t="s">
        <v>250</v>
      </c>
      <c r="E155" s="94">
        <v>23000</v>
      </c>
      <c r="F155" s="31">
        <v>43880</v>
      </c>
      <c r="G155" s="31">
        <v>44246</v>
      </c>
      <c r="H155" s="26"/>
      <c r="I155" s="30">
        <f>VLOOKUP(C155,[1]Hoja1!G:H,2,FALSE)</f>
        <v>5.4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6">
        <v>0</v>
      </c>
      <c r="T155" s="27"/>
      <c r="U155" s="27"/>
      <c r="V155" s="27"/>
      <c r="W155" s="26">
        <f>(+$E155*$I155%)/360*42</f>
        <v>144.90000000000003</v>
      </c>
      <c r="X155" s="27"/>
      <c r="Y155" s="27"/>
      <c r="Z155" s="26">
        <f t="shared" si="15"/>
        <v>144.90000000000003</v>
      </c>
      <c r="AA155" s="25"/>
    </row>
    <row r="156" spans="1:27" x14ac:dyDescent="0.3">
      <c r="A156" s="25">
        <v>5060</v>
      </c>
      <c r="B156" s="25" t="s">
        <v>16</v>
      </c>
      <c r="C156" s="25" t="s">
        <v>249</v>
      </c>
      <c r="D156" s="25" t="s">
        <v>248</v>
      </c>
      <c r="E156" s="94">
        <v>87500</v>
      </c>
      <c r="F156" s="31">
        <v>43880</v>
      </c>
      <c r="G156" s="31">
        <v>44246</v>
      </c>
      <c r="H156" s="26"/>
      <c r="I156" s="30">
        <f>VLOOKUP(C156,[1]Hoja1!G:H,2,FALSE)</f>
        <v>1.9</v>
      </c>
      <c r="J156" s="27"/>
      <c r="K156" s="27"/>
      <c r="L156" s="27"/>
      <c r="M156" s="27"/>
      <c r="N156" s="27"/>
      <c r="O156" s="27"/>
      <c r="P156" s="27"/>
      <c r="Q156" s="27"/>
      <c r="R156" s="27"/>
      <c r="S156" s="26">
        <v>0</v>
      </c>
      <c r="T156" s="27"/>
      <c r="U156" s="27"/>
      <c r="V156" s="27"/>
      <c r="W156" s="26">
        <f>(+$E156*$I156%)/360*41</f>
        <v>189.34027777777777</v>
      </c>
      <c r="X156" s="27"/>
      <c r="Y156" s="27"/>
      <c r="Z156" s="26">
        <f t="shared" si="15"/>
        <v>189.34027777777777</v>
      </c>
      <c r="AA156" s="25"/>
    </row>
    <row r="157" spans="1:27" x14ac:dyDescent="0.3">
      <c r="A157" s="25">
        <v>5060</v>
      </c>
      <c r="B157" s="25" t="s">
        <v>19</v>
      </c>
      <c r="C157" s="25" t="s">
        <v>247</v>
      </c>
      <c r="D157" s="25" t="s">
        <v>246</v>
      </c>
      <c r="E157" s="94">
        <v>87500</v>
      </c>
      <c r="F157" s="31">
        <v>43880</v>
      </c>
      <c r="G157" s="31">
        <v>44246</v>
      </c>
      <c r="H157" s="26"/>
      <c r="I157" s="30">
        <f>VLOOKUP(C157,[1]Hoja1!G:H,2,FALSE)</f>
        <v>1.9</v>
      </c>
      <c r="J157" s="27"/>
      <c r="K157" s="27"/>
      <c r="L157" s="27"/>
      <c r="M157" s="27"/>
      <c r="N157" s="27"/>
      <c r="O157" s="27"/>
      <c r="P157" s="27"/>
      <c r="Q157" s="27"/>
      <c r="R157" s="27"/>
      <c r="S157" s="26">
        <v>0</v>
      </c>
      <c r="T157" s="27"/>
      <c r="U157" s="27"/>
      <c r="V157" s="27"/>
      <c r="W157" s="26">
        <f>(+$E157*$I157%)/360*41</f>
        <v>189.34027777777777</v>
      </c>
      <c r="X157" s="27"/>
      <c r="Y157" s="27"/>
      <c r="Z157" s="26">
        <f t="shared" si="15"/>
        <v>189.34027777777777</v>
      </c>
      <c r="AA157" s="25"/>
    </row>
    <row r="158" spans="1:27" x14ac:dyDescent="0.3">
      <c r="A158" s="25">
        <v>5063</v>
      </c>
      <c r="B158" s="25" t="s">
        <v>13</v>
      </c>
      <c r="C158" s="25" t="s">
        <v>245</v>
      </c>
      <c r="D158" s="25" t="s">
        <v>244</v>
      </c>
      <c r="E158" s="94">
        <v>100000</v>
      </c>
      <c r="F158" s="31">
        <v>43881</v>
      </c>
      <c r="G158" s="31">
        <v>44247</v>
      </c>
      <c r="H158" s="26"/>
      <c r="I158" s="30">
        <f>VLOOKUP(C158,[1]Hoja1!G:H,2,FALSE)</f>
        <v>8.9</v>
      </c>
      <c r="J158" s="27"/>
      <c r="K158" s="27"/>
      <c r="L158" s="27"/>
      <c r="M158" s="27"/>
      <c r="N158" s="27"/>
      <c r="O158" s="27"/>
      <c r="P158" s="27"/>
      <c r="Q158" s="27"/>
      <c r="R158" s="27"/>
      <c r="S158" s="26">
        <v>0</v>
      </c>
      <c r="T158" s="27"/>
      <c r="U158" s="27"/>
      <c r="V158" s="27"/>
      <c r="W158" s="26">
        <f>(+$E158*$I158%)/360*40</f>
        <v>988.88888888888914</v>
      </c>
      <c r="X158" s="27"/>
      <c r="Y158" s="27"/>
      <c r="Z158" s="26">
        <f t="shared" si="15"/>
        <v>988.88888888888914</v>
      </c>
      <c r="AA158" s="25"/>
    </row>
    <row r="159" spans="1:27" x14ac:dyDescent="0.3">
      <c r="A159" s="25">
        <v>5063</v>
      </c>
      <c r="B159" s="25" t="s">
        <v>25</v>
      </c>
      <c r="C159" s="25" t="s">
        <v>243</v>
      </c>
      <c r="D159" s="25" t="s">
        <v>242</v>
      </c>
      <c r="E159" s="94">
        <v>122500</v>
      </c>
      <c r="F159" s="31">
        <v>43891</v>
      </c>
      <c r="G159" s="31">
        <v>44256</v>
      </c>
      <c r="H159" s="26"/>
      <c r="I159" s="30">
        <f>VLOOKUP(C159,[1]Hoja1!G:H,2,FALSE)</f>
        <v>4.4000000000000004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6">
        <f>(+$E159*$I159%)/360*29</f>
        <v>434.19444444444451</v>
      </c>
      <c r="X159" s="27"/>
      <c r="Y159" s="27"/>
      <c r="Z159" s="26">
        <f t="shared" si="15"/>
        <v>434.19444444444451</v>
      </c>
      <c r="AA159" s="25"/>
    </row>
    <row r="160" spans="1:27" x14ac:dyDescent="0.3">
      <c r="A160" s="25">
        <v>5056</v>
      </c>
      <c r="B160" s="25" t="s">
        <v>124</v>
      </c>
      <c r="C160" s="25" t="s">
        <v>241</v>
      </c>
      <c r="D160" s="25" t="s">
        <v>240</v>
      </c>
      <c r="E160" s="94">
        <v>200000</v>
      </c>
      <c r="F160" s="31">
        <v>43892</v>
      </c>
      <c r="G160" s="31">
        <v>44257</v>
      </c>
      <c r="H160" s="26"/>
      <c r="I160" s="30">
        <f>VLOOKUP(C160,[1]Hoja1!G:H,2,FALSE)</f>
        <v>5.9</v>
      </c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6">
        <f>(+$E160*$I160%)/360*28</f>
        <v>917.77777777777783</v>
      </c>
      <c r="X160" s="27"/>
      <c r="Y160" s="27"/>
      <c r="Z160" s="26">
        <f t="shared" si="15"/>
        <v>917.77777777777783</v>
      </c>
      <c r="AA160" s="25"/>
    </row>
    <row r="161" spans="1:27" x14ac:dyDescent="0.3">
      <c r="A161" s="25">
        <v>5040</v>
      </c>
      <c r="B161" s="25" t="s">
        <v>82</v>
      </c>
      <c r="C161" s="25" t="s">
        <v>239</v>
      </c>
      <c r="D161" s="25" t="s">
        <v>238</v>
      </c>
      <c r="E161" s="94">
        <v>22652.99</v>
      </c>
      <c r="F161" s="31">
        <v>43894</v>
      </c>
      <c r="G161" s="31">
        <v>44259</v>
      </c>
      <c r="H161" s="26"/>
      <c r="I161" s="30">
        <f>VLOOKUP(C161,[1]Hoja1!G:H,2,FALSE)</f>
        <v>6.15</v>
      </c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6">
        <f>(+$E161*$I161%)/360*26</f>
        <v>100.61703058333335</v>
      </c>
      <c r="X161" s="27"/>
      <c r="Y161" s="27"/>
      <c r="Z161" s="26">
        <f t="shared" si="15"/>
        <v>100.61703058333335</v>
      </c>
      <c r="AA161" s="25"/>
    </row>
    <row r="162" spans="1:27" x14ac:dyDescent="0.3">
      <c r="A162" s="25">
        <v>5056</v>
      </c>
      <c r="B162" s="25" t="s">
        <v>124</v>
      </c>
      <c r="C162" s="25" t="s">
        <v>237</v>
      </c>
      <c r="D162" s="25" t="s">
        <v>236</v>
      </c>
      <c r="E162" s="94">
        <v>50000</v>
      </c>
      <c r="F162" s="31">
        <v>43902</v>
      </c>
      <c r="G162" s="31">
        <v>44267</v>
      </c>
      <c r="H162" s="26"/>
      <c r="I162" s="30">
        <f>VLOOKUP(C162,[1]Hoja1!G:H,2,FALSE)</f>
        <v>4.9000000000000004</v>
      </c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6">
        <f>(+$E162*$I162%)/360*18</f>
        <v>122.5</v>
      </c>
      <c r="X162" s="27"/>
      <c r="Y162" s="27"/>
      <c r="Z162" s="26">
        <f t="shared" si="15"/>
        <v>122.5</v>
      </c>
      <c r="AA162" s="25"/>
    </row>
    <row r="163" spans="1:27" x14ac:dyDescent="0.3">
      <c r="A163" s="25">
        <v>5060</v>
      </c>
      <c r="B163" s="25" t="s">
        <v>16</v>
      </c>
      <c r="C163" s="25" t="s">
        <v>235</v>
      </c>
      <c r="D163" s="25" t="s">
        <v>234</v>
      </c>
      <c r="E163" s="94">
        <v>72500</v>
      </c>
      <c r="F163" s="31">
        <v>43903</v>
      </c>
      <c r="G163" s="31">
        <v>44268</v>
      </c>
      <c r="H163" s="26"/>
      <c r="I163" s="30">
        <f>VLOOKUP(C163,[1]Hoja1!G:H,2,FALSE)</f>
        <v>1.9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6">
        <f>(+$E163*$I163%)/360*17</f>
        <v>65.048611111111114</v>
      </c>
      <c r="X163" s="27"/>
      <c r="Y163" s="27"/>
      <c r="Z163" s="26">
        <f t="shared" si="15"/>
        <v>65.048611111111114</v>
      </c>
      <c r="AA163" s="25"/>
    </row>
    <row r="164" spans="1:27" x14ac:dyDescent="0.3">
      <c r="A164" s="43">
        <v>5060</v>
      </c>
      <c r="B164" s="43" t="s">
        <v>233</v>
      </c>
      <c r="C164" s="43" t="s">
        <v>232</v>
      </c>
      <c r="D164" s="43" t="s">
        <v>231</v>
      </c>
      <c r="E164" s="94">
        <v>80000</v>
      </c>
      <c r="F164" s="45">
        <v>43903</v>
      </c>
      <c r="G164" s="31">
        <v>44268</v>
      </c>
      <c r="H164" s="26"/>
      <c r="I164" s="30">
        <f>VLOOKUP(C164,[1]Hoja1!G:H,2,FALSE)</f>
        <v>5.65</v>
      </c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6">
        <f>(+$E164*$I164%)/360*17</f>
        <v>213.44444444444443</v>
      </c>
      <c r="X164" s="27"/>
      <c r="Y164" s="27"/>
      <c r="Z164" s="26">
        <f t="shared" si="15"/>
        <v>213.44444444444443</v>
      </c>
      <c r="AA164" s="25"/>
    </row>
    <row r="165" spans="1:27" x14ac:dyDescent="0.3">
      <c r="A165" s="25">
        <v>5063</v>
      </c>
      <c r="B165" s="25" t="s">
        <v>13</v>
      </c>
      <c r="C165" s="25" t="s">
        <v>230</v>
      </c>
      <c r="D165" s="25" t="s">
        <v>229</v>
      </c>
      <c r="E165" s="92">
        <v>100000</v>
      </c>
      <c r="F165" s="31">
        <v>43904</v>
      </c>
      <c r="G165" s="31">
        <v>44269</v>
      </c>
      <c r="H165" s="26"/>
      <c r="I165" s="30">
        <f>VLOOKUP(C165,[1]Hoja1!G:H,2,FALSE)</f>
        <v>4.6500000000000004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6">
        <f>(+$E165*$I165%)/360*16</f>
        <v>206.66666666666671</v>
      </c>
      <c r="X165" s="27"/>
      <c r="Y165" s="27"/>
      <c r="Z165" s="26">
        <f t="shared" si="15"/>
        <v>206.66666666666671</v>
      </c>
      <c r="AA165" s="25"/>
    </row>
    <row r="166" spans="1:27" x14ac:dyDescent="0.3">
      <c r="A166" s="25">
        <v>5057</v>
      </c>
      <c r="B166" s="25" t="s">
        <v>74</v>
      </c>
      <c r="C166" s="25" t="s">
        <v>228</v>
      </c>
      <c r="D166" s="25" t="s">
        <v>227</v>
      </c>
      <c r="E166" s="92">
        <v>100000</v>
      </c>
      <c r="F166" s="31">
        <v>43910</v>
      </c>
      <c r="G166" s="31">
        <v>44275</v>
      </c>
      <c r="H166" s="26"/>
      <c r="I166" s="30">
        <f>VLOOKUP(C166,[1]Hoja1!G:H,2,FALSE)</f>
        <v>3.4</v>
      </c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6">
        <f>(+$E166*$I166%)/360*10</f>
        <v>94.444444444444457</v>
      </c>
      <c r="X166" s="27"/>
      <c r="Y166" s="27"/>
      <c r="Z166" s="26">
        <f t="shared" si="15"/>
        <v>94.444444444444457</v>
      </c>
      <c r="AA166" s="25"/>
    </row>
    <row r="167" spans="1:27" x14ac:dyDescent="0.3">
      <c r="A167" s="25">
        <v>5003</v>
      </c>
      <c r="B167" s="25" t="s">
        <v>148</v>
      </c>
      <c r="C167" s="25" t="s">
        <v>733</v>
      </c>
      <c r="D167" s="25" t="s">
        <v>734</v>
      </c>
      <c r="E167" s="92">
        <v>150000</v>
      </c>
      <c r="F167" s="31">
        <v>43614</v>
      </c>
      <c r="G167" s="31">
        <v>43980</v>
      </c>
      <c r="H167" s="26"/>
      <c r="I167" s="92">
        <v>5.9161599999999996</v>
      </c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5">
        <v>0</v>
      </c>
      <c r="X167" s="27"/>
      <c r="Y167" s="26">
        <v>7567.7546666666667</v>
      </c>
      <c r="Z167" s="26">
        <f t="shared" si="15"/>
        <v>7567.7546666666667</v>
      </c>
      <c r="AA167" s="25" t="s">
        <v>735</v>
      </c>
    </row>
    <row r="168" spans="1:27" x14ac:dyDescent="0.3">
      <c r="A168" s="25">
        <v>5062</v>
      </c>
      <c r="B168" s="25" t="s">
        <v>85</v>
      </c>
      <c r="C168" s="25" t="s">
        <v>226</v>
      </c>
      <c r="D168" s="25" t="s">
        <v>225</v>
      </c>
      <c r="E168" s="92">
        <v>315230</v>
      </c>
      <c r="F168" s="31">
        <v>43795</v>
      </c>
      <c r="G168" s="31">
        <v>44044</v>
      </c>
      <c r="H168" s="26"/>
      <c r="I168" s="92">
        <v>7.4202700000000004</v>
      </c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5">
        <v>0</v>
      </c>
      <c r="X168" s="27"/>
      <c r="Y168" s="26">
        <v>8186.8209923500008</v>
      </c>
      <c r="Z168" s="26">
        <f t="shared" si="15"/>
        <v>8186.8209923500008</v>
      </c>
      <c r="AA168" s="25" t="s">
        <v>735</v>
      </c>
    </row>
    <row r="169" spans="1:27" x14ac:dyDescent="0.3">
      <c r="A169" s="25">
        <v>5060</v>
      </c>
      <c r="B169" s="25" t="s">
        <v>16</v>
      </c>
      <c r="C169" s="25" t="s">
        <v>224</v>
      </c>
      <c r="D169" s="25" t="s">
        <v>223</v>
      </c>
      <c r="E169" s="92">
        <v>330000</v>
      </c>
      <c r="F169" s="31">
        <v>43733</v>
      </c>
      <c r="G169" s="31">
        <v>44099</v>
      </c>
      <c r="H169" s="26"/>
      <c r="I169" s="92">
        <v>1.9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5">
        <v>0</v>
      </c>
      <c r="X169" s="27"/>
      <c r="Y169" s="26">
        <v>3274.3333333333335</v>
      </c>
      <c r="Z169" s="26">
        <f t="shared" si="15"/>
        <v>3274.3333333333335</v>
      </c>
      <c r="AA169" s="25" t="s">
        <v>735</v>
      </c>
    </row>
    <row r="170" spans="1:27" x14ac:dyDescent="0.3">
      <c r="A170" s="25">
        <v>5060</v>
      </c>
      <c r="B170" s="25" t="s">
        <v>40</v>
      </c>
      <c r="C170" s="25" t="s">
        <v>222</v>
      </c>
      <c r="D170" s="25" t="s">
        <v>221</v>
      </c>
      <c r="E170" s="92">
        <v>1100000</v>
      </c>
      <c r="F170" s="31">
        <v>43665</v>
      </c>
      <c r="G170" s="31">
        <v>44031</v>
      </c>
      <c r="H170" s="26"/>
      <c r="I170" s="92">
        <v>6.4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5">
        <v>0</v>
      </c>
      <c r="X170" s="27"/>
      <c r="Y170" s="26">
        <v>50062.222222222219</v>
      </c>
      <c r="Z170" s="26">
        <f t="shared" si="15"/>
        <v>50062.222222222219</v>
      </c>
      <c r="AA170" s="25" t="s">
        <v>735</v>
      </c>
    </row>
    <row r="171" spans="1:27" x14ac:dyDescent="0.3">
      <c r="A171" s="25">
        <v>5031</v>
      </c>
      <c r="B171" s="25" t="s">
        <v>7</v>
      </c>
      <c r="C171" s="25" t="s">
        <v>220</v>
      </c>
      <c r="D171" s="25" t="s">
        <v>219</v>
      </c>
      <c r="E171" s="92">
        <v>465000</v>
      </c>
      <c r="F171" s="31">
        <v>43733</v>
      </c>
      <c r="G171" s="31">
        <v>44099</v>
      </c>
      <c r="H171" s="26"/>
      <c r="I171" s="92">
        <v>6.4</v>
      </c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5">
        <v>0</v>
      </c>
      <c r="X171" s="27"/>
      <c r="Y171" s="26">
        <v>15541.333333333334</v>
      </c>
      <c r="Z171" s="26">
        <f t="shared" si="15"/>
        <v>15541.333333333334</v>
      </c>
      <c r="AA171" s="25" t="s">
        <v>735</v>
      </c>
    </row>
    <row r="172" spans="1:27" x14ac:dyDescent="0.3">
      <c r="A172" s="25">
        <v>5055</v>
      </c>
      <c r="B172" s="25" t="s">
        <v>53</v>
      </c>
      <c r="C172" s="25" t="s">
        <v>217</v>
      </c>
      <c r="D172" s="25" t="s">
        <v>216</v>
      </c>
      <c r="E172" s="92">
        <v>800000</v>
      </c>
      <c r="F172" s="31">
        <v>43829</v>
      </c>
      <c r="G172" s="31">
        <v>44195</v>
      </c>
      <c r="H172" s="26"/>
      <c r="I172" s="92">
        <v>6.85</v>
      </c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5">
        <v>0</v>
      </c>
      <c r="X172" s="27"/>
      <c r="Y172" s="26">
        <v>14004.444444444442</v>
      </c>
      <c r="Z172" s="26">
        <f t="shared" si="15"/>
        <v>14004.444444444442</v>
      </c>
      <c r="AA172" s="25" t="s">
        <v>735</v>
      </c>
    </row>
    <row r="173" spans="1:27" x14ac:dyDescent="0.3">
      <c r="A173" s="90"/>
      <c r="B173" s="90"/>
      <c r="C173" s="90"/>
      <c r="D173" s="90"/>
      <c r="E173" s="91"/>
      <c r="F173" s="31"/>
      <c r="G173" s="31"/>
      <c r="H173" s="26"/>
      <c r="I173" s="30"/>
      <c r="J173" s="27">
        <v>0</v>
      </c>
      <c r="K173" s="27"/>
      <c r="L173" s="27"/>
      <c r="M173" s="27"/>
      <c r="N173" s="27">
        <f t="shared" ref="N173" si="16">+J173+K173+L173+M173</f>
        <v>0</v>
      </c>
      <c r="O173" s="27"/>
      <c r="P173" s="27"/>
      <c r="Q173" s="27"/>
      <c r="R173" s="27">
        <v>0</v>
      </c>
      <c r="S173" s="27"/>
      <c r="T173" s="27"/>
      <c r="U173" s="27"/>
      <c r="V173" s="27">
        <f t="shared" si="13"/>
        <v>0</v>
      </c>
      <c r="W173" s="26"/>
      <c r="X173" s="27"/>
      <c r="Y173" s="27"/>
      <c r="Z173" s="26">
        <f t="shared" si="15"/>
        <v>0</v>
      </c>
      <c r="AA173" s="25"/>
    </row>
    <row r="174" spans="1:27" ht="15" thickBot="1" x14ac:dyDescent="0.35">
      <c r="A174" s="23" t="s">
        <v>4</v>
      </c>
      <c r="B174" s="23"/>
      <c r="C174" s="23"/>
      <c r="D174" s="20"/>
      <c r="E174" s="22">
        <f>SUM(E6:E173)</f>
        <v>46412138.890000008</v>
      </c>
      <c r="F174" s="21"/>
      <c r="G174" s="21"/>
      <c r="H174" s="20"/>
      <c r="I174" s="16">
        <f>AVERAGE(I6:I67)</f>
        <v>5.4859677419354815</v>
      </c>
      <c r="J174" s="16">
        <f t="shared" ref="J174:Y174" si="17">SUM(J6:J173)</f>
        <v>781890.16629431024</v>
      </c>
      <c r="K174" s="16" t="e">
        <f t="shared" si="17"/>
        <v>#REF!</v>
      </c>
      <c r="L174" s="16">
        <f t="shared" si="17"/>
        <v>0</v>
      </c>
      <c r="M174" s="16">
        <f t="shared" si="17"/>
        <v>0</v>
      </c>
      <c r="N174" s="16" t="e">
        <f t="shared" si="17"/>
        <v>#REF!</v>
      </c>
      <c r="O174" s="16" t="e">
        <f t="shared" si="17"/>
        <v>#REF!</v>
      </c>
      <c r="P174" s="16">
        <f t="shared" si="17"/>
        <v>-74839.042000000001</v>
      </c>
      <c r="Q174" s="16">
        <f t="shared" si="17"/>
        <v>-9381.7900000000009</v>
      </c>
      <c r="R174" s="16">
        <f t="shared" si="17"/>
        <v>1138710.6289672824</v>
      </c>
      <c r="S174" s="16">
        <f t="shared" si="17"/>
        <v>231505.66476055552</v>
      </c>
      <c r="T174" s="16">
        <f t="shared" si="17"/>
        <v>-14568.11</v>
      </c>
      <c r="U174" s="16">
        <f t="shared" si="17"/>
        <v>-8860.380000000001</v>
      </c>
      <c r="V174" s="16">
        <f t="shared" si="17"/>
        <v>1346787.8037278375</v>
      </c>
      <c r="W174" s="16">
        <f t="shared" si="17"/>
        <v>220922.37049516654</v>
      </c>
      <c r="X174" s="19">
        <f t="shared" si="17"/>
        <v>-22935.800000000003</v>
      </c>
      <c r="Y174" s="16">
        <f t="shared" si="17"/>
        <v>-71464.311007650002</v>
      </c>
      <c r="Z174" s="16">
        <f>SUM(Z6:Z173)</f>
        <v>1473310.0632153554</v>
      </c>
    </row>
    <row r="175" spans="1:27" ht="15" thickTop="1" x14ac:dyDescent="0.3"/>
    <row r="176" spans="1:27" x14ac:dyDescent="0.3">
      <c r="B176" t="s">
        <v>3</v>
      </c>
      <c r="E176" s="3">
        <v>46412138.890000008</v>
      </c>
      <c r="P176" s="6"/>
      <c r="T176" s="6"/>
      <c r="U176" t="s">
        <v>2</v>
      </c>
      <c r="V176" s="3">
        <v>1346787.82</v>
      </c>
      <c r="X176" s="6"/>
      <c r="Y176" t="s">
        <v>2</v>
      </c>
      <c r="Z176" s="3">
        <v>1473310.05</v>
      </c>
    </row>
    <row r="177" spans="5:26" x14ac:dyDescent="0.3">
      <c r="E177" s="6"/>
      <c r="K177" s="11"/>
      <c r="N177" s="6"/>
      <c r="O177" s="11"/>
      <c r="Q177" s="3"/>
      <c r="S177" s="11"/>
      <c r="U177" s="3"/>
      <c r="W177" s="11"/>
      <c r="Y177" s="3"/>
    </row>
    <row r="178" spans="5:26" x14ac:dyDescent="0.3">
      <c r="J178" s="6"/>
      <c r="N178" s="6"/>
      <c r="Q178" s="6"/>
      <c r="R178" s="6"/>
      <c r="U178" s="6"/>
      <c r="V178" s="6"/>
      <c r="Y178" s="6"/>
      <c r="Z178" s="6"/>
    </row>
    <row r="179" spans="5:26" x14ac:dyDescent="0.3">
      <c r="J179" s="6"/>
      <c r="N179" s="6"/>
      <c r="R179" s="6"/>
      <c r="V179" s="6"/>
      <c r="Z179" s="6"/>
    </row>
    <row r="182" spans="5:26" x14ac:dyDescent="0.3">
      <c r="H182" s="3"/>
      <c r="I182" s="7"/>
      <c r="J182" s="3">
        <f>+H182*I182/365*31</f>
        <v>0</v>
      </c>
    </row>
    <row r="184" spans="5:26" x14ac:dyDescent="0.3">
      <c r="H184" s="6"/>
      <c r="I18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7883-5673-4323-8032-4885CF1994EF}">
  <dimension ref="A1:AE204"/>
  <sheetViews>
    <sheetView topLeftCell="E1" workbookViewId="0">
      <selection activeCell="H22" sqref="H22"/>
    </sheetView>
  </sheetViews>
  <sheetFormatPr baseColWidth="10" defaultRowHeight="14.4" x14ac:dyDescent="0.3"/>
  <cols>
    <col min="4" max="4" width="45.5546875" customWidth="1"/>
    <col min="5" max="5" width="14" bestFit="1" customWidth="1"/>
    <col min="6" max="6" width="14.6640625" customWidth="1"/>
    <col min="8" max="8" width="11" customWidth="1"/>
    <col min="9" max="9" width="9.33203125" bestFit="1" customWidth="1"/>
    <col min="10" max="10" width="11.44140625" hidden="1" customWidth="1"/>
    <col min="11" max="11" width="10.33203125" hidden="1" customWidth="1"/>
    <col min="12" max="12" width="10.5546875" hidden="1" customWidth="1"/>
    <col min="13" max="13" width="11.109375" hidden="1" customWidth="1"/>
    <col min="14" max="14" width="10.5546875" hidden="1" customWidth="1"/>
    <col min="15" max="15" width="10.33203125" hidden="1" customWidth="1"/>
    <col min="16" max="16" width="11.88671875" hidden="1" customWidth="1"/>
    <col min="17" max="17" width="11.109375" hidden="1" customWidth="1"/>
    <col min="18" max="18" width="13" hidden="1" customWidth="1"/>
    <col min="19" max="19" width="17.109375" hidden="1" customWidth="1"/>
    <col min="20" max="20" width="13.33203125" hidden="1" customWidth="1"/>
    <col min="21" max="21" width="31.77734375" hidden="1" customWidth="1"/>
    <col min="22" max="22" width="19.5546875" hidden="1" customWidth="1"/>
    <col min="23" max="23" width="11.44140625" hidden="1" customWidth="1"/>
    <col min="24" max="24" width="13.33203125" hidden="1" customWidth="1"/>
    <col min="25" max="25" width="11.109375" hidden="1" customWidth="1"/>
    <col min="26" max="26" width="19.33203125" hidden="1" customWidth="1"/>
    <col min="27" max="27" width="17.109375" bestFit="1" customWidth="1"/>
    <col min="28" max="28" width="13" customWidth="1"/>
    <col min="29" max="29" width="29.88671875" bestFit="1" customWidth="1"/>
    <col min="30" max="30" width="19.5546875" bestFit="1" customWidth="1"/>
    <col min="31" max="31" width="27.5546875" bestFit="1" customWidth="1"/>
  </cols>
  <sheetData>
    <row r="1" spans="1:31" x14ac:dyDescent="0.3">
      <c r="A1" t="s">
        <v>500</v>
      </c>
      <c r="F1" s="64"/>
      <c r="G1" s="64"/>
    </row>
    <row r="2" spans="1:31" x14ac:dyDescent="0.3">
      <c r="A2" t="s">
        <v>499</v>
      </c>
      <c r="F2" s="64"/>
      <c r="G2" s="64"/>
      <c r="I2" s="2"/>
    </row>
    <row r="3" spans="1:31" x14ac:dyDescent="0.3">
      <c r="A3" t="s">
        <v>736</v>
      </c>
      <c r="F3" s="64"/>
      <c r="G3" s="64"/>
    </row>
    <row r="4" spans="1:31" x14ac:dyDescent="0.3">
      <c r="D4" s="15"/>
      <c r="E4" s="15"/>
      <c r="F4" s="64"/>
      <c r="G4" s="64"/>
      <c r="H4" s="15"/>
      <c r="I4" s="15"/>
      <c r="J4" s="15">
        <v>43799</v>
      </c>
      <c r="K4" s="15"/>
      <c r="L4" s="15"/>
      <c r="M4" s="15"/>
      <c r="N4" s="15">
        <v>43830</v>
      </c>
      <c r="O4" s="15"/>
      <c r="P4" s="15"/>
      <c r="Q4" s="15"/>
      <c r="R4" s="15">
        <v>43861</v>
      </c>
      <c r="S4" s="15"/>
      <c r="T4" s="15"/>
      <c r="U4" s="15"/>
      <c r="V4" s="15">
        <v>43863</v>
      </c>
      <c r="W4" s="15"/>
      <c r="X4" s="15"/>
      <c r="Y4" s="15"/>
      <c r="Z4" s="15">
        <v>43921</v>
      </c>
      <c r="AA4" s="15"/>
      <c r="AB4" s="15"/>
      <c r="AC4" s="15"/>
      <c r="AD4" s="15">
        <v>43951</v>
      </c>
    </row>
    <row r="5" spans="1:31" ht="28.8" x14ac:dyDescent="0.3">
      <c r="A5" s="66" t="s">
        <v>497</v>
      </c>
      <c r="B5" s="61" t="s">
        <v>496</v>
      </c>
      <c r="C5" s="61" t="s">
        <v>495</v>
      </c>
      <c r="D5" s="67" t="s">
        <v>494</v>
      </c>
      <c r="E5" s="67" t="s">
        <v>493</v>
      </c>
      <c r="F5" s="68" t="s">
        <v>492</v>
      </c>
      <c r="G5" s="68" t="s">
        <v>491</v>
      </c>
      <c r="H5" s="69"/>
      <c r="I5" s="70" t="s">
        <v>490</v>
      </c>
      <c r="J5" s="71" t="s">
        <v>484</v>
      </c>
      <c r="K5" s="72" t="s">
        <v>487</v>
      </c>
      <c r="L5" s="72" t="s">
        <v>486</v>
      </c>
      <c r="M5" s="72" t="s">
        <v>489</v>
      </c>
      <c r="N5" s="72" t="s">
        <v>484</v>
      </c>
      <c r="O5" s="57" t="s">
        <v>487</v>
      </c>
      <c r="P5" s="57" t="s">
        <v>486</v>
      </c>
      <c r="Q5" s="57" t="s">
        <v>489</v>
      </c>
      <c r="R5" s="57" t="s">
        <v>484</v>
      </c>
      <c r="S5" s="56" t="s">
        <v>487</v>
      </c>
      <c r="T5" s="56" t="s">
        <v>486</v>
      </c>
      <c r="U5" s="56" t="s">
        <v>489</v>
      </c>
      <c r="V5" s="56" t="s">
        <v>484</v>
      </c>
      <c r="W5" s="55" t="s">
        <v>487</v>
      </c>
      <c r="X5" s="55" t="s">
        <v>486</v>
      </c>
      <c r="Y5" s="55" t="s">
        <v>489</v>
      </c>
      <c r="Z5" s="55" t="s">
        <v>484</v>
      </c>
      <c r="AA5" s="54" t="s">
        <v>487</v>
      </c>
      <c r="AB5" s="54" t="s">
        <v>486</v>
      </c>
      <c r="AC5" s="54" t="s">
        <v>488</v>
      </c>
      <c r="AD5" s="54" t="s">
        <v>484</v>
      </c>
      <c r="AE5" s="56" t="s">
        <v>728</v>
      </c>
    </row>
    <row r="6" spans="1:31" x14ac:dyDescent="0.3">
      <c r="A6" s="37"/>
      <c r="B6" s="25" t="s">
        <v>25</v>
      </c>
      <c r="C6" s="25" t="s">
        <v>604</v>
      </c>
      <c r="D6" s="88" t="s">
        <v>605</v>
      </c>
      <c r="E6" s="25"/>
      <c r="F6" s="89">
        <v>43525</v>
      </c>
      <c r="G6" s="47">
        <v>43891</v>
      </c>
      <c r="H6" s="26"/>
      <c r="I6" s="26">
        <v>4.4000000000000004</v>
      </c>
      <c r="J6" s="26">
        <v>4071.213850837139</v>
      </c>
      <c r="K6" s="26" t="e">
        <f>(+#REF!*$I6%)/360*31</f>
        <v>#REF!</v>
      </c>
      <c r="L6" s="26"/>
      <c r="M6" s="26"/>
      <c r="N6" s="26" t="e">
        <f t="shared" ref="N6:N69" si="0">+J6+K6+L6+M6</f>
        <v>#REF!</v>
      </c>
      <c r="O6" s="26" t="e">
        <f>(+#REF!*$I6%)/360*31</f>
        <v>#REF!</v>
      </c>
      <c r="P6" s="26"/>
      <c r="Q6" s="26"/>
      <c r="R6" s="26">
        <v>4999.4916286149164</v>
      </c>
      <c r="S6" s="26">
        <v>449.16666666666674</v>
      </c>
      <c r="T6" s="26"/>
      <c r="U6" s="26"/>
      <c r="V6" s="26">
        <f t="shared" ref="V6:V69" si="1">+R6+S6+T6+U6</f>
        <v>5448.6582952815834</v>
      </c>
      <c r="W6" s="26"/>
      <c r="X6" s="26">
        <v>-5419.57</v>
      </c>
      <c r="Y6" s="26">
        <v>-29.09</v>
      </c>
      <c r="Z6" s="26">
        <f t="shared" ref="Z6:Z69" si="2">+V6+W6+X6+Y6</f>
        <v>-1.7047184163310192E-3</v>
      </c>
      <c r="AA6" s="26"/>
      <c r="AB6" s="26"/>
      <c r="AC6" s="26"/>
      <c r="AD6" s="26">
        <f>+Z6+AA6+AB6+AC6</f>
        <v>-1.7047184163310192E-3</v>
      </c>
      <c r="AE6" s="25" t="s">
        <v>218</v>
      </c>
    </row>
    <row r="7" spans="1:31" x14ac:dyDescent="0.3">
      <c r="A7" s="25"/>
      <c r="B7" s="25" t="s">
        <v>508</v>
      </c>
      <c r="C7" s="25" t="s">
        <v>606</v>
      </c>
      <c r="D7" s="88" t="s">
        <v>607</v>
      </c>
      <c r="E7" s="25"/>
      <c r="F7" s="89">
        <v>43532</v>
      </c>
      <c r="G7" s="47">
        <v>43898</v>
      </c>
      <c r="H7" s="26"/>
      <c r="I7" s="26">
        <v>4.9000000000000004</v>
      </c>
      <c r="J7" s="26">
        <v>7701.2244672754969</v>
      </c>
      <c r="K7" s="26" t="e">
        <f>(+#REF!*$I7%)/360*31</f>
        <v>#REF!</v>
      </c>
      <c r="L7" s="26"/>
      <c r="M7" s="26"/>
      <c r="N7" s="26" t="e">
        <f t="shared" si="0"/>
        <v>#REF!</v>
      </c>
      <c r="O7" s="26" t="e">
        <f>(+#REF!*$I7%)/360*31</f>
        <v>#REF!</v>
      </c>
      <c r="P7" s="26"/>
      <c r="Q7" s="26"/>
      <c r="R7" s="26">
        <v>9502.9272450532735</v>
      </c>
      <c r="S7" s="26">
        <v>871.79166666666674</v>
      </c>
      <c r="T7" s="26">
        <v>-10174.01</v>
      </c>
      <c r="U7" s="26">
        <v>-200.71</v>
      </c>
      <c r="V7" s="26">
        <f t="shared" si="1"/>
        <v>-1.0882800606566434E-3</v>
      </c>
      <c r="W7" s="26"/>
      <c r="X7" s="26"/>
      <c r="Y7" s="26"/>
      <c r="Z7" s="26">
        <f t="shared" si="2"/>
        <v>-1.0882800606566434E-3</v>
      </c>
      <c r="AA7" s="26"/>
      <c r="AB7" s="26"/>
      <c r="AC7" s="26"/>
      <c r="AD7" s="26">
        <f t="shared" ref="AD7:AD70" si="3">+Z7+AA7+AB7+AC7</f>
        <v>-1.0882800606566434E-3</v>
      </c>
      <c r="AE7" s="25" t="s">
        <v>218</v>
      </c>
    </row>
    <row r="8" spans="1:31" x14ac:dyDescent="0.3">
      <c r="A8" s="25"/>
      <c r="B8" s="25" t="s">
        <v>124</v>
      </c>
      <c r="C8" s="25" t="s">
        <v>608</v>
      </c>
      <c r="D8" s="88" t="s">
        <v>609</v>
      </c>
      <c r="E8" s="25"/>
      <c r="F8" s="89">
        <v>43536</v>
      </c>
      <c r="G8" s="47">
        <v>43902</v>
      </c>
      <c r="H8" s="26"/>
      <c r="I8" s="26">
        <v>4.9000000000000004</v>
      </c>
      <c r="J8" s="26">
        <v>1776.7161339421616</v>
      </c>
      <c r="K8" s="26" t="e">
        <f>(+#REF!*$I8%)/360*31</f>
        <v>#REF!</v>
      </c>
      <c r="L8" s="26"/>
      <c r="M8" s="26"/>
      <c r="N8" s="26" t="e">
        <f t="shared" si="0"/>
        <v>#REF!</v>
      </c>
      <c r="O8" s="26" t="e">
        <f>(+#REF!*$I8%)/360*31</f>
        <v>#REF!</v>
      </c>
      <c r="P8" s="26"/>
      <c r="Q8" s="26"/>
      <c r="R8" s="26">
        <v>2198.6605783866062</v>
      </c>
      <c r="S8" s="26">
        <v>204.16666666666666</v>
      </c>
      <c r="T8" s="26"/>
      <c r="U8" s="26"/>
      <c r="V8" s="26">
        <f t="shared" si="1"/>
        <v>2402.8272450532727</v>
      </c>
      <c r="W8" s="26"/>
      <c r="X8" s="26">
        <v>-2463.44</v>
      </c>
      <c r="Y8" s="26">
        <v>60.61</v>
      </c>
      <c r="Z8" s="26">
        <f t="shared" si="2"/>
        <v>-2.7549467273644268E-3</v>
      </c>
      <c r="AA8" s="26"/>
      <c r="AB8" s="26"/>
      <c r="AC8" s="26"/>
      <c r="AD8" s="26">
        <f t="shared" si="3"/>
        <v>-2.7549467273644268E-3</v>
      </c>
      <c r="AE8" s="25" t="s">
        <v>218</v>
      </c>
    </row>
    <row r="9" spans="1:31" x14ac:dyDescent="0.3">
      <c r="A9" s="25"/>
      <c r="B9" s="25" t="s">
        <v>16</v>
      </c>
      <c r="C9" s="25" t="s">
        <v>610</v>
      </c>
      <c r="D9" s="88" t="s">
        <v>611</v>
      </c>
      <c r="E9" s="25"/>
      <c r="F9" s="89">
        <v>43537</v>
      </c>
      <c r="G9" s="47">
        <v>43903</v>
      </c>
      <c r="H9" s="26"/>
      <c r="I9" s="26">
        <v>1.9</v>
      </c>
      <c r="J9" s="26">
        <v>995.17560882800603</v>
      </c>
      <c r="K9" s="26" t="e">
        <f>(+#REF!*$I9%)/360*31</f>
        <v>#REF!</v>
      </c>
      <c r="L9" s="26"/>
      <c r="M9" s="26"/>
      <c r="N9" s="26" t="e">
        <f t="shared" si="0"/>
        <v>#REF!</v>
      </c>
      <c r="O9" s="26" t="e">
        <f>(+#REF!*$I9%)/360*31</f>
        <v>#REF!</v>
      </c>
      <c r="P9" s="26"/>
      <c r="Q9" s="26"/>
      <c r="R9" s="26">
        <v>1232.4117199391173</v>
      </c>
      <c r="S9" s="26">
        <v>114.79166666666667</v>
      </c>
      <c r="T9" s="26"/>
      <c r="U9" s="26"/>
      <c r="V9" s="26">
        <f t="shared" si="1"/>
        <v>1347.2033866057841</v>
      </c>
      <c r="W9" s="26"/>
      <c r="X9" s="26">
        <v>-1381.27</v>
      </c>
      <c r="Y9" s="26">
        <v>34.07</v>
      </c>
      <c r="Z9" s="26">
        <f t="shared" si="2"/>
        <v>3.3866057841080988E-3</v>
      </c>
      <c r="AA9" s="26"/>
      <c r="AB9" s="26"/>
      <c r="AC9" s="26"/>
      <c r="AD9" s="26">
        <f t="shared" si="3"/>
        <v>3.3866057841080988E-3</v>
      </c>
      <c r="AE9" s="25" t="s">
        <v>218</v>
      </c>
    </row>
    <row r="10" spans="1:31" x14ac:dyDescent="0.3">
      <c r="A10" s="25"/>
      <c r="B10" s="25" t="s">
        <v>233</v>
      </c>
      <c r="C10" s="25" t="s">
        <v>612</v>
      </c>
      <c r="D10" s="88" t="s">
        <v>613</v>
      </c>
      <c r="E10" s="25"/>
      <c r="F10" s="89">
        <v>43536</v>
      </c>
      <c r="G10" s="47">
        <v>43902</v>
      </c>
      <c r="H10" s="26"/>
      <c r="I10" s="26">
        <v>5.65</v>
      </c>
      <c r="J10" s="26">
        <v>3277.8599695585995</v>
      </c>
      <c r="K10" s="26" t="e">
        <f>(+#REF!*$I10%)/360*31</f>
        <v>#REF!</v>
      </c>
      <c r="L10" s="26"/>
      <c r="M10" s="26"/>
      <c r="N10" s="26" t="e">
        <f t="shared" si="0"/>
        <v>#REF!</v>
      </c>
      <c r="O10" s="26" t="e">
        <f>(+#REF!*$I10%)/360*31</f>
        <v>#REF!</v>
      </c>
      <c r="P10" s="26"/>
      <c r="Q10" s="26"/>
      <c r="R10" s="26">
        <v>4056.3044140030438</v>
      </c>
      <c r="S10" s="26">
        <v>376.66666666666669</v>
      </c>
      <c r="T10" s="26"/>
      <c r="U10" s="26"/>
      <c r="V10" s="26">
        <f t="shared" si="1"/>
        <v>4432.9710806697103</v>
      </c>
      <c r="W10" s="26"/>
      <c r="X10" s="26">
        <v>-4544.8</v>
      </c>
      <c r="Y10" s="26">
        <v>111.83</v>
      </c>
      <c r="Z10" s="26">
        <f t="shared" si="2"/>
        <v>1.0806697101344298E-3</v>
      </c>
      <c r="AA10" s="26"/>
      <c r="AB10" s="26"/>
      <c r="AC10" s="26"/>
      <c r="AD10" s="26">
        <f t="shared" si="3"/>
        <v>1.0806697101344298E-3</v>
      </c>
      <c r="AE10" s="25" t="s">
        <v>218</v>
      </c>
    </row>
    <row r="11" spans="1:31" x14ac:dyDescent="0.3">
      <c r="A11" s="25"/>
      <c r="B11" s="25" t="s">
        <v>13</v>
      </c>
      <c r="C11" s="25" t="s">
        <v>614</v>
      </c>
      <c r="D11" s="88" t="s">
        <v>615</v>
      </c>
      <c r="E11" s="25"/>
      <c r="F11" s="89">
        <v>43538</v>
      </c>
      <c r="G11" s="47">
        <v>43904</v>
      </c>
      <c r="H11" s="26"/>
      <c r="I11" s="26">
        <v>4.6500000000000004</v>
      </c>
      <c r="J11" s="26">
        <v>3346.655251141553</v>
      </c>
      <c r="K11" s="26" t="e">
        <f>(+#REF!*$I11%)/360*31</f>
        <v>#REF!</v>
      </c>
      <c r="L11" s="26"/>
      <c r="M11" s="26"/>
      <c r="N11" s="26" t="e">
        <f t="shared" si="0"/>
        <v>#REF!</v>
      </c>
      <c r="O11" s="26" t="e">
        <f>(+#REF!*$I11%)/360*31</f>
        <v>#REF!</v>
      </c>
      <c r="P11" s="26"/>
      <c r="Q11" s="26"/>
      <c r="R11" s="26">
        <v>4147.4885844748869</v>
      </c>
      <c r="S11" s="26">
        <v>387.50000000000011</v>
      </c>
      <c r="T11" s="26"/>
      <c r="U11" s="26"/>
      <c r="V11" s="26">
        <f t="shared" si="1"/>
        <v>4534.9885844748869</v>
      </c>
      <c r="W11" s="26"/>
      <c r="X11" s="26">
        <v>-4675.51</v>
      </c>
      <c r="Y11" s="26">
        <v>140.52000000000001</v>
      </c>
      <c r="Z11" s="26">
        <f t="shared" si="2"/>
        <v>-1.4155251132876856E-3</v>
      </c>
      <c r="AA11" s="26"/>
      <c r="AB11" s="26"/>
      <c r="AC11" s="26"/>
      <c r="AD11" s="26">
        <f t="shared" si="3"/>
        <v>-1.4155251132876856E-3</v>
      </c>
      <c r="AE11" s="25" t="s">
        <v>218</v>
      </c>
    </row>
    <row r="12" spans="1:31" x14ac:dyDescent="0.3">
      <c r="A12" s="25"/>
      <c r="B12" s="25" t="s">
        <v>74</v>
      </c>
      <c r="C12" s="25" t="s">
        <v>616</v>
      </c>
      <c r="D12" s="88" t="s">
        <v>617</v>
      </c>
      <c r="E12" s="25"/>
      <c r="F12" s="89">
        <v>43544</v>
      </c>
      <c r="G12" s="47">
        <v>43910</v>
      </c>
      <c r="H12" s="26"/>
      <c r="I12" s="26">
        <v>3.4</v>
      </c>
      <c r="J12" s="26">
        <v>2391.1263318112638</v>
      </c>
      <c r="K12" s="26" t="e">
        <f>(+#REF!*$I12%)/360*31</f>
        <v>#REF!</v>
      </c>
      <c r="L12" s="26"/>
      <c r="M12" s="26"/>
      <c r="N12" s="26" t="e">
        <f t="shared" si="0"/>
        <v>#REF!</v>
      </c>
      <c r="O12" s="26" t="e">
        <f>(+#REF!*$I12%)/360*31</f>
        <v>#REF!</v>
      </c>
      <c r="P12" s="26"/>
      <c r="Q12" s="26"/>
      <c r="R12" s="26">
        <v>2976.6818873668194</v>
      </c>
      <c r="S12" s="26">
        <v>283.33333333333337</v>
      </c>
      <c r="T12" s="26"/>
      <c r="U12" s="26"/>
      <c r="V12" s="26">
        <f t="shared" si="1"/>
        <v>3260.0152207001529</v>
      </c>
      <c r="W12" s="26"/>
      <c r="X12" s="26">
        <v>-3418.66</v>
      </c>
      <c r="Y12" s="26">
        <v>158.63999999999999</v>
      </c>
      <c r="Z12" s="26">
        <f t="shared" si="2"/>
        <v>-4.7792998469731174E-3</v>
      </c>
      <c r="AA12" s="26"/>
      <c r="AB12" s="26"/>
      <c r="AC12" s="26"/>
      <c r="AD12" s="26">
        <f t="shared" si="3"/>
        <v>-4.7792998469731174E-3</v>
      </c>
      <c r="AE12" s="25" t="s">
        <v>218</v>
      </c>
    </row>
    <row r="13" spans="1:31" x14ac:dyDescent="0.3">
      <c r="A13" s="25"/>
      <c r="B13" s="25" t="s">
        <v>16</v>
      </c>
      <c r="C13" s="25" t="s">
        <v>618</v>
      </c>
      <c r="D13" s="88" t="s">
        <v>619</v>
      </c>
      <c r="E13" s="25"/>
      <c r="F13" s="89">
        <v>43515</v>
      </c>
      <c r="G13" s="47">
        <v>43880</v>
      </c>
      <c r="H13" s="26"/>
      <c r="I13" s="26">
        <v>1.9</v>
      </c>
      <c r="J13" s="26">
        <v>1301.2794901065449</v>
      </c>
      <c r="K13" s="26" t="e">
        <f>(+#REF!*$I13%)/360*31</f>
        <v>#REF!</v>
      </c>
      <c r="L13" s="26"/>
      <c r="M13" s="26"/>
      <c r="N13" s="26" t="e">
        <f t="shared" si="0"/>
        <v>#REF!</v>
      </c>
      <c r="O13" s="26" t="e">
        <f>(+#REF!*$I13%)/360*31</f>
        <v>#REF!</v>
      </c>
      <c r="P13" s="26"/>
      <c r="Q13" s="26"/>
      <c r="R13" s="26">
        <v>1587.5989345509893</v>
      </c>
      <c r="S13" s="26">
        <v>87.743055555555557</v>
      </c>
      <c r="T13" s="26">
        <v>-1662.5</v>
      </c>
      <c r="U13" s="26">
        <v>-12.84</v>
      </c>
      <c r="V13" s="26">
        <f t="shared" si="1"/>
        <v>1.9901065449268174E-3</v>
      </c>
      <c r="W13" s="26"/>
      <c r="X13" s="26"/>
      <c r="Y13" s="26"/>
      <c r="Z13" s="26">
        <f t="shared" si="2"/>
        <v>1.9901065449268174E-3</v>
      </c>
      <c r="AA13" s="26"/>
      <c r="AB13" s="26"/>
      <c r="AC13" s="26"/>
      <c r="AD13" s="26">
        <f t="shared" si="3"/>
        <v>1.9901065449268174E-3</v>
      </c>
      <c r="AE13" s="25" t="s">
        <v>218</v>
      </c>
    </row>
    <row r="14" spans="1:31" x14ac:dyDescent="0.3">
      <c r="A14" s="25"/>
      <c r="B14" s="25" t="s">
        <v>74</v>
      </c>
      <c r="C14" s="25" t="s">
        <v>620</v>
      </c>
      <c r="D14" s="26" t="s">
        <v>621</v>
      </c>
      <c r="E14" s="27">
        <v>120000</v>
      </c>
      <c r="F14" s="47" t="s">
        <v>622</v>
      </c>
      <c r="G14" s="47" t="s">
        <v>623</v>
      </c>
      <c r="H14" s="26"/>
      <c r="I14" s="26">
        <v>3.4</v>
      </c>
      <c r="J14" s="26">
        <v>2645.7899543378999</v>
      </c>
      <c r="K14" s="26">
        <f t="shared" ref="K14:K68" si="4">(+$E14*$I14%)/360*31</f>
        <v>351.33333333333337</v>
      </c>
      <c r="L14" s="26"/>
      <c r="M14" s="26"/>
      <c r="N14" s="26">
        <f t="shared" si="0"/>
        <v>2997.1232876712334</v>
      </c>
      <c r="O14" s="26">
        <f t="shared" ref="O14:O68" si="5">(+$E14*$I14%)/360*31</f>
        <v>351.33333333333337</v>
      </c>
      <c r="P14" s="26"/>
      <c r="Q14" s="26"/>
      <c r="R14" s="26">
        <v>3348.4566210045668</v>
      </c>
      <c r="S14" s="26">
        <v>340</v>
      </c>
      <c r="T14" s="26"/>
      <c r="U14" s="26"/>
      <c r="V14" s="26">
        <f t="shared" si="1"/>
        <v>3688.4566210045668</v>
      </c>
      <c r="W14" s="26">
        <v>340</v>
      </c>
      <c r="X14" s="26"/>
      <c r="Y14" s="26"/>
      <c r="Z14" s="26">
        <f t="shared" si="2"/>
        <v>4028.4566210045668</v>
      </c>
      <c r="AA14" s="26"/>
      <c r="AB14" s="42">
        <v>-4102.3900000000003</v>
      </c>
      <c r="AC14" s="26">
        <v>73.930000000000007</v>
      </c>
      <c r="AD14" s="26">
        <f t="shared" si="3"/>
        <v>-3.3789954334793038E-3</v>
      </c>
      <c r="AE14" s="25" t="s">
        <v>218</v>
      </c>
    </row>
    <row r="15" spans="1:31" x14ac:dyDescent="0.3">
      <c r="A15" s="25"/>
      <c r="B15" s="25" t="s">
        <v>74</v>
      </c>
      <c r="C15" s="25" t="s">
        <v>624</v>
      </c>
      <c r="D15" s="26" t="s">
        <v>625</v>
      </c>
      <c r="E15" s="26">
        <v>100000</v>
      </c>
      <c r="F15" s="47" t="s">
        <v>626</v>
      </c>
      <c r="G15" s="47" t="s">
        <v>627</v>
      </c>
      <c r="H15" s="26"/>
      <c r="I15" s="26">
        <v>3.4</v>
      </c>
      <c r="J15" s="26">
        <v>2055.7838660578391</v>
      </c>
      <c r="K15" s="26">
        <f t="shared" si="4"/>
        <v>292.77777777777783</v>
      </c>
      <c r="L15" s="26"/>
      <c r="M15" s="26"/>
      <c r="N15" s="26">
        <f t="shared" si="0"/>
        <v>2348.5616438356169</v>
      </c>
      <c r="O15" s="26">
        <f t="shared" si="5"/>
        <v>292.77777777777783</v>
      </c>
      <c r="P15" s="26"/>
      <c r="Q15" s="26"/>
      <c r="R15" s="26">
        <v>2641.3394216133947</v>
      </c>
      <c r="S15" s="26">
        <v>283.33333333333337</v>
      </c>
      <c r="T15" s="26"/>
      <c r="U15" s="26"/>
      <c r="V15" s="26">
        <f t="shared" si="1"/>
        <v>2924.6727549467282</v>
      </c>
      <c r="W15" s="26">
        <v>283.33333333333337</v>
      </c>
      <c r="X15" s="26"/>
      <c r="Y15" s="26"/>
      <c r="Z15" s="26">
        <f t="shared" si="2"/>
        <v>3208.0060882800617</v>
      </c>
      <c r="AA15" s="26"/>
      <c r="AB15" s="42">
        <v>-3418.66</v>
      </c>
      <c r="AC15" s="26">
        <v>210.65</v>
      </c>
      <c r="AD15" s="26">
        <f t="shared" si="3"/>
        <v>-3.9117199381450973E-3</v>
      </c>
      <c r="AE15" s="25" t="s">
        <v>218</v>
      </c>
    </row>
    <row r="16" spans="1:31" x14ac:dyDescent="0.3">
      <c r="A16" s="25"/>
      <c r="B16" s="25" t="s">
        <v>25</v>
      </c>
      <c r="C16" s="25" t="s">
        <v>628</v>
      </c>
      <c r="D16" s="26" t="s">
        <v>629</v>
      </c>
      <c r="E16" s="26">
        <v>122500</v>
      </c>
      <c r="F16" s="47" t="s">
        <v>630</v>
      </c>
      <c r="G16" s="47" t="s">
        <v>631</v>
      </c>
      <c r="H16" s="26"/>
      <c r="I16" s="26">
        <v>4.4000000000000004</v>
      </c>
      <c r="J16" s="26">
        <v>3613.4330289193313</v>
      </c>
      <c r="K16" s="26">
        <f t="shared" si="4"/>
        <v>464.13888888888897</v>
      </c>
      <c r="L16" s="26"/>
      <c r="M16" s="26"/>
      <c r="N16" s="26">
        <f t="shared" si="0"/>
        <v>4077.5719178082204</v>
      </c>
      <c r="O16" s="26">
        <f t="shared" si="5"/>
        <v>464.13888888888897</v>
      </c>
      <c r="P16" s="26"/>
      <c r="Q16" s="26"/>
      <c r="R16" s="26">
        <v>4541.7108066971095</v>
      </c>
      <c r="S16" s="26">
        <v>449.16666666666674</v>
      </c>
      <c r="T16" s="26"/>
      <c r="U16" s="26"/>
      <c r="V16" s="26">
        <f t="shared" si="1"/>
        <v>4990.8774733637765</v>
      </c>
      <c r="W16" s="26">
        <v>449.16666666666674</v>
      </c>
      <c r="X16" s="26"/>
      <c r="Y16" s="26"/>
      <c r="Z16" s="26">
        <f t="shared" si="2"/>
        <v>5440.0441400304435</v>
      </c>
      <c r="AA16" s="26"/>
      <c r="AB16" s="42">
        <v>-5417.05</v>
      </c>
      <c r="AC16" s="42">
        <v>-22.99</v>
      </c>
      <c r="AD16" s="26">
        <f t="shared" si="3"/>
        <v>4.1400304433061308E-3</v>
      </c>
      <c r="AE16" s="25" t="s">
        <v>218</v>
      </c>
    </row>
    <row r="17" spans="1:31" x14ac:dyDescent="0.3">
      <c r="A17" s="25"/>
      <c r="B17" s="25" t="s">
        <v>177</v>
      </c>
      <c r="C17" s="25" t="s">
        <v>632</v>
      </c>
      <c r="D17" s="26" t="s">
        <v>633</v>
      </c>
      <c r="E17" s="26">
        <v>100000</v>
      </c>
      <c r="F17" s="47" t="s">
        <v>626</v>
      </c>
      <c r="G17" s="47" t="s">
        <v>627</v>
      </c>
      <c r="H17" s="26"/>
      <c r="I17" s="26">
        <v>5.9</v>
      </c>
      <c r="J17" s="26">
        <v>3567.3896499238967</v>
      </c>
      <c r="K17" s="26">
        <f t="shared" si="4"/>
        <v>508.05555555555554</v>
      </c>
      <c r="L17" s="26"/>
      <c r="M17" s="26"/>
      <c r="N17" s="26">
        <f t="shared" si="0"/>
        <v>4075.4452054794524</v>
      </c>
      <c r="O17" s="26">
        <f t="shared" si="5"/>
        <v>508.05555555555554</v>
      </c>
      <c r="P17" s="26"/>
      <c r="Q17" s="26"/>
      <c r="R17" s="26">
        <v>4583.5007610350076</v>
      </c>
      <c r="S17" s="26">
        <v>491.66666666666669</v>
      </c>
      <c r="T17" s="26"/>
      <c r="U17" s="26"/>
      <c r="V17" s="26">
        <f t="shared" si="1"/>
        <v>5075.1674277016746</v>
      </c>
      <c r="W17" s="26">
        <v>491.66666666666669</v>
      </c>
      <c r="X17" s="26"/>
      <c r="Y17" s="26"/>
      <c r="Z17" s="26">
        <f t="shared" si="2"/>
        <v>5566.8340943683415</v>
      </c>
      <c r="AA17" s="26"/>
      <c r="AB17" s="42">
        <v>-5932.37</v>
      </c>
      <c r="AC17" s="26">
        <v>365.54</v>
      </c>
      <c r="AD17" s="26">
        <f t="shared" si="3"/>
        <v>4.0943683416685417E-3</v>
      </c>
      <c r="AE17" s="25" t="s">
        <v>218</v>
      </c>
    </row>
    <row r="18" spans="1:31" x14ac:dyDescent="0.3">
      <c r="A18" s="25" t="s">
        <v>419</v>
      </c>
      <c r="B18" s="25" t="s">
        <v>177</v>
      </c>
      <c r="C18" s="25" t="s">
        <v>634</v>
      </c>
      <c r="D18" s="26" t="s">
        <v>635</v>
      </c>
      <c r="E18" s="26">
        <v>48500</v>
      </c>
      <c r="F18" s="47" t="s">
        <v>626</v>
      </c>
      <c r="G18" s="47" t="s">
        <v>627</v>
      </c>
      <c r="H18" s="26"/>
      <c r="I18" s="26">
        <v>5.9</v>
      </c>
      <c r="J18" s="26">
        <v>1730.1839802130899</v>
      </c>
      <c r="K18" s="26">
        <f t="shared" si="4"/>
        <v>246.40694444444443</v>
      </c>
      <c r="L18" s="26"/>
      <c r="M18" s="26"/>
      <c r="N18" s="26">
        <f t="shared" si="0"/>
        <v>1976.5909246575343</v>
      </c>
      <c r="O18" s="26">
        <f t="shared" si="5"/>
        <v>246.40694444444443</v>
      </c>
      <c r="P18" s="26"/>
      <c r="Q18" s="26"/>
      <c r="R18" s="26">
        <v>2222.9978691019787</v>
      </c>
      <c r="S18" s="26">
        <v>238.45833333333334</v>
      </c>
      <c r="T18" s="26"/>
      <c r="U18" s="26"/>
      <c r="V18" s="26">
        <f t="shared" si="1"/>
        <v>2461.4562024353122</v>
      </c>
      <c r="W18" s="26">
        <v>238.45833333333334</v>
      </c>
      <c r="X18" s="26"/>
      <c r="Y18" s="26"/>
      <c r="Z18" s="26">
        <f t="shared" si="2"/>
        <v>2699.9145357686457</v>
      </c>
      <c r="AA18" s="26"/>
      <c r="AB18" s="42">
        <v>-2877.2</v>
      </c>
      <c r="AC18" s="26">
        <v>177.29</v>
      </c>
      <c r="AD18" s="26">
        <f t="shared" si="3"/>
        <v>4.5357686458658009E-3</v>
      </c>
      <c r="AE18" s="25" t="s">
        <v>218</v>
      </c>
    </row>
    <row r="19" spans="1:31" x14ac:dyDescent="0.3">
      <c r="A19" s="25" t="s">
        <v>419</v>
      </c>
      <c r="B19" s="25" t="s">
        <v>177</v>
      </c>
      <c r="C19" s="25" t="s">
        <v>636</v>
      </c>
      <c r="D19" s="26" t="s">
        <v>637</v>
      </c>
      <c r="E19" s="26">
        <v>60000</v>
      </c>
      <c r="F19" s="47" t="s">
        <v>626</v>
      </c>
      <c r="G19" s="47" t="s">
        <v>627</v>
      </c>
      <c r="H19" s="26"/>
      <c r="I19" s="26">
        <v>5.9</v>
      </c>
      <c r="J19" s="26">
        <v>2140.4337899543384</v>
      </c>
      <c r="K19" s="26">
        <f t="shared" si="4"/>
        <v>304.83333333333337</v>
      </c>
      <c r="L19" s="26"/>
      <c r="M19" s="26"/>
      <c r="N19" s="26">
        <f t="shared" si="0"/>
        <v>2445.2671232876719</v>
      </c>
      <c r="O19" s="26">
        <f t="shared" si="5"/>
        <v>304.83333333333337</v>
      </c>
      <c r="P19" s="26"/>
      <c r="Q19" s="26"/>
      <c r="R19" s="26">
        <v>2750.1004566210054</v>
      </c>
      <c r="S19" s="26">
        <v>295</v>
      </c>
      <c r="T19" s="26"/>
      <c r="U19" s="26"/>
      <c r="V19" s="26">
        <f t="shared" si="1"/>
        <v>3045.1004566210054</v>
      </c>
      <c r="W19" s="26">
        <v>295</v>
      </c>
      <c r="X19" s="26"/>
      <c r="Y19" s="26"/>
      <c r="Z19" s="26">
        <f t="shared" si="2"/>
        <v>3340.1004566210054</v>
      </c>
      <c r="AA19" s="26"/>
      <c r="AB19" s="42">
        <v>-3559.42</v>
      </c>
      <c r="AC19" s="26">
        <v>219.32</v>
      </c>
      <c r="AD19" s="26">
        <f t="shared" si="3"/>
        <v>4.5662100529852978E-4</v>
      </c>
      <c r="AE19" s="25" t="s">
        <v>218</v>
      </c>
    </row>
    <row r="20" spans="1:31" x14ac:dyDescent="0.3">
      <c r="A20" s="25" t="s">
        <v>419</v>
      </c>
      <c r="B20" s="25" t="s">
        <v>177</v>
      </c>
      <c r="C20" s="25" t="s">
        <v>638</v>
      </c>
      <c r="D20" s="26" t="s">
        <v>639</v>
      </c>
      <c r="E20" s="26">
        <v>17500</v>
      </c>
      <c r="F20" s="47" t="s">
        <v>640</v>
      </c>
      <c r="G20" s="47" t="s">
        <v>627</v>
      </c>
      <c r="H20" s="26"/>
      <c r="I20" s="26">
        <v>5.9</v>
      </c>
      <c r="J20" s="26">
        <v>610.1493531202434</v>
      </c>
      <c r="K20" s="26">
        <f t="shared" si="4"/>
        <v>88.909722222222214</v>
      </c>
      <c r="L20" s="26"/>
      <c r="M20" s="26"/>
      <c r="N20" s="26">
        <f t="shared" si="0"/>
        <v>699.05907534246558</v>
      </c>
      <c r="O20" s="26">
        <f t="shared" si="5"/>
        <v>88.909722222222214</v>
      </c>
      <c r="P20" s="26"/>
      <c r="Q20" s="26"/>
      <c r="R20" s="26">
        <v>787.96879756468775</v>
      </c>
      <c r="S20" s="26">
        <v>86.041666666666657</v>
      </c>
      <c r="T20" s="26"/>
      <c r="U20" s="26"/>
      <c r="V20" s="26">
        <f t="shared" si="1"/>
        <v>874.01046423135438</v>
      </c>
      <c r="W20" s="26">
        <v>86.041666666666657</v>
      </c>
      <c r="X20" s="26"/>
      <c r="Y20" s="26"/>
      <c r="Z20" s="26">
        <f t="shared" si="2"/>
        <v>960.05213089802101</v>
      </c>
      <c r="AA20" s="26"/>
      <c r="AB20" s="42">
        <v>-1038.1600000000001</v>
      </c>
      <c r="AC20" s="26">
        <v>78.11</v>
      </c>
      <c r="AD20" s="26">
        <f t="shared" si="3"/>
        <v>2.1308980209227002E-3</v>
      </c>
      <c r="AE20" s="25" t="s">
        <v>218</v>
      </c>
    </row>
    <row r="21" spans="1:31" x14ac:dyDescent="0.3">
      <c r="A21" s="25" t="s">
        <v>419</v>
      </c>
      <c r="B21" s="25" t="s">
        <v>177</v>
      </c>
      <c r="C21" s="25" t="s">
        <v>641</v>
      </c>
      <c r="D21" s="26" t="s">
        <v>642</v>
      </c>
      <c r="E21" s="26">
        <v>50000</v>
      </c>
      <c r="F21" s="47" t="s">
        <v>640</v>
      </c>
      <c r="G21" s="47" t="s">
        <v>627</v>
      </c>
      <c r="H21" s="26"/>
      <c r="I21" s="26">
        <v>5.9</v>
      </c>
      <c r="J21" s="26">
        <v>1743.2838660578386</v>
      </c>
      <c r="K21" s="26">
        <f t="shared" si="4"/>
        <v>254.02777777777777</v>
      </c>
      <c r="L21" s="26"/>
      <c r="M21" s="26"/>
      <c r="N21" s="26">
        <f t="shared" si="0"/>
        <v>1997.3116438356165</v>
      </c>
      <c r="O21" s="26">
        <f t="shared" si="5"/>
        <v>254.02777777777777</v>
      </c>
      <c r="P21" s="26"/>
      <c r="Q21" s="26"/>
      <c r="R21" s="26">
        <v>2251.3394216133943</v>
      </c>
      <c r="S21" s="26">
        <v>245.83333333333334</v>
      </c>
      <c r="T21" s="26"/>
      <c r="U21" s="26"/>
      <c r="V21" s="26">
        <f t="shared" si="1"/>
        <v>2497.1727549467278</v>
      </c>
      <c r="W21" s="26">
        <v>245.83333333333334</v>
      </c>
      <c r="X21" s="26"/>
      <c r="Y21" s="26"/>
      <c r="Z21" s="26">
        <f t="shared" si="2"/>
        <v>2743.0060882800612</v>
      </c>
      <c r="AA21" s="26"/>
      <c r="AB21" s="42">
        <v>-2966.18</v>
      </c>
      <c r="AC21" s="26">
        <v>223.17</v>
      </c>
      <c r="AD21" s="26">
        <f t="shared" si="3"/>
        <v>-3.9117199385998447E-3</v>
      </c>
      <c r="AE21" s="25" t="s">
        <v>218</v>
      </c>
    </row>
    <row r="22" spans="1:31" x14ac:dyDescent="0.3">
      <c r="A22" s="25" t="s">
        <v>419</v>
      </c>
      <c r="B22" s="25" t="s">
        <v>177</v>
      </c>
      <c r="C22" s="25" t="s">
        <v>643</v>
      </c>
      <c r="D22" s="26" t="s">
        <v>644</v>
      </c>
      <c r="E22" s="26">
        <v>50000</v>
      </c>
      <c r="F22" s="47" t="s">
        <v>626</v>
      </c>
      <c r="G22" s="47" t="s">
        <v>627</v>
      </c>
      <c r="H22" s="26"/>
      <c r="I22" s="26">
        <v>5.9</v>
      </c>
      <c r="J22" s="26">
        <v>1783.6948249619484</v>
      </c>
      <c r="K22" s="26">
        <f t="shared" si="4"/>
        <v>254.02777777777777</v>
      </c>
      <c r="L22" s="26"/>
      <c r="M22" s="26"/>
      <c r="N22" s="26">
        <f t="shared" si="0"/>
        <v>2037.7226027397262</v>
      </c>
      <c r="O22" s="26">
        <f t="shared" si="5"/>
        <v>254.02777777777777</v>
      </c>
      <c r="P22" s="26"/>
      <c r="Q22" s="26"/>
      <c r="R22" s="26">
        <v>2291.7503805175038</v>
      </c>
      <c r="S22" s="26">
        <v>245.83333333333334</v>
      </c>
      <c r="T22" s="26"/>
      <c r="U22" s="26"/>
      <c r="V22" s="26">
        <f t="shared" si="1"/>
        <v>2537.5837138508373</v>
      </c>
      <c r="W22" s="26">
        <v>245.83333333333334</v>
      </c>
      <c r="X22" s="26"/>
      <c r="Y22" s="26"/>
      <c r="Z22" s="26">
        <f t="shared" si="2"/>
        <v>2783.4170471841708</v>
      </c>
      <c r="AA22" s="26"/>
      <c r="AB22" s="42">
        <v>-2966.18</v>
      </c>
      <c r="AC22" s="26">
        <v>182.76</v>
      </c>
      <c r="AD22" s="26">
        <f t="shared" si="3"/>
        <v>-2.9528158290759166E-3</v>
      </c>
      <c r="AE22" s="25" t="s">
        <v>218</v>
      </c>
    </row>
    <row r="23" spans="1:31" x14ac:dyDescent="0.3">
      <c r="A23" s="25" t="s">
        <v>419</v>
      </c>
      <c r="B23" s="25" t="s">
        <v>177</v>
      </c>
      <c r="C23" s="25" t="s">
        <v>645</v>
      </c>
      <c r="D23" s="26" t="s">
        <v>646</v>
      </c>
      <c r="E23" s="26">
        <v>20000</v>
      </c>
      <c r="F23" s="47" t="s">
        <v>640</v>
      </c>
      <c r="G23" s="47" t="s">
        <v>627</v>
      </c>
      <c r="H23" s="26"/>
      <c r="I23" s="26">
        <v>5.9</v>
      </c>
      <c r="J23" s="26">
        <v>697.31354642313556</v>
      </c>
      <c r="K23" s="26">
        <f t="shared" si="4"/>
        <v>101.61111111111111</v>
      </c>
      <c r="L23" s="26"/>
      <c r="M23" s="26"/>
      <c r="N23" s="26">
        <f t="shared" si="0"/>
        <v>798.92465753424665</v>
      </c>
      <c r="O23" s="26">
        <f t="shared" si="5"/>
        <v>101.61111111111111</v>
      </c>
      <c r="P23" s="26"/>
      <c r="Q23" s="26"/>
      <c r="R23" s="26">
        <v>900.53576864535773</v>
      </c>
      <c r="S23" s="26">
        <v>98.333333333333329</v>
      </c>
      <c r="T23" s="26"/>
      <c r="U23" s="26"/>
      <c r="V23" s="26">
        <f t="shared" si="1"/>
        <v>998.86910197869111</v>
      </c>
      <c r="W23" s="26">
        <v>98.333333333333329</v>
      </c>
      <c r="X23" s="26"/>
      <c r="Y23" s="26"/>
      <c r="Z23" s="26">
        <f t="shared" si="2"/>
        <v>1097.2024353120244</v>
      </c>
      <c r="AA23" s="26"/>
      <c r="AB23" s="42">
        <v>-1186.47</v>
      </c>
      <c r="AC23" s="26">
        <v>89.27</v>
      </c>
      <c r="AD23" s="26">
        <f t="shared" si="3"/>
        <v>2.4353120243318926E-3</v>
      </c>
      <c r="AE23" s="25" t="s">
        <v>218</v>
      </c>
    </row>
    <row r="24" spans="1:31" x14ac:dyDescent="0.3">
      <c r="A24" s="25" t="s">
        <v>419</v>
      </c>
      <c r="B24" s="25" t="s">
        <v>177</v>
      </c>
      <c r="C24" s="25" t="s">
        <v>647</v>
      </c>
      <c r="D24" s="26" t="s">
        <v>648</v>
      </c>
      <c r="E24" s="26">
        <v>87995</v>
      </c>
      <c r="F24" s="47" t="s">
        <v>640</v>
      </c>
      <c r="G24" s="47" t="s">
        <v>627</v>
      </c>
      <c r="H24" s="26"/>
      <c r="I24" s="26">
        <v>5.9</v>
      </c>
      <c r="J24" s="26">
        <v>3068.0052758751904</v>
      </c>
      <c r="K24" s="26">
        <f t="shared" si="4"/>
        <v>447.0634861111111</v>
      </c>
      <c r="L24" s="26"/>
      <c r="M24" s="26"/>
      <c r="N24" s="26">
        <f t="shared" si="0"/>
        <v>3515.0687619863015</v>
      </c>
      <c r="O24" s="26">
        <f t="shared" si="5"/>
        <v>447.0634861111111</v>
      </c>
      <c r="P24" s="26"/>
      <c r="Q24" s="26"/>
      <c r="R24" s="26">
        <v>3962.1322480974127</v>
      </c>
      <c r="S24" s="26">
        <v>432.64208333333329</v>
      </c>
      <c r="T24" s="26"/>
      <c r="U24" s="26"/>
      <c r="V24" s="26">
        <f t="shared" si="1"/>
        <v>4394.7743314307463</v>
      </c>
      <c r="W24" s="26">
        <v>432.64208333333329</v>
      </c>
      <c r="X24" s="26"/>
      <c r="Y24" s="26"/>
      <c r="Z24" s="26">
        <f t="shared" si="2"/>
        <v>4827.4164147640795</v>
      </c>
      <c r="AA24" s="26"/>
      <c r="AB24" s="42">
        <v>-5220.1899999999996</v>
      </c>
      <c r="AC24" s="26">
        <v>392.77</v>
      </c>
      <c r="AD24" s="26">
        <f t="shared" si="3"/>
        <v>-3.5852359201271611E-3</v>
      </c>
      <c r="AE24" s="25" t="s">
        <v>218</v>
      </c>
    </row>
    <row r="25" spans="1:31" x14ac:dyDescent="0.3">
      <c r="A25" s="25"/>
      <c r="B25" s="25" t="s">
        <v>174</v>
      </c>
      <c r="C25" s="25" t="s">
        <v>649</v>
      </c>
      <c r="D25" s="26" t="s">
        <v>650</v>
      </c>
      <c r="E25" s="26">
        <v>810000</v>
      </c>
      <c r="F25" s="47" t="s">
        <v>651</v>
      </c>
      <c r="G25" s="47" t="s">
        <v>652</v>
      </c>
      <c r="H25" s="26"/>
      <c r="I25" s="26">
        <v>6.15</v>
      </c>
      <c r="J25" s="26">
        <v>31212.092465753427</v>
      </c>
      <c r="K25" s="26">
        <f t="shared" si="4"/>
        <v>4289.6250000000009</v>
      </c>
      <c r="L25" s="26"/>
      <c r="M25" s="26"/>
      <c r="N25" s="26">
        <f t="shared" si="0"/>
        <v>35501.717465753427</v>
      </c>
      <c r="O25" s="26">
        <f t="shared" si="5"/>
        <v>4289.6250000000009</v>
      </c>
      <c r="P25" s="26"/>
      <c r="Q25" s="26"/>
      <c r="R25" s="26">
        <v>39791.342465753427</v>
      </c>
      <c r="S25" s="26">
        <v>4151.2500000000009</v>
      </c>
      <c r="T25" s="26"/>
      <c r="U25" s="26"/>
      <c r="V25" s="26">
        <f t="shared" si="1"/>
        <v>43942.592465753427</v>
      </c>
      <c r="W25" s="26">
        <v>4151.2500000000009</v>
      </c>
      <c r="X25" s="26"/>
      <c r="Y25" s="26"/>
      <c r="Z25" s="26">
        <f t="shared" si="2"/>
        <v>48093.842465753427</v>
      </c>
      <c r="AA25" s="26"/>
      <c r="AB25" s="42">
        <v>-50087</v>
      </c>
      <c r="AC25" s="26">
        <v>1993.16</v>
      </c>
      <c r="AD25" s="26">
        <f t="shared" si="3"/>
        <v>2.4657534270318138E-3</v>
      </c>
      <c r="AE25" s="25" t="s">
        <v>218</v>
      </c>
    </row>
    <row r="26" spans="1:31" x14ac:dyDescent="0.3">
      <c r="A26" s="25"/>
      <c r="B26" s="25" t="s">
        <v>174</v>
      </c>
      <c r="C26" s="25" t="s">
        <v>653</v>
      </c>
      <c r="D26" s="26" t="s">
        <v>654</v>
      </c>
      <c r="E26" s="26">
        <v>1050000</v>
      </c>
      <c r="F26" s="47" t="s">
        <v>655</v>
      </c>
      <c r="G26" s="47" t="s">
        <v>656</v>
      </c>
      <c r="H26" s="26"/>
      <c r="I26" s="26">
        <v>6.15</v>
      </c>
      <c r="J26" s="26">
        <v>39575.530821917811</v>
      </c>
      <c r="K26" s="26">
        <f t="shared" si="4"/>
        <v>5560.6250000000009</v>
      </c>
      <c r="L26" s="26"/>
      <c r="M26" s="26"/>
      <c r="N26" s="26">
        <f t="shared" si="0"/>
        <v>45136.155821917811</v>
      </c>
      <c r="O26" s="26">
        <f t="shared" si="5"/>
        <v>5560.6250000000009</v>
      </c>
      <c r="P26" s="26"/>
      <c r="Q26" s="26"/>
      <c r="R26" s="26">
        <v>50696.780821917811</v>
      </c>
      <c r="S26" s="26">
        <v>5381.2500000000009</v>
      </c>
      <c r="T26" s="26"/>
      <c r="U26" s="26"/>
      <c r="V26" s="26">
        <f t="shared" si="1"/>
        <v>56078.030821917811</v>
      </c>
      <c r="W26" s="26">
        <v>5381.2500000000009</v>
      </c>
      <c r="X26" s="26"/>
      <c r="Y26" s="26"/>
      <c r="Z26" s="26">
        <f t="shared" si="2"/>
        <v>61459.280821917811</v>
      </c>
      <c r="AA26" s="26"/>
      <c r="AB26" s="42">
        <v>-64929.33</v>
      </c>
      <c r="AC26" s="26">
        <v>3470.0520000000001</v>
      </c>
      <c r="AD26" s="26">
        <f t="shared" si="3"/>
        <v>2.8219178097970143E-3</v>
      </c>
      <c r="AE26" s="25" t="s">
        <v>218</v>
      </c>
    </row>
    <row r="27" spans="1:31" x14ac:dyDescent="0.3">
      <c r="A27" s="25"/>
      <c r="B27" s="25" t="s">
        <v>174</v>
      </c>
      <c r="C27" s="25" t="s">
        <v>657</v>
      </c>
      <c r="D27" s="26" t="s">
        <v>658</v>
      </c>
      <c r="E27" s="26">
        <v>985000</v>
      </c>
      <c r="F27" s="47" t="s">
        <v>640</v>
      </c>
      <c r="G27" s="47" t="s">
        <v>659</v>
      </c>
      <c r="H27" s="26"/>
      <c r="I27" s="26">
        <v>6.15</v>
      </c>
      <c r="J27" s="26">
        <v>35797.89098173516</v>
      </c>
      <c r="K27" s="26">
        <f t="shared" si="4"/>
        <v>5216.3958333333339</v>
      </c>
      <c r="L27" s="26"/>
      <c r="M27" s="26"/>
      <c r="N27" s="26">
        <f t="shared" si="0"/>
        <v>41014.286815068495</v>
      </c>
      <c r="O27" s="26">
        <f t="shared" si="5"/>
        <v>5216.3958333333339</v>
      </c>
      <c r="P27" s="26"/>
      <c r="Q27" s="26"/>
      <c r="R27" s="26">
        <v>46230.682648401831</v>
      </c>
      <c r="S27" s="26">
        <v>5048.125</v>
      </c>
      <c r="T27" s="26"/>
      <c r="U27" s="26"/>
      <c r="V27" s="26">
        <f t="shared" si="1"/>
        <v>51278.807648401831</v>
      </c>
      <c r="W27" s="26">
        <v>5048.125</v>
      </c>
      <c r="X27" s="26"/>
      <c r="Y27" s="26"/>
      <c r="Z27" s="26">
        <f t="shared" si="2"/>
        <v>56326.932648401831</v>
      </c>
      <c r="AA27" s="26"/>
      <c r="AB27" s="42">
        <v>-60743.47</v>
      </c>
      <c r="AC27" s="26">
        <v>4416.54</v>
      </c>
      <c r="AD27" s="26">
        <f t="shared" si="3"/>
        <v>2.6484018299015588E-3</v>
      </c>
      <c r="AE27" s="25" t="s">
        <v>218</v>
      </c>
    </row>
    <row r="28" spans="1:31" x14ac:dyDescent="0.3">
      <c r="A28" s="25"/>
      <c r="B28" s="25" t="s">
        <v>204</v>
      </c>
      <c r="C28" s="25" t="s">
        <v>660</v>
      </c>
      <c r="D28" s="26" t="s">
        <v>661</v>
      </c>
      <c r="E28" s="26">
        <v>330000</v>
      </c>
      <c r="F28" s="47" t="s">
        <v>662</v>
      </c>
      <c r="G28" s="47" t="s">
        <v>663</v>
      </c>
      <c r="H28" s="26"/>
      <c r="I28" s="26">
        <v>4.9000000000000004</v>
      </c>
      <c r="J28" s="26">
        <v>9865.6689497716889</v>
      </c>
      <c r="K28" s="26">
        <f t="shared" si="4"/>
        <v>1392.4166666666665</v>
      </c>
      <c r="L28" s="26"/>
      <c r="M28" s="26"/>
      <c r="N28" s="26">
        <f t="shared" si="0"/>
        <v>11258.085616438355</v>
      </c>
      <c r="O28" s="26">
        <f t="shared" si="5"/>
        <v>1392.4166666666665</v>
      </c>
      <c r="P28" s="26"/>
      <c r="Q28" s="26"/>
      <c r="R28" s="26">
        <v>12650.502283105021</v>
      </c>
      <c r="S28" s="26">
        <v>1347.5</v>
      </c>
      <c r="T28" s="26"/>
      <c r="U28" s="26"/>
      <c r="V28" s="26">
        <f t="shared" si="1"/>
        <v>13998.002283105021</v>
      </c>
      <c r="W28" s="26">
        <v>1347.5</v>
      </c>
      <c r="X28" s="26"/>
      <c r="Y28" s="26"/>
      <c r="Z28" s="26">
        <f t="shared" si="2"/>
        <v>15345.502283105021</v>
      </c>
      <c r="AA28" s="26"/>
      <c r="AB28" s="42">
        <v>-16258.71</v>
      </c>
      <c r="AC28" s="26">
        <v>913.21</v>
      </c>
      <c r="AD28" s="26">
        <f t="shared" si="3"/>
        <v>2.283105021888332E-3</v>
      </c>
      <c r="AE28" s="25" t="s">
        <v>218</v>
      </c>
    </row>
    <row r="29" spans="1:31" x14ac:dyDescent="0.3">
      <c r="A29" s="25"/>
      <c r="B29" s="25" t="s">
        <v>211</v>
      </c>
      <c r="C29" s="25" t="s">
        <v>664</v>
      </c>
      <c r="D29" s="26" t="s">
        <v>665</v>
      </c>
      <c r="E29" s="26">
        <v>1100000</v>
      </c>
      <c r="F29" s="47" t="s">
        <v>666</v>
      </c>
      <c r="G29" s="47" t="s">
        <v>667</v>
      </c>
      <c r="H29" s="26"/>
      <c r="I29" s="26">
        <v>5.9</v>
      </c>
      <c r="J29" s="26">
        <v>42619.642313546428</v>
      </c>
      <c r="K29" s="26">
        <f t="shared" si="4"/>
        <v>5588.6111111111122</v>
      </c>
      <c r="L29" s="26"/>
      <c r="M29" s="26"/>
      <c r="N29" s="26">
        <f t="shared" si="0"/>
        <v>48208.253424657538</v>
      </c>
      <c r="O29" s="26">
        <f t="shared" si="5"/>
        <v>5588.6111111111122</v>
      </c>
      <c r="P29" s="26"/>
      <c r="Q29" s="26"/>
      <c r="R29" s="26">
        <v>53796.864535768647</v>
      </c>
      <c r="S29" s="26">
        <v>5408.3333333333339</v>
      </c>
      <c r="T29" s="26"/>
      <c r="U29" s="26"/>
      <c r="V29" s="26">
        <f t="shared" si="1"/>
        <v>59205.197869101983</v>
      </c>
      <c r="W29" s="26">
        <v>5408.3333333333339</v>
      </c>
      <c r="X29" s="26"/>
      <c r="Y29" s="26"/>
      <c r="Z29" s="26">
        <f t="shared" si="2"/>
        <v>64613.531202435319</v>
      </c>
      <c r="AA29" s="26"/>
      <c r="AB29" s="42">
        <v>-65256.06</v>
      </c>
      <c r="AC29" s="26">
        <v>642.53</v>
      </c>
      <c r="AD29" s="26">
        <f t="shared" si="3"/>
        <v>1.2024353211472771E-3</v>
      </c>
      <c r="AE29" s="25" t="s">
        <v>218</v>
      </c>
    </row>
    <row r="30" spans="1:31" x14ac:dyDescent="0.3">
      <c r="A30" s="25"/>
      <c r="B30" s="25" t="s">
        <v>16</v>
      </c>
      <c r="C30" s="25" t="s">
        <v>668</v>
      </c>
      <c r="D30" s="26" t="s">
        <v>669</v>
      </c>
      <c r="E30" s="26">
        <v>90000</v>
      </c>
      <c r="F30" s="47" t="s">
        <v>670</v>
      </c>
      <c r="G30" s="47" t="s">
        <v>671</v>
      </c>
      <c r="H30" s="26"/>
      <c r="I30" s="26">
        <v>1.9</v>
      </c>
      <c r="J30" s="26">
        <v>1132.321917808219</v>
      </c>
      <c r="K30" s="26">
        <f t="shared" si="4"/>
        <v>147.25</v>
      </c>
      <c r="L30" s="26"/>
      <c r="M30" s="26"/>
      <c r="N30" s="26">
        <f t="shared" si="0"/>
        <v>1279.571917808219</v>
      </c>
      <c r="O30" s="26">
        <f t="shared" si="5"/>
        <v>147.25</v>
      </c>
      <c r="P30" s="26"/>
      <c r="Q30" s="26"/>
      <c r="R30" s="26">
        <v>1426.821917808219</v>
      </c>
      <c r="S30" s="26">
        <v>142.5</v>
      </c>
      <c r="T30" s="26"/>
      <c r="U30" s="26"/>
      <c r="V30" s="26">
        <f t="shared" si="1"/>
        <v>1569.321917808219</v>
      </c>
      <c r="W30" s="26">
        <v>142.5</v>
      </c>
      <c r="X30" s="26"/>
      <c r="Y30" s="26"/>
      <c r="Z30" s="26">
        <f t="shared" si="2"/>
        <v>1711.821917808219</v>
      </c>
      <c r="AA30" s="26"/>
      <c r="AB30" s="42">
        <v>-1719.39</v>
      </c>
      <c r="AC30" s="26">
        <v>7.57</v>
      </c>
      <c r="AD30" s="26">
        <f t="shared" si="3"/>
        <v>1.9178082189412748E-3</v>
      </c>
      <c r="AE30" s="25" t="s">
        <v>218</v>
      </c>
    </row>
    <row r="31" spans="1:31" x14ac:dyDescent="0.3">
      <c r="A31" s="25"/>
      <c r="B31" s="25" t="s">
        <v>37</v>
      </c>
      <c r="C31" s="25" t="s">
        <v>672</v>
      </c>
      <c r="D31" s="26" t="s">
        <v>673</v>
      </c>
      <c r="F31" s="47" t="s">
        <v>622</v>
      </c>
      <c r="G31" s="47" t="s">
        <v>623</v>
      </c>
      <c r="H31" s="26"/>
      <c r="I31" s="26">
        <v>7.9</v>
      </c>
      <c r="J31" s="26">
        <v>6693.0593455098933</v>
      </c>
      <c r="K31" s="26" t="e">
        <f>(+#REF!*$I31%)/360*31</f>
        <v>#REF!</v>
      </c>
      <c r="L31" s="26"/>
      <c r="M31" s="26"/>
      <c r="N31" s="26" t="e">
        <f t="shared" si="0"/>
        <v>#REF!</v>
      </c>
      <c r="O31" s="26" t="e">
        <f>(+#REF!*$I31%)/360*31</f>
        <v>#REF!</v>
      </c>
      <c r="P31" s="26"/>
      <c r="Q31" s="26"/>
      <c r="R31" s="26">
        <v>13495.837123287671</v>
      </c>
      <c r="S31" s="26">
        <v>3291.666666666667</v>
      </c>
      <c r="T31" s="26"/>
      <c r="U31" s="26"/>
      <c r="V31" s="26">
        <f t="shared" si="1"/>
        <v>16787.503789954339</v>
      </c>
      <c r="W31" s="26"/>
      <c r="X31" s="26"/>
      <c r="Y31" s="26">
        <v>-16787.5</v>
      </c>
      <c r="Z31" s="26">
        <f t="shared" si="2"/>
        <v>3.789954338571988E-3</v>
      </c>
      <c r="AA31" s="26"/>
      <c r="AB31" s="26"/>
      <c r="AC31" s="26"/>
      <c r="AD31" s="26">
        <f t="shared" si="3"/>
        <v>3.789954338571988E-3</v>
      </c>
      <c r="AE31" s="25" t="s">
        <v>729</v>
      </c>
    </row>
    <row r="32" spans="1:31" x14ac:dyDescent="0.3">
      <c r="A32" s="25"/>
      <c r="B32" s="25" t="s">
        <v>77</v>
      </c>
      <c r="C32" s="25" t="s">
        <v>674</v>
      </c>
      <c r="D32" s="26" t="s">
        <v>675</v>
      </c>
      <c r="E32" s="26">
        <v>191200</v>
      </c>
      <c r="F32" s="47">
        <v>43592</v>
      </c>
      <c r="G32" s="47" t="s">
        <v>676</v>
      </c>
      <c r="H32" s="26"/>
      <c r="I32" s="26">
        <v>5.4</v>
      </c>
      <c r="J32" s="26">
        <v>6214.5238356164391</v>
      </c>
      <c r="K32" s="26">
        <f t="shared" si="4"/>
        <v>889.08000000000015</v>
      </c>
      <c r="L32" s="26"/>
      <c r="M32" s="26"/>
      <c r="N32" s="26">
        <f t="shared" si="0"/>
        <v>7103.603835616439</v>
      </c>
      <c r="O32" s="26">
        <f t="shared" si="5"/>
        <v>889.08000000000015</v>
      </c>
      <c r="P32" s="26"/>
      <c r="Q32" s="26"/>
      <c r="R32" s="26">
        <v>7992.683835616439</v>
      </c>
      <c r="S32" s="26">
        <v>860.40000000000009</v>
      </c>
      <c r="T32" s="26"/>
      <c r="U32" s="26"/>
      <c r="V32" s="26">
        <f t="shared" si="1"/>
        <v>8853.0838356164386</v>
      </c>
      <c r="W32" s="26">
        <v>860.40000000000009</v>
      </c>
      <c r="X32" s="26"/>
      <c r="Y32" s="26"/>
      <c r="Z32" s="26">
        <f t="shared" si="2"/>
        <v>9713.4838356164382</v>
      </c>
      <c r="AA32" s="26"/>
      <c r="AB32" s="42">
        <v>-10381.44</v>
      </c>
      <c r="AC32" s="26">
        <v>667.96</v>
      </c>
      <c r="AD32" s="26">
        <f t="shared" si="3"/>
        <v>3.835616437754652E-3</v>
      </c>
      <c r="AE32" s="25" t="s">
        <v>218</v>
      </c>
    </row>
    <row r="33" spans="1:31" x14ac:dyDescent="0.3">
      <c r="A33" s="25"/>
      <c r="B33" s="25" t="s">
        <v>74</v>
      </c>
      <c r="C33" s="25" t="s">
        <v>677</v>
      </c>
      <c r="D33" s="26" t="s">
        <v>678</v>
      </c>
      <c r="E33" s="26">
        <v>75000</v>
      </c>
      <c r="F33" s="47">
        <v>43599</v>
      </c>
      <c r="G33" s="47">
        <v>43965</v>
      </c>
      <c r="H33" s="26"/>
      <c r="I33" s="26">
        <v>3.4</v>
      </c>
      <c r="J33" s="26">
        <v>1409.0981735159817</v>
      </c>
      <c r="K33" s="26">
        <f t="shared" si="4"/>
        <v>219.58333333333331</v>
      </c>
      <c r="L33" s="26"/>
      <c r="M33" s="26"/>
      <c r="N33" s="26">
        <f t="shared" si="0"/>
        <v>1628.6815068493149</v>
      </c>
      <c r="O33" s="26">
        <f t="shared" si="5"/>
        <v>219.58333333333331</v>
      </c>
      <c r="P33" s="26"/>
      <c r="Q33" s="26"/>
      <c r="R33" s="26">
        <v>1848.2648401826482</v>
      </c>
      <c r="S33" s="26">
        <v>212.5</v>
      </c>
      <c r="T33" s="26"/>
      <c r="U33" s="26"/>
      <c r="V33" s="26">
        <f t="shared" si="1"/>
        <v>2060.7648401826482</v>
      </c>
      <c r="W33" s="26">
        <v>212.5</v>
      </c>
      <c r="X33" s="26"/>
      <c r="Y33" s="26"/>
      <c r="Z33" s="26">
        <f t="shared" si="2"/>
        <v>2273.2648401826482</v>
      </c>
      <c r="AA33" s="26">
        <v>212.5</v>
      </c>
      <c r="AB33" s="26"/>
      <c r="AC33" s="26"/>
      <c r="AD33" s="26">
        <f t="shared" si="3"/>
        <v>2485.7648401826482</v>
      </c>
      <c r="AE33" s="25"/>
    </row>
    <row r="34" spans="1:31" x14ac:dyDescent="0.3">
      <c r="A34" s="25"/>
      <c r="B34" s="25" t="s">
        <v>25</v>
      </c>
      <c r="C34" s="25" t="s">
        <v>679</v>
      </c>
      <c r="D34" s="26" t="s">
        <v>680</v>
      </c>
      <c r="E34" s="26">
        <v>150000</v>
      </c>
      <c r="F34" s="47">
        <v>43587</v>
      </c>
      <c r="G34" s="47">
        <v>43953</v>
      </c>
      <c r="H34" s="26"/>
      <c r="I34" s="26">
        <v>4.4000000000000004</v>
      </c>
      <c r="J34" s="26">
        <v>3864.0639269406397</v>
      </c>
      <c r="K34" s="26">
        <f t="shared" si="4"/>
        <v>568.33333333333337</v>
      </c>
      <c r="L34" s="26"/>
      <c r="M34" s="26"/>
      <c r="N34" s="26">
        <f t="shared" si="0"/>
        <v>4432.3972602739732</v>
      </c>
      <c r="O34" s="26">
        <f t="shared" si="5"/>
        <v>568.33333333333337</v>
      </c>
      <c r="P34" s="26"/>
      <c r="Q34" s="26"/>
      <c r="R34" s="26">
        <v>5000.7305936073062</v>
      </c>
      <c r="S34" s="26">
        <v>550.00000000000011</v>
      </c>
      <c r="T34" s="26"/>
      <c r="U34" s="26"/>
      <c r="V34" s="26">
        <f t="shared" si="1"/>
        <v>5550.7305936073062</v>
      </c>
      <c r="W34" s="26">
        <v>550.00000000000011</v>
      </c>
      <c r="X34" s="26"/>
      <c r="Y34" s="26"/>
      <c r="Z34" s="26">
        <f t="shared" si="2"/>
        <v>6100.7305936073062</v>
      </c>
      <c r="AA34" s="26">
        <v>550.00000000000011</v>
      </c>
      <c r="AB34" s="26"/>
      <c r="AC34" s="26"/>
      <c r="AD34" s="26">
        <f t="shared" si="3"/>
        <v>6650.7305936073062</v>
      </c>
      <c r="AE34" s="25"/>
    </row>
    <row r="35" spans="1:31" x14ac:dyDescent="0.3">
      <c r="A35" s="25"/>
      <c r="B35" s="25" t="s">
        <v>13</v>
      </c>
      <c r="C35" s="25" t="s">
        <v>681</v>
      </c>
      <c r="D35" s="26" t="s">
        <v>682</v>
      </c>
      <c r="E35" s="26">
        <v>100000</v>
      </c>
      <c r="F35" s="47">
        <v>43593</v>
      </c>
      <c r="G35" s="47">
        <v>43953</v>
      </c>
      <c r="H35" s="26"/>
      <c r="I35" s="26">
        <v>4.9000000000000004</v>
      </c>
      <c r="J35" s="26">
        <v>2868.7747336377474</v>
      </c>
      <c r="K35" s="26">
        <f t="shared" si="4"/>
        <v>421.94444444444446</v>
      </c>
      <c r="L35" s="26"/>
      <c r="M35" s="26"/>
      <c r="N35" s="26">
        <f t="shared" si="0"/>
        <v>3290.7191780821918</v>
      </c>
      <c r="O35" s="26">
        <f t="shared" si="5"/>
        <v>421.94444444444446</v>
      </c>
      <c r="P35" s="26"/>
      <c r="Q35" s="26"/>
      <c r="R35" s="26">
        <v>3712.6636225266361</v>
      </c>
      <c r="S35" s="26">
        <v>408.33333333333331</v>
      </c>
      <c r="T35" s="26"/>
      <c r="U35" s="26"/>
      <c r="V35" s="26">
        <f t="shared" si="1"/>
        <v>4120.9969558599696</v>
      </c>
      <c r="W35" s="26">
        <v>408.33333333333331</v>
      </c>
      <c r="X35" s="26"/>
      <c r="Y35" s="26"/>
      <c r="Z35" s="26">
        <f t="shared" si="2"/>
        <v>4529.3302891933026</v>
      </c>
      <c r="AA35" s="26">
        <v>408.33333333333331</v>
      </c>
      <c r="AB35" s="26"/>
      <c r="AC35" s="26"/>
      <c r="AD35" s="26">
        <f t="shared" si="3"/>
        <v>4937.6636225266357</v>
      </c>
      <c r="AE35" s="25"/>
    </row>
    <row r="36" spans="1:31" x14ac:dyDescent="0.3">
      <c r="A36" s="25"/>
      <c r="B36" s="25" t="s">
        <v>82</v>
      </c>
      <c r="C36" s="25" t="s">
        <v>683</v>
      </c>
      <c r="D36" s="26" t="s">
        <v>684</v>
      </c>
      <c r="E36" s="26">
        <v>41000</v>
      </c>
      <c r="F36" s="47">
        <v>43593</v>
      </c>
      <c r="G36" s="47">
        <v>43954</v>
      </c>
      <c r="H36" s="26"/>
      <c r="I36" s="26">
        <v>6.15</v>
      </c>
      <c r="J36" s="26">
        <v>1469.3398401826485</v>
      </c>
      <c r="K36" s="26">
        <f t="shared" si="4"/>
        <v>217.12916666666672</v>
      </c>
      <c r="L36" s="26"/>
      <c r="M36" s="26"/>
      <c r="N36" s="26">
        <f t="shared" si="0"/>
        <v>1686.4690068493151</v>
      </c>
      <c r="O36" s="26">
        <f t="shared" si="5"/>
        <v>217.12916666666672</v>
      </c>
      <c r="P36" s="26"/>
      <c r="Q36" s="26"/>
      <c r="R36" s="26">
        <v>1903.5981735159817</v>
      </c>
      <c r="S36" s="26">
        <v>210.12500000000006</v>
      </c>
      <c r="T36" s="26"/>
      <c r="U36" s="26"/>
      <c r="V36" s="26">
        <f t="shared" si="1"/>
        <v>2113.7231735159817</v>
      </c>
      <c r="W36" s="26">
        <v>210.12500000000006</v>
      </c>
      <c r="X36" s="26"/>
      <c r="Y36" s="26"/>
      <c r="Z36" s="26">
        <f t="shared" si="2"/>
        <v>2323.8481735159817</v>
      </c>
      <c r="AA36" s="26">
        <v>210.12500000000006</v>
      </c>
      <c r="AB36" s="26"/>
      <c r="AC36" s="26"/>
      <c r="AD36" s="26">
        <f t="shared" si="3"/>
        <v>2533.9731735159817</v>
      </c>
      <c r="AE36" s="25"/>
    </row>
    <row r="37" spans="1:31" x14ac:dyDescent="0.3">
      <c r="A37" s="25"/>
      <c r="B37" s="25" t="s">
        <v>7</v>
      </c>
      <c r="C37" s="25" t="s">
        <v>685</v>
      </c>
      <c r="D37" s="26" t="s">
        <v>686</v>
      </c>
      <c r="E37" s="26">
        <v>95000</v>
      </c>
      <c r="F37" s="47">
        <v>43601</v>
      </c>
      <c r="G37" s="47">
        <v>43967</v>
      </c>
      <c r="H37" s="26"/>
      <c r="I37" s="26">
        <v>6.4</v>
      </c>
      <c r="J37" s="26">
        <v>3326.4170471841703</v>
      </c>
      <c r="K37" s="26">
        <f t="shared" si="4"/>
        <v>523.55555555555554</v>
      </c>
      <c r="L37" s="26"/>
      <c r="M37" s="26"/>
      <c r="N37" s="26">
        <f t="shared" si="0"/>
        <v>3849.972602739726</v>
      </c>
      <c r="O37" s="26">
        <f t="shared" si="5"/>
        <v>523.55555555555554</v>
      </c>
      <c r="P37" s="26"/>
      <c r="Q37" s="26"/>
      <c r="R37" s="26">
        <v>4373.5281582952812</v>
      </c>
      <c r="S37" s="26">
        <v>506.66666666666669</v>
      </c>
      <c r="T37" s="26"/>
      <c r="U37" s="26"/>
      <c r="V37" s="26">
        <f t="shared" si="1"/>
        <v>4880.1948249619481</v>
      </c>
      <c r="W37" s="26">
        <v>506.66666666666669</v>
      </c>
      <c r="X37" s="26"/>
      <c r="Y37" s="26"/>
      <c r="Z37" s="26">
        <f t="shared" si="2"/>
        <v>5386.8614916286151</v>
      </c>
      <c r="AA37" s="26">
        <v>506.66666666666669</v>
      </c>
      <c r="AB37" s="26"/>
      <c r="AC37" s="26"/>
      <c r="AD37" s="26">
        <f t="shared" si="3"/>
        <v>5893.5281582952821</v>
      </c>
      <c r="AE37" s="25"/>
    </row>
    <row r="38" spans="1:31" x14ac:dyDescent="0.3">
      <c r="A38" s="25"/>
      <c r="B38" s="25" t="s">
        <v>7</v>
      </c>
      <c r="C38" s="25" t="s">
        <v>687</v>
      </c>
      <c r="D38" s="26" t="s">
        <v>688</v>
      </c>
      <c r="E38" s="26">
        <v>185000</v>
      </c>
      <c r="F38" s="47">
        <v>43601</v>
      </c>
      <c r="G38" s="47">
        <v>43967</v>
      </c>
      <c r="H38" s="26"/>
      <c r="I38" s="26">
        <v>6.4</v>
      </c>
      <c r="J38" s="26">
        <v>6477.759512937595</v>
      </c>
      <c r="K38" s="26">
        <f t="shared" si="4"/>
        <v>1019.5555555555554</v>
      </c>
      <c r="L38" s="26"/>
      <c r="M38" s="26"/>
      <c r="N38" s="26">
        <f t="shared" si="0"/>
        <v>7497.3150684931506</v>
      </c>
      <c r="O38" s="26">
        <f t="shared" si="5"/>
        <v>1019.5555555555554</v>
      </c>
      <c r="P38" s="26"/>
      <c r="Q38" s="26"/>
      <c r="R38" s="26">
        <v>8516.8706240487063</v>
      </c>
      <c r="S38" s="26">
        <v>986.66666666666652</v>
      </c>
      <c r="T38" s="26"/>
      <c r="U38" s="26"/>
      <c r="V38" s="26">
        <f t="shared" si="1"/>
        <v>9503.5372907153724</v>
      </c>
      <c r="W38" s="26">
        <v>986.66666666666652</v>
      </c>
      <c r="X38" s="26"/>
      <c r="Y38" s="26"/>
      <c r="Z38" s="26">
        <f t="shared" si="2"/>
        <v>10490.203957382038</v>
      </c>
      <c r="AA38" s="26">
        <v>986.66666666666652</v>
      </c>
      <c r="AB38" s="26"/>
      <c r="AC38" s="26"/>
      <c r="AD38" s="26">
        <f t="shared" si="3"/>
        <v>11476.870624048704</v>
      </c>
      <c r="AE38" s="25"/>
    </row>
    <row r="39" spans="1:31" x14ac:dyDescent="0.3">
      <c r="A39" s="25"/>
      <c r="B39" s="25" t="s">
        <v>127</v>
      </c>
      <c r="C39" s="25" t="s">
        <v>689</v>
      </c>
      <c r="D39" s="26" t="s">
        <v>690</v>
      </c>
      <c r="E39" s="26">
        <v>110000</v>
      </c>
      <c r="F39" s="47">
        <v>43612</v>
      </c>
      <c r="G39" s="47">
        <v>43978</v>
      </c>
      <c r="H39" s="26"/>
      <c r="I39" s="26">
        <v>3.9</v>
      </c>
      <c r="J39" s="26">
        <v>2217.8059360730595</v>
      </c>
      <c r="K39" s="26">
        <f t="shared" si="4"/>
        <v>369.41666666666663</v>
      </c>
      <c r="L39" s="26"/>
      <c r="M39" s="26"/>
      <c r="N39" s="26">
        <f t="shared" si="0"/>
        <v>2587.222602739726</v>
      </c>
      <c r="O39" s="26">
        <f t="shared" si="5"/>
        <v>369.41666666666663</v>
      </c>
      <c r="P39" s="26"/>
      <c r="Q39" s="26"/>
      <c r="R39" s="26">
        <v>2956.6392694063925</v>
      </c>
      <c r="S39" s="26">
        <v>357.5</v>
      </c>
      <c r="T39" s="26"/>
      <c r="U39" s="26"/>
      <c r="V39" s="26">
        <f t="shared" si="1"/>
        <v>3314.1392694063925</v>
      </c>
      <c r="W39" s="26">
        <v>357.5</v>
      </c>
      <c r="X39" s="26"/>
      <c r="Y39" s="26"/>
      <c r="Z39" s="26">
        <f t="shared" si="2"/>
        <v>3671.6392694063925</v>
      </c>
      <c r="AA39" s="26">
        <v>357.5</v>
      </c>
      <c r="AB39" s="26"/>
      <c r="AC39" s="26"/>
      <c r="AD39" s="26">
        <f t="shared" si="3"/>
        <v>4029.1392694063925</v>
      </c>
      <c r="AE39" s="25"/>
    </row>
    <row r="40" spans="1:31" x14ac:dyDescent="0.3">
      <c r="A40" s="25">
        <v>5055</v>
      </c>
      <c r="B40" s="25" t="s">
        <v>159</v>
      </c>
      <c r="C40" s="25" t="s">
        <v>691</v>
      </c>
      <c r="D40" s="26" t="s">
        <v>692</v>
      </c>
      <c r="E40" s="26">
        <v>500000</v>
      </c>
      <c r="F40" s="47">
        <v>43600</v>
      </c>
      <c r="G40" s="47">
        <v>43966</v>
      </c>
      <c r="H40" s="26"/>
      <c r="I40" s="26">
        <v>6.85</v>
      </c>
      <c r="J40" s="26">
        <v>18832.286910197865</v>
      </c>
      <c r="K40" s="26">
        <f t="shared" si="4"/>
        <v>2949.3055555555552</v>
      </c>
      <c r="L40" s="26"/>
      <c r="M40" s="26"/>
      <c r="N40" s="26">
        <f t="shared" si="0"/>
        <v>21781.59246575342</v>
      </c>
      <c r="O40" s="26">
        <f t="shared" si="5"/>
        <v>2949.3055555555552</v>
      </c>
      <c r="P40" s="26"/>
      <c r="Q40" s="26"/>
      <c r="R40" s="26">
        <v>24730.898021308974</v>
      </c>
      <c r="S40" s="26">
        <v>2854.1666666666661</v>
      </c>
      <c r="T40" s="26"/>
      <c r="U40" s="26"/>
      <c r="V40" s="26">
        <f t="shared" si="1"/>
        <v>27585.064687975639</v>
      </c>
      <c r="W40" s="26">
        <v>2854.1666666666661</v>
      </c>
      <c r="X40" s="26"/>
      <c r="Y40" s="26"/>
      <c r="Z40" s="26">
        <f t="shared" si="2"/>
        <v>30439.231354642303</v>
      </c>
      <c r="AA40" s="26">
        <v>2854.1666666666661</v>
      </c>
      <c r="AB40" s="26"/>
      <c r="AC40" s="26"/>
      <c r="AD40" s="26">
        <f t="shared" si="3"/>
        <v>33293.398021308967</v>
      </c>
      <c r="AE40" s="25"/>
    </row>
    <row r="41" spans="1:31" x14ac:dyDescent="0.3">
      <c r="A41" s="25"/>
      <c r="B41" s="25" t="s">
        <v>53</v>
      </c>
      <c r="C41" s="25" t="s">
        <v>693</v>
      </c>
      <c r="D41" s="26" t="s">
        <v>694</v>
      </c>
      <c r="E41" s="26">
        <v>500000</v>
      </c>
      <c r="F41" s="47">
        <v>43600</v>
      </c>
      <c r="G41" s="47">
        <v>43966</v>
      </c>
      <c r="H41" s="26"/>
      <c r="I41" s="26">
        <v>6.85</v>
      </c>
      <c r="J41" s="26">
        <v>18832.286910197865</v>
      </c>
      <c r="K41" s="26">
        <f t="shared" si="4"/>
        <v>2949.3055555555552</v>
      </c>
      <c r="L41" s="26"/>
      <c r="M41" s="26"/>
      <c r="N41" s="26">
        <f t="shared" si="0"/>
        <v>21781.59246575342</v>
      </c>
      <c r="O41" s="26">
        <f t="shared" si="5"/>
        <v>2949.3055555555552</v>
      </c>
      <c r="P41" s="26"/>
      <c r="Q41" s="26"/>
      <c r="R41" s="26">
        <v>24730.898021308974</v>
      </c>
      <c r="S41" s="26">
        <v>2854.1666666666661</v>
      </c>
      <c r="T41" s="26"/>
      <c r="U41" s="26"/>
      <c r="V41" s="26">
        <f t="shared" si="1"/>
        <v>27585.064687975639</v>
      </c>
      <c r="W41" s="26">
        <v>2854.1666666666661</v>
      </c>
      <c r="X41" s="26"/>
      <c r="Y41" s="26"/>
      <c r="Z41" s="26">
        <f t="shared" si="2"/>
        <v>30439.231354642303</v>
      </c>
      <c r="AA41" s="26">
        <v>2854.1666666666661</v>
      </c>
      <c r="AB41" s="26"/>
      <c r="AC41" s="26"/>
      <c r="AD41" s="26">
        <f t="shared" si="3"/>
        <v>33293.398021308967</v>
      </c>
      <c r="AE41" s="25"/>
    </row>
    <row r="42" spans="1:31" x14ac:dyDescent="0.3">
      <c r="A42" s="25"/>
      <c r="B42" s="25" t="s">
        <v>77</v>
      </c>
      <c r="C42" s="25" t="s">
        <v>482</v>
      </c>
      <c r="D42" s="26" t="s">
        <v>481</v>
      </c>
      <c r="E42" s="26">
        <v>240000</v>
      </c>
      <c r="F42" s="47">
        <v>43622</v>
      </c>
      <c r="G42" s="47">
        <v>43988</v>
      </c>
      <c r="H42" s="26"/>
      <c r="I42" s="26">
        <v>5.4</v>
      </c>
      <c r="J42" s="26">
        <v>6344.8767123287671</v>
      </c>
      <c r="K42" s="26">
        <f t="shared" si="4"/>
        <v>1116.0000000000002</v>
      </c>
      <c r="L42" s="26"/>
      <c r="M42" s="26"/>
      <c r="N42" s="26">
        <f t="shared" si="0"/>
        <v>7460.8767123287671</v>
      </c>
      <c r="O42" s="26">
        <f t="shared" si="5"/>
        <v>1116.0000000000002</v>
      </c>
      <c r="P42" s="26"/>
      <c r="Q42" s="26"/>
      <c r="R42" s="26">
        <v>8576.8767123287671</v>
      </c>
      <c r="S42" s="26">
        <v>1080.0000000000002</v>
      </c>
      <c r="T42" s="26"/>
      <c r="U42" s="26"/>
      <c r="V42" s="26">
        <f t="shared" si="1"/>
        <v>9656.8767123287671</v>
      </c>
      <c r="W42" s="26">
        <v>1080.0000000000002</v>
      </c>
      <c r="X42" s="26"/>
      <c r="Y42" s="26"/>
      <c r="Z42" s="26">
        <f t="shared" si="2"/>
        <v>10736.876712328767</v>
      </c>
      <c r="AA42" s="26">
        <v>1080.0000000000002</v>
      </c>
      <c r="AB42" s="26"/>
      <c r="AC42" s="26"/>
      <c r="AD42" s="26">
        <f t="shared" si="3"/>
        <v>11816.876712328767</v>
      </c>
      <c r="AE42" s="25"/>
    </row>
    <row r="43" spans="1:31" x14ac:dyDescent="0.3">
      <c r="A43" s="25"/>
      <c r="B43" s="25" t="s">
        <v>124</v>
      </c>
      <c r="C43" s="25" t="s">
        <v>480</v>
      </c>
      <c r="D43" s="26" t="s">
        <v>479</v>
      </c>
      <c r="E43" s="26">
        <v>158000</v>
      </c>
      <c r="F43" s="47">
        <v>43633</v>
      </c>
      <c r="G43" s="47">
        <v>43999</v>
      </c>
      <c r="H43" s="26"/>
      <c r="I43" s="26">
        <v>4.4000000000000004</v>
      </c>
      <c r="J43" s="26">
        <v>3194.0048706240491</v>
      </c>
      <c r="K43" s="26">
        <f t="shared" si="4"/>
        <v>598.6444444444445</v>
      </c>
      <c r="L43" s="26"/>
      <c r="M43" s="26"/>
      <c r="N43" s="26">
        <f t="shared" si="0"/>
        <v>3792.6493150684937</v>
      </c>
      <c r="O43" s="26">
        <f t="shared" si="5"/>
        <v>598.6444444444445</v>
      </c>
      <c r="P43" s="26"/>
      <c r="Q43" s="26"/>
      <c r="R43" s="26">
        <v>4391.2937595129379</v>
      </c>
      <c r="S43" s="26">
        <v>579.33333333333337</v>
      </c>
      <c r="T43" s="26"/>
      <c r="U43" s="26"/>
      <c r="V43" s="26">
        <f t="shared" si="1"/>
        <v>4970.6270928462709</v>
      </c>
      <c r="W43" s="26">
        <v>579.33333333333337</v>
      </c>
      <c r="X43" s="26"/>
      <c r="Y43" s="26"/>
      <c r="Z43" s="26">
        <f t="shared" si="2"/>
        <v>5549.9604261796039</v>
      </c>
      <c r="AA43" s="26">
        <v>579.33333333333337</v>
      </c>
      <c r="AB43" s="26"/>
      <c r="AC43" s="26"/>
      <c r="AD43" s="26">
        <f t="shared" si="3"/>
        <v>6129.293759512937</v>
      </c>
      <c r="AE43" s="25"/>
    </row>
    <row r="44" spans="1:31" x14ac:dyDescent="0.3">
      <c r="A44" s="25"/>
      <c r="B44" s="25" t="s">
        <v>117</v>
      </c>
      <c r="C44" s="25" t="s">
        <v>478</v>
      </c>
      <c r="D44" s="26" t="s">
        <v>477</v>
      </c>
      <c r="E44" s="26">
        <v>40000</v>
      </c>
      <c r="F44" s="47">
        <v>43644</v>
      </c>
      <c r="G44" s="47">
        <v>44010</v>
      </c>
      <c r="H44" s="26"/>
      <c r="I44" s="26">
        <v>5.87</v>
      </c>
      <c r="J44" s="26">
        <v>1007.9960426179604</v>
      </c>
      <c r="K44" s="26">
        <f t="shared" si="4"/>
        <v>202.1888888888889</v>
      </c>
      <c r="L44" s="26"/>
      <c r="M44" s="26"/>
      <c r="N44" s="26">
        <f t="shared" si="0"/>
        <v>1210.1849315068494</v>
      </c>
      <c r="O44" s="26">
        <f t="shared" si="5"/>
        <v>202.1888888888889</v>
      </c>
      <c r="P44" s="26"/>
      <c r="Q44" s="26"/>
      <c r="R44" s="26">
        <v>1412.3738203957382</v>
      </c>
      <c r="S44" s="26">
        <v>195.66666666666666</v>
      </c>
      <c r="T44" s="26"/>
      <c r="U44" s="26"/>
      <c r="V44" s="26">
        <f t="shared" si="1"/>
        <v>1608.040487062405</v>
      </c>
      <c r="W44" s="26">
        <v>195.66666666666666</v>
      </c>
      <c r="X44" s="26"/>
      <c r="Y44" s="26"/>
      <c r="Z44" s="26">
        <f t="shared" si="2"/>
        <v>1803.7071537290717</v>
      </c>
      <c r="AA44" s="26">
        <v>195.66666666666666</v>
      </c>
      <c r="AB44" s="26"/>
      <c r="AC44" s="26"/>
      <c r="AD44" s="26">
        <f t="shared" si="3"/>
        <v>1999.3738203957384</v>
      </c>
      <c r="AE44" s="25"/>
    </row>
    <row r="45" spans="1:31" x14ac:dyDescent="0.3">
      <c r="A45" s="25"/>
      <c r="B45" s="25" t="s">
        <v>117</v>
      </c>
      <c r="C45" s="25" t="s">
        <v>476</v>
      </c>
      <c r="D45" s="26" t="s">
        <v>475</v>
      </c>
      <c r="E45" s="26">
        <v>60000</v>
      </c>
      <c r="F45" s="47">
        <v>43644</v>
      </c>
      <c r="G45" s="47">
        <v>44010</v>
      </c>
      <c r="H45" s="26"/>
      <c r="I45" s="26">
        <v>5.87</v>
      </c>
      <c r="J45" s="26">
        <v>1511.9940639269405</v>
      </c>
      <c r="K45" s="26">
        <f t="shared" si="4"/>
        <v>303.2833333333333</v>
      </c>
      <c r="L45" s="26"/>
      <c r="M45" s="26"/>
      <c r="N45" s="26">
        <f t="shared" si="0"/>
        <v>1815.2773972602738</v>
      </c>
      <c r="O45" s="26">
        <f t="shared" si="5"/>
        <v>303.2833333333333</v>
      </c>
      <c r="P45" s="26"/>
      <c r="Q45" s="26"/>
      <c r="R45" s="26">
        <v>2118.5607305936073</v>
      </c>
      <c r="S45" s="26">
        <v>293.5</v>
      </c>
      <c r="T45" s="26"/>
      <c r="U45" s="26"/>
      <c r="V45" s="26">
        <f t="shared" si="1"/>
        <v>2412.0607305936073</v>
      </c>
      <c r="W45" s="26">
        <v>293.5</v>
      </c>
      <c r="X45" s="26"/>
      <c r="Y45" s="26"/>
      <c r="Z45" s="26">
        <f t="shared" si="2"/>
        <v>2705.5607305936073</v>
      </c>
      <c r="AA45" s="26">
        <v>293.5</v>
      </c>
      <c r="AB45" s="26"/>
      <c r="AC45" s="26"/>
      <c r="AD45" s="26">
        <f t="shared" si="3"/>
        <v>2999.0607305936073</v>
      </c>
      <c r="AE45" s="25"/>
    </row>
    <row r="46" spans="1:31" x14ac:dyDescent="0.3">
      <c r="A46" s="25"/>
      <c r="B46" s="25" t="s">
        <v>117</v>
      </c>
      <c r="C46" s="25" t="s">
        <v>474</v>
      </c>
      <c r="D46" s="26" t="s">
        <v>473</v>
      </c>
      <c r="E46" s="26">
        <v>100000</v>
      </c>
      <c r="F46" s="47">
        <v>43644</v>
      </c>
      <c r="G46" s="47">
        <v>44010</v>
      </c>
      <c r="H46" s="26"/>
      <c r="I46" s="26">
        <v>5.85</v>
      </c>
      <c r="J46" s="26">
        <v>2511.4041095890411</v>
      </c>
      <c r="K46" s="26">
        <f t="shared" si="4"/>
        <v>503.75</v>
      </c>
      <c r="L46" s="26"/>
      <c r="M46" s="26"/>
      <c r="N46" s="26">
        <f t="shared" si="0"/>
        <v>3015.1541095890411</v>
      </c>
      <c r="O46" s="26">
        <f t="shared" si="5"/>
        <v>503.75</v>
      </c>
      <c r="P46" s="26"/>
      <c r="Q46" s="26"/>
      <c r="R46" s="26">
        <v>3518.9041095890411</v>
      </c>
      <c r="S46" s="26">
        <v>487.5</v>
      </c>
      <c r="T46" s="26"/>
      <c r="U46" s="26"/>
      <c r="V46" s="26">
        <f t="shared" si="1"/>
        <v>4006.4041095890411</v>
      </c>
      <c r="W46" s="26">
        <v>487.5</v>
      </c>
      <c r="X46" s="26"/>
      <c r="Y46" s="26"/>
      <c r="Z46" s="26">
        <f t="shared" si="2"/>
        <v>4493.9041095890407</v>
      </c>
      <c r="AA46" s="26">
        <v>487.5</v>
      </c>
      <c r="AB46" s="26"/>
      <c r="AC46" s="26"/>
      <c r="AD46" s="26">
        <f t="shared" si="3"/>
        <v>4981.4041095890407</v>
      </c>
      <c r="AE46" s="25"/>
    </row>
    <row r="47" spans="1:31" x14ac:dyDescent="0.3">
      <c r="A47" s="25"/>
      <c r="B47" s="25" t="s">
        <v>25</v>
      </c>
      <c r="C47" s="25" t="s">
        <v>472</v>
      </c>
      <c r="D47" s="26" t="s">
        <v>471</v>
      </c>
      <c r="E47" s="26">
        <v>150000</v>
      </c>
      <c r="F47" s="47">
        <v>43617</v>
      </c>
      <c r="G47" s="47">
        <v>43983</v>
      </c>
      <c r="H47" s="26"/>
      <c r="I47" s="26">
        <v>4.4000000000000004</v>
      </c>
      <c r="J47" s="26">
        <v>3321.5981735159821</v>
      </c>
      <c r="K47" s="26">
        <f t="shared" si="4"/>
        <v>568.33333333333337</v>
      </c>
      <c r="L47" s="26"/>
      <c r="M47" s="26"/>
      <c r="N47" s="26">
        <f t="shared" si="0"/>
        <v>3889.9315068493156</v>
      </c>
      <c r="O47" s="26">
        <f t="shared" si="5"/>
        <v>568.33333333333337</v>
      </c>
      <c r="P47" s="26"/>
      <c r="Q47" s="26"/>
      <c r="R47" s="26">
        <v>4458.2648401826491</v>
      </c>
      <c r="S47" s="26">
        <v>550.00000000000011</v>
      </c>
      <c r="T47" s="26"/>
      <c r="U47" s="26"/>
      <c r="V47" s="26">
        <f t="shared" si="1"/>
        <v>5008.2648401826491</v>
      </c>
      <c r="W47" s="26">
        <v>550.00000000000011</v>
      </c>
      <c r="X47" s="26"/>
      <c r="Y47" s="26"/>
      <c r="Z47" s="26">
        <f t="shared" si="2"/>
        <v>5558.2648401826491</v>
      </c>
      <c r="AA47" s="26">
        <v>550.00000000000011</v>
      </c>
      <c r="AB47" s="26"/>
      <c r="AC47" s="26"/>
      <c r="AD47" s="26">
        <f t="shared" si="3"/>
        <v>6108.2648401826491</v>
      </c>
      <c r="AE47" s="25"/>
    </row>
    <row r="48" spans="1:31" x14ac:dyDescent="0.3">
      <c r="A48" s="25"/>
      <c r="B48" s="25" t="s">
        <v>13</v>
      </c>
      <c r="C48" s="25" t="s">
        <v>470</v>
      </c>
      <c r="D48" s="26" t="s">
        <v>469</v>
      </c>
      <c r="E48" s="26">
        <v>437500</v>
      </c>
      <c r="F48" s="47">
        <v>43627</v>
      </c>
      <c r="G48" s="47">
        <v>43993</v>
      </c>
      <c r="H48" s="26"/>
      <c r="I48" s="26">
        <v>8.9</v>
      </c>
      <c r="J48" s="26">
        <v>18529.390220700156</v>
      </c>
      <c r="K48" s="26">
        <f t="shared" si="4"/>
        <v>3352.9513888888896</v>
      </c>
      <c r="L48" s="26"/>
      <c r="M48" s="26"/>
      <c r="N48" s="26">
        <f t="shared" si="0"/>
        <v>21882.341609589046</v>
      </c>
      <c r="O48" s="26">
        <f t="shared" si="5"/>
        <v>3352.9513888888896</v>
      </c>
      <c r="P48" s="26"/>
      <c r="Q48" s="26"/>
      <c r="R48" s="26">
        <v>25235.292998477937</v>
      </c>
      <c r="S48" s="26">
        <v>3244.7916666666674</v>
      </c>
      <c r="T48" s="26"/>
      <c r="U48" s="26"/>
      <c r="V48" s="26">
        <f t="shared" si="1"/>
        <v>28480.084665144605</v>
      </c>
      <c r="W48" s="26">
        <v>3244.7916666666674</v>
      </c>
      <c r="X48" s="26"/>
      <c r="Y48" s="26"/>
      <c r="Z48" s="26">
        <f t="shared" si="2"/>
        <v>31724.876331811272</v>
      </c>
      <c r="AA48" s="26">
        <v>3244.7916666666674</v>
      </c>
      <c r="AB48" s="26"/>
      <c r="AC48" s="26"/>
      <c r="AD48" s="26">
        <f t="shared" si="3"/>
        <v>34969.66799847794</v>
      </c>
      <c r="AE48" s="25"/>
    </row>
    <row r="49" spans="1:31" x14ac:dyDescent="0.3">
      <c r="A49" s="25"/>
      <c r="B49" s="25" t="s">
        <v>13</v>
      </c>
      <c r="C49" s="25" t="s">
        <v>468</v>
      </c>
      <c r="D49" s="26" t="s">
        <v>467</v>
      </c>
      <c r="E49" s="26">
        <v>200000</v>
      </c>
      <c r="F49" s="47">
        <v>43640</v>
      </c>
      <c r="G49" s="47">
        <v>44006</v>
      </c>
      <c r="H49" s="26"/>
      <c r="I49" s="26">
        <v>4.6500000000000004</v>
      </c>
      <c r="J49" s="26">
        <v>4094.4063926940653</v>
      </c>
      <c r="K49" s="26">
        <f t="shared" si="4"/>
        <v>800.83333333333348</v>
      </c>
      <c r="L49" s="26"/>
      <c r="M49" s="26"/>
      <c r="N49" s="26">
        <f t="shared" si="0"/>
        <v>4895.2397260273992</v>
      </c>
      <c r="O49" s="26">
        <f t="shared" si="5"/>
        <v>800.83333333333348</v>
      </c>
      <c r="P49" s="26"/>
      <c r="Q49" s="26"/>
      <c r="R49" s="26">
        <v>5696.0730593607332</v>
      </c>
      <c r="S49" s="26">
        <v>775.00000000000023</v>
      </c>
      <c r="T49" s="26"/>
      <c r="U49" s="26"/>
      <c r="V49" s="26">
        <f t="shared" si="1"/>
        <v>6471.0730593607332</v>
      </c>
      <c r="W49" s="26">
        <v>775.00000000000023</v>
      </c>
      <c r="X49" s="26"/>
      <c r="Y49" s="26"/>
      <c r="Z49" s="26">
        <f t="shared" si="2"/>
        <v>7246.0730593607332</v>
      </c>
      <c r="AA49" s="26">
        <v>775.00000000000023</v>
      </c>
      <c r="AB49" s="26"/>
      <c r="AC49" s="26"/>
      <c r="AD49" s="26">
        <f t="shared" si="3"/>
        <v>8021.0730593607332</v>
      </c>
      <c r="AE49" s="25"/>
    </row>
    <row r="50" spans="1:31" x14ac:dyDescent="0.3">
      <c r="A50" s="25"/>
      <c r="B50" s="25" t="s">
        <v>40</v>
      </c>
      <c r="C50" s="25" t="s">
        <v>466</v>
      </c>
      <c r="D50" s="26" t="s">
        <v>465</v>
      </c>
      <c r="E50" s="26">
        <v>1200000</v>
      </c>
      <c r="F50" s="47">
        <v>43642</v>
      </c>
      <c r="G50" s="47">
        <v>44008</v>
      </c>
      <c r="H50" s="26"/>
      <c r="I50" s="26">
        <v>6.4</v>
      </c>
      <c r="J50" s="26">
        <v>33391.050228310502</v>
      </c>
      <c r="K50" s="26">
        <f t="shared" si="4"/>
        <v>6613.3333333333339</v>
      </c>
      <c r="L50" s="26"/>
      <c r="M50" s="26"/>
      <c r="N50" s="26">
        <f t="shared" si="0"/>
        <v>40004.383561643837</v>
      </c>
      <c r="O50" s="26">
        <f t="shared" si="5"/>
        <v>6613.3333333333339</v>
      </c>
      <c r="P50" s="26"/>
      <c r="Q50" s="26"/>
      <c r="R50" s="26">
        <v>46617.716894977173</v>
      </c>
      <c r="S50" s="26">
        <v>6400</v>
      </c>
      <c r="T50" s="26"/>
      <c r="U50" s="26"/>
      <c r="V50" s="26">
        <f t="shared" si="1"/>
        <v>53017.716894977173</v>
      </c>
      <c r="W50" s="26">
        <v>6400</v>
      </c>
      <c r="X50" s="26"/>
      <c r="Y50" s="26"/>
      <c r="Z50" s="26">
        <f t="shared" si="2"/>
        <v>59417.716894977173</v>
      </c>
      <c r="AA50" s="26">
        <v>6400</v>
      </c>
      <c r="AB50" s="26"/>
      <c r="AC50" s="26"/>
      <c r="AD50" s="26">
        <f t="shared" si="3"/>
        <v>65817.716894977173</v>
      </c>
      <c r="AE50" s="25"/>
    </row>
    <row r="51" spans="1:31" x14ac:dyDescent="0.3">
      <c r="A51" s="25"/>
      <c r="B51" s="25" t="s">
        <v>40</v>
      </c>
      <c r="C51" s="25" t="s">
        <v>464</v>
      </c>
      <c r="D51" s="26" t="s">
        <v>463</v>
      </c>
      <c r="E51" s="26">
        <v>320000</v>
      </c>
      <c r="F51" s="47">
        <v>43642</v>
      </c>
      <c r="G51" s="47">
        <v>44008</v>
      </c>
      <c r="H51" s="26"/>
      <c r="I51" s="26">
        <v>6.4</v>
      </c>
      <c r="J51" s="26">
        <v>8904.2800608828002</v>
      </c>
      <c r="K51" s="26">
        <f t="shared" si="4"/>
        <v>1763.5555555555554</v>
      </c>
      <c r="L51" s="26"/>
      <c r="M51" s="26"/>
      <c r="N51" s="26">
        <f t="shared" si="0"/>
        <v>10667.835616438355</v>
      </c>
      <c r="O51" s="26">
        <f t="shared" si="5"/>
        <v>1763.5555555555554</v>
      </c>
      <c r="P51" s="26"/>
      <c r="Q51" s="26"/>
      <c r="R51" s="26">
        <v>12431.39117199391</v>
      </c>
      <c r="S51" s="26">
        <v>1706.6666666666665</v>
      </c>
      <c r="T51" s="26"/>
      <c r="U51" s="26"/>
      <c r="V51" s="26">
        <f t="shared" si="1"/>
        <v>14138.057838660576</v>
      </c>
      <c r="W51" s="26">
        <v>1706.6666666666665</v>
      </c>
      <c r="X51" s="26"/>
      <c r="Y51" s="26"/>
      <c r="Z51" s="26">
        <f t="shared" si="2"/>
        <v>15844.724505327242</v>
      </c>
      <c r="AA51" s="26">
        <v>1706.6666666666665</v>
      </c>
      <c r="AB51" s="26"/>
      <c r="AC51" s="26"/>
      <c r="AD51" s="26">
        <f t="shared" si="3"/>
        <v>17551.39117199391</v>
      </c>
      <c r="AE51" s="25"/>
    </row>
    <row r="52" spans="1:31" x14ac:dyDescent="0.3">
      <c r="A52" s="25"/>
      <c r="B52" s="25" t="s">
        <v>143</v>
      </c>
      <c r="C52" s="25" t="s">
        <v>462</v>
      </c>
      <c r="D52" s="26" t="s">
        <v>461</v>
      </c>
      <c r="E52" s="26">
        <v>1400055.56</v>
      </c>
      <c r="F52" s="47">
        <v>43619</v>
      </c>
      <c r="G52" s="47">
        <v>43985</v>
      </c>
      <c r="H52" s="26"/>
      <c r="I52" s="26">
        <v>6.9</v>
      </c>
      <c r="J52" s="26">
        <v>48088.712012118733</v>
      </c>
      <c r="K52" s="26">
        <f t="shared" si="4"/>
        <v>8318.6634523333341</v>
      </c>
      <c r="L52" s="26"/>
      <c r="M52" s="26"/>
      <c r="N52" s="26">
        <f t="shared" si="0"/>
        <v>56407.375464452067</v>
      </c>
      <c r="O52" s="26">
        <f t="shared" si="5"/>
        <v>8318.6634523333341</v>
      </c>
      <c r="P52" s="26"/>
      <c r="Q52" s="26"/>
      <c r="R52" s="26">
        <v>64726.038916785401</v>
      </c>
      <c r="S52" s="26">
        <v>8050.3194700000013</v>
      </c>
      <c r="T52" s="26"/>
      <c r="U52" s="26"/>
      <c r="V52" s="26">
        <f t="shared" si="1"/>
        <v>72776.358386785403</v>
      </c>
      <c r="W52" s="26">
        <v>8050.3194700000013</v>
      </c>
      <c r="X52" s="26"/>
      <c r="Y52" s="26"/>
      <c r="Z52" s="26">
        <f t="shared" si="2"/>
        <v>80826.677856785405</v>
      </c>
      <c r="AA52" s="26">
        <v>8050.3194700000013</v>
      </c>
      <c r="AB52" s="26"/>
      <c r="AC52" s="26"/>
      <c r="AD52" s="26">
        <f t="shared" si="3"/>
        <v>88876.997326785407</v>
      </c>
      <c r="AE52" s="25"/>
    </row>
    <row r="53" spans="1:31" x14ac:dyDescent="0.3">
      <c r="A53" s="25"/>
      <c r="B53" s="25" t="s">
        <v>127</v>
      </c>
      <c r="C53" s="25" t="s">
        <v>460</v>
      </c>
      <c r="D53" s="26" t="s">
        <v>459</v>
      </c>
      <c r="E53" s="26">
        <v>400000</v>
      </c>
      <c r="F53" s="47">
        <v>43633</v>
      </c>
      <c r="G53" s="47">
        <v>43999</v>
      </c>
      <c r="H53" s="26"/>
      <c r="I53" s="26">
        <v>5.9</v>
      </c>
      <c r="J53" s="26">
        <v>10842.709284627092</v>
      </c>
      <c r="K53" s="26">
        <f t="shared" si="4"/>
        <v>2032.2222222222222</v>
      </c>
      <c r="L53" s="26"/>
      <c r="M53" s="26"/>
      <c r="N53" s="26">
        <f t="shared" si="0"/>
        <v>12874.931506849314</v>
      </c>
      <c r="O53" s="26">
        <f t="shared" si="5"/>
        <v>2032.2222222222222</v>
      </c>
      <c r="P53" s="26"/>
      <c r="Q53" s="26"/>
      <c r="R53" s="26">
        <v>14907.153729071537</v>
      </c>
      <c r="S53" s="26">
        <v>1966.6666666666667</v>
      </c>
      <c r="T53" s="26"/>
      <c r="U53" s="26"/>
      <c r="V53" s="26">
        <f t="shared" si="1"/>
        <v>16873.820395738203</v>
      </c>
      <c r="W53" s="26">
        <v>1966.6666666666667</v>
      </c>
      <c r="X53" s="26"/>
      <c r="Y53" s="26"/>
      <c r="Z53" s="26">
        <f t="shared" si="2"/>
        <v>18840.487062404871</v>
      </c>
      <c r="AA53" s="26">
        <v>1966.6666666666667</v>
      </c>
      <c r="AB53" s="26"/>
      <c r="AC53" s="26"/>
      <c r="AD53" s="26">
        <f t="shared" si="3"/>
        <v>20807.153729071539</v>
      </c>
      <c r="AE53" s="25"/>
    </row>
    <row r="54" spans="1:31" x14ac:dyDescent="0.3">
      <c r="A54" s="25"/>
      <c r="B54" s="25" t="s">
        <v>127</v>
      </c>
      <c r="C54" s="25" t="s">
        <v>458</v>
      </c>
      <c r="D54" s="26" t="s">
        <v>457</v>
      </c>
      <c r="E54" s="26">
        <v>140000</v>
      </c>
      <c r="F54" s="47">
        <v>43633</v>
      </c>
      <c r="G54" s="47">
        <v>43999</v>
      </c>
      <c r="H54" s="26"/>
      <c r="I54" s="26">
        <v>5.9</v>
      </c>
      <c r="J54" s="26">
        <v>3794.9482496194823</v>
      </c>
      <c r="K54" s="26">
        <f t="shared" si="4"/>
        <v>711.27777777777771</v>
      </c>
      <c r="L54" s="26"/>
      <c r="M54" s="26"/>
      <c r="N54" s="26">
        <f t="shared" si="0"/>
        <v>4506.2260273972597</v>
      </c>
      <c r="O54" s="26">
        <f t="shared" si="5"/>
        <v>711.27777777777771</v>
      </c>
      <c r="P54" s="26"/>
      <c r="Q54" s="26"/>
      <c r="R54" s="26">
        <v>5217.5038051750371</v>
      </c>
      <c r="S54" s="26">
        <v>688.33333333333326</v>
      </c>
      <c r="T54" s="26"/>
      <c r="U54" s="26"/>
      <c r="V54" s="26">
        <f t="shared" si="1"/>
        <v>5905.8371385083701</v>
      </c>
      <c r="W54" s="26">
        <v>688.33333333333326</v>
      </c>
      <c r="X54" s="26"/>
      <c r="Y54" s="26"/>
      <c r="Z54" s="26">
        <f t="shared" si="2"/>
        <v>6594.1704718417031</v>
      </c>
      <c r="AA54" s="26">
        <v>688.33333333333326</v>
      </c>
      <c r="AB54" s="26"/>
      <c r="AC54" s="26"/>
      <c r="AD54" s="26">
        <f t="shared" si="3"/>
        <v>7282.5038051750362</v>
      </c>
      <c r="AE54" s="25"/>
    </row>
    <row r="55" spans="1:31" x14ac:dyDescent="0.3">
      <c r="A55" s="25"/>
      <c r="B55" s="25" t="s">
        <v>22</v>
      </c>
      <c r="C55" s="25" t="s">
        <v>456</v>
      </c>
      <c r="D55" s="26" t="s">
        <v>455</v>
      </c>
      <c r="E55" s="26">
        <v>1100000</v>
      </c>
      <c r="F55" s="47">
        <v>43617</v>
      </c>
      <c r="G55" s="47">
        <v>43983</v>
      </c>
      <c r="H55" s="26"/>
      <c r="I55" s="26">
        <v>6.6</v>
      </c>
      <c r="J55" s="26">
        <v>36537.579908675798</v>
      </c>
      <c r="K55" s="26">
        <f t="shared" si="4"/>
        <v>6251.6666666666661</v>
      </c>
      <c r="L55" s="26"/>
      <c r="M55" s="26"/>
      <c r="N55" s="26">
        <f t="shared" si="0"/>
        <v>42789.246575342462</v>
      </c>
      <c r="O55" s="26">
        <f t="shared" si="5"/>
        <v>6251.6666666666661</v>
      </c>
      <c r="P55" s="26"/>
      <c r="Q55" s="26"/>
      <c r="R55" s="26">
        <v>49040.913242009126</v>
      </c>
      <c r="S55" s="26">
        <v>6050</v>
      </c>
      <c r="T55" s="26"/>
      <c r="U55" s="26"/>
      <c r="V55" s="26">
        <f t="shared" si="1"/>
        <v>55090.913242009126</v>
      </c>
      <c r="W55" s="26">
        <v>6050</v>
      </c>
      <c r="X55" s="26"/>
      <c r="Y55" s="26"/>
      <c r="Z55" s="26">
        <f t="shared" si="2"/>
        <v>61140.913242009126</v>
      </c>
      <c r="AA55" s="26">
        <v>6050</v>
      </c>
      <c r="AB55" s="26"/>
      <c r="AC55" s="26"/>
      <c r="AD55" s="26">
        <f t="shared" si="3"/>
        <v>67190.913242009119</v>
      </c>
      <c r="AE55" s="25"/>
    </row>
    <row r="56" spans="1:31" x14ac:dyDescent="0.3">
      <c r="A56" s="25"/>
      <c r="B56" s="25" t="s">
        <v>138</v>
      </c>
      <c r="C56" s="25" t="s">
        <v>454</v>
      </c>
      <c r="D56" s="26" t="s">
        <v>453</v>
      </c>
      <c r="E56" s="26">
        <v>300000</v>
      </c>
      <c r="F56" s="47">
        <v>43623</v>
      </c>
      <c r="G56" s="47">
        <v>43989</v>
      </c>
      <c r="H56" s="26"/>
      <c r="I56" s="26">
        <v>6.49</v>
      </c>
      <c r="J56" s="26">
        <v>9478.6598173515995</v>
      </c>
      <c r="K56" s="26">
        <f t="shared" si="4"/>
        <v>1676.5833333333335</v>
      </c>
      <c r="L56" s="26"/>
      <c r="M56" s="26"/>
      <c r="N56" s="26">
        <f t="shared" si="0"/>
        <v>11155.243150684933</v>
      </c>
      <c r="O56" s="26">
        <f t="shared" si="5"/>
        <v>1676.5833333333335</v>
      </c>
      <c r="P56" s="26"/>
      <c r="Q56" s="26"/>
      <c r="R56" s="26">
        <v>12831.826484018267</v>
      </c>
      <c r="S56" s="26">
        <v>1622.5</v>
      </c>
      <c r="T56" s="26"/>
      <c r="U56" s="26"/>
      <c r="V56" s="26">
        <f t="shared" si="1"/>
        <v>14454.326484018267</v>
      </c>
      <c r="W56" s="26">
        <v>1622.5</v>
      </c>
      <c r="X56" s="26"/>
      <c r="Y56" s="26"/>
      <c r="Z56" s="26">
        <f t="shared" si="2"/>
        <v>16076.826484018267</v>
      </c>
      <c r="AA56" s="26">
        <v>1622.5</v>
      </c>
      <c r="AB56" s="26"/>
      <c r="AC56" s="26"/>
      <c r="AD56" s="26">
        <f t="shared" si="3"/>
        <v>17699.326484018267</v>
      </c>
      <c r="AE56" s="25"/>
    </row>
    <row r="57" spans="1:31" x14ac:dyDescent="0.3">
      <c r="A57" s="25" t="s">
        <v>452</v>
      </c>
      <c r="B57" s="25" t="s">
        <v>103</v>
      </c>
      <c r="C57" s="25" t="s">
        <v>451</v>
      </c>
      <c r="D57" s="26" t="s">
        <v>450</v>
      </c>
      <c r="E57" s="26">
        <v>537381.17000000004</v>
      </c>
      <c r="F57" s="47">
        <v>43659</v>
      </c>
      <c r="G57" s="47">
        <v>44025</v>
      </c>
      <c r="H57" s="26"/>
      <c r="I57" s="26">
        <v>5.9</v>
      </c>
      <c r="J57" s="26">
        <v>12308.196312178843</v>
      </c>
      <c r="K57" s="26">
        <f t="shared" si="4"/>
        <v>2730.1948886944447</v>
      </c>
      <c r="L57" s="26"/>
      <c r="M57" s="26"/>
      <c r="N57" s="26">
        <f t="shared" si="0"/>
        <v>15038.391200873288</v>
      </c>
      <c r="O57" s="26">
        <f t="shared" si="5"/>
        <v>2730.1948886944447</v>
      </c>
      <c r="P57" s="26"/>
      <c r="Q57" s="26"/>
      <c r="R57" s="26">
        <v>17768.586089567732</v>
      </c>
      <c r="S57" s="26">
        <v>2642.1240858333335</v>
      </c>
      <c r="T57" s="26"/>
      <c r="U57" s="26"/>
      <c r="V57" s="26">
        <f t="shared" si="1"/>
        <v>20410.710175401065</v>
      </c>
      <c r="W57" s="26">
        <v>2642.1240858333335</v>
      </c>
      <c r="X57" s="26"/>
      <c r="Y57" s="26"/>
      <c r="Z57" s="26">
        <f t="shared" si="2"/>
        <v>23052.834261234399</v>
      </c>
      <c r="AA57" s="26">
        <v>2642.1240858333335</v>
      </c>
      <c r="AB57" s="26"/>
      <c r="AC57" s="26"/>
      <c r="AD57" s="26">
        <f t="shared" si="3"/>
        <v>25694.958347067732</v>
      </c>
      <c r="AE57" s="25"/>
    </row>
    <row r="58" spans="1:31" x14ac:dyDescent="0.3">
      <c r="A58" s="25" t="s">
        <v>429</v>
      </c>
      <c r="B58" s="25" t="s">
        <v>85</v>
      </c>
      <c r="C58" s="25" t="s">
        <v>449</v>
      </c>
      <c r="D58" s="26" t="s">
        <v>448</v>
      </c>
      <c r="E58" s="26">
        <v>75139</v>
      </c>
      <c r="F58" s="47">
        <v>43670</v>
      </c>
      <c r="G58" s="47">
        <v>44036</v>
      </c>
      <c r="H58" s="26"/>
      <c r="I58" s="26">
        <f>VLOOKUP(C58,[4]Hoja2!D:F,3,FALSE)</f>
        <v>7.4</v>
      </c>
      <c r="J58" s="26">
        <v>1990.9547663622529</v>
      </c>
      <c r="K58" s="26">
        <f t="shared" si="4"/>
        <v>478.80240555555565</v>
      </c>
      <c r="L58" s="26"/>
      <c r="M58" s="26"/>
      <c r="N58" s="26">
        <f t="shared" si="0"/>
        <v>2469.7571719178086</v>
      </c>
      <c r="O58" s="26">
        <f t="shared" si="5"/>
        <v>478.80240555555565</v>
      </c>
      <c r="P58" s="26"/>
      <c r="Q58" s="26"/>
      <c r="R58" s="26">
        <v>2948.5595774733642</v>
      </c>
      <c r="S58" s="26">
        <v>463.35716666666673</v>
      </c>
      <c r="T58" s="26"/>
      <c r="U58" s="26"/>
      <c r="V58" s="26">
        <f t="shared" si="1"/>
        <v>3411.9167441400309</v>
      </c>
      <c r="W58" s="26">
        <v>463.35716666666673</v>
      </c>
      <c r="X58" s="26"/>
      <c r="Y58" s="26"/>
      <c r="Z58" s="26">
        <f t="shared" si="2"/>
        <v>3875.2739108066976</v>
      </c>
      <c r="AA58" s="26">
        <v>463.35716666666673</v>
      </c>
      <c r="AB58" s="26"/>
      <c r="AC58" s="26"/>
      <c r="AD58" s="26">
        <f t="shared" si="3"/>
        <v>4338.6310774733647</v>
      </c>
      <c r="AE58" s="25"/>
    </row>
    <row r="59" spans="1:31" x14ac:dyDescent="0.3">
      <c r="A59" s="25" t="s">
        <v>429</v>
      </c>
      <c r="B59" s="25" t="s">
        <v>85</v>
      </c>
      <c r="C59" s="25" t="s">
        <v>447</v>
      </c>
      <c r="D59" s="26" t="s">
        <v>446</v>
      </c>
      <c r="E59" s="26">
        <v>220000</v>
      </c>
      <c r="F59" s="47">
        <v>43670</v>
      </c>
      <c r="G59" s="47">
        <v>44036</v>
      </c>
      <c r="H59" s="26"/>
      <c r="I59" s="26">
        <f>VLOOKUP(C59,[4]Hoja2!D:F,3,FALSE)</f>
        <v>7.4</v>
      </c>
      <c r="J59" s="26">
        <v>5829.3302891933045</v>
      </c>
      <c r="K59" s="26">
        <f t="shared" si="4"/>
        <v>1401.8888888888891</v>
      </c>
      <c r="L59" s="26"/>
      <c r="M59" s="26"/>
      <c r="N59" s="26">
        <f t="shared" si="0"/>
        <v>7231.219178082194</v>
      </c>
      <c r="O59" s="26">
        <f t="shared" si="5"/>
        <v>1401.8888888888891</v>
      </c>
      <c r="P59" s="26"/>
      <c r="Q59" s="26"/>
      <c r="R59" s="26">
        <v>8633.1080669710827</v>
      </c>
      <c r="S59" s="26">
        <v>1356.666666666667</v>
      </c>
      <c r="T59" s="26"/>
      <c r="U59" s="26"/>
      <c r="V59" s="26">
        <f t="shared" si="1"/>
        <v>9989.7747336377506</v>
      </c>
      <c r="W59" s="26">
        <v>1356.666666666667</v>
      </c>
      <c r="X59" s="26"/>
      <c r="Y59" s="26"/>
      <c r="Z59" s="26">
        <f t="shared" si="2"/>
        <v>11346.441400304418</v>
      </c>
      <c r="AA59" s="26">
        <v>1356.666666666667</v>
      </c>
      <c r="AB59" s="26"/>
      <c r="AC59" s="26"/>
      <c r="AD59" s="26">
        <f t="shared" si="3"/>
        <v>12703.108066971086</v>
      </c>
      <c r="AE59" s="25"/>
    </row>
    <row r="60" spans="1:31" x14ac:dyDescent="0.3">
      <c r="A60" s="25" t="s">
        <v>432</v>
      </c>
      <c r="B60" s="25" t="s">
        <v>25</v>
      </c>
      <c r="C60" s="25" t="s">
        <v>445</v>
      </c>
      <c r="D60" s="26" t="s">
        <v>695</v>
      </c>
      <c r="E60" s="26">
        <v>150000</v>
      </c>
      <c r="F60" s="47">
        <v>43647</v>
      </c>
      <c r="G60" s="47">
        <v>44013</v>
      </c>
      <c r="H60" s="26"/>
      <c r="I60" s="26">
        <v>4.4000000000000004</v>
      </c>
      <c r="J60" s="26">
        <v>2779.1324200913245</v>
      </c>
      <c r="K60" s="26">
        <f t="shared" si="4"/>
        <v>568.33333333333337</v>
      </c>
      <c r="L60" s="26"/>
      <c r="M60" s="26"/>
      <c r="N60" s="26">
        <f t="shared" si="0"/>
        <v>3347.465753424658</v>
      </c>
      <c r="O60" s="26">
        <f t="shared" si="5"/>
        <v>568.33333333333337</v>
      </c>
      <c r="P60" s="26"/>
      <c r="Q60" s="26"/>
      <c r="R60" s="26">
        <v>3915.7990867579915</v>
      </c>
      <c r="S60" s="26">
        <v>550.00000000000011</v>
      </c>
      <c r="T60" s="26"/>
      <c r="U60" s="26"/>
      <c r="V60" s="26">
        <f t="shared" si="1"/>
        <v>4465.799086757992</v>
      </c>
      <c r="W60" s="26">
        <v>550.00000000000011</v>
      </c>
      <c r="X60" s="26"/>
      <c r="Y60" s="26"/>
      <c r="Z60" s="26">
        <f t="shared" si="2"/>
        <v>5015.799086757992</v>
      </c>
      <c r="AA60" s="26">
        <v>550.00000000000011</v>
      </c>
      <c r="AB60" s="26"/>
      <c r="AC60" s="26"/>
      <c r="AD60" s="26">
        <f t="shared" si="3"/>
        <v>5565.799086757992</v>
      </c>
      <c r="AE60" s="25"/>
    </row>
    <row r="61" spans="1:31" x14ac:dyDescent="0.3">
      <c r="A61" s="25" t="s">
        <v>443</v>
      </c>
      <c r="B61" s="25" t="s">
        <v>82</v>
      </c>
      <c r="C61" s="25" t="s">
        <v>696</v>
      </c>
      <c r="D61" s="26" t="s">
        <v>697</v>
      </c>
      <c r="F61" s="47">
        <v>43676</v>
      </c>
      <c r="G61" s="47">
        <v>43894</v>
      </c>
      <c r="H61" s="26"/>
      <c r="I61" s="26">
        <f>VLOOKUP(C61,[4]Hoja2!D:F,3,FALSE)</f>
        <v>6.15</v>
      </c>
      <c r="J61" s="26">
        <v>975.20023997146131</v>
      </c>
      <c r="K61" s="26" t="e">
        <f>(+#REF!*$I61%)/360*31</f>
        <v>#REF!</v>
      </c>
      <c r="L61" s="26"/>
      <c r="M61" s="26"/>
      <c r="N61" s="26" t="e">
        <f t="shared" si="0"/>
        <v>#REF!</v>
      </c>
      <c r="O61" s="26" t="e">
        <f>(+#REF!*$I61%)/360*31</f>
        <v>#REF!</v>
      </c>
      <c r="P61" s="26"/>
      <c r="Q61" s="26"/>
      <c r="R61" s="26">
        <v>1426.966492388128</v>
      </c>
      <c r="S61" s="26">
        <v>218.59657375000003</v>
      </c>
      <c r="T61" s="26"/>
      <c r="U61" s="26"/>
      <c r="V61" s="26">
        <f t="shared" si="1"/>
        <v>1645.5630661381281</v>
      </c>
      <c r="W61" s="26"/>
      <c r="X61" s="26">
        <v>-1032.55</v>
      </c>
      <c r="Y61" s="26">
        <v>-613.01</v>
      </c>
      <c r="Z61" s="26">
        <f t="shared" si="2"/>
        <v>3.0661381281333888E-3</v>
      </c>
      <c r="AA61" s="26">
        <v>0</v>
      </c>
      <c r="AB61" s="26"/>
      <c r="AC61" s="26"/>
      <c r="AD61" s="26">
        <f t="shared" si="3"/>
        <v>3.0661381281333888E-3</v>
      </c>
      <c r="AE61" s="25" t="s">
        <v>218</v>
      </c>
    </row>
    <row r="62" spans="1:31" x14ac:dyDescent="0.3">
      <c r="A62" s="25" t="s">
        <v>443</v>
      </c>
      <c r="B62" s="25" t="s">
        <v>82</v>
      </c>
      <c r="C62" s="25" t="s">
        <v>442</v>
      </c>
      <c r="D62" s="26" t="s">
        <v>441</v>
      </c>
      <c r="E62" s="26">
        <v>53900</v>
      </c>
      <c r="F62" s="47">
        <v>43677</v>
      </c>
      <c r="G62" s="47">
        <v>44038</v>
      </c>
      <c r="H62" s="26"/>
      <c r="I62" s="26">
        <v>6.15</v>
      </c>
      <c r="J62" s="26">
        <v>1168.7747374429225</v>
      </c>
      <c r="K62" s="26">
        <f t="shared" si="4"/>
        <v>285.44541666666669</v>
      </c>
      <c r="L62" s="26"/>
      <c r="M62" s="26"/>
      <c r="N62" s="26">
        <f t="shared" si="0"/>
        <v>1454.2201541095892</v>
      </c>
      <c r="O62" s="26">
        <f t="shared" si="5"/>
        <v>285.44541666666669</v>
      </c>
      <c r="P62" s="26"/>
      <c r="Q62" s="26"/>
      <c r="R62" s="26">
        <v>1739.6655707762559</v>
      </c>
      <c r="S62" s="26">
        <v>276.23750000000001</v>
      </c>
      <c r="T62" s="26"/>
      <c r="U62" s="26"/>
      <c r="V62" s="26">
        <f t="shared" si="1"/>
        <v>2015.9030707762558</v>
      </c>
      <c r="W62" s="26">
        <v>276.23750000000001</v>
      </c>
      <c r="X62" s="26"/>
      <c r="Y62" s="26"/>
      <c r="Z62" s="26">
        <f t="shared" si="2"/>
        <v>2292.140570776256</v>
      </c>
      <c r="AA62" s="26">
        <v>276.23750000000001</v>
      </c>
      <c r="AB62" s="26"/>
      <c r="AC62" s="26"/>
      <c r="AD62" s="26">
        <f t="shared" si="3"/>
        <v>2568.3780707762562</v>
      </c>
      <c r="AE62" s="25"/>
    </row>
    <row r="63" spans="1:31" x14ac:dyDescent="0.3">
      <c r="A63" s="25" t="s">
        <v>440</v>
      </c>
      <c r="B63" s="25" t="s">
        <v>7</v>
      </c>
      <c r="C63" s="25" t="s">
        <v>439</v>
      </c>
      <c r="D63" s="26" t="s">
        <v>438</v>
      </c>
      <c r="E63" s="26">
        <v>500000</v>
      </c>
      <c r="F63" s="47">
        <v>43671</v>
      </c>
      <c r="G63" s="47">
        <v>44037</v>
      </c>
      <c r="H63" s="26"/>
      <c r="I63" s="26">
        <f>VLOOKUP(C63,[4]Hoja2!D:F,3,FALSE)</f>
        <v>6.9</v>
      </c>
      <c r="J63" s="26">
        <v>12258.789954337899</v>
      </c>
      <c r="K63" s="26">
        <f t="shared" si="4"/>
        <v>2970.833333333333</v>
      </c>
      <c r="L63" s="26"/>
      <c r="M63" s="26"/>
      <c r="N63" s="26">
        <f t="shared" si="0"/>
        <v>15229.623287671231</v>
      </c>
      <c r="O63" s="26">
        <f t="shared" si="5"/>
        <v>2970.833333333333</v>
      </c>
      <c r="P63" s="26"/>
      <c r="Q63" s="26"/>
      <c r="R63" s="26">
        <v>18200.456621004563</v>
      </c>
      <c r="S63" s="26">
        <v>2875</v>
      </c>
      <c r="T63" s="26"/>
      <c r="U63" s="26"/>
      <c r="V63" s="26">
        <f t="shared" si="1"/>
        <v>21075.456621004563</v>
      </c>
      <c r="W63" s="26">
        <v>2875</v>
      </c>
      <c r="X63" s="26"/>
      <c r="Y63" s="26"/>
      <c r="Z63" s="26">
        <f t="shared" si="2"/>
        <v>23950.456621004563</v>
      </c>
      <c r="AA63" s="26">
        <v>2875</v>
      </c>
      <c r="AB63" s="26"/>
      <c r="AC63" s="26"/>
      <c r="AD63" s="26">
        <f t="shared" si="3"/>
        <v>26825.456621004563</v>
      </c>
      <c r="AE63" s="25"/>
    </row>
    <row r="64" spans="1:31" x14ac:dyDescent="0.3">
      <c r="A64" s="25" t="s">
        <v>437</v>
      </c>
      <c r="B64" s="25" t="s">
        <v>106</v>
      </c>
      <c r="C64" s="25" t="s">
        <v>436</v>
      </c>
      <c r="D64" s="26" t="s">
        <v>435</v>
      </c>
      <c r="E64" s="26">
        <v>537381.16</v>
      </c>
      <c r="F64" s="47">
        <v>43659</v>
      </c>
      <c r="G64" s="47">
        <v>44025</v>
      </c>
      <c r="H64" s="26"/>
      <c r="I64" s="26">
        <f>VLOOKUP(C64,[4]Hoja2!D:F,3,FALSE)</f>
        <v>5.9</v>
      </c>
      <c r="J64" s="26">
        <v>12308.196083138511</v>
      </c>
      <c r="K64" s="26">
        <f t="shared" si="4"/>
        <v>2730.1948378888892</v>
      </c>
      <c r="L64" s="26"/>
      <c r="M64" s="26"/>
      <c r="N64" s="26">
        <f t="shared" si="0"/>
        <v>15038.3909210274</v>
      </c>
      <c r="O64" s="26">
        <f t="shared" si="5"/>
        <v>2730.1948378888892</v>
      </c>
      <c r="P64" s="26"/>
      <c r="Q64" s="26"/>
      <c r="R64" s="26">
        <v>17768.585758916288</v>
      </c>
      <c r="S64" s="26">
        <v>2642.1240366666671</v>
      </c>
      <c r="T64" s="26"/>
      <c r="U64" s="26"/>
      <c r="V64" s="26">
        <f t="shared" si="1"/>
        <v>20410.709795582956</v>
      </c>
      <c r="W64" s="26">
        <v>2642.1240366666671</v>
      </c>
      <c r="X64" s="26"/>
      <c r="Y64" s="26"/>
      <c r="Z64" s="26">
        <f t="shared" si="2"/>
        <v>23052.833832249624</v>
      </c>
      <c r="AA64" s="26">
        <v>2642.1240366666671</v>
      </c>
      <c r="AB64" s="26"/>
      <c r="AC64" s="26"/>
      <c r="AD64" s="26">
        <f t="shared" si="3"/>
        <v>25694.957868916292</v>
      </c>
      <c r="AE64" s="25"/>
    </row>
    <row r="65" spans="1:31" x14ac:dyDescent="0.3">
      <c r="A65" s="25" t="s">
        <v>419</v>
      </c>
      <c r="B65" s="25" t="s">
        <v>40</v>
      </c>
      <c r="C65" s="25" t="s">
        <v>434</v>
      </c>
      <c r="D65" s="26" t="s">
        <v>433</v>
      </c>
      <c r="E65" s="26">
        <v>1100000</v>
      </c>
      <c r="F65" s="47">
        <v>43658</v>
      </c>
      <c r="G65" s="47">
        <v>44024</v>
      </c>
      <c r="H65" s="26"/>
      <c r="I65" s="26">
        <f>VLOOKUP(C65,[4]Hoja2!D:F,3,FALSE)</f>
        <v>6.4</v>
      </c>
      <c r="J65" s="26">
        <v>27522.435312024354</v>
      </c>
      <c r="K65" s="26">
        <f t="shared" si="4"/>
        <v>6062.2222222222217</v>
      </c>
      <c r="L65" s="26"/>
      <c r="M65" s="26"/>
      <c r="N65" s="26">
        <f t="shared" si="0"/>
        <v>33584.657534246573</v>
      </c>
      <c r="O65" s="26">
        <f t="shared" si="5"/>
        <v>6062.2222222222217</v>
      </c>
      <c r="P65" s="26"/>
      <c r="Q65" s="26"/>
      <c r="R65" s="26">
        <v>39646.879756468792</v>
      </c>
      <c r="S65" s="26">
        <v>5866.6666666666661</v>
      </c>
      <c r="T65" s="26"/>
      <c r="U65" s="26"/>
      <c r="V65" s="26">
        <f t="shared" si="1"/>
        <v>45513.546423135456</v>
      </c>
      <c r="W65" s="26">
        <v>5866.6666666666661</v>
      </c>
      <c r="X65" s="26"/>
      <c r="Y65" s="26"/>
      <c r="Z65" s="26">
        <f t="shared" si="2"/>
        <v>51380.213089802121</v>
      </c>
      <c r="AA65" s="26">
        <v>5866.6666666666661</v>
      </c>
      <c r="AB65" s="26"/>
      <c r="AC65" s="26"/>
      <c r="AD65" s="26">
        <f t="shared" si="3"/>
        <v>57246.879756468785</v>
      </c>
      <c r="AE65" s="25"/>
    </row>
    <row r="66" spans="1:31" x14ac:dyDescent="0.3">
      <c r="A66" s="25" t="s">
        <v>419</v>
      </c>
      <c r="B66" s="25" t="s">
        <v>40</v>
      </c>
      <c r="C66" s="25" t="s">
        <v>698</v>
      </c>
      <c r="D66" s="26" t="s">
        <v>699</v>
      </c>
      <c r="F66" s="47">
        <v>43658</v>
      </c>
      <c r="G66" s="47">
        <v>44024</v>
      </c>
      <c r="H66" s="26"/>
      <c r="I66" s="26">
        <f>VLOOKUP(C66,[4]Hoja2!D:F,3,FALSE)</f>
        <v>6.4</v>
      </c>
      <c r="J66" s="26">
        <v>54294.258751902591</v>
      </c>
      <c r="K66" s="26" t="e">
        <f>(+#REF!*$I66%)/360*31</f>
        <v>#REF!</v>
      </c>
      <c r="L66" s="26"/>
      <c r="M66" s="26"/>
      <c r="N66" s="26" t="e">
        <f t="shared" si="0"/>
        <v>#REF!</v>
      </c>
      <c r="O66" s="26" t="e">
        <f>(+#REF!*$I66%)/360*31</f>
        <v>#REF!</v>
      </c>
      <c r="P66" s="26"/>
      <c r="Q66" s="26"/>
      <c r="R66" s="26">
        <v>78212.480974124817</v>
      </c>
      <c r="S66" s="26">
        <v>11573.333333333334</v>
      </c>
      <c r="T66" s="26"/>
      <c r="U66" s="26"/>
      <c r="V66" s="26">
        <f>+R66+S66+T66+U66</f>
        <v>89785.814307458146</v>
      </c>
      <c r="W66" s="26"/>
      <c r="X66" s="26"/>
      <c r="Y66" s="26">
        <v>-89785.81</v>
      </c>
      <c r="Z66" s="26">
        <f t="shared" si="2"/>
        <v>4.30745814810507E-3</v>
      </c>
      <c r="AA66" s="26">
        <v>0</v>
      </c>
      <c r="AB66" s="26"/>
      <c r="AC66" s="26"/>
      <c r="AD66" s="26">
        <f t="shared" si="3"/>
        <v>4.30745814810507E-3</v>
      </c>
      <c r="AE66" s="25" t="s">
        <v>730</v>
      </c>
    </row>
    <row r="67" spans="1:31" x14ac:dyDescent="0.3">
      <c r="A67" s="25" t="s">
        <v>414</v>
      </c>
      <c r="B67" s="25" t="s">
        <v>74</v>
      </c>
      <c r="C67" s="25" t="s">
        <v>700</v>
      </c>
      <c r="D67" s="26" t="s">
        <v>701</v>
      </c>
      <c r="F67" s="47">
        <v>43644</v>
      </c>
      <c r="G67" s="47">
        <v>43763</v>
      </c>
      <c r="H67" s="26"/>
      <c r="I67" s="26">
        <v>3.4</v>
      </c>
      <c r="J67" s="26">
        <v>379.67010654490082</v>
      </c>
      <c r="K67" s="26" t="e">
        <f>(+#REF!*$I67%)/360*31</f>
        <v>#REF!</v>
      </c>
      <c r="L67" s="26"/>
      <c r="M67" s="26"/>
      <c r="N67" s="26" t="e">
        <f t="shared" si="0"/>
        <v>#REF!</v>
      </c>
      <c r="O67" s="26" t="e">
        <f>(+#REF!*$I67%)/360*31</f>
        <v>#REF!</v>
      </c>
      <c r="P67" s="26"/>
      <c r="Q67" s="26"/>
      <c r="R67" s="26">
        <v>1164.3145509893452</v>
      </c>
      <c r="S67" s="26">
        <v>379.66666666666663</v>
      </c>
      <c r="T67" s="26"/>
      <c r="U67" s="26"/>
      <c r="V67" s="26">
        <f t="shared" si="1"/>
        <v>1543.9812176560117</v>
      </c>
      <c r="W67" s="26"/>
      <c r="X67" s="26"/>
      <c r="Y67" s="26">
        <v>-1543.98</v>
      </c>
      <c r="Z67" s="26">
        <f t="shared" si="2"/>
        <v>1.2176560117040935E-3</v>
      </c>
      <c r="AA67" s="26">
        <v>0</v>
      </c>
      <c r="AB67" s="26"/>
      <c r="AC67" s="26"/>
      <c r="AD67" s="26">
        <f t="shared" si="3"/>
        <v>1.2176560117040935E-3</v>
      </c>
      <c r="AE67" s="25"/>
    </row>
    <row r="68" spans="1:31" x14ac:dyDescent="0.3">
      <c r="A68" s="25" t="s">
        <v>429</v>
      </c>
      <c r="B68" s="25" t="s">
        <v>85</v>
      </c>
      <c r="C68" s="25" t="s">
        <v>702</v>
      </c>
      <c r="D68" s="25" t="s">
        <v>703</v>
      </c>
      <c r="E68" s="42">
        <v>200000</v>
      </c>
      <c r="F68" s="25" t="s">
        <v>426</v>
      </c>
      <c r="G68" s="25" t="s">
        <v>425</v>
      </c>
      <c r="H68" s="26"/>
      <c r="I68" s="26">
        <v>7.4</v>
      </c>
      <c r="J68" s="26">
        <v>5015.5555555555566</v>
      </c>
      <c r="K68" s="26">
        <f t="shared" si="4"/>
        <v>1274.4444444444446</v>
      </c>
      <c r="L68" s="26"/>
      <c r="M68" s="26"/>
      <c r="N68" s="26">
        <f t="shared" si="0"/>
        <v>6290.0000000000009</v>
      </c>
      <c r="O68" s="26">
        <f t="shared" si="5"/>
        <v>1274.4444444444446</v>
      </c>
      <c r="P68" s="26"/>
      <c r="Q68" s="26"/>
      <c r="R68" s="26">
        <v>7564.4444444444453</v>
      </c>
      <c r="S68" s="26">
        <v>1233.3333333333335</v>
      </c>
      <c r="T68" s="26"/>
      <c r="U68" s="26"/>
      <c r="V68" s="26">
        <f t="shared" si="1"/>
        <v>8797.7777777777792</v>
      </c>
      <c r="W68" s="26">
        <v>1274.4444444444446</v>
      </c>
      <c r="X68" s="26"/>
      <c r="Y68" s="26"/>
      <c r="Z68" s="26">
        <f t="shared" si="2"/>
        <v>10072.222222222224</v>
      </c>
      <c r="AA68" s="26">
        <v>1233.3333333333335</v>
      </c>
      <c r="AB68" s="26"/>
      <c r="AC68" s="26"/>
      <c r="AD68" s="26">
        <f t="shared" si="3"/>
        <v>11305.555555555558</v>
      </c>
      <c r="AE68" s="25"/>
    </row>
    <row r="69" spans="1:31" x14ac:dyDescent="0.3">
      <c r="A69" s="25" t="s">
        <v>429</v>
      </c>
      <c r="B69" s="25" t="s">
        <v>85</v>
      </c>
      <c r="C69" s="25" t="s">
        <v>226</v>
      </c>
      <c r="D69" s="25" t="s">
        <v>704</v>
      </c>
      <c r="F69" s="25" t="s">
        <v>426</v>
      </c>
      <c r="G69" s="25" t="s">
        <v>425</v>
      </c>
      <c r="H69" s="26"/>
      <c r="I69" s="26">
        <v>7.4</v>
      </c>
      <c r="J69" s="26">
        <v>8040.9956666666685</v>
      </c>
      <c r="K69" s="26" t="e">
        <f>(+#REF!*$I69%)/360*31</f>
        <v>#REF!</v>
      </c>
      <c r="L69" s="26">
        <f>[6]dc!J144</f>
        <v>0</v>
      </c>
      <c r="M69" s="26"/>
      <c r="N69" s="26" t="e">
        <f t="shared" si="0"/>
        <v>#REF!</v>
      </c>
      <c r="O69" s="26" t="e">
        <f>(+#REF!*$I69%)/360*31</f>
        <v>#REF!</v>
      </c>
      <c r="P69" s="26">
        <f>[6]dc!N144</f>
        <v>0</v>
      </c>
      <c r="Q69" s="26"/>
      <c r="R69" s="26">
        <v>13332.871333333336</v>
      </c>
      <c r="S69" s="26">
        <v>2560.5850000000005</v>
      </c>
      <c r="T69" s="26"/>
      <c r="U69" s="26"/>
      <c r="V69" s="26">
        <f t="shared" si="1"/>
        <v>15893.456333333337</v>
      </c>
      <c r="W69" s="26"/>
      <c r="X69" s="26"/>
      <c r="Y69" s="26">
        <v>-15893.46</v>
      </c>
      <c r="Z69" s="26">
        <f t="shared" si="2"/>
        <v>-3.6666666619566968E-3</v>
      </c>
      <c r="AA69" s="26">
        <v>0</v>
      </c>
      <c r="AB69" s="26"/>
      <c r="AC69" s="26"/>
      <c r="AD69" s="26">
        <f t="shared" si="3"/>
        <v>-3.6666666619566968E-3</v>
      </c>
      <c r="AE69" s="25"/>
    </row>
    <row r="70" spans="1:31" x14ac:dyDescent="0.3">
      <c r="A70" s="25" t="s">
        <v>432</v>
      </c>
      <c r="B70" s="25" t="s">
        <v>25</v>
      </c>
      <c r="C70" s="25" t="s">
        <v>431</v>
      </c>
      <c r="D70" s="25" t="s">
        <v>430</v>
      </c>
      <c r="E70" s="42">
        <v>100000</v>
      </c>
      <c r="F70" s="25" t="s">
        <v>426</v>
      </c>
      <c r="G70" s="25" t="s">
        <v>425</v>
      </c>
      <c r="H70" s="26"/>
      <c r="I70" s="26">
        <v>4.4000000000000004</v>
      </c>
      <c r="J70" s="26">
        <v>1491.1111111111109</v>
      </c>
      <c r="K70" s="26">
        <f t="shared" ref="K70:K117" si="6">(+$E70*$I70%)/360*31</f>
        <v>378.88888888888886</v>
      </c>
      <c r="L70" s="26"/>
      <c r="M70" s="26"/>
      <c r="N70" s="26">
        <f t="shared" ref="N70:N133" si="7">+J70+K70+L70+M70</f>
        <v>1869.9999999999998</v>
      </c>
      <c r="O70" s="26">
        <f t="shared" ref="O70:O133" si="8">(+$E70*$I70%)/360*31</f>
        <v>378.88888888888886</v>
      </c>
      <c r="P70" s="26"/>
      <c r="Q70" s="26"/>
      <c r="R70" s="26">
        <v>2248.8888888888887</v>
      </c>
      <c r="S70" s="26">
        <v>366.66666666666663</v>
      </c>
      <c r="T70" s="26"/>
      <c r="U70" s="26"/>
      <c r="V70" s="26">
        <f t="shared" ref="V70:V134" si="9">+R70+S70+T70+U70</f>
        <v>2615.5555555555552</v>
      </c>
      <c r="W70" s="26">
        <v>366.66666666666663</v>
      </c>
      <c r="X70" s="26"/>
      <c r="Y70" s="26"/>
      <c r="Z70" s="26">
        <f t="shared" ref="Z70:Z134" si="10">+V70+W70+X70+Y70</f>
        <v>2982.2222222222217</v>
      </c>
      <c r="AA70" s="26">
        <v>366.66666666666663</v>
      </c>
      <c r="AB70" s="26"/>
      <c r="AC70" s="26"/>
      <c r="AD70" s="26">
        <f t="shared" si="3"/>
        <v>3348.8888888888882</v>
      </c>
      <c r="AE70" s="25"/>
    </row>
    <row r="71" spans="1:31" x14ac:dyDescent="0.3">
      <c r="A71" s="25" t="s">
        <v>419</v>
      </c>
      <c r="B71" s="25" t="s">
        <v>177</v>
      </c>
      <c r="C71" s="25" t="s">
        <v>706</v>
      </c>
      <c r="D71" s="25" t="s">
        <v>707</v>
      </c>
      <c r="F71" s="25" t="s">
        <v>416</v>
      </c>
      <c r="G71" s="25" t="s">
        <v>415</v>
      </c>
      <c r="H71" s="26"/>
      <c r="I71" s="26">
        <v>5.9</v>
      </c>
      <c r="J71" s="26">
        <v>499.86222222222216</v>
      </c>
      <c r="K71" s="26" t="e">
        <f>(+#REF!*$I71%)/360*31</f>
        <v>#REF!</v>
      </c>
      <c r="L71" s="26"/>
      <c r="M71" s="26"/>
      <c r="N71" s="26" t="e">
        <f t="shared" si="7"/>
        <v>#REF!</v>
      </c>
      <c r="O71" s="26" t="e">
        <f>(+#REF!*$I71%)/360*31</f>
        <v>#REF!</v>
      </c>
      <c r="P71" s="26"/>
      <c r="Q71" s="26"/>
      <c r="R71" s="26">
        <v>1007.9177777777777</v>
      </c>
      <c r="S71" s="26">
        <v>245.83333333333334</v>
      </c>
      <c r="T71" s="26"/>
      <c r="U71" s="26"/>
      <c r="V71" s="26">
        <f t="shared" si="9"/>
        <v>1253.751111111111</v>
      </c>
      <c r="W71" s="26"/>
      <c r="X71" s="26"/>
      <c r="Y71" s="26">
        <v>-1253.75</v>
      </c>
      <c r="Z71" s="26">
        <f t="shared" si="10"/>
        <v>1.1111111109585181E-3</v>
      </c>
      <c r="AA71" s="26">
        <v>0</v>
      </c>
      <c r="AB71" s="26"/>
      <c r="AC71" s="26"/>
      <c r="AD71" s="26">
        <f t="shared" ref="AD71:AD134" si="11">+Z71+AA71+AB71+AC71</f>
        <v>1.1111111109585181E-3</v>
      </c>
      <c r="AE71" s="25"/>
    </row>
    <row r="72" spans="1:31" x14ac:dyDescent="0.3">
      <c r="A72" s="25" t="s">
        <v>429</v>
      </c>
      <c r="B72" s="25" t="s">
        <v>71</v>
      </c>
      <c r="C72" s="25" t="s">
        <v>428</v>
      </c>
      <c r="D72" s="25" t="s">
        <v>427</v>
      </c>
      <c r="E72" s="42">
        <v>100000</v>
      </c>
      <c r="F72" s="25" t="s">
        <v>426</v>
      </c>
      <c r="G72" s="25" t="s">
        <v>425</v>
      </c>
      <c r="H72" s="26"/>
      <c r="I72" s="26">
        <v>7.4</v>
      </c>
      <c r="J72" s="26">
        <v>2507.7777777777783</v>
      </c>
      <c r="K72" s="26">
        <f t="shared" si="6"/>
        <v>637.22222222222229</v>
      </c>
      <c r="L72" s="26"/>
      <c r="M72" s="26"/>
      <c r="N72" s="26">
        <f t="shared" si="7"/>
        <v>3145.0000000000005</v>
      </c>
      <c r="O72" s="26">
        <f t="shared" si="8"/>
        <v>637.22222222222229</v>
      </c>
      <c r="P72" s="26"/>
      <c r="Q72" s="26"/>
      <c r="R72" s="26">
        <v>3782.2222222222226</v>
      </c>
      <c r="S72" s="26">
        <v>616.66666666666674</v>
      </c>
      <c r="T72" s="26"/>
      <c r="U72" s="26"/>
      <c r="V72" s="26">
        <f t="shared" si="9"/>
        <v>4398.8888888888896</v>
      </c>
      <c r="W72" s="26">
        <v>616.66666666666674</v>
      </c>
      <c r="X72" s="26"/>
      <c r="Y72" s="26"/>
      <c r="Z72" s="26">
        <f t="shared" si="10"/>
        <v>5015.5555555555566</v>
      </c>
      <c r="AA72" s="26">
        <v>616.66666666666674</v>
      </c>
      <c r="AB72" s="26"/>
      <c r="AC72" s="26"/>
      <c r="AD72" s="26">
        <f t="shared" si="11"/>
        <v>5632.2222222222235</v>
      </c>
      <c r="AE72" s="25"/>
    </row>
    <row r="73" spans="1:31" x14ac:dyDescent="0.3">
      <c r="A73" s="25" t="s">
        <v>424</v>
      </c>
      <c r="B73" s="25" t="s">
        <v>64</v>
      </c>
      <c r="C73" s="25" t="s">
        <v>423</v>
      </c>
      <c r="D73" s="25" t="s">
        <v>422</v>
      </c>
      <c r="E73" s="42">
        <v>250000</v>
      </c>
      <c r="F73" s="25" t="s">
        <v>421</v>
      </c>
      <c r="G73" s="25" t="s">
        <v>420</v>
      </c>
      <c r="H73" s="26"/>
      <c r="I73" s="26">
        <v>4.9000000000000004</v>
      </c>
      <c r="J73" s="26">
        <v>4151.3888888888887</v>
      </c>
      <c r="K73" s="26">
        <f t="shared" si="6"/>
        <v>1054.8611111111111</v>
      </c>
      <c r="L73" s="26"/>
      <c r="M73" s="26"/>
      <c r="N73" s="26">
        <f t="shared" si="7"/>
        <v>5206.25</v>
      </c>
      <c r="O73" s="26">
        <f t="shared" si="8"/>
        <v>1054.8611111111111</v>
      </c>
      <c r="P73" s="26"/>
      <c r="Q73" s="26"/>
      <c r="R73" s="26">
        <v>6261.1111111111113</v>
      </c>
      <c r="S73" s="26">
        <v>1020.8333333333334</v>
      </c>
      <c r="T73" s="26"/>
      <c r="U73" s="26"/>
      <c r="V73" s="26">
        <f t="shared" si="9"/>
        <v>7281.9444444444443</v>
      </c>
      <c r="W73" s="26">
        <v>1020.8333333333334</v>
      </c>
      <c r="X73" s="26"/>
      <c r="Y73" s="26"/>
      <c r="Z73" s="26">
        <f t="shared" si="10"/>
        <v>8302.7777777777774</v>
      </c>
      <c r="AA73" s="26">
        <v>1020.8333333333334</v>
      </c>
      <c r="AB73" s="26"/>
      <c r="AC73" s="26"/>
      <c r="AD73" s="26">
        <f t="shared" si="11"/>
        <v>9323.6111111111113</v>
      </c>
      <c r="AE73" s="25"/>
    </row>
    <row r="74" spans="1:31" x14ac:dyDescent="0.3">
      <c r="A74" s="25" t="s">
        <v>419</v>
      </c>
      <c r="B74" s="25" t="s">
        <v>40</v>
      </c>
      <c r="C74" s="25" t="s">
        <v>418</v>
      </c>
      <c r="D74" s="25" t="s">
        <v>417</v>
      </c>
      <c r="E74" s="42">
        <v>2170000</v>
      </c>
      <c r="F74" s="25" t="s">
        <v>416</v>
      </c>
      <c r="G74" s="25" t="s">
        <v>415</v>
      </c>
      <c r="H74" s="26"/>
      <c r="I74" s="26">
        <v>6.4</v>
      </c>
      <c r="J74" s="26">
        <v>47064.888888888891</v>
      </c>
      <c r="K74" s="26">
        <f t="shared" si="6"/>
        <v>11959.111111111111</v>
      </c>
      <c r="L74" s="26"/>
      <c r="M74" s="26"/>
      <c r="N74" s="26">
        <f t="shared" si="7"/>
        <v>59024</v>
      </c>
      <c r="O74" s="26">
        <f t="shared" si="8"/>
        <v>11959.111111111111</v>
      </c>
      <c r="P74" s="26"/>
      <c r="Q74" s="26"/>
      <c r="R74" s="26">
        <v>70983.111111111109</v>
      </c>
      <c r="S74" s="26">
        <v>11573.333333333334</v>
      </c>
      <c r="T74" s="26"/>
      <c r="U74" s="26"/>
      <c r="V74" s="26">
        <f t="shared" si="9"/>
        <v>82556.444444444438</v>
      </c>
      <c r="W74" s="26">
        <v>11573.333333333334</v>
      </c>
      <c r="X74" s="26"/>
      <c r="Y74" s="26"/>
      <c r="Z74" s="26">
        <f t="shared" si="10"/>
        <v>94129.777777777766</v>
      </c>
      <c r="AA74" s="26">
        <v>11573.333333333334</v>
      </c>
      <c r="AB74" s="26"/>
      <c r="AC74" s="26"/>
      <c r="AD74" s="26">
        <f t="shared" si="11"/>
        <v>105703.11111111109</v>
      </c>
      <c r="AE74" s="25"/>
    </row>
    <row r="75" spans="1:31" x14ac:dyDescent="0.3">
      <c r="A75" s="25" t="s">
        <v>414</v>
      </c>
      <c r="B75" s="25" t="s">
        <v>50</v>
      </c>
      <c r="C75" s="25" t="s">
        <v>413</v>
      </c>
      <c r="D75" s="25" t="s">
        <v>412</v>
      </c>
      <c r="E75" s="42">
        <v>150000</v>
      </c>
      <c r="F75" s="25" t="s">
        <v>411</v>
      </c>
      <c r="G75" s="25" t="s">
        <v>410</v>
      </c>
      <c r="H75" s="26"/>
      <c r="I75" s="26">
        <v>4.9000000000000004</v>
      </c>
      <c r="J75" s="26">
        <v>2490.8333333333335</v>
      </c>
      <c r="K75" s="26">
        <f t="shared" si="6"/>
        <v>632.91666666666674</v>
      </c>
      <c r="L75" s="26"/>
      <c r="M75" s="26"/>
      <c r="N75" s="26">
        <f t="shared" si="7"/>
        <v>3123.75</v>
      </c>
      <c r="O75" s="26">
        <f t="shared" si="8"/>
        <v>632.91666666666674</v>
      </c>
      <c r="P75" s="26"/>
      <c r="Q75" s="26"/>
      <c r="R75" s="26">
        <v>3756.666666666667</v>
      </c>
      <c r="S75" s="26">
        <v>612.5</v>
      </c>
      <c r="T75" s="26"/>
      <c r="U75" s="26"/>
      <c r="V75" s="26">
        <f t="shared" si="9"/>
        <v>4369.166666666667</v>
      </c>
      <c r="W75" s="26">
        <v>612.5</v>
      </c>
      <c r="X75" s="26"/>
      <c r="Y75" s="26"/>
      <c r="Z75" s="26">
        <f t="shared" si="10"/>
        <v>4981.666666666667</v>
      </c>
      <c r="AA75" s="26">
        <v>612.5</v>
      </c>
      <c r="AB75" s="26"/>
      <c r="AC75" s="26"/>
      <c r="AD75" s="26">
        <f t="shared" si="11"/>
        <v>5594.166666666667</v>
      </c>
      <c r="AE75" s="25"/>
    </row>
    <row r="76" spans="1:31" x14ac:dyDescent="0.3">
      <c r="A76" s="25" t="s">
        <v>419</v>
      </c>
      <c r="B76" s="25" t="s">
        <v>37</v>
      </c>
      <c r="C76" s="25" t="s">
        <v>709</v>
      </c>
      <c r="D76" s="25" t="s">
        <v>710</v>
      </c>
      <c r="F76" s="25" t="s">
        <v>416</v>
      </c>
      <c r="G76" s="25" t="s">
        <v>415</v>
      </c>
      <c r="H76" s="26"/>
      <c r="I76" s="26">
        <v>6.9</v>
      </c>
      <c r="J76" s="26">
        <v>7599.5866666666698</v>
      </c>
      <c r="K76" s="26" t="e">
        <f>(+#REF!*$I76%)/360*31</f>
        <v>#REF!</v>
      </c>
      <c r="L76" s="26"/>
      <c r="M76" s="26"/>
      <c r="N76" s="26" t="e">
        <f t="shared" si="7"/>
        <v>#REF!</v>
      </c>
      <c r="O76" s="26" t="e">
        <f>(+#REF!*$I76%)/360*31</f>
        <v>#REF!</v>
      </c>
      <c r="P76" s="26"/>
      <c r="Q76" s="26"/>
      <c r="R76" s="26">
        <v>15323.753333333338</v>
      </c>
      <c r="S76" s="26">
        <v>3737.5000000000009</v>
      </c>
      <c r="T76" s="26"/>
      <c r="U76" s="26"/>
      <c r="V76" s="26">
        <f t="shared" si="9"/>
        <v>19061.253333333338</v>
      </c>
      <c r="W76" s="26"/>
      <c r="X76" s="26"/>
      <c r="Y76" s="26">
        <v>-19061.25</v>
      </c>
      <c r="Z76" s="26">
        <f t="shared" si="10"/>
        <v>3.3333333376504015E-3</v>
      </c>
      <c r="AA76" s="26">
        <v>0</v>
      </c>
      <c r="AB76" s="26"/>
      <c r="AC76" s="26"/>
      <c r="AD76" s="26">
        <f t="shared" si="11"/>
        <v>3.3333333376504015E-3</v>
      </c>
      <c r="AE76" s="25"/>
    </row>
    <row r="77" spans="1:31" x14ac:dyDescent="0.3">
      <c r="A77" s="25">
        <v>5055</v>
      </c>
      <c r="B77" s="25" t="s">
        <v>159</v>
      </c>
      <c r="C77" s="25" t="s">
        <v>409</v>
      </c>
      <c r="D77" s="25" t="s">
        <v>408</v>
      </c>
      <c r="E77" s="42">
        <v>200000</v>
      </c>
      <c r="F77" s="25" t="s">
        <v>404</v>
      </c>
      <c r="G77" s="25" t="s">
        <v>403</v>
      </c>
      <c r="H77" s="26"/>
      <c r="I77" s="26">
        <v>5.65</v>
      </c>
      <c r="J77" s="26">
        <v>3829.4444444444443</v>
      </c>
      <c r="K77" s="26">
        <f t="shared" si="6"/>
        <v>973.05555555555554</v>
      </c>
      <c r="L77" s="26"/>
      <c r="M77" s="26"/>
      <c r="N77" s="26">
        <f t="shared" si="7"/>
        <v>4802.5</v>
      </c>
      <c r="O77" s="26">
        <f t="shared" si="8"/>
        <v>973.05555555555554</v>
      </c>
      <c r="P77" s="26"/>
      <c r="Q77" s="26"/>
      <c r="R77" s="26">
        <v>5775.5555555555557</v>
      </c>
      <c r="S77" s="26">
        <v>941.66666666666663</v>
      </c>
      <c r="T77" s="26"/>
      <c r="U77" s="26"/>
      <c r="V77" s="26">
        <f t="shared" si="9"/>
        <v>6717.2222222222226</v>
      </c>
      <c r="W77" s="26">
        <v>941.66666666666663</v>
      </c>
      <c r="X77" s="26"/>
      <c r="Y77" s="26"/>
      <c r="Z77" s="26">
        <f t="shared" si="10"/>
        <v>7658.8888888888896</v>
      </c>
      <c r="AA77" s="26">
        <v>941.66666666666663</v>
      </c>
      <c r="AB77" s="26"/>
      <c r="AC77" s="26"/>
      <c r="AD77" s="26">
        <f t="shared" si="11"/>
        <v>8600.5555555555566</v>
      </c>
      <c r="AE77" s="25"/>
    </row>
    <row r="78" spans="1:31" x14ac:dyDescent="0.3">
      <c r="A78" s="25" t="s">
        <v>407</v>
      </c>
      <c r="B78" s="25" t="s">
        <v>53</v>
      </c>
      <c r="C78" s="25" t="s">
        <v>406</v>
      </c>
      <c r="D78" s="25" t="s">
        <v>405</v>
      </c>
      <c r="E78" s="42">
        <v>200000</v>
      </c>
      <c r="F78" s="25" t="s">
        <v>404</v>
      </c>
      <c r="G78" s="25" t="s">
        <v>403</v>
      </c>
      <c r="H78" s="26"/>
      <c r="I78" s="26">
        <v>5.65</v>
      </c>
      <c r="J78" s="26">
        <v>3829.4444444444443</v>
      </c>
      <c r="K78" s="26">
        <f t="shared" si="6"/>
        <v>973.05555555555554</v>
      </c>
      <c r="L78" s="26"/>
      <c r="M78" s="26"/>
      <c r="N78" s="26">
        <f t="shared" si="7"/>
        <v>4802.5</v>
      </c>
      <c r="O78" s="26">
        <f t="shared" si="8"/>
        <v>973.05555555555554</v>
      </c>
      <c r="P78" s="26"/>
      <c r="Q78" s="26"/>
      <c r="R78" s="26">
        <v>5775.5555555555557</v>
      </c>
      <c r="S78" s="26">
        <v>941.66666666666663</v>
      </c>
      <c r="T78" s="26"/>
      <c r="U78" s="26"/>
      <c r="V78" s="26">
        <f t="shared" si="9"/>
        <v>6717.2222222222226</v>
      </c>
      <c r="W78" s="26">
        <v>941.66666666666663</v>
      </c>
      <c r="X78" s="26"/>
      <c r="Y78" s="26"/>
      <c r="Z78" s="26">
        <f t="shared" si="10"/>
        <v>7658.8888888888896</v>
      </c>
      <c r="AA78" s="26">
        <v>941.66666666666663</v>
      </c>
      <c r="AB78" s="26"/>
      <c r="AC78" s="26"/>
      <c r="AD78" s="26">
        <f t="shared" si="11"/>
        <v>8600.5555555555566</v>
      </c>
      <c r="AE78" s="25"/>
    </row>
    <row r="79" spans="1:31" x14ac:dyDescent="0.3">
      <c r="A79" s="90">
        <v>5031</v>
      </c>
      <c r="B79" s="90" t="s">
        <v>7</v>
      </c>
      <c r="C79" s="90" t="s">
        <v>402</v>
      </c>
      <c r="D79" s="90" t="s">
        <v>401</v>
      </c>
      <c r="E79" s="91">
        <v>300000</v>
      </c>
      <c r="F79" s="31">
        <v>43703</v>
      </c>
      <c r="G79" s="31">
        <v>44069</v>
      </c>
      <c r="H79" s="26"/>
      <c r="I79" s="26">
        <v>6.9</v>
      </c>
      <c r="J79" s="26">
        <v>5462.5</v>
      </c>
      <c r="K79" s="26">
        <f t="shared" si="6"/>
        <v>1782.5</v>
      </c>
      <c r="L79" s="26"/>
      <c r="M79" s="26"/>
      <c r="N79" s="26">
        <f t="shared" si="7"/>
        <v>7245</v>
      </c>
      <c r="O79" s="26">
        <f t="shared" si="8"/>
        <v>1782.5</v>
      </c>
      <c r="P79" s="26"/>
      <c r="Q79" s="26"/>
      <c r="R79" s="26">
        <v>9027.5</v>
      </c>
      <c r="S79" s="26">
        <v>1725</v>
      </c>
      <c r="T79" s="26"/>
      <c r="U79" s="26"/>
      <c r="V79" s="26">
        <f t="shared" si="9"/>
        <v>10752.5</v>
      </c>
      <c r="W79" s="26">
        <v>1725</v>
      </c>
      <c r="X79" s="26"/>
      <c r="Y79" s="26"/>
      <c r="Z79" s="26">
        <f t="shared" si="10"/>
        <v>12477.5</v>
      </c>
      <c r="AA79" s="26">
        <v>1725</v>
      </c>
      <c r="AB79" s="26"/>
      <c r="AC79" s="26"/>
      <c r="AD79" s="26">
        <f t="shared" si="11"/>
        <v>14202.5</v>
      </c>
      <c r="AE79" s="25"/>
    </row>
    <row r="80" spans="1:31" ht="15.6" customHeight="1" x14ac:dyDescent="0.3">
      <c r="A80" s="90"/>
      <c r="B80" s="90" t="s">
        <v>59</v>
      </c>
      <c r="C80" s="90"/>
      <c r="D80" s="90" t="s">
        <v>737</v>
      </c>
      <c r="E80" s="91"/>
      <c r="F80" s="31">
        <v>43704</v>
      </c>
      <c r="G80" s="31">
        <v>43922</v>
      </c>
      <c r="H80" s="26"/>
      <c r="I80" s="26">
        <v>6.4</v>
      </c>
      <c r="J80" s="26">
        <v>7352.8888888888896</v>
      </c>
      <c r="K80" s="26">
        <v>2424.8888888888891</v>
      </c>
      <c r="L80" s="26"/>
      <c r="M80" s="26"/>
      <c r="N80" s="26">
        <v>9777.7777777777792</v>
      </c>
      <c r="O80" s="26">
        <v>2424.8888888888891</v>
      </c>
      <c r="P80" s="26"/>
      <c r="Q80" s="26"/>
      <c r="R80" s="26">
        <v>12202.666666666668</v>
      </c>
      <c r="S80" s="26">
        <v>2346.666666666667</v>
      </c>
      <c r="T80" s="26"/>
      <c r="U80" s="26"/>
      <c r="V80" s="26">
        <v>14549.333333333336</v>
      </c>
      <c r="W80" s="26">
        <v>2346.666666666667</v>
      </c>
      <c r="X80" s="26"/>
      <c r="Y80" s="26"/>
      <c r="Z80" s="26">
        <v>16896.000000000004</v>
      </c>
      <c r="AA80" s="26"/>
      <c r="AB80" s="42">
        <v>-18439.009999999998</v>
      </c>
      <c r="AC80" s="26">
        <v>1543.01</v>
      </c>
      <c r="AD80" s="26">
        <f t="shared" si="11"/>
        <v>5.2295945351943374E-12</v>
      </c>
      <c r="AE80" s="25" t="s">
        <v>738</v>
      </c>
    </row>
    <row r="81" spans="1:31" x14ac:dyDescent="0.3">
      <c r="A81" s="90">
        <v>5040</v>
      </c>
      <c r="B81" s="90" t="s">
        <v>59</v>
      </c>
      <c r="C81" s="90" t="s">
        <v>400</v>
      </c>
      <c r="D81" s="90" t="s">
        <v>399</v>
      </c>
      <c r="E81" s="91">
        <v>385377.78</v>
      </c>
      <c r="F81" s="31">
        <v>43943</v>
      </c>
      <c r="G81" s="31">
        <v>44070</v>
      </c>
      <c r="H81" s="26"/>
      <c r="I81" s="26">
        <v>6.4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/>
      <c r="AA81" s="27">
        <f>+E81*I81%/360*8</f>
        <v>548.09284266666668</v>
      </c>
      <c r="AB81" s="42"/>
      <c r="AC81" s="26"/>
      <c r="AD81" s="26">
        <f t="shared" si="11"/>
        <v>548.09284266666668</v>
      </c>
      <c r="AE81" s="25"/>
    </row>
    <row r="82" spans="1:31" x14ac:dyDescent="0.3">
      <c r="A82" s="90">
        <v>5063</v>
      </c>
      <c r="B82" s="90" t="s">
        <v>25</v>
      </c>
      <c r="C82" s="90" t="s">
        <v>398</v>
      </c>
      <c r="D82" s="90" t="s">
        <v>397</v>
      </c>
      <c r="E82" s="91">
        <v>173000</v>
      </c>
      <c r="F82" s="31">
        <v>43709</v>
      </c>
      <c r="G82" s="31">
        <v>44075</v>
      </c>
      <c r="H82" s="26"/>
      <c r="I82" s="26">
        <v>4.4000000000000004</v>
      </c>
      <c r="J82" s="26">
        <v>1903</v>
      </c>
      <c r="K82" s="26">
        <f t="shared" si="6"/>
        <v>655.47777777777787</v>
      </c>
      <c r="L82" s="26"/>
      <c r="M82" s="26"/>
      <c r="N82" s="26">
        <f t="shared" si="7"/>
        <v>2558.4777777777781</v>
      </c>
      <c r="O82" s="26">
        <f t="shared" si="8"/>
        <v>655.47777777777787</v>
      </c>
      <c r="P82" s="26"/>
      <c r="Q82" s="26"/>
      <c r="R82" s="26">
        <v>3213.9555555555562</v>
      </c>
      <c r="S82" s="26">
        <v>634.33333333333337</v>
      </c>
      <c r="T82" s="26"/>
      <c r="U82" s="26"/>
      <c r="V82" s="26">
        <f t="shared" si="9"/>
        <v>3848.2888888888897</v>
      </c>
      <c r="W82" s="26">
        <v>634.33333333333337</v>
      </c>
      <c r="X82" s="26"/>
      <c r="Y82" s="26"/>
      <c r="Z82" s="26">
        <f t="shared" si="10"/>
        <v>4482.6222222222232</v>
      </c>
      <c r="AA82" s="26">
        <v>634.33333333333337</v>
      </c>
      <c r="AB82" s="26"/>
      <c r="AC82" s="26"/>
      <c r="AD82" s="26">
        <f t="shared" si="11"/>
        <v>5116.9555555555562</v>
      </c>
      <c r="AE82" s="25"/>
    </row>
    <row r="83" spans="1:31" x14ac:dyDescent="0.3">
      <c r="A83" s="90">
        <v>5050</v>
      </c>
      <c r="B83" s="90" t="s">
        <v>31</v>
      </c>
      <c r="C83" s="90" t="s">
        <v>396</v>
      </c>
      <c r="D83" s="90" t="s">
        <v>395</v>
      </c>
      <c r="E83" s="91">
        <v>220000</v>
      </c>
      <c r="F83" s="31">
        <v>43711</v>
      </c>
      <c r="G83" s="31">
        <v>44076</v>
      </c>
      <c r="H83" s="26"/>
      <c r="I83" s="26">
        <v>5.9</v>
      </c>
      <c r="J83" s="26">
        <v>3172.8888888888887</v>
      </c>
      <c r="K83" s="26">
        <f t="shared" si="6"/>
        <v>1117.7222222222222</v>
      </c>
      <c r="L83" s="26"/>
      <c r="M83" s="26"/>
      <c r="N83" s="26">
        <f t="shared" si="7"/>
        <v>4290.6111111111113</v>
      </c>
      <c r="O83" s="26">
        <f t="shared" si="8"/>
        <v>1117.7222222222222</v>
      </c>
      <c r="P83" s="26"/>
      <c r="Q83" s="26"/>
      <c r="R83" s="26">
        <v>5408.3333333333339</v>
      </c>
      <c r="S83" s="26">
        <v>1081.6666666666667</v>
      </c>
      <c r="T83" s="26"/>
      <c r="U83" s="26"/>
      <c r="V83" s="26">
        <f t="shared" si="9"/>
        <v>6490.0000000000009</v>
      </c>
      <c r="W83" s="26">
        <v>1081.6666666666667</v>
      </c>
      <c r="X83" s="26"/>
      <c r="Y83" s="26"/>
      <c r="Z83" s="26">
        <f t="shared" si="10"/>
        <v>7571.6666666666679</v>
      </c>
      <c r="AA83" s="26">
        <v>1081.6666666666667</v>
      </c>
      <c r="AB83" s="26"/>
      <c r="AC83" s="26"/>
      <c r="AD83" s="26">
        <f t="shared" si="11"/>
        <v>8653.3333333333339</v>
      </c>
      <c r="AE83" s="25"/>
    </row>
    <row r="84" spans="1:31" x14ac:dyDescent="0.3">
      <c r="A84" s="90">
        <v>5050</v>
      </c>
      <c r="B84" s="90" t="s">
        <v>34</v>
      </c>
      <c r="C84" s="90" t="s">
        <v>394</v>
      </c>
      <c r="D84" s="90" t="s">
        <v>393</v>
      </c>
      <c r="E84" s="91">
        <v>300000</v>
      </c>
      <c r="F84" s="31">
        <v>43711</v>
      </c>
      <c r="G84" s="31">
        <v>44077</v>
      </c>
      <c r="H84" s="26"/>
      <c r="I84" s="26">
        <v>5.9</v>
      </c>
      <c r="J84" s="26">
        <v>4326.6666666666661</v>
      </c>
      <c r="K84" s="26">
        <f t="shared" si="6"/>
        <v>1524.1666666666665</v>
      </c>
      <c r="L84" s="26"/>
      <c r="M84" s="26"/>
      <c r="N84" s="26">
        <f t="shared" si="7"/>
        <v>5850.8333333333321</v>
      </c>
      <c r="O84" s="26">
        <f t="shared" si="8"/>
        <v>1524.1666666666665</v>
      </c>
      <c r="P84" s="26"/>
      <c r="Q84" s="26"/>
      <c r="R84" s="26">
        <v>7374.9999999999982</v>
      </c>
      <c r="S84" s="26">
        <v>1475</v>
      </c>
      <c r="T84" s="26"/>
      <c r="U84" s="26"/>
      <c r="V84" s="26">
        <f t="shared" si="9"/>
        <v>8849.9999999999982</v>
      </c>
      <c r="W84" s="26">
        <v>1475</v>
      </c>
      <c r="X84" s="26"/>
      <c r="Y84" s="26"/>
      <c r="Z84" s="26">
        <f t="shared" si="10"/>
        <v>10324.999999999998</v>
      </c>
      <c r="AA84" s="26">
        <v>1475</v>
      </c>
      <c r="AB84" s="26"/>
      <c r="AC84" s="26"/>
      <c r="AD84" s="26">
        <f t="shared" si="11"/>
        <v>11799.999999999998</v>
      </c>
      <c r="AE84" s="25"/>
    </row>
    <row r="85" spans="1:31" x14ac:dyDescent="0.3">
      <c r="A85" s="90">
        <v>5062</v>
      </c>
      <c r="B85" s="90" t="s">
        <v>390</v>
      </c>
      <c r="C85" s="90" t="s">
        <v>392</v>
      </c>
      <c r="D85" s="90" t="s">
        <v>391</v>
      </c>
      <c r="E85" s="91">
        <v>100000</v>
      </c>
      <c r="F85" s="31">
        <v>43709</v>
      </c>
      <c r="G85" s="31">
        <v>44078</v>
      </c>
      <c r="H85" s="26"/>
      <c r="I85" s="26">
        <v>5.9</v>
      </c>
      <c r="J85" s="26">
        <v>1475</v>
      </c>
      <c r="K85" s="26">
        <f t="shared" si="6"/>
        <v>508.05555555555554</v>
      </c>
      <c r="L85" s="26"/>
      <c r="M85" s="26"/>
      <c r="N85" s="26">
        <f t="shared" si="7"/>
        <v>1983.0555555555557</v>
      </c>
      <c r="O85" s="26">
        <f t="shared" si="8"/>
        <v>508.05555555555554</v>
      </c>
      <c r="P85" s="26"/>
      <c r="Q85" s="26"/>
      <c r="R85" s="26">
        <v>2491.1111111111113</v>
      </c>
      <c r="S85" s="26">
        <v>491.66666666666669</v>
      </c>
      <c r="T85" s="26"/>
      <c r="U85" s="26"/>
      <c r="V85" s="26">
        <f t="shared" si="9"/>
        <v>2982.7777777777778</v>
      </c>
      <c r="W85" s="26">
        <v>491.66666666666669</v>
      </c>
      <c r="X85" s="26"/>
      <c r="Y85" s="26"/>
      <c r="Z85" s="26">
        <f t="shared" si="10"/>
        <v>3474.4444444444443</v>
      </c>
      <c r="AA85" s="26">
        <v>491.66666666666669</v>
      </c>
      <c r="AB85" s="26"/>
      <c r="AC85" s="26"/>
      <c r="AD85" s="26">
        <f t="shared" si="11"/>
        <v>3966.1111111111109</v>
      </c>
      <c r="AE85" s="25"/>
    </row>
    <row r="86" spans="1:31" x14ac:dyDescent="0.3">
      <c r="A86" s="90">
        <v>5062</v>
      </c>
      <c r="B86" s="90" t="s">
        <v>390</v>
      </c>
      <c r="C86" s="90" t="s">
        <v>389</v>
      </c>
      <c r="D86" s="90" t="s">
        <v>388</v>
      </c>
      <c r="E86" s="91">
        <v>950000</v>
      </c>
      <c r="F86" s="31">
        <v>43709</v>
      </c>
      <c r="G86" s="31">
        <v>44079</v>
      </c>
      <c r="H86" s="26"/>
      <c r="I86" s="26">
        <v>5.9</v>
      </c>
      <c r="J86" s="26">
        <v>14012.500000000002</v>
      </c>
      <c r="K86" s="26">
        <f t="shared" si="6"/>
        <v>4826.5277777777783</v>
      </c>
      <c r="L86" s="26"/>
      <c r="M86" s="26"/>
      <c r="N86" s="26">
        <f t="shared" si="7"/>
        <v>18839.027777777781</v>
      </c>
      <c r="O86" s="26">
        <f t="shared" si="8"/>
        <v>4826.5277777777783</v>
      </c>
      <c r="P86" s="26"/>
      <c r="Q86" s="26"/>
      <c r="R86" s="26">
        <v>23665.555555555558</v>
      </c>
      <c r="S86" s="26">
        <v>4670.8333333333339</v>
      </c>
      <c r="T86" s="26"/>
      <c r="U86" s="26"/>
      <c r="V86" s="26">
        <f t="shared" si="9"/>
        <v>28336.388888888891</v>
      </c>
      <c r="W86" s="26">
        <v>4670.8333333333339</v>
      </c>
      <c r="X86" s="26"/>
      <c r="Y86" s="26"/>
      <c r="Z86" s="26">
        <f t="shared" si="10"/>
        <v>33007.222222222226</v>
      </c>
      <c r="AA86" s="26">
        <v>4670.8333333333339</v>
      </c>
      <c r="AB86" s="26"/>
      <c r="AC86" s="26"/>
      <c r="AD86" s="26">
        <f t="shared" si="11"/>
        <v>37678.055555555562</v>
      </c>
      <c r="AE86" s="25"/>
    </row>
    <row r="87" spans="1:31" x14ac:dyDescent="0.3">
      <c r="A87" s="90">
        <v>5056</v>
      </c>
      <c r="B87" s="90" t="s">
        <v>47</v>
      </c>
      <c r="C87" s="90" t="s">
        <v>387</v>
      </c>
      <c r="D87" s="90" t="s">
        <v>386</v>
      </c>
      <c r="E87" s="91">
        <v>160000</v>
      </c>
      <c r="F87" s="31">
        <v>43709</v>
      </c>
      <c r="G87" s="31">
        <v>44080</v>
      </c>
      <c r="H87" s="26"/>
      <c r="I87" s="26">
        <v>6.4</v>
      </c>
      <c r="J87" s="26">
        <v>2560</v>
      </c>
      <c r="K87" s="26">
        <f t="shared" si="6"/>
        <v>881.77777777777771</v>
      </c>
      <c r="L87" s="26"/>
      <c r="M87" s="26"/>
      <c r="N87" s="26">
        <f t="shared" si="7"/>
        <v>3441.7777777777778</v>
      </c>
      <c r="O87" s="26">
        <f t="shared" si="8"/>
        <v>881.77777777777771</v>
      </c>
      <c r="P87" s="26"/>
      <c r="Q87" s="26"/>
      <c r="R87" s="26">
        <v>4323.5555555555557</v>
      </c>
      <c r="S87" s="26">
        <v>853.33333333333326</v>
      </c>
      <c r="T87" s="26"/>
      <c r="U87" s="26"/>
      <c r="V87" s="26">
        <f t="shared" si="9"/>
        <v>5176.8888888888887</v>
      </c>
      <c r="W87" s="26">
        <v>853.33333333333326</v>
      </c>
      <c r="X87" s="26"/>
      <c r="Y87" s="26"/>
      <c r="Z87" s="26">
        <f t="shared" si="10"/>
        <v>6030.2222222222217</v>
      </c>
      <c r="AA87" s="26">
        <v>853.33333333333326</v>
      </c>
      <c r="AB87" s="26"/>
      <c r="AC87" s="26"/>
      <c r="AD87" s="26">
        <f t="shared" si="11"/>
        <v>6883.5555555555547</v>
      </c>
      <c r="AE87" s="25"/>
    </row>
    <row r="88" spans="1:31" x14ac:dyDescent="0.3">
      <c r="A88" s="90">
        <v>5063</v>
      </c>
      <c r="B88" s="90" t="s">
        <v>77</v>
      </c>
      <c r="C88" s="90" t="s">
        <v>385</v>
      </c>
      <c r="D88" s="90" t="s">
        <v>384</v>
      </c>
      <c r="E88" s="91">
        <v>240000</v>
      </c>
      <c r="F88" s="31">
        <v>43668</v>
      </c>
      <c r="G88" s="31">
        <v>44081</v>
      </c>
      <c r="H88" s="26"/>
      <c r="I88" s="26">
        <v>5.4</v>
      </c>
      <c r="J88" s="26">
        <v>4680.0000000000009</v>
      </c>
      <c r="K88" s="26">
        <f t="shared" si="6"/>
        <v>1116.0000000000002</v>
      </c>
      <c r="L88" s="26"/>
      <c r="M88" s="26"/>
      <c r="N88" s="26">
        <f t="shared" si="7"/>
        <v>5796.0000000000009</v>
      </c>
      <c r="O88" s="26">
        <f t="shared" si="8"/>
        <v>1116.0000000000002</v>
      </c>
      <c r="P88" s="26"/>
      <c r="Q88" s="26"/>
      <c r="R88" s="26">
        <v>6912.0000000000009</v>
      </c>
      <c r="S88" s="26">
        <v>1080.0000000000002</v>
      </c>
      <c r="T88" s="26"/>
      <c r="U88" s="26"/>
      <c r="V88" s="26">
        <f t="shared" si="9"/>
        <v>7992.0000000000009</v>
      </c>
      <c r="W88" s="26">
        <v>1080.0000000000002</v>
      </c>
      <c r="X88" s="26"/>
      <c r="Y88" s="26"/>
      <c r="Z88" s="26">
        <f t="shared" si="10"/>
        <v>9072.0000000000018</v>
      </c>
      <c r="AA88" s="26">
        <v>1080.0000000000002</v>
      </c>
      <c r="AB88" s="26"/>
      <c r="AC88" s="26"/>
      <c r="AD88" s="26">
        <f t="shared" si="11"/>
        <v>10152.000000000002</v>
      </c>
      <c r="AE88" s="25"/>
    </row>
    <row r="89" spans="1:31" x14ac:dyDescent="0.3">
      <c r="A89" s="90">
        <v>5057</v>
      </c>
      <c r="B89" s="90" t="s">
        <v>22</v>
      </c>
      <c r="C89" s="90" t="s">
        <v>383</v>
      </c>
      <c r="D89" s="90" t="s">
        <v>382</v>
      </c>
      <c r="E89" s="91">
        <v>600000</v>
      </c>
      <c r="F89" s="31">
        <v>43728</v>
      </c>
      <c r="G89" s="31">
        <v>44082</v>
      </c>
      <c r="H89" s="26"/>
      <c r="I89" s="26">
        <v>6.6</v>
      </c>
      <c r="J89" s="26">
        <v>7810</v>
      </c>
      <c r="K89" s="26">
        <f t="shared" si="6"/>
        <v>3410</v>
      </c>
      <c r="L89" s="26"/>
      <c r="M89" s="26"/>
      <c r="N89" s="26">
        <f t="shared" si="7"/>
        <v>11220</v>
      </c>
      <c r="O89" s="26">
        <f t="shared" si="8"/>
        <v>3410</v>
      </c>
      <c r="P89" s="26"/>
      <c r="Q89" s="26"/>
      <c r="R89" s="26">
        <v>14630</v>
      </c>
      <c r="S89" s="26">
        <v>3300</v>
      </c>
      <c r="T89" s="26"/>
      <c r="U89" s="26"/>
      <c r="V89" s="26">
        <f t="shared" si="9"/>
        <v>17930</v>
      </c>
      <c r="W89" s="26">
        <v>3300</v>
      </c>
      <c r="X89" s="26"/>
      <c r="Y89" s="26"/>
      <c r="Z89" s="26">
        <f t="shared" si="10"/>
        <v>21230</v>
      </c>
      <c r="AA89" s="26">
        <v>3300</v>
      </c>
      <c r="AB89" s="26"/>
      <c r="AC89" s="26"/>
      <c r="AD89" s="26">
        <f t="shared" si="11"/>
        <v>24530</v>
      </c>
      <c r="AE89" s="25"/>
    </row>
    <row r="90" spans="1:31" x14ac:dyDescent="0.3">
      <c r="A90" s="90">
        <v>5060</v>
      </c>
      <c r="B90" s="90" t="s">
        <v>37</v>
      </c>
      <c r="C90" s="90" t="s">
        <v>381</v>
      </c>
      <c r="D90" s="90" t="s">
        <v>380</v>
      </c>
      <c r="E90" s="91">
        <v>650000</v>
      </c>
      <c r="F90" s="31">
        <v>43710</v>
      </c>
      <c r="G90" s="31">
        <v>44083</v>
      </c>
      <c r="H90" s="26"/>
      <c r="I90" s="26">
        <v>2.9</v>
      </c>
      <c r="J90" s="26">
        <v>4660.1388888888887</v>
      </c>
      <c r="K90" s="26">
        <f t="shared" si="6"/>
        <v>1623.1944444444446</v>
      </c>
      <c r="L90" s="26"/>
      <c r="M90" s="26"/>
      <c r="N90" s="26">
        <f t="shared" si="7"/>
        <v>6283.333333333333</v>
      </c>
      <c r="O90" s="26">
        <f t="shared" si="8"/>
        <v>1623.1944444444446</v>
      </c>
      <c r="P90" s="26"/>
      <c r="Q90" s="26"/>
      <c r="R90" s="26">
        <v>7906.5277777777774</v>
      </c>
      <c r="S90" s="26">
        <v>1570.8333333333335</v>
      </c>
      <c r="T90" s="26"/>
      <c r="U90" s="26"/>
      <c r="V90" s="26">
        <f t="shared" si="9"/>
        <v>9477.3611111111113</v>
      </c>
      <c r="W90" s="26">
        <v>1570.8333333333335</v>
      </c>
      <c r="X90" s="26"/>
      <c r="Y90" s="26"/>
      <c r="Z90" s="26">
        <f t="shared" si="10"/>
        <v>11048.194444444445</v>
      </c>
      <c r="AA90" s="26">
        <v>1570.8333333333335</v>
      </c>
      <c r="AB90" s="26"/>
      <c r="AC90" s="26"/>
      <c r="AD90" s="26">
        <f t="shared" si="11"/>
        <v>12619.027777777779</v>
      </c>
      <c r="AE90" s="25"/>
    </row>
    <row r="91" spans="1:31" x14ac:dyDescent="0.3">
      <c r="A91" s="90">
        <v>5060</v>
      </c>
      <c r="B91" s="90" t="s">
        <v>19</v>
      </c>
      <c r="C91" s="90" t="s">
        <v>379</v>
      </c>
      <c r="D91" s="90" t="s">
        <v>378</v>
      </c>
      <c r="E91" s="91">
        <v>330000</v>
      </c>
      <c r="F91" s="31">
        <v>43732</v>
      </c>
      <c r="G91" s="31">
        <v>44084</v>
      </c>
      <c r="H91" s="26"/>
      <c r="I91" s="26">
        <v>1.9</v>
      </c>
      <c r="J91" s="26">
        <v>1166.9166666666667</v>
      </c>
      <c r="K91" s="26">
        <f t="shared" si="6"/>
        <v>539.91666666666674</v>
      </c>
      <c r="L91" s="26"/>
      <c r="M91" s="26"/>
      <c r="N91" s="26">
        <f t="shared" si="7"/>
        <v>1706.8333333333335</v>
      </c>
      <c r="O91" s="26">
        <f t="shared" si="8"/>
        <v>539.91666666666674</v>
      </c>
      <c r="P91" s="26"/>
      <c r="Q91" s="26"/>
      <c r="R91" s="26">
        <v>2246.75</v>
      </c>
      <c r="S91" s="26">
        <v>522.5</v>
      </c>
      <c r="T91" s="26"/>
      <c r="U91" s="26"/>
      <c r="V91" s="26">
        <f t="shared" si="9"/>
        <v>2769.25</v>
      </c>
      <c r="W91" s="26">
        <v>522.5</v>
      </c>
      <c r="X91" s="26"/>
      <c r="Y91" s="26"/>
      <c r="Z91" s="26">
        <f t="shared" si="10"/>
        <v>3291.75</v>
      </c>
      <c r="AA91" s="26">
        <v>522.5</v>
      </c>
      <c r="AB91" s="26"/>
      <c r="AC91" s="26"/>
      <c r="AD91" s="26">
        <f t="shared" si="11"/>
        <v>3814.25</v>
      </c>
      <c r="AE91" s="25"/>
    </row>
    <row r="92" spans="1:31" x14ac:dyDescent="0.3">
      <c r="A92" s="90">
        <v>5063</v>
      </c>
      <c r="B92" s="90" t="s">
        <v>13</v>
      </c>
      <c r="C92" s="90" t="s">
        <v>377</v>
      </c>
      <c r="D92" s="90" t="s">
        <v>376</v>
      </c>
      <c r="E92" s="91">
        <v>50000</v>
      </c>
      <c r="F92" s="31">
        <v>43733</v>
      </c>
      <c r="G92" s="31">
        <v>44085</v>
      </c>
      <c r="H92" s="26"/>
      <c r="I92" s="26">
        <v>4.6500000000000004</v>
      </c>
      <c r="J92" s="26">
        <v>426.25000000000011</v>
      </c>
      <c r="K92" s="26">
        <f t="shared" si="6"/>
        <v>200.20833333333337</v>
      </c>
      <c r="L92" s="26"/>
      <c r="M92" s="26"/>
      <c r="N92" s="26">
        <f t="shared" si="7"/>
        <v>626.45833333333348</v>
      </c>
      <c r="O92" s="26">
        <f t="shared" si="8"/>
        <v>200.20833333333337</v>
      </c>
      <c r="P92" s="26"/>
      <c r="Q92" s="26"/>
      <c r="R92" s="26">
        <v>826.66666666666686</v>
      </c>
      <c r="S92" s="26">
        <v>193.75000000000006</v>
      </c>
      <c r="T92" s="26"/>
      <c r="U92" s="26"/>
      <c r="V92" s="26">
        <f t="shared" si="9"/>
        <v>1020.416666666667</v>
      </c>
      <c r="W92" s="26">
        <v>193.75000000000006</v>
      </c>
      <c r="X92" s="26"/>
      <c r="Y92" s="26"/>
      <c r="Z92" s="26">
        <f t="shared" si="10"/>
        <v>1214.166666666667</v>
      </c>
      <c r="AA92" s="26">
        <v>193.75000000000006</v>
      </c>
      <c r="AB92" s="26"/>
      <c r="AC92" s="26"/>
      <c r="AD92" s="26">
        <f t="shared" si="11"/>
        <v>1407.916666666667</v>
      </c>
      <c r="AE92" s="25"/>
    </row>
    <row r="93" spans="1:31" x14ac:dyDescent="0.3">
      <c r="A93" s="90">
        <v>5063</v>
      </c>
      <c r="B93" s="90" t="s">
        <v>13</v>
      </c>
      <c r="C93" s="90" t="s">
        <v>375</v>
      </c>
      <c r="D93" s="90" t="s">
        <v>374</v>
      </c>
      <c r="E93" s="91">
        <v>200000</v>
      </c>
      <c r="F93" s="31">
        <v>43735</v>
      </c>
      <c r="G93" s="31">
        <v>44086</v>
      </c>
      <c r="H93" s="26"/>
      <c r="I93" s="26">
        <v>8.9</v>
      </c>
      <c r="J93" s="26">
        <v>3164.4444444444453</v>
      </c>
      <c r="K93" s="26">
        <f t="shared" si="6"/>
        <v>1532.7777777777783</v>
      </c>
      <c r="L93" s="26"/>
      <c r="M93" s="26"/>
      <c r="N93" s="26">
        <f t="shared" si="7"/>
        <v>4697.2222222222235</v>
      </c>
      <c r="O93" s="26">
        <f t="shared" si="8"/>
        <v>1532.7777777777783</v>
      </c>
      <c r="P93" s="26"/>
      <c r="Q93" s="26"/>
      <c r="R93" s="26">
        <v>6230.0000000000018</v>
      </c>
      <c r="S93" s="26">
        <v>1483.3333333333337</v>
      </c>
      <c r="T93" s="26"/>
      <c r="U93" s="26"/>
      <c r="V93" s="26">
        <f t="shared" si="9"/>
        <v>7713.3333333333358</v>
      </c>
      <c r="W93" s="26">
        <v>1483.3333333333337</v>
      </c>
      <c r="X93" s="26"/>
      <c r="Y93" s="26"/>
      <c r="Z93" s="26">
        <f t="shared" si="10"/>
        <v>9196.6666666666697</v>
      </c>
      <c r="AA93" s="26">
        <v>1483.3333333333337</v>
      </c>
      <c r="AB93" s="26"/>
      <c r="AC93" s="26"/>
      <c r="AD93" s="26">
        <f t="shared" si="11"/>
        <v>10680.000000000004</v>
      </c>
      <c r="AE93" s="25"/>
    </row>
    <row r="94" spans="1:31" x14ac:dyDescent="0.3">
      <c r="A94" s="90">
        <v>5057</v>
      </c>
      <c r="B94" s="90" t="s">
        <v>74</v>
      </c>
      <c r="C94" s="90" t="s">
        <v>373</v>
      </c>
      <c r="D94" s="90" t="s">
        <v>372</v>
      </c>
      <c r="E94" s="91">
        <v>170000</v>
      </c>
      <c r="F94" s="31">
        <v>43739</v>
      </c>
      <c r="G94" s="31">
        <v>44105</v>
      </c>
      <c r="H94" s="26"/>
      <c r="I94" s="26">
        <v>3.4</v>
      </c>
      <c r="J94" s="26">
        <v>963.33333333333348</v>
      </c>
      <c r="K94" s="26">
        <f t="shared" si="6"/>
        <v>497.72222222222229</v>
      </c>
      <c r="L94" s="26"/>
      <c r="M94" s="26"/>
      <c r="N94" s="26">
        <f t="shared" si="7"/>
        <v>1461.0555555555557</v>
      </c>
      <c r="O94" s="26">
        <f t="shared" si="8"/>
        <v>497.72222222222229</v>
      </c>
      <c r="P94" s="26"/>
      <c r="Q94" s="26"/>
      <c r="R94" s="26">
        <v>1958.7777777777778</v>
      </c>
      <c r="S94" s="26">
        <v>481.66666666666674</v>
      </c>
      <c r="T94" s="26"/>
      <c r="U94" s="26"/>
      <c r="V94" s="26">
        <f t="shared" si="9"/>
        <v>2440.4444444444443</v>
      </c>
      <c r="W94" s="26">
        <v>481.66666666666674</v>
      </c>
      <c r="X94" s="26"/>
      <c r="Y94" s="26"/>
      <c r="Z94" s="26">
        <f t="shared" si="10"/>
        <v>2922.1111111111113</v>
      </c>
      <c r="AA94" s="26">
        <v>481.66666666666674</v>
      </c>
      <c r="AB94" s="26"/>
      <c r="AC94" s="26"/>
      <c r="AD94" s="26">
        <f t="shared" si="11"/>
        <v>3403.7777777777783</v>
      </c>
      <c r="AE94" s="25"/>
    </row>
    <row r="95" spans="1:31" x14ac:dyDescent="0.3">
      <c r="A95" s="90">
        <v>5063</v>
      </c>
      <c r="B95" s="90" t="s">
        <v>25</v>
      </c>
      <c r="C95" s="90" t="s">
        <v>371</v>
      </c>
      <c r="D95" s="90" t="s">
        <v>370</v>
      </c>
      <c r="E95" s="91">
        <v>188000</v>
      </c>
      <c r="F95" s="31">
        <v>43739</v>
      </c>
      <c r="G95" s="31">
        <v>44105</v>
      </c>
      <c r="H95" s="26"/>
      <c r="I95" s="26">
        <v>4.4000000000000004</v>
      </c>
      <c r="J95" s="26">
        <v>1378.6666666666667</v>
      </c>
      <c r="K95" s="26">
        <f t="shared" si="6"/>
        <v>712.31111111111113</v>
      </c>
      <c r="L95" s="26"/>
      <c r="M95" s="26"/>
      <c r="N95" s="26">
        <f t="shared" si="7"/>
        <v>2090.9777777777781</v>
      </c>
      <c r="O95" s="26">
        <f t="shared" si="8"/>
        <v>712.31111111111113</v>
      </c>
      <c r="P95" s="26"/>
      <c r="Q95" s="26"/>
      <c r="R95" s="26">
        <v>2803.2888888888892</v>
      </c>
      <c r="S95" s="26">
        <v>689.33333333333337</v>
      </c>
      <c r="T95" s="26"/>
      <c r="U95" s="26"/>
      <c r="V95" s="26">
        <f t="shared" si="9"/>
        <v>3492.6222222222227</v>
      </c>
      <c r="W95" s="26">
        <v>689.33333333333337</v>
      </c>
      <c r="X95" s="26"/>
      <c r="Y95" s="26"/>
      <c r="Z95" s="26">
        <f t="shared" si="10"/>
        <v>4181.9555555555562</v>
      </c>
      <c r="AA95" s="26">
        <v>689.33333333333337</v>
      </c>
      <c r="AB95" s="26"/>
      <c r="AC95" s="26"/>
      <c r="AD95" s="26">
        <f t="shared" si="11"/>
        <v>4871.2888888888892</v>
      </c>
      <c r="AE95" s="25"/>
    </row>
    <row r="96" spans="1:31" x14ac:dyDescent="0.3">
      <c r="A96" s="90">
        <v>5005</v>
      </c>
      <c r="B96" s="90" t="s">
        <v>10</v>
      </c>
      <c r="C96" s="90" t="s">
        <v>369</v>
      </c>
      <c r="D96" s="90" t="s">
        <v>368</v>
      </c>
      <c r="E96" s="91">
        <v>300000</v>
      </c>
      <c r="F96" s="31">
        <v>43739</v>
      </c>
      <c r="G96" s="31">
        <v>44105</v>
      </c>
      <c r="H96" s="26"/>
      <c r="I96" s="26">
        <v>0.4</v>
      </c>
      <c r="J96" s="26">
        <v>200</v>
      </c>
      <c r="K96" s="26">
        <f t="shared" si="6"/>
        <v>103.33333333333334</v>
      </c>
      <c r="L96" s="26"/>
      <c r="M96" s="26"/>
      <c r="N96" s="26">
        <f t="shared" si="7"/>
        <v>303.33333333333337</v>
      </c>
      <c r="O96" s="26">
        <f t="shared" si="8"/>
        <v>103.33333333333334</v>
      </c>
      <c r="P96" s="26"/>
      <c r="Q96" s="26"/>
      <c r="R96" s="26">
        <v>406.66666666666674</v>
      </c>
      <c r="S96" s="26">
        <v>100</v>
      </c>
      <c r="T96" s="26"/>
      <c r="U96" s="26"/>
      <c r="V96" s="26">
        <f t="shared" si="9"/>
        <v>506.66666666666674</v>
      </c>
      <c r="W96" s="26">
        <v>100</v>
      </c>
      <c r="X96" s="26"/>
      <c r="Y96" s="26"/>
      <c r="Z96" s="26">
        <f t="shared" si="10"/>
        <v>606.66666666666674</v>
      </c>
      <c r="AA96" s="26">
        <v>100</v>
      </c>
      <c r="AB96" s="26"/>
      <c r="AC96" s="26"/>
      <c r="AD96" s="26">
        <f t="shared" si="11"/>
        <v>706.66666666666674</v>
      </c>
      <c r="AE96" s="25"/>
    </row>
    <row r="97" spans="1:31" x14ac:dyDescent="0.3">
      <c r="A97" s="90">
        <v>5063</v>
      </c>
      <c r="B97" s="90" t="s">
        <v>77</v>
      </c>
      <c r="C97" s="90" t="s">
        <v>367</v>
      </c>
      <c r="D97" s="90" t="s">
        <v>366</v>
      </c>
      <c r="E97" s="91">
        <v>50000</v>
      </c>
      <c r="F97" s="31">
        <v>43745</v>
      </c>
      <c r="G97" s="31">
        <v>44111</v>
      </c>
      <c r="H97" s="26"/>
      <c r="I97" s="26">
        <v>5.4</v>
      </c>
      <c r="J97" s="26">
        <v>450.00000000000006</v>
      </c>
      <c r="K97" s="26">
        <f t="shared" si="6"/>
        <v>232.50000000000003</v>
      </c>
      <c r="L97" s="26"/>
      <c r="M97" s="26"/>
      <c r="N97" s="26">
        <f t="shared" si="7"/>
        <v>682.50000000000011</v>
      </c>
      <c r="O97" s="26">
        <f t="shared" si="8"/>
        <v>232.50000000000003</v>
      </c>
      <c r="P97" s="26"/>
      <c r="Q97" s="26"/>
      <c r="R97" s="26">
        <v>915.00000000000011</v>
      </c>
      <c r="S97" s="26">
        <v>225.00000000000003</v>
      </c>
      <c r="T97" s="26"/>
      <c r="U97" s="26"/>
      <c r="V97" s="26">
        <f t="shared" si="9"/>
        <v>1140.0000000000002</v>
      </c>
      <c r="W97" s="26">
        <v>225.00000000000003</v>
      </c>
      <c r="X97" s="26"/>
      <c r="Y97" s="26"/>
      <c r="Z97" s="26">
        <f t="shared" si="10"/>
        <v>1365.0000000000002</v>
      </c>
      <c r="AA97" s="26">
        <v>225.00000000000003</v>
      </c>
      <c r="AB97" s="26"/>
      <c r="AC97" s="26"/>
      <c r="AD97" s="26">
        <f t="shared" si="11"/>
        <v>1590.0000000000002</v>
      </c>
      <c r="AE97" s="25"/>
    </row>
    <row r="98" spans="1:31" x14ac:dyDescent="0.3">
      <c r="A98" s="90">
        <v>5060</v>
      </c>
      <c r="B98" s="90" t="s">
        <v>16</v>
      </c>
      <c r="C98" s="90" t="s">
        <v>365</v>
      </c>
      <c r="D98" s="90" t="s">
        <v>364</v>
      </c>
      <c r="E98" s="91">
        <v>25000</v>
      </c>
      <c r="F98" s="31">
        <v>43748</v>
      </c>
      <c r="G98" s="31">
        <v>44114</v>
      </c>
      <c r="H98" s="26"/>
      <c r="I98" s="26">
        <v>1.9</v>
      </c>
      <c r="J98" s="26">
        <v>67.291666666666671</v>
      </c>
      <c r="K98" s="26">
        <f t="shared" si="6"/>
        <v>40.902777777777779</v>
      </c>
      <c r="L98" s="26"/>
      <c r="M98" s="26"/>
      <c r="N98" s="26">
        <f t="shared" si="7"/>
        <v>108.19444444444446</v>
      </c>
      <c r="O98" s="26">
        <f t="shared" si="8"/>
        <v>40.902777777777779</v>
      </c>
      <c r="P98" s="26"/>
      <c r="Q98" s="26"/>
      <c r="R98" s="26">
        <v>149.09722222222223</v>
      </c>
      <c r="S98" s="26">
        <v>39.583333333333336</v>
      </c>
      <c r="T98" s="26"/>
      <c r="U98" s="26"/>
      <c r="V98" s="26">
        <f t="shared" si="9"/>
        <v>188.68055555555557</v>
      </c>
      <c r="W98" s="26">
        <v>39.583333333333336</v>
      </c>
      <c r="X98" s="26"/>
      <c r="Y98" s="26"/>
      <c r="Z98" s="26">
        <f t="shared" si="10"/>
        <v>228.26388888888891</v>
      </c>
      <c r="AA98" s="26">
        <v>39.583333333333336</v>
      </c>
      <c r="AB98" s="26"/>
      <c r="AC98" s="26"/>
      <c r="AD98" s="26">
        <f t="shared" si="11"/>
        <v>267.84722222222223</v>
      </c>
      <c r="AE98" s="25"/>
    </row>
    <row r="99" spans="1:31" x14ac:dyDescent="0.3">
      <c r="A99" s="90">
        <v>5060</v>
      </c>
      <c r="B99" s="90" t="s">
        <v>19</v>
      </c>
      <c r="C99" s="90" t="s">
        <v>363</v>
      </c>
      <c r="D99" s="90" t="s">
        <v>362</v>
      </c>
      <c r="E99" s="91">
        <v>25000</v>
      </c>
      <c r="F99" s="31">
        <v>43748</v>
      </c>
      <c r="G99" s="31">
        <v>44114</v>
      </c>
      <c r="H99" s="26"/>
      <c r="I99" s="26">
        <v>1.9</v>
      </c>
      <c r="J99" s="26">
        <v>67.291666666666671</v>
      </c>
      <c r="K99" s="26">
        <f t="shared" si="6"/>
        <v>40.902777777777779</v>
      </c>
      <c r="L99" s="26"/>
      <c r="M99" s="26"/>
      <c r="N99" s="26">
        <f t="shared" si="7"/>
        <v>108.19444444444446</v>
      </c>
      <c r="O99" s="26">
        <f t="shared" si="8"/>
        <v>40.902777777777779</v>
      </c>
      <c r="P99" s="26"/>
      <c r="Q99" s="26"/>
      <c r="R99" s="26">
        <v>149.09722222222223</v>
      </c>
      <c r="S99" s="26">
        <v>39.583333333333336</v>
      </c>
      <c r="T99" s="26"/>
      <c r="U99" s="26"/>
      <c r="V99" s="26">
        <f t="shared" si="9"/>
        <v>188.68055555555557</v>
      </c>
      <c r="W99" s="26">
        <v>39.583333333333336</v>
      </c>
      <c r="X99" s="26"/>
      <c r="Y99" s="26"/>
      <c r="Z99" s="26">
        <f t="shared" si="10"/>
        <v>228.26388888888891</v>
      </c>
      <c r="AA99" s="26">
        <v>39.583333333333336</v>
      </c>
      <c r="AB99" s="26"/>
      <c r="AC99" s="26"/>
      <c r="AD99" s="26">
        <f t="shared" si="11"/>
        <v>267.84722222222223</v>
      </c>
      <c r="AE99" s="25"/>
    </row>
    <row r="100" spans="1:31" x14ac:dyDescent="0.3">
      <c r="A100" s="90">
        <v>5031</v>
      </c>
      <c r="B100" s="90" t="s">
        <v>329</v>
      </c>
      <c r="C100" s="90" t="s">
        <v>361</v>
      </c>
      <c r="D100" s="90" t="s">
        <v>360</v>
      </c>
      <c r="E100" s="91">
        <v>750000</v>
      </c>
      <c r="F100" s="31">
        <v>43748</v>
      </c>
      <c r="G100" s="31">
        <v>44114</v>
      </c>
      <c r="H100" s="26"/>
      <c r="I100" s="26">
        <v>5.5</v>
      </c>
      <c r="J100" s="26">
        <v>5843.75</v>
      </c>
      <c r="K100" s="26">
        <f t="shared" si="6"/>
        <v>3552.083333333333</v>
      </c>
      <c r="L100" s="26"/>
      <c r="M100" s="26"/>
      <c r="N100" s="26">
        <f t="shared" si="7"/>
        <v>9395.8333333333321</v>
      </c>
      <c r="O100" s="26">
        <f t="shared" si="8"/>
        <v>3552.083333333333</v>
      </c>
      <c r="P100" s="26"/>
      <c r="Q100" s="26"/>
      <c r="R100" s="26">
        <v>12947.916666666664</v>
      </c>
      <c r="S100" s="26">
        <v>3437.5</v>
      </c>
      <c r="T100" s="26"/>
      <c r="U100" s="26"/>
      <c r="V100" s="26">
        <f t="shared" si="9"/>
        <v>16385.416666666664</v>
      </c>
      <c r="W100" s="26">
        <v>3437.5</v>
      </c>
      <c r="X100" s="26"/>
      <c r="Y100" s="26"/>
      <c r="Z100" s="26">
        <f t="shared" si="10"/>
        <v>19822.916666666664</v>
      </c>
      <c r="AA100" s="26">
        <v>3437.5</v>
      </c>
      <c r="AB100" s="26"/>
      <c r="AC100" s="26"/>
      <c r="AD100" s="26">
        <f t="shared" si="11"/>
        <v>23260.416666666664</v>
      </c>
      <c r="AE100" s="25"/>
    </row>
    <row r="101" spans="1:31" x14ac:dyDescent="0.3">
      <c r="A101" s="90">
        <v>5062</v>
      </c>
      <c r="B101" s="90" t="s">
        <v>359</v>
      </c>
      <c r="C101" s="90" t="s">
        <v>358</v>
      </c>
      <c r="D101" s="90" t="s">
        <v>357</v>
      </c>
      <c r="E101" s="91">
        <v>200000</v>
      </c>
      <c r="F101" s="31">
        <v>43750</v>
      </c>
      <c r="G101" s="31">
        <v>44116</v>
      </c>
      <c r="H101" s="26"/>
      <c r="I101" s="26">
        <v>6.4</v>
      </c>
      <c r="J101" s="26">
        <v>1742.2222222222222</v>
      </c>
      <c r="K101" s="26">
        <f t="shared" si="6"/>
        <v>1102.2222222222222</v>
      </c>
      <c r="L101" s="26"/>
      <c r="M101" s="26"/>
      <c r="N101" s="26">
        <f t="shared" si="7"/>
        <v>2844.4444444444443</v>
      </c>
      <c r="O101" s="26">
        <f t="shared" si="8"/>
        <v>1102.2222222222222</v>
      </c>
      <c r="P101" s="26"/>
      <c r="Q101" s="26"/>
      <c r="R101" s="26">
        <v>3946.6666666666665</v>
      </c>
      <c r="S101" s="26">
        <v>1066.6666666666667</v>
      </c>
      <c r="T101" s="26"/>
      <c r="U101" s="26"/>
      <c r="V101" s="26">
        <f t="shared" si="9"/>
        <v>5013.333333333333</v>
      </c>
      <c r="W101" s="26">
        <v>1066.6666666666667</v>
      </c>
      <c r="X101" s="26"/>
      <c r="Y101" s="26"/>
      <c r="Z101" s="26">
        <f t="shared" si="10"/>
        <v>6080</v>
      </c>
      <c r="AA101" s="26">
        <v>1066.6666666666667</v>
      </c>
      <c r="AB101" s="26"/>
      <c r="AC101" s="26"/>
      <c r="AD101" s="26">
        <f t="shared" si="11"/>
        <v>7146.666666666667</v>
      </c>
      <c r="AE101" s="25"/>
    </row>
    <row r="102" spans="1:31" x14ac:dyDescent="0.3">
      <c r="A102" s="90">
        <v>5057</v>
      </c>
      <c r="B102" s="90" t="s">
        <v>74</v>
      </c>
      <c r="C102" s="90" t="s">
        <v>356</v>
      </c>
      <c r="D102" s="90" t="s">
        <v>355</v>
      </c>
      <c r="E102" s="91">
        <v>134000</v>
      </c>
      <c r="F102" s="31">
        <v>43763</v>
      </c>
      <c r="G102" s="31">
        <v>44129</v>
      </c>
      <c r="H102" s="26"/>
      <c r="I102" s="26">
        <v>3.4</v>
      </c>
      <c r="J102" s="26">
        <v>455.59999999999997</v>
      </c>
      <c r="K102" s="26">
        <f t="shared" si="6"/>
        <v>392.32222222222219</v>
      </c>
      <c r="L102" s="26"/>
      <c r="M102" s="26"/>
      <c r="N102" s="26">
        <f t="shared" si="7"/>
        <v>847.92222222222222</v>
      </c>
      <c r="O102" s="26">
        <f t="shared" si="8"/>
        <v>392.32222222222219</v>
      </c>
      <c r="P102" s="26"/>
      <c r="Q102" s="26"/>
      <c r="R102" s="26">
        <v>1240.2444444444445</v>
      </c>
      <c r="S102" s="26">
        <v>379.66666666666663</v>
      </c>
      <c r="T102" s="26"/>
      <c r="U102" s="26"/>
      <c r="V102" s="26">
        <f t="shared" si="9"/>
        <v>1619.911111111111</v>
      </c>
      <c r="W102" s="26">
        <v>379.66666666666663</v>
      </c>
      <c r="X102" s="26"/>
      <c r="Y102" s="26"/>
      <c r="Z102" s="26">
        <f t="shared" si="10"/>
        <v>1999.5777777777776</v>
      </c>
      <c r="AA102" s="26">
        <v>379.66666666666663</v>
      </c>
      <c r="AB102" s="26"/>
      <c r="AC102" s="26"/>
      <c r="AD102" s="26">
        <f t="shared" si="11"/>
        <v>2379.2444444444441</v>
      </c>
      <c r="AE102" s="25"/>
    </row>
    <row r="103" spans="1:31" x14ac:dyDescent="0.3">
      <c r="A103" s="90">
        <v>5057</v>
      </c>
      <c r="B103" s="90" t="s">
        <v>74</v>
      </c>
      <c r="C103" s="90" t="s">
        <v>354</v>
      </c>
      <c r="D103" s="90" t="s">
        <v>353</v>
      </c>
      <c r="E103" s="91">
        <v>118000</v>
      </c>
      <c r="F103" s="31">
        <v>43768</v>
      </c>
      <c r="G103" s="31">
        <v>44134</v>
      </c>
      <c r="H103" s="26"/>
      <c r="I103" s="26">
        <v>3.4</v>
      </c>
      <c r="J103" s="26">
        <v>345.47777777777782</v>
      </c>
      <c r="K103" s="26">
        <f t="shared" si="6"/>
        <v>345.47777777777782</v>
      </c>
      <c r="L103" s="26"/>
      <c r="M103" s="26"/>
      <c r="N103" s="26">
        <f t="shared" si="7"/>
        <v>690.95555555555563</v>
      </c>
      <c r="O103" s="26">
        <f t="shared" si="8"/>
        <v>345.47777777777782</v>
      </c>
      <c r="P103" s="26"/>
      <c r="Q103" s="26"/>
      <c r="R103" s="26">
        <v>1036.4333333333334</v>
      </c>
      <c r="S103" s="26">
        <v>334.33333333333337</v>
      </c>
      <c r="T103" s="26"/>
      <c r="U103" s="26"/>
      <c r="V103" s="26">
        <f t="shared" si="9"/>
        <v>1370.7666666666669</v>
      </c>
      <c r="W103" s="26">
        <v>334.33333333333337</v>
      </c>
      <c r="X103" s="26"/>
      <c r="Y103" s="26"/>
      <c r="Z103" s="26">
        <f t="shared" si="10"/>
        <v>1705.1000000000004</v>
      </c>
      <c r="AA103" s="26">
        <v>334.33333333333337</v>
      </c>
      <c r="AB103" s="26"/>
      <c r="AC103" s="26"/>
      <c r="AD103" s="26">
        <f t="shared" si="11"/>
        <v>2039.4333333333338</v>
      </c>
      <c r="AE103" s="25"/>
    </row>
    <row r="104" spans="1:31" x14ac:dyDescent="0.3">
      <c r="A104" s="90">
        <v>5063</v>
      </c>
      <c r="B104" s="90" t="s">
        <v>77</v>
      </c>
      <c r="C104" s="90" t="s">
        <v>352</v>
      </c>
      <c r="D104" s="90" t="s">
        <v>351</v>
      </c>
      <c r="E104" s="91">
        <v>120000</v>
      </c>
      <c r="F104" s="31">
        <v>43768</v>
      </c>
      <c r="G104" s="31">
        <v>44134</v>
      </c>
      <c r="H104" s="26"/>
      <c r="I104" s="26">
        <v>5.4</v>
      </c>
      <c r="J104" s="26">
        <v>558.00000000000011</v>
      </c>
      <c r="K104" s="26">
        <f t="shared" si="6"/>
        <v>558.00000000000011</v>
      </c>
      <c r="L104" s="26"/>
      <c r="M104" s="26"/>
      <c r="N104" s="26">
        <f t="shared" si="7"/>
        <v>1116.0000000000002</v>
      </c>
      <c r="O104" s="26">
        <f t="shared" si="8"/>
        <v>558.00000000000011</v>
      </c>
      <c r="P104" s="26"/>
      <c r="Q104" s="26"/>
      <c r="R104" s="26">
        <v>1674.0000000000005</v>
      </c>
      <c r="S104" s="26">
        <v>540.00000000000011</v>
      </c>
      <c r="T104" s="26"/>
      <c r="U104" s="26"/>
      <c r="V104" s="26">
        <f t="shared" si="9"/>
        <v>2214.0000000000005</v>
      </c>
      <c r="W104" s="26">
        <v>540.00000000000011</v>
      </c>
      <c r="X104" s="26"/>
      <c r="Y104" s="26"/>
      <c r="Z104" s="26">
        <f t="shared" si="10"/>
        <v>2754.0000000000005</v>
      </c>
      <c r="AA104" s="26">
        <v>540.00000000000011</v>
      </c>
      <c r="AB104" s="26"/>
      <c r="AC104" s="26"/>
      <c r="AD104" s="26">
        <f t="shared" si="11"/>
        <v>3294.0000000000005</v>
      </c>
      <c r="AE104" s="25"/>
    </row>
    <row r="105" spans="1:31" x14ac:dyDescent="0.3">
      <c r="A105" s="90">
        <v>5005</v>
      </c>
      <c r="B105" s="90" t="s">
        <v>10</v>
      </c>
      <c r="C105" s="90" t="s">
        <v>350</v>
      </c>
      <c r="D105" s="90" t="s">
        <v>349</v>
      </c>
      <c r="E105" s="91">
        <v>1030000</v>
      </c>
      <c r="F105" s="31">
        <v>43775</v>
      </c>
      <c r="G105" s="31">
        <v>44099</v>
      </c>
      <c r="H105" s="26"/>
      <c r="I105" s="26">
        <v>0.4</v>
      </c>
      <c r="J105" s="26">
        <v>755.33333333333337</v>
      </c>
      <c r="K105" s="26">
        <f t="shared" si="6"/>
        <v>354.77777777777777</v>
      </c>
      <c r="L105" s="26"/>
      <c r="M105" s="26"/>
      <c r="N105" s="26">
        <f t="shared" si="7"/>
        <v>1110.1111111111111</v>
      </c>
      <c r="O105" s="26">
        <f t="shared" si="8"/>
        <v>354.77777777777777</v>
      </c>
      <c r="P105" s="26"/>
      <c r="Q105" s="26"/>
      <c r="R105" s="26">
        <v>1464.8888888888889</v>
      </c>
      <c r="S105" s="26">
        <v>343.33333333333331</v>
      </c>
      <c r="T105" s="26"/>
      <c r="U105" s="26"/>
      <c r="V105" s="26">
        <f t="shared" si="9"/>
        <v>1808.2222222222222</v>
      </c>
      <c r="W105" s="26">
        <v>343.33333333333331</v>
      </c>
      <c r="X105" s="26"/>
      <c r="Y105" s="26"/>
      <c r="Z105" s="26">
        <f t="shared" si="10"/>
        <v>2151.5555555555557</v>
      </c>
      <c r="AA105" s="26">
        <v>343.33333333333331</v>
      </c>
      <c r="AB105" s="26"/>
      <c r="AC105" s="26"/>
      <c r="AD105" s="26">
        <f t="shared" si="11"/>
        <v>2494.8888888888891</v>
      </c>
      <c r="AE105" s="25"/>
    </row>
    <row r="106" spans="1:31" x14ac:dyDescent="0.3">
      <c r="A106" s="90">
        <v>5004</v>
      </c>
      <c r="B106" s="90" t="s">
        <v>336</v>
      </c>
      <c r="C106" s="90" t="s">
        <v>348</v>
      </c>
      <c r="D106" s="90" t="s">
        <v>347</v>
      </c>
      <c r="E106" s="91">
        <v>38000</v>
      </c>
      <c r="F106" s="31">
        <v>43774</v>
      </c>
      <c r="G106" s="31">
        <v>44140</v>
      </c>
      <c r="H106" s="26"/>
      <c r="I106" s="26">
        <v>5.9</v>
      </c>
      <c r="J106" s="26">
        <v>155.69444444444446</v>
      </c>
      <c r="K106" s="26">
        <f t="shared" si="6"/>
        <v>193.0611111111111</v>
      </c>
      <c r="L106" s="26"/>
      <c r="M106" s="26"/>
      <c r="N106" s="26">
        <f t="shared" si="7"/>
        <v>348.75555555555559</v>
      </c>
      <c r="O106" s="26">
        <f t="shared" si="8"/>
        <v>193.0611111111111</v>
      </c>
      <c r="P106" s="26"/>
      <c r="Q106" s="26"/>
      <c r="R106" s="26">
        <v>541.81666666666672</v>
      </c>
      <c r="S106" s="26">
        <v>186.83333333333334</v>
      </c>
      <c r="T106" s="26"/>
      <c r="U106" s="26"/>
      <c r="V106" s="26">
        <f t="shared" si="9"/>
        <v>728.65000000000009</v>
      </c>
      <c r="W106" s="26">
        <v>186.83333333333334</v>
      </c>
      <c r="X106" s="26"/>
      <c r="Y106" s="26"/>
      <c r="Z106" s="26">
        <f t="shared" si="10"/>
        <v>915.48333333333346</v>
      </c>
      <c r="AA106" s="26">
        <v>186.83333333333334</v>
      </c>
      <c r="AB106" s="26"/>
      <c r="AC106" s="26"/>
      <c r="AD106" s="26">
        <f t="shared" si="11"/>
        <v>1102.3166666666668</v>
      </c>
      <c r="AE106" s="25"/>
    </row>
    <row r="107" spans="1:31" x14ac:dyDescent="0.3">
      <c r="A107" s="90">
        <v>5063</v>
      </c>
      <c r="B107" s="90" t="s">
        <v>77</v>
      </c>
      <c r="C107" s="90" t="s">
        <v>346</v>
      </c>
      <c r="D107" s="90" t="s">
        <v>345</v>
      </c>
      <c r="E107" s="91">
        <v>80000</v>
      </c>
      <c r="F107" s="31">
        <v>43772</v>
      </c>
      <c r="G107" s="31">
        <v>44138</v>
      </c>
      <c r="H107" s="26"/>
      <c r="I107" s="26">
        <v>5.4</v>
      </c>
      <c r="J107" s="26">
        <v>324.00000000000006</v>
      </c>
      <c r="K107" s="26">
        <f t="shared" si="6"/>
        <v>372.00000000000006</v>
      </c>
      <c r="L107" s="26"/>
      <c r="M107" s="26"/>
      <c r="N107" s="26">
        <f t="shared" si="7"/>
        <v>696.00000000000011</v>
      </c>
      <c r="O107" s="26">
        <f t="shared" si="8"/>
        <v>372.00000000000006</v>
      </c>
      <c r="P107" s="26"/>
      <c r="Q107" s="26"/>
      <c r="R107" s="26">
        <v>1068.0000000000002</v>
      </c>
      <c r="S107" s="26">
        <v>360.00000000000006</v>
      </c>
      <c r="T107" s="26"/>
      <c r="U107" s="26"/>
      <c r="V107" s="26">
        <f t="shared" si="9"/>
        <v>1428.0000000000002</v>
      </c>
      <c r="W107" s="26">
        <v>360.00000000000006</v>
      </c>
      <c r="X107" s="26"/>
      <c r="Y107" s="26"/>
      <c r="Z107" s="26">
        <f t="shared" si="10"/>
        <v>1788.0000000000002</v>
      </c>
      <c r="AA107" s="26">
        <v>360.00000000000006</v>
      </c>
      <c r="AB107" s="26"/>
      <c r="AC107" s="26"/>
      <c r="AD107" s="26">
        <f t="shared" si="11"/>
        <v>2148.0000000000005</v>
      </c>
      <c r="AE107" s="25"/>
    </row>
    <row r="108" spans="1:31" x14ac:dyDescent="0.3">
      <c r="A108" s="90">
        <v>5060</v>
      </c>
      <c r="B108" s="90" t="s">
        <v>19</v>
      </c>
      <c r="C108" s="90" t="s">
        <v>344</v>
      </c>
      <c r="D108" s="90" t="s">
        <v>343</v>
      </c>
      <c r="E108" s="91">
        <v>78000</v>
      </c>
      <c r="F108" s="31">
        <v>43771</v>
      </c>
      <c r="G108" s="31">
        <v>44137</v>
      </c>
      <c r="H108" s="26"/>
      <c r="I108" s="26">
        <v>1.9</v>
      </c>
      <c r="J108" s="26">
        <v>115.26666666666665</v>
      </c>
      <c r="K108" s="26">
        <f t="shared" si="6"/>
        <v>127.61666666666666</v>
      </c>
      <c r="L108" s="26"/>
      <c r="M108" s="26"/>
      <c r="N108" s="26">
        <f t="shared" si="7"/>
        <v>242.88333333333333</v>
      </c>
      <c r="O108" s="26">
        <f t="shared" si="8"/>
        <v>127.61666666666666</v>
      </c>
      <c r="P108" s="26"/>
      <c r="Q108" s="26"/>
      <c r="R108" s="26">
        <v>370.5</v>
      </c>
      <c r="S108" s="26">
        <v>123.49999999999999</v>
      </c>
      <c r="T108" s="26"/>
      <c r="U108" s="26"/>
      <c r="V108" s="26">
        <f t="shared" si="9"/>
        <v>494</v>
      </c>
      <c r="W108" s="26">
        <v>123.49999999999999</v>
      </c>
      <c r="X108" s="26"/>
      <c r="Y108" s="26"/>
      <c r="Z108" s="26">
        <f t="shared" si="10"/>
        <v>617.5</v>
      </c>
      <c r="AA108" s="26">
        <v>123.49999999999999</v>
      </c>
      <c r="AB108" s="26"/>
      <c r="AC108" s="26"/>
      <c r="AD108" s="26">
        <f t="shared" si="11"/>
        <v>741</v>
      </c>
      <c r="AE108" s="25"/>
    </row>
    <row r="109" spans="1:31" x14ac:dyDescent="0.3">
      <c r="A109" s="90">
        <v>5063</v>
      </c>
      <c r="B109" s="90" t="s">
        <v>25</v>
      </c>
      <c r="C109" s="90" t="s">
        <v>342</v>
      </c>
      <c r="D109" s="90" t="s">
        <v>341</v>
      </c>
      <c r="E109" s="91">
        <v>138000</v>
      </c>
      <c r="F109" s="31">
        <v>43770</v>
      </c>
      <c r="G109" s="31">
        <v>44136</v>
      </c>
      <c r="H109" s="26"/>
      <c r="I109" s="26">
        <v>4.4000000000000004</v>
      </c>
      <c r="J109" s="26">
        <v>489.13333333333344</v>
      </c>
      <c r="K109" s="26">
        <f t="shared" si="6"/>
        <v>522.86666666666679</v>
      </c>
      <c r="L109" s="26"/>
      <c r="M109" s="26"/>
      <c r="N109" s="26">
        <f t="shared" si="7"/>
        <v>1012.0000000000002</v>
      </c>
      <c r="O109" s="26">
        <f t="shared" si="8"/>
        <v>522.86666666666679</v>
      </c>
      <c r="P109" s="26"/>
      <c r="Q109" s="26"/>
      <c r="R109" s="26">
        <v>1534.866666666667</v>
      </c>
      <c r="S109" s="26">
        <v>506.00000000000011</v>
      </c>
      <c r="T109" s="26"/>
      <c r="U109" s="26"/>
      <c r="V109" s="26">
        <f t="shared" si="9"/>
        <v>2040.8666666666672</v>
      </c>
      <c r="W109" s="26">
        <v>506.00000000000011</v>
      </c>
      <c r="X109" s="26"/>
      <c r="Y109" s="26"/>
      <c r="Z109" s="26">
        <f t="shared" si="10"/>
        <v>2546.8666666666672</v>
      </c>
      <c r="AA109" s="26">
        <v>506.00000000000011</v>
      </c>
      <c r="AB109" s="26"/>
      <c r="AC109" s="26"/>
      <c r="AD109" s="26">
        <f t="shared" si="11"/>
        <v>3052.8666666666672</v>
      </c>
      <c r="AE109" s="25"/>
    </row>
    <row r="110" spans="1:31" x14ac:dyDescent="0.3">
      <c r="A110" s="90">
        <v>5063</v>
      </c>
      <c r="B110" s="90" t="s">
        <v>712</v>
      </c>
      <c r="C110" s="90" t="s">
        <v>713</v>
      </c>
      <c r="D110" s="90" t="s">
        <v>714</v>
      </c>
      <c r="F110" s="31">
        <v>43783</v>
      </c>
      <c r="G110" s="31">
        <v>44149</v>
      </c>
      <c r="H110" s="26"/>
      <c r="I110" s="26">
        <v>4.0999999999999996</v>
      </c>
      <c r="J110" s="26">
        <v>455.55555555555549</v>
      </c>
      <c r="K110" s="26">
        <f>(+$AE110*$I110%)/360*31</f>
        <v>0</v>
      </c>
      <c r="L110" s="26"/>
      <c r="M110" s="26"/>
      <c r="N110" s="26">
        <f t="shared" si="7"/>
        <v>455.55555555555549</v>
      </c>
      <c r="O110" s="26">
        <f>(+$AE110*$I110%)/360*31</f>
        <v>0</v>
      </c>
      <c r="P110" s="26">
        <v>-1741.1</v>
      </c>
      <c r="Q110" s="26">
        <v>-479.73</v>
      </c>
      <c r="R110" s="26">
        <v>3.333333333102928E-3</v>
      </c>
      <c r="S110" s="26">
        <v>854.16666666666652</v>
      </c>
      <c r="T110" s="26"/>
      <c r="U110" s="26">
        <v>-479.73</v>
      </c>
      <c r="V110" s="26">
        <f t="shared" si="9"/>
        <v>374.4399999999996</v>
      </c>
      <c r="W110" s="26"/>
      <c r="X110" s="26"/>
      <c r="Y110" s="26">
        <v>-374.44</v>
      </c>
      <c r="Z110" s="26">
        <f t="shared" si="10"/>
        <v>0</v>
      </c>
      <c r="AA110" s="26">
        <v>0</v>
      </c>
      <c r="AB110" s="26"/>
      <c r="AC110" s="26"/>
      <c r="AD110" s="26">
        <f t="shared" si="11"/>
        <v>0</v>
      </c>
      <c r="AE110" s="91"/>
    </row>
    <row r="111" spans="1:31" x14ac:dyDescent="0.3">
      <c r="A111" s="90">
        <v>5060</v>
      </c>
      <c r="B111" s="90" t="s">
        <v>40</v>
      </c>
      <c r="C111" s="90" t="s">
        <v>340</v>
      </c>
      <c r="D111" s="90" t="s">
        <v>339</v>
      </c>
      <c r="E111" s="91">
        <v>727000</v>
      </c>
      <c r="F111" s="31">
        <v>43784</v>
      </c>
      <c r="G111" s="31">
        <v>44150</v>
      </c>
      <c r="H111" s="26"/>
      <c r="I111" s="26">
        <v>6.4</v>
      </c>
      <c r="J111" s="26">
        <v>1938.6666666666665</v>
      </c>
      <c r="K111" s="26">
        <f t="shared" si="6"/>
        <v>4006.5777777777776</v>
      </c>
      <c r="L111" s="26"/>
      <c r="M111" s="26"/>
      <c r="N111" s="26">
        <f t="shared" si="7"/>
        <v>5945.2444444444445</v>
      </c>
      <c r="O111" s="26">
        <f t="shared" si="8"/>
        <v>4006.5777777777776</v>
      </c>
      <c r="P111" s="26"/>
      <c r="Q111" s="26"/>
      <c r="R111" s="26">
        <v>9951.8222222222212</v>
      </c>
      <c r="S111" s="26">
        <v>3877.333333333333</v>
      </c>
      <c r="T111" s="26"/>
      <c r="U111" s="26"/>
      <c r="V111" s="26">
        <f t="shared" si="9"/>
        <v>13829.155555555553</v>
      </c>
      <c r="W111" s="26">
        <v>3877.333333333333</v>
      </c>
      <c r="X111" s="26"/>
      <c r="Y111" s="26"/>
      <c r="Z111" s="26">
        <f t="shared" si="10"/>
        <v>17706.488888888885</v>
      </c>
      <c r="AA111" s="26">
        <v>3877.333333333333</v>
      </c>
      <c r="AB111" s="26"/>
      <c r="AC111" s="26"/>
      <c r="AD111" s="26">
        <f t="shared" si="11"/>
        <v>21583.822222222218</v>
      </c>
      <c r="AE111" s="25"/>
    </row>
    <row r="112" spans="1:31" x14ac:dyDescent="0.3">
      <c r="A112" s="90">
        <v>5063</v>
      </c>
      <c r="B112" s="90" t="s">
        <v>715</v>
      </c>
      <c r="C112" s="90" t="s">
        <v>716</v>
      </c>
      <c r="D112" s="90" t="s">
        <v>717</v>
      </c>
      <c r="F112" s="31">
        <v>43789</v>
      </c>
      <c r="G112" s="31">
        <v>44155</v>
      </c>
      <c r="H112" s="26"/>
      <c r="I112" s="26">
        <v>4.0999999999999996</v>
      </c>
      <c r="J112" s="26">
        <v>5694.4444444444434</v>
      </c>
      <c r="K112" s="26">
        <f>(+$AE112*$I112%)/360*31</f>
        <v>0</v>
      </c>
      <c r="L112" s="26"/>
      <c r="M112" s="26"/>
      <c r="N112" s="26">
        <f t="shared" si="7"/>
        <v>5694.4444444444434</v>
      </c>
      <c r="O112" s="26">
        <f>(+$AE112*$I112%)/360*31</f>
        <v>0</v>
      </c>
      <c r="P112" s="26">
        <v>-31452.052</v>
      </c>
      <c r="Q112" s="26">
        <v>-9547.9500000000007</v>
      </c>
      <c r="R112" s="26">
        <v>-2.0000000076834112E-3</v>
      </c>
      <c r="S112" s="26">
        <v>17083.333333333328</v>
      </c>
      <c r="T112" s="26"/>
      <c r="U112" s="26">
        <v>-9547.9500000000007</v>
      </c>
      <c r="V112" s="26">
        <f t="shared" si="9"/>
        <v>7535.3813333333201</v>
      </c>
      <c r="W112" s="26"/>
      <c r="X112" s="26"/>
      <c r="Y112" s="26">
        <v>-7535.38</v>
      </c>
      <c r="Z112" s="26">
        <f t="shared" si="10"/>
        <v>1.3333333199625486E-3</v>
      </c>
      <c r="AA112" s="26">
        <v>0</v>
      </c>
      <c r="AB112" s="26"/>
      <c r="AC112" s="26"/>
      <c r="AD112" s="26">
        <f t="shared" si="11"/>
        <v>1.3333333199625486E-3</v>
      </c>
      <c r="AE112" s="91"/>
    </row>
    <row r="113" spans="1:31" x14ac:dyDescent="0.3">
      <c r="A113" s="90">
        <v>5063</v>
      </c>
      <c r="B113" s="90" t="s">
        <v>718</v>
      </c>
      <c r="C113" s="90" t="s">
        <v>719</v>
      </c>
      <c r="D113" s="90" t="s">
        <v>720</v>
      </c>
      <c r="F113" s="31">
        <v>43789</v>
      </c>
      <c r="G113" s="31">
        <v>44155</v>
      </c>
      <c r="H113" s="26"/>
      <c r="I113" s="26">
        <v>4.0999999999999996</v>
      </c>
      <c r="J113" s="26">
        <v>5694.4444444444434</v>
      </c>
      <c r="K113" s="26">
        <f>(+$AE113*$I113%)/360*31</f>
        <v>0</v>
      </c>
      <c r="L113" s="26"/>
      <c r="M113" s="26"/>
      <c r="N113" s="26">
        <f t="shared" si="7"/>
        <v>5694.4444444444434</v>
      </c>
      <c r="O113" s="26">
        <f>(+$AE113*$I113%)/360*31</f>
        <v>0</v>
      </c>
      <c r="P113" s="26">
        <v>-31452.05</v>
      </c>
      <c r="Q113" s="26">
        <v>-9547.9500000000007</v>
      </c>
      <c r="R113" s="26">
        <v>0</v>
      </c>
      <c r="S113" s="26">
        <v>17083.333333333328</v>
      </c>
      <c r="T113" s="26"/>
      <c r="U113" s="26">
        <v>-9547.9500000000007</v>
      </c>
      <c r="V113" s="26">
        <f t="shared" si="9"/>
        <v>7535.3833333333278</v>
      </c>
      <c r="W113" s="26"/>
      <c r="X113" s="26"/>
      <c r="Y113" s="26">
        <v>-7535.38</v>
      </c>
      <c r="Z113" s="26">
        <f t="shared" si="10"/>
        <v>3.3333333276459598E-3</v>
      </c>
      <c r="AA113" s="26">
        <v>0</v>
      </c>
      <c r="AB113" s="26"/>
      <c r="AC113" s="26"/>
      <c r="AD113" s="26">
        <f t="shared" si="11"/>
        <v>3.3333333276459598E-3</v>
      </c>
      <c r="AE113" s="91"/>
    </row>
    <row r="114" spans="1:31" x14ac:dyDescent="0.3">
      <c r="A114" s="90">
        <v>5004</v>
      </c>
      <c r="B114" s="90" t="s">
        <v>336</v>
      </c>
      <c r="C114" s="90" t="s">
        <v>338</v>
      </c>
      <c r="D114" s="90" t="s">
        <v>337</v>
      </c>
      <c r="E114" s="91">
        <v>100000</v>
      </c>
      <c r="F114" s="31">
        <v>43792</v>
      </c>
      <c r="G114" s="31">
        <v>44158</v>
      </c>
      <c r="H114" s="26"/>
      <c r="I114" s="26">
        <v>5.9</v>
      </c>
      <c r="J114" s="26">
        <v>278.61111111111114</v>
      </c>
      <c r="K114" s="26">
        <f t="shared" si="6"/>
        <v>508.05555555555554</v>
      </c>
      <c r="L114" s="26"/>
      <c r="M114" s="26"/>
      <c r="N114" s="26">
        <f t="shared" si="7"/>
        <v>786.66666666666674</v>
      </c>
      <c r="O114" s="26">
        <f t="shared" si="8"/>
        <v>508.05555555555554</v>
      </c>
      <c r="P114" s="26"/>
      <c r="Q114" s="26"/>
      <c r="R114" s="26">
        <v>1294.7222222222222</v>
      </c>
      <c r="S114" s="26">
        <v>491.66666666666669</v>
      </c>
      <c r="T114" s="26"/>
      <c r="U114" s="26"/>
      <c r="V114" s="26">
        <f t="shared" si="9"/>
        <v>1786.3888888888889</v>
      </c>
      <c r="W114" s="26">
        <v>491.66666666666669</v>
      </c>
      <c r="X114" s="26"/>
      <c r="Y114" s="26"/>
      <c r="Z114" s="26">
        <f t="shared" si="10"/>
        <v>2278.0555555555557</v>
      </c>
      <c r="AA114" s="26">
        <v>491.66666666666669</v>
      </c>
      <c r="AB114" s="26"/>
      <c r="AC114" s="26"/>
      <c r="AD114" s="26">
        <f t="shared" si="11"/>
        <v>2769.7222222222222</v>
      </c>
      <c r="AE114" s="25"/>
    </row>
    <row r="115" spans="1:31" x14ac:dyDescent="0.3">
      <c r="A115" s="90">
        <v>5004</v>
      </c>
      <c r="B115" s="90" t="s">
        <v>336</v>
      </c>
      <c r="C115" s="90" t="s">
        <v>335</v>
      </c>
      <c r="D115" s="90" t="s">
        <v>334</v>
      </c>
      <c r="E115" s="91">
        <v>94477.4</v>
      </c>
      <c r="F115" s="31">
        <v>43792</v>
      </c>
      <c r="G115" s="31">
        <v>44158</v>
      </c>
      <c r="H115" s="26"/>
      <c r="I115" s="26">
        <v>5.9</v>
      </c>
      <c r="J115" s="26">
        <v>263.22453388888891</v>
      </c>
      <c r="K115" s="26">
        <f t="shared" si="6"/>
        <v>479.99767944444449</v>
      </c>
      <c r="L115" s="26"/>
      <c r="M115" s="26"/>
      <c r="N115" s="26">
        <f t="shared" si="7"/>
        <v>743.22221333333346</v>
      </c>
      <c r="O115" s="26">
        <f t="shared" si="8"/>
        <v>479.99767944444449</v>
      </c>
      <c r="P115" s="26"/>
      <c r="Q115" s="26"/>
      <c r="R115" s="26">
        <v>1223.2198927777779</v>
      </c>
      <c r="S115" s="26">
        <v>464.51388333333341</v>
      </c>
      <c r="T115" s="26"/>
      <c r="U115" s="26"/>
      <c r="V115" s="26">
        <f t="shared" si="9"/>
        <v>1687.7337761111112</v>
      </c>
      <c r="W115" s="26">
        <v>464.51388333333341</v>
      </c>
      <c r="X115" s="26"/>
      <c r="Y115" s="26"/>
      <c r="Z115" s="26">
        <f t="shared" si="10"/>
        <v>2152.2476594444447</v>
      </c>
      <c r="AA115" s="26">
        <v>464.51388333333341</v>
      </c>
      <c r="AB115" s="26"/>
      <c r="AC115" s="26"/>
      <c r="AD115" s="26">
        <f t="shared" si="11"/>
        <v>2616.7615427777782</v>
      </c>
      <c r="AE115" s="25"/>
    </row>
    <row r="116" spans="1:31" x14ac:dyDescent="0.3">
      <c r="A116" s="90">
        <v>5004</v>
      </c>
      <c r="B116" s="90" t="s">
        <v>117</v>
      </c>
      <c r="C116" s="90" t="s">
        <v>333</v>
      </c>
      <c r="D116" s="90" t="s">
        <v>332</v>
      </c>
      <c r="E116" s="91">
        <v>100000</v>
      </c>
      <c r="F116" s="31">
        <v>43792</v>
      </c>
      <c r="G116" s="31">
        <v>44158</v>
      </c>
      <c r="H116" s="26"/>
      <c r="I116" s="26">
        <v>5.85</v>
      </c>
      <c r="J116" s="26">
        <v>276.25</v>
      </c>
      <c r="K116" s="26">
        <f t="shared" si="6"/>
        <v>503.75</v>
      </c>
      <c r="L116" s="26"/>
      <c r="M116" s="26"/>
      <c r="N116" s="26">
        <f t="shared" si="7"/>
        <v>780</v>
      </c>
      <c r="O116" s="26">
        <f t="shared" si="8"/>
        <v>503.75</v>
      </c>
      <c r="P116" s="26"/>
      <c r="Q116" s="26"/>
      <c r="R116" s="26">
        <v>1283.75</v>
      </c>
      <c r="S116" s="26">
        <v>487.5</v>
      </c>
      <c r="T116" s="26"/>
      <c r="U116" s="26"/>
      <c r="V116" s="26">
        <f t="shared" si="9"/>
        <v>1771.25</v>
      </c>
      <c r="W116" s="26">
        <v>487.5</v>
      </c>
      <c r="X116" s="26"/>
      <c r="Y116" s="26"/>
      <c r="Z116" s="26">
        <f t="shared" si="10"/>
        <v>2258.75</v>
      </c>
      <c r="AA116" s="26">
        <v>487.5</v>
      </c>
      <c r="AB116" s="26"/>
      <c r="AC116" s="26"/>
      <c r="AD116" s="26">
        <f t="shared" si="11"/>
        <v>2746.25</v>
      </c>
      <c r="AE116" s="25"/>
    </row>
    <row r="117" spans="1:31" x14ac:dyDescent="0.3">
      <c r="A117" s="90">
        <v>5004</v>
      </c>
      <c r="B117" s="90" t="s">
        <v>117</v>
      </c>
      <c r="C117" s="90" t="s">
        <v>331</v>
      </c>
      <c r="D117" s="90" t="s">
        <v>330</v>
      </c>
      <c r="E117" s="91">
        <v>150000</v>
      </c>
      <c r="F117" s="31">
        <v>43793</v>
      </c>
      <c r="G117" s="31">
        <v>44159</v>
      </c>
      <c r="H117" s="26"/>
      <c r="I117" s="26">
        <v>5.85</v>
      </c>
      <c r="J117" s="26">
        <v>390</v>
      </c>
      <c r="K117" s="26">
        <f t="shared" si="6"/>
        <v>755.625</v>
      </c>
      <c r="L117" s="26"/>
      <c r="M117" s="26"/>
      <c r="N117" s="26">
        <f t="shared" si="7"/>
        <v>1145.625</v>
      </c>
      <c r="O117" s="26">
        <f t="shared" si="8"/>
        <v>755.625</v>
      </c>
      <c r="P117" s="26"/>
      <c r="Q117" s="26"/>
      <c r="R117" s="26">
        <v>1901.25</v>
      </c>
      <c r="S117" s="26">
        <v>731.25</v>
      </c>
      <c r="T117" s="26"/>
      <c r="U117" s="26"/>
      <c r="V117" s="26">
        <f t="shared" si="9"/>
        <v>2632.5</v>
      </c>
      <c r="W117" s="26">
        <v>731.25</v>
      </c>
      <c r="X117" s="26"/>
      <c r="Y117" s="26"/>
      <c r="Z117" s="26">
        <f t="shared" si="10"/>
        <v>3363.75</v>
      </c>
      <c r="AA117" s="26">
        <v>731.25</v>
      </c>
      <c r="AB117" s="26"/>
      <c r="AC117" s="26"/>
      <c r="AD117" s="26">
        <f t="shared" si="11"/>
        <v>4095</v>
      </c>
      <c r="AE117" s="25"/>
    </row>
    <row r="118" spans="1:31" x14ac:dyDescent="0.3">
      <c r="A118" s="25">
        <v>5031</v>
      </c>
      <c r="B118" s="25" t="s">
        <v>329</v>
      </c>
      <c r="C118" s="25" t="s">
        <v>328</v>
      </c>
      <c r="D118" s="25" t="s">
        <v>327</v>
      </c>
      <c r="E118" s="92">
        <v>249387.92</v>
      </c>
      <c r="F118" s="31">
        <v>43801</v>
      </c>
      <c r="G118" s="31">
        <v>44166</v>
      </c>
      <c r="H118" s="26"/>
      <c r="I118" s="26">
        <v>6.4</v>
      </c>
      <c r="J118" s="26"/>
      <c r="K118" s="26">
        <f>(+$E118*$I118%)/360*1</f>
        <v>44.335630222222221</v>
      </c>
      <c r="L118" s="26"/>
      <c r="M118" s="26"/>
      <c r="N118" s="26">
        <f t="shared" si="7"/>
        <v>44.335630222222221</v>
      </c>
      <c r="O118" s="26">
        <f t="shared" si="8"/>
        <v>1374.4045368888887</v>
      </c>
      <c r="P118" s="26"/>
      <c r="Q118" s="26"/>
      <c r="R118" s="26">
        <v>1418.7401671111111</v>
      </c>
      <c r="S118" s="26">
        <v>1330.0689066666666</v>
      </c>
      <c r="T118" s="26"/>
      <c r="U118" s="26"/>
      <c r="V118" s="26">
        <f t="shared" si="9"/>
        <v>2748.8090737777775</v>
      </c>
      <c r="W118" s="26">
        <v>1330.0689066666666</v>
      </c>
      <c r="X118" s="26"/>
      <c r="Y118" s="26"/>
      <c r="Z118" s="26">
        <f t="shared" si="10"/>
        <v>4078.8779804444439</v>
      </c>
      <c r="AA118" s="26">
        <v>1330.0689066666666</v>
      </c>
      <c r="AB118" s="26"/>
      <c r="AC118" s="26"/>
      <c r="AD118" s="26">
        <f t="shared" si="11"/>
        <v>5408.9468871111103</v>
      </c>
      <c r="AE118" s="25"/>
    </row>
    <row r="119" spans="1:31" x14ac:dyDescent="0.3">
      <c r="A119" s="25">
        <v>5063</v>
      </c>
      <c r="B119" s="25" t="s">
        <v>25</v>
      </c>
      <c r="C119" s="25" t="s">
        <v>326</v>
      </c>
      <c r="D119" s="25" t="s">
        <v>325</v>
      </c>
      <c r="E119" s="92">
        <v>138000</v>
      </c>
      <c r="F119" s="31">
        <v>43800</v>
      </c>
      <c r="G119" s="31">
        <v>44166</v>
      </c>
      <c r="H119" s="26"/>
      <c r="I119" s="26">
        <v>4.4000000000000004</v>
      </c>
      <c r="J119" s="26"/>
      <c r="K119" s="26">
        <f>(+$E119*$I119%)/360*1</f>
        <v>16.866666666666671</v>
      </c>
      <c r="L119" s="26"/>
      <c r="M119" s="26"/>
      <c r="N119" s="26">
        <f t="shared" si="7"/>
        <v>16.866666666666671</v>
      </c>
      <c r="O119" s="26">
        <f t="shared" si="8"/>
        <v>522.86666666666679</v>
      </c>
      <c r="P119" s="26"/>
      <c r="Q119" s="26"/>
      <c r="R119" s="26">
        <v>539.73333333333346</v>
      </c>
      <c r="S119" s="26">
        <v>506.00000000000011</v>
      </c>
      <c r="T119" s="26"/>
      <c r="U119" s="26"/>
      <c r="V119" s="26">
        <f t="shared" si="9"/>
        <v>1045.7333333333336</v>
      </c>
      <c r="W119" s="26">
        <v>506.00000000000011</v>
      </c>
      <c r="X119" s="26"/>
      <c r="Y119" s="26"/>
      <c r="Z119" s="26">
        <f t="shared" si="10"/>
        <v>1551.7333333333336</v>
      </c>
      <c r="AA119" s="26">
        <v>506.00000000000011</v>
      </c>
      <c r="AB119" s="26"/>
      <c r="AC119" s="26"/>
      <c r="AD119" s="26">
        <f t="shared" si="11"/>
        <v>2057.7333333333336</v>
      </c>
      <c r="AE119" s="25"/>
    </row>
    <row r="120" spans="1:31" x14ac:dyDescent="0.3">
      <c r="A120" s="25">
        <v>5040</v>
      </c>
      <c r="B120" s="25" t="s">
        <v>508</v>
      </c>
      <c r="C120" s="25" t="s">
        <v>721</v>
      </c>
      <c r="D120" s="25" t="s">
        <v>722</v>
      </c>
      <c r="F120" s="31">
        <v>43800</v>
      </c>
      <c r="G120" s="31">
        <v>43800</v>
      </c>
      <c r="H120" s="26"/>
      <c r="I120" s="26">
        <v>4.9000000000000004</v>
      </c>
      <c r="J120" s="26"/>
      <c r="K120" s="26" t="e">
        <f>(+#REF!*$I120%)/360*1</f>
        <v>#REF!</v>
      </c>
      <c r="L120" s="26"/>
      <c r="M120" s="26"/>
      <c r="N120" s="26" t="e">
        <f t="shared" si="7"/>
        <v>#REF!</v>
      </c>
      <c r="O120" s="26" t="e">
        <f>(+#REF!*$I120%)/360*31</f>
        <v>#REF!</v>
      </c>
      <c r="P120" s="26"/>
      <c r="Q120" s="26"/>
      <c r="R120" s="26">
        <v>1030.5244444444445</v>
      </c>
      <c r="S120" s="26">
        <v>966.11666666666667</v>
      </c>
      <c r="T120" s="26">
        <v>-2731.6</v>
      </c>
      <c r="U120" s="26">
        <v>734.96</v>
      </c>
      <c r="V120" s="26">
        <f t="shared" si="9"/>
        <v>1.1111111111858918E-3</v>
      </c>
      <c r="W120" s="26"/>
      <c r="X120" s="26"/>
      <c r="Y120" s="26">
        <v>0</v>
      </c>
      <c r="Z120" s="26">
        <f t="shared" si="10"/>
        <v>1.1111111111858918E-3</v>
      </c>
      <c r="AA120" s="26">
        <v>0</v>
      </c>
      <c r="AB120" s="26"/>
      <c r="AC120" s="26"/>
      <c r="AD120" s="26">
        <f t="shared" si="11"/>
        <v>1.1111111111858918E-3</v>
      </c>
      <c r="AE120" s="25"/>
    </row>
    <row r="121" spans="1:31" x14ac:dyDescent="0.3">
      <c r="A121" s="25">
        <v>5005</v>
      </c>
      <c r="B121" s="25" t="s">
        <v>10</v>
      </c>
      <c r="C121" s="25" t="s">
        <v>324</v>
      </c>
      <c r="D121" s="25" t="s">
        <v>323</v>
      </c>
      <c r="E121" s="92">
        <v>1400000</v>
      </c>
      <c r="F121" s="31">
        <v>43803</v>
      </c>
      <c r="G121" s="31">
        <v>44169</v>
      </c>
      <c r="H121" s="26"/>
      <c r="I121" s="26">
        <v>0.4</v>
      </c>
      <c r="J121" s="26"/>
      <c r="K121" s="26">
        <f>(+$E121*$I121%)/360*4</f>
        <v>62.222222222222221</v>
      </c>
      <c r="L121" s="26"/>
      <c r="M121" s="26"/>
      <c r="N121" s="26">
        <f t="shared" si="7"/>
        <v>62.222222222222221</v>
      </c>
      <c r="O121" s="26">
        <f t="shared" si="8"/>
        <v>482.22222222222223</v>
      </c>
      <c r="P121" s="26"/>
      <c r="Q121" s="26"/>
      <c r="R121" s="26">
        <v>544.44444444444446</v>
      </c>
      <c r="S121" s="26">
        <v>466.66666666666669</v>
      </c>
      <c r="T121" s="26"/>
      <c r="U121" s="26"/>
      <c r="V121" s="26">
        <f t="shared" si="9"/>
        <v>1011.1111111111111</v>
      </c>
      <c r="W121" s="26">
        <v>466.66666666666669</v>
      </c>
      <c r="X121" s="26"/>
      <c r="Y121" s="26"/>
      <c r="Z121" s="26">
        <f t="shared" si="10"/>
        <v>1477.7777777777778</v>
      </c>
      <c r="AA121" s="26">
        <v>466.66666666666669</v>
      </c>
      <c r="AB121" s="26"/>
      <c r="AC121" s="26"/>
      <c r="AD121" s="26">
        <f t="shared" si="11"/>
        <v>1944.4444444444446</v>
      </c>
      <c r="AE121" s="25"/>
    </row>
    <row r="122" spans="1:31" x14ac:dyDescent="0.3">
      <c r="A122" s="25">
        <v>5056</v>
      </c>
      <c r="B122" s="25" t="s">
        <v>322</v>
      </c>
      <c r="C122" s="25" t="s">
        <v>321</v>
      </c>
      <c r="D122" s="25" t="s">
        <v>320</v>
      </c>
      <c r="E122" s="92">
        <v>33000</v>
      </c>
      <c r="F122" s="31">
        <v>43811</v>
      </c>
      <c r="G122" s="31">
        <v>44177</v>
      </c>
      <c r="H122" s="26"/>
      <c r="I122" s="26">
        <v>6.4</v>
      </c>
      <c r="J122" s="26"/>
      <c r="K122" s="26">
        <f>(+$E122*$I122%)/360*12</f>
        <v>70.399999999999991</v>
      </c>
      <c r="L122" s="26"/>
      <c r="M122" s="26"/>
      <c r="N122" s="26">
        <f t="shared" si="7"/>
        <v>70.399999999999991</v>
      </c>
      <c r="O122" s="26">
        <f t="shared" si="8"/>
        <v>181.86666666666665</v>
      </c>
      <c r="P122" s="26"/>
      <c r="Q122" s="26"/>
      <c r="R122" s="26">
        <v>252.26666666666665</v>
      </c>
      <c r="S122" s="26">
        <v>176</v>
      </c>
      <c r="T122" s="26"/>
      <c r="U122" s="26"/>
      <c r="V122" s="26">
        <f t="shared" si="9"/>
        <v>428.26666666666665</v>
      </c>
      <c r="W122" s="26">
        <v>176</v>
      </c>
      <c r="X122" s="26"/>
      <c r="Y122" s="26"/>
      <c r="Z122" s="26">
        <f t="shared" si="10"/>
        <v>604.26666666666665</v>
      </c>
      <c r="AA122" s="26">
        <v>176</v>
      </c>
      <c r="AB122" s="26"/>
      <c r="AC122" s="26"/>
      <c r="AD122" s="26">
        <f t="shared" si="11"/>
        <v>780.26666666666665</v>
      </c>
      <c r="AE122" s="25"/>
    </row>
    <row r="123" spans="1:31" x14ac:dyDescent="0.3">
      <c r="A123" s="25">
        <v>5005</v>
      </c>
      <c r="B123" s="25" t="s">
        <v>265</v>
      </c>
      <c r="C123" s="25" t="s">
        <v>319</v>
      </c>
      <c r="D123" s="25" t="s">
        <v>318</v>
      </c>
      <c r="E123" s="92">
        <v>30000</v>
      </c>
      <c r="F123" s="31">
        <v>43815</v>
      </c>
      <c r="G123" s="31">
        <v>44181</v>
      </c>
      <c r="H123" s="26"/>
      <c r="I123" s="26">
        <v>6.9</v>
      </c>
      <c r="J123" s="26"/>
      <c r="K123" s="26">
        <f>(+$E123*$I123%)/360*16</f>
        <v>92</v>
      </c>
      <c r="L123" s="26"/>
      <c r="M123" s="26"/>
      <c r="N123" s="26">
        <f t="shared" si="7"/>
        <v>92</v>
      </c>
      <c r="O123" s="26">
        <f t="shared" si="8"/>
        <v>178.25</v>
      </c>
      <c r="P123" s="26"/>
      <c r="Q123" s="26"/>
      <c r="R123" s="26">
        <v>270.25</v>
      </c>
      <c r="S123" s="26">
        <v>172.5</v>
      </c>
      <c r="T123" s="26"/>
      <c r="U123" s="26"/>
      <c r="V123" s="26">
        <f t="shared" si="9"/>
        <v>442.75</v>
      </c>
      <c r="W123" s="26">
        <v>172.5</v>
      </c>
      <c r="X123" s="26"/>
      <c r="Y123" s="26"/>
      <c r="Z123" s="26">
        <f t="shared" si="10"/>
        <v>615.25</v>
      </c>
      <c r="AA123" s="26">
        <v>172.5</v>
      </c>
      <c r="AB123" s="26"/>
      <c r="AC123" s="26"/>
      <c r="AD123" s="26">
        <f t="shared" si="11"/>
        <v>787.75</v>
      </c>
      <c r="AE123" s="25"/>
    </row>
    <row r="124" spans="1:31" x14ac:dyDescent="0.3">
      <c r="A124" s="25">
        <v>5061</v>
      </c>
      <c r="B124" s="25" t="s">
        <v>317</v>
      </c>
      <c r="C124" s="25" t="s">
        <v>316</v>
      </c>
      <c r="D124" s="25" t="s">
        <v>315</v>
      </c>
      <c r="E124" s="92">
        <v>200000</v>
      </c>
      <c r="F124" s="31">
        <v>43816</v>
      </c>
      <c r="G124" s="31">
        <v>44182</v>
      </c>
      <c r="H124" s="26"/>
      <c r="I124" s="26">
        <v>5.65</v>
      </c>
      <c r="J124" s="26"/>
      <c r="K124" s="26">
        <f>(+$E124*$I124%)/360*17</f>
        <v>533.61111111111109</v>
      </c>
      <c r="L124" s="26"/>
      <c r="M124" s="26"/>
      <c r="N124" s="26">
        <f t="shared" si="7"/>
        <v>533.61111111111109</v>
      </c>
      <c r="O124" s="26">
        <f t="shared" si="8"/>
        <v>973.05555555555554</v>
      </c>
      <c r="P124" s="26"/>
      <c r="Q124" s="26"/>
      <c r="R124" s="26">
        <v>1506.6666666666665</v>
      </c>
      <c r="S124" s="26">
        <v>941.66666666666663</v>
      </c>
      <c r="T124" s="26"/>
      <c r="U124" s="26"/>
      <c r="V124" s="26">
        <f t="shared" si="9"/>
        <v>2448.333333333333</v>
      </c>
      <c r="W124" s="26">
        <v>941.66666666666663</v>
      </c>
      <c r="X124" s="26"/>
      <c r="Y124" s="26"/>
      <c r="Z124" s="26">
        <f t="shared" si="10"/>
        <v>3389.9999999999995</v>
      </c>
      <c r="AA124" s="26">
        <v>941.66666666666663</v>
      </c>
      <c r="AB124" s="26"/>
      <c r="AC124" s="26"/>
      <c r="AD124" s="26">
        <f t="shared" si="11"/>
        <v>4331.6666666666661</v>
      </c>
      <c r="AE124" s="25"/>
    </row>
    <row r="125" spans="1:31" x14ac:dyDescent="0.3">
      <c r="A125" s="25">
        <v>5031</v>
      </c>
      <c r="B125" s="25" t="s">
        <v>329</v>
      </c>
      <c r="C125" s="25" t="s">
        <v>723</v>
      </c>
      <c r="D125" s="25" t="s">
        <v>724</v>
      </c>
      <c r="E125" s="92">
        <v>500000</v>
      </c>
      <c r="F125" s="31">
        <v>43819</v>
      </c>
      <c r="G125" s="31">
        <v>44185</v>
      </c>
      <c r="H125" s="26"/>
      <c r="I125" s="26">
        <v>5.4</v>
      </c>
      <c r="J125" s="26"/>
      <c r="K125" s="26">
        <f>(+$E125*$I125%)/360*20</f>
        <v>1500.0000000000002</v>
      </c>
      <c r="L125" s="26"/>
      <c r="M125" s="26"/>
      <c r="N125" s="26">
        <f t="shared" si="7"/>
        <v>1500.0000000000002</v>
      </c>
      <c r="O125" s="26">
        <f t="shared" si="8"/>
        <v>2325.0000000000005</v>
      </c>
      <c r="P125" s="26"/>
      <c r="Q125" s="26"/>
      <c r="R125" s="26">
        <v>3825.0000000000009</v>
      </c>
      <c r="S125" s="26">
        <v>2250.0000000000005</v>
      </c>
      <c r="T125" s="26"/>
      <c r="U125" s="26"/>
      <c r="V125" s="26">
        <f t="shared" si="9"/>
        <v>6075.0000000000018</v>
      </c>
      <c r="W125" s="26">
        <v>2250.0000000000005</v>
      </c>
      <c r="X125" s="26"/>
      <c r="Y125" s="26"/>
      <c r="Z125" s="26">
        <f t="shared" si="10"/>
        <v>8325.0000000000018</v>
      </c>
      <c r="AA125" s="26">
        <v>2250.0000000000005</v>
      </c>
      <c r="AB125" s="26"/>
      <c r="AC125" s="26"/>
      <c r="AD125" s="26">
        <f t="shared" si="11"/>
        <v>10575.000000000002</v>
      </c>
      <c r="AE125" s="25"/>
    </row>
    <row r="126" spans="1:31" x14ac:dyDescent="0.3">
      <c r="A126" s="25">
        <v>5060</v>
      </c>
      <c r="B126" s="25" t="s">
        <v>233</v>
      </c>
      <c r="C126" s="25" t="s">
        <v>314</v>
      </c>
      <c r="D126" s="25" t="s">
        <v>313</v>
      </c>
      <c r="E126" s="92">
        <v>170000</v>
      </c>
      <c r="F126" s="31">
        <v>43822</v>
      </c>
      <c r="G126" s="31">
        <v>44186</v>
      </c>
      <c r="H126" s="26"/>
      <c r="I126" s="26">
        <v>5.65</v>
      </c>
      <c r="J126" s="26"/>
      <c r="K126" s="26">
        <f t="shared" ref="K126:K133" si="12">(+$E126*$I126%)/360*21</f>
        <v>560.29166666666674</v>
      </c>
      <c r="L126" s="26"/>
      <c r="M126" s="26"/>
      <c r="N126" s="26">
        <f t="shared" si="7"/>
        <v>560.29166666666674</v>
      </c>
      <c r="O126" s="26">
        <f t="shared" si="8"/>
        <v>827.09722222222229</v>
      </c>
      <c r="P126" s="26"/>
      <c r="Q126" s="26"/>
      <c r="R126" s="26">
        <v>1387.3888888888891</v>
      </c>
      <c r="S126" s="26">
        <v>800.41666666666674</v>
      </c>
      <c r="T126" s="26"/>
      <c r="U126" s="26"/>
      <c r="V126" s="26">
        <f t="shared" si="9"/>
        <v>2187.8055555555557</v>
      </c>
      <c r="W126" s="26">
        <v>800.41666666666674</v>
      </c>
      <c r="X126" s="26"/>
      <c r="Y126" s="26"/>
      <c r="Z126" s="26">
        <f t="shared" si="10"/>
        <v>2988.2222222222226</v>
      </c>
      <c r="AA126" s="26">
        <v>800.41666666666674</v>
      </c>
      <c r="AB126" s="26"/>
      <c r="AC126" s="26"/>
      <c r="AD126" s="26">
        <f t="shared" si="11"/>
        <v>3788.6388888888896</v>
      </c>
      <c r="AE126" s="25"/>
    </row>
    <row r="127" spans="1:31" x14ac:dyDescent="0.3">
      <c r="A127" s="25">
        <v>5060</v>
      </c>
      <c r="B127" s="25" t="s">
        <v>233</v>
      </c>
      <c r="C127" s="25" t="s">
        <v>312</v>
      </c>
      <c r="D127" s="25" t="s">
        <v>311</v>
      </c>
      <c r="E127" s="92">
        <v>254800</v>
      </c>
      <c r="F127" s="31">
        <v>43822</v>
      </c>
      <c r="G127" s="31">
        <v>44186</v>
      </c>
      <c r="H127" s="26"/>
      <c r="I127" s="26">
        <v>5.65</v>
      </c>
      <c r="J127" s="26"/>
      <c r="K127" s="26">
        <f t="shared" si="12"/>
        <v>839.77833333333331</v>
      </c>
      <c r="L127" s="26"/>
      <c r="M127" s="26"/>
      <c r="N127" s="26">
        <f t="shared" si="7"/>
        <v>839.77833333333331</v>
      </c>
      <c r="O127" s="26">
        <f t="shared" si="8"/>
        <v>1239.6727777777778</v>
      </c>
      <c r="P127" s="26"/>
      <c r="Q127" s="26"/>
      <c r="R127" s="26">
        <v>2079.451111111111</v>
      </c>
      <c r="S127" s="26">
        <v>1199.6833333333334</v>
      </c>
      <c r="T127" s="26"/>
      <c r="U127" s="26"/>
      <c r="V127" s="26">
        <f t="shared" si="9"/>
        <v>3279.1344444444444</v>
      </c>
      <c r="W127" s="26">
        <v>1199.6833333333334</v>
      </c>
      <c r="X127" s="26"/>
      <c r="Y127" s="26"/>
      <c r="Z127" s="26">
        <f t="shared" si="10"/>
        <v>4478.8177777777782</v>
      </c>
      <c r="AA127" s="26">
        <v>1199.6833333333334</v>
      </c>
      <c r="AB127" s="26"/>
      <c r="AC127" s="26"/>
      <c r="AD127" s="26">
        <f t="shared" si="11"/>
        <v>5678.5011111111116</v>
      </c>
      <c r="AE127" s="25"/>
    </row>
    <row r="128" spans="1:31" x14ac:dyDescent="0.3">
      <c r="A128" s="25">
        <v>5060</v>
      </c>
      <c r="B128" s="25" t="s">
        <v>233</v>
      </c>
      <c r="C128" s="25" t="s">
        <v>310</v>
      </c>
      <c r="D128" s="25" t="s">
        <v>309</v>
      </c>
      <c r="E128" s="92">
        <v>126000</v>
      </c>
      <c r="F128" s="31">
        <v>43822</v>
      </c>
      <c r="G128" s="31">
        <v>44186</v>
      </c>
      <c r="H128" s="26"/>
      <c r="I128" s="26">
        <v>5.65</v>
      </c>
      <c r="J128" s="26"/>
      <c r="K128" s="26">
        <f t="shared" si="12"/>
        <v>415.27499999999998</v>
      </c>
      <c r="L128" s="26"/>
      <c r="M128" s="26"/>
      <c r="N128" s="26">
        <f t="shared" si="7"/>
        <v>415.27499999999998</v>
      </c>
      <c r="O128" s="26">
        <f t="shared" si="8"/>
        <v>613.02499999999998</v>
      </c>
      <c r="P128" s="26"/>
      <c r="Q128" s="26"/>
      <c r="R128" s="26">
        <v>1028.3</v>
      </c>
      <c r="S128" s="26">
        <v>593.25</v>
      </c>
      <c r="T128" s="26"/>
      <c r="U128" s="26"/>
      <c r="V128" s="26">
        <f t="shared" si="9"/>
        <v>1621.55</v>
      </c>
      <c r="W128" s="26">
        <v>593.25</v>
      </c>
      <c r="X128" s="26"/>
      <c r="Y128" s="26"/>
      <c r="Z128" s="26">
        <f t="shared" si="10"/>
        <v>2214.8000000000002</v>
      </c>
      <c r="AA128" s="26">
        <v>593.25</v>
      </c>
      <c r="AB128" s="26"/>
      <c r="AC128" s="26"/>
      <c r="AD128" s="26">
        <f t="shared" si="11"/>
        <v>2808.05</v>
      </c>
      <c r="AE128" s="25"/>
    </row>
    <row r="129" spans="1:31" x14ac:dyDescent="0.3">
      <c r="A129" s="25">
        <v>5060</v>
      </c>
      <c r="B129" s="25" t="s">
        <v>233</v>
      </c>
      <c r="C129" s="25" t="s">
        <v>308</v>
      </c>
      <c r="D129" s="25" t="s">
        <v>307</v>
      </c>
      <c r="E129" s="92">
        <v>275000</v>
      </c>
      <c r="F129" s="31">
        <v>43822</v>
      </c>
      <c r="G129" s="31">
        <v>44186</v>
      </c>
      <c r="H129" s="26"/>
      <c r="I129" s="26">
        <v>5.65</v>
      </c>
      <c r="J129" s="26"/>
      <c r="K129" s="26">
        <f t="shared" si="12"/>
        <v>906.35416666666663</v>
      </c>
      <c r="L129" s="26"/>
      <c r="M129" s="26"/>
      <c r="N129" s="26">
        <f t="shared" si="7"/>
        <v>906.35416666666663</v>
      </c>
      <c r="O129" s="26">
        <f t="shared" si="8"/>
        <v>1337.9513888888889</v>
      </c>
      <c r="P129" s="26"/>
      <c r="Q129" s="26"/>
      <c r="R129" s="26">
        <v>2244.3055555555557</v>
      </c>
      <c r="S129" s="26">
        <v>1294.7916666666667</v>
      </c>
      <c r="T129" s="26"/>
      <c r="U129" s="26"/>
      <c r="V129" s="26">
        <f t="shared" si="9"/>
        <v>3539.0972222222226</v>
      </c>
      <c r="W129" s="26">
        <v>1294.7916666666667</v>
      </c>
      <c r="X129" s="26"/>
      <c r="Y129" s="26"/>
      <c r="Z129" s="26">
        <f t="shared" si="10"/>
        <v>4833.8888888888896</v>
      </c>
      <c r="AA129" s="26">
        <v>1294.7916666666667</v>
      </c>
      <c r="AB129" s="26"/>
      <c r="AC129" s="26"/>
      <c r="AD129" s="26">
        <f t="shared" si="11"/>
        <v>6128.6805555555566</v>
      </c>
      <c r="AE129" s="25"/>
    </row>
    <row r="130" spans="1:31" x14ac:dyDescent="0.3">
      <c r="A130" s="25">
        <v>5060</v>
      </c>
      <c r="B130" s="25" t="s">
        <v>233</v>
      </c>
      <c r="C130" s="25" t="s">
        <v>306</v>
      </c>
      <c r="D130" s="25" t="s">
        <v>305</v>
      </c>
      <c r="E130" s="92">
        <v>206000</v>
      </c>
      <c r="F130" s="31">
        <v>43822</v>
      </c>
      <c r="G130" s="31">
        <v>44186</v>
      </c>
      <c r="H130" s="26"/>
      <c r="I130" s="26">
        <v>5.65</v>
      </c>
      <c r="J130" s="26"/>
      <c r="K130" s="26">
        <f t="shared" si="12"/>
        <v>678.94166666666672</v>
      </c>
      <c r="L130" s="26"/>
      <c r="M130" s="26"/>
      <c r="N130" s="26">
        <f t="shared" si="7"/>
        <v>678.94166666666672</v>
      </c>
      <c r="O130" s="26">
        <f t="shared" si="8"/>
        <v>1002.2472222222223</v>
      </c>
      <c r="P130" s="26"/>
      <c r="Q130" s="26"/>
      <c r="R130" s="26">
        <v>1681.1888888888889</v>
      </c>
      <c r="S130" s="26">
        <v>969.91666666666663</v>
      </c>
      <c r="T130" s="26"/>
      <c r="U130" s="26"/>
      <c r="V130" s="26">
        <f t="shared" si="9"/>
        <v>2651.1055555555554</v>
      </c>
      <c r="W130" s="26">
        <v>969.91666666666663</v>
      </c>
      <c r="X130" s="26"/>
      <c r="Y130" s="26"/>
      <c r="Z130" s="26">
        <f t="shared" si="10"/>
        <v>3621.0222222222219</v>
      </c>
      <c r="AA130" s="26">
        <v>969.91666666666663</v>
      </c>
      <c r="AB130" s="26"/>
      <c r="AC130" s="26"/>
      <c r="AD130" s="26">
        <f t="shared" si="11"/>
        <v>4590.9388888888889</v>
      </c>
      <c r="AE130" s="25"/>
    </row>
    <row r="131" spans="1:31" x14ac:dyDescent="0.3">
      <c r="A131" s="25">
        <v>5060</v>
      </c>
      <c r="B131" s="25" t="s">
        <v>233</v>
      </c>
      <c r="C131" s="25" t="s">
        <v>304</v>
      </c>
      <c r="D131" s="25" t="s">
        <v>303</v>
      </c>
      <c r="E131" s="92">
        <v>130000</v>
      </c>
      <c r="F131" s="31">
        <v>43822</v>
      </c>
      <c r="G131" s="31">
        <v>44186</v>
      </c>
      <c r="H131" s="26"/>
      <c r="I131" s="26">
        <v>5.65</v>
      </c>
      <c r="J131" s="26"/>
      <c r="K131" s="26">
        <f t="shared" si="12"/>
        <v>428.45833333333337</v>
      </c>
      <c r="L131" s="26"/>
      <c r="M131" s="26"/>
      <c r="N131" s="26">
        <f t="shared" si="7"/>
        <v>428.45833333333337</v>
      </c>
      <c r="O131" s="26">
        <f t="shared" si="8"/>
        <v>632.48611111111109</v>
      </c>
      <c r="P131" s="26"/>
      <c r="Q131" s="26"/>
      <c r="R131" s="26">
        <v>1060.9444444444443</v>
      </c>
      <c r="S131" s="26">
        <v>612.08333333333337</v>
      </c>
      <c r="T131" s="26"/>
      <c r="U131" s="26"/>
      <c r="V131" s="26">
        <f t="shared" si="9"/>
        <v>1673.0277777777778</v>
      </c>
      <c r="W131" s="26">
        <v>612.08333333333337</v>
      </c>
      <c r="X131" s="26"/>
      <c r="Y131" s="26"/>
      <c r="Z131" s="26">
        <f t="shared" si="10"/>
        <v>2285.1111111111113</v>
      </c>
      <c r="AA131" s="26">
        <v>612.08333333333337</v>
      </c>
      <c r="AB131" s="26"/>
      <c r="AC131" s="26"/>
      <c r="AD131" s="26">
        <f t="shared" si="11"/>
        <v>2897.1944444444448</v>
      </c>
      <c r="AE131" s="25"/>
    </row>
    <row r="132" spans="1:31" x14ac:dyDescent="0.3">
      <c r="A132" s="25">
        <v>5060</v>
      </c>
      <c r="B132" s="25" t="s">
        <v>233</v>
      </c>
      <c r="C132" s="25" t="s">
        <v>302</v>
      </c>
      <c r="D132" s="25" t="s">
        <v>301</v>
      </c>
      <c r="E132" s="92">
        <v>51138.69</v>
      </c>
      <c r="F132" s="31">
        <v>43822</v>
      </c>
      <c r="G132" s="31">
        <v>44186</v>
      </c>
      <c r="H132" s="26"/>
      <c r="I132" s="26">
        <v>5.65</v>
      </c>
      <c r="J132" s="26"/>
      <c r="K132" s="26">
        <f t="shared" si="12"/>
        <v>168.54459912500002</v>
      </c>
      <c r="L132" s="26"/>
      <c r="M132" s="26"/>
      <c r="N132" s="26">
        <f t="shared" si="7"/>
        <v>168.54459912500002</v>
      </c>
      <c r="O132" s="26">
        <f t="shared" si="8"/>
        <v>248.80393204166671</v>
      </c>
      <c r="P132" s="26"/>
      <c r="Q132" s="26"/>
      <c r="R132" s="26">
        <v>417.3485311666667</v>
      </c>
      <c r="S132" s="26">
        <v>240.77799875000005</v>
      </c>
      <c r="T132" s="26"/>
      <c r="U132" s="26"/>
      <c r="V132" s="26">
        <f t="shared" si="9"/>
        <v>658.12652991666675</v>
      </c>
      <c r="W132" s="26">
        <v>240.77799875000005</v>
      </c>
      <c r="X132" s="26"/>
      <c r="Y132" s="26"/>
      <c r="Z132" s="26">
        <f t="shared" si="10"/>
        <v>898.90452866666681</v>
      </c>
      <c r="AA132" s="26">
        <v>240.77799875000005</v>
      </c>
      <c r="AB132" s="26"/>
      <c r="AC132" s="26"/>
      <c r="AD132" s="26">
        <f t="shared" si="11"/>
        <v>1139.6825274166667</v>
      </c>
      <c r="AE132" s="25"/>
    </row>
    <row r="133" spans="1:31" x14ac:dyDescent="0.3">
      <c r="A133" s="25">
        <v>5060</v>
      </c>
      <c r="B133" s="25" t="s">
        <v>233</v>
      </c>
      <c r="C133" s="25" t="s">
        <v>300</v>
      </c>
      <c r="D133" s="25" t="s">
        <v>299</v>
      </c>
      <c r="E133" s="92">
        <v>200000</v>
      </c>
      <c r="F133" s="31">
        <v>43822</v>
      </c>
      <c r="G133" s="31">
        <v>44186</v>
      </c>
      <c r="H133" s="26"/>
      <c r="I133" s="26">
        <v>5.65</v>
      </c>
      <c r="J133" s="26"/>
      <c r="K133" s="26">
        <f t="shared" si="12"/>
        <v>659.16666666666663</v>
      </c>
      <c r="L133" s="26"/>
      <c r="M133" s="26"/>
      <c r="N133" s="26">
        <f t="shared" si="7"/>
        <v>659.16666666666663</v>
      </c>
      <c r="O133" s="26">
        <f t="shared" si="8"/>
        <v>973.05555555555554</v>
      </c>
      <c r="P133" s="26"/>
      <c r="Q133" s="26"/>
      <c r="R133" s="26">
        <v>1632.2222222222222</v>
      </c>
      <c r="S133" s="26">
        <v>941.66666666666663</v>
      </c>
      <c r="T133" s="26"/>
      <c r="U133" s="26"/>
      <c r="V133" s="26">
        <f t="shared" si="9"/>
        <v>2573.8888888888887</v>
      </c>
      <c r="W133" s="26">
        <v>941.66666666666663</v>
      </c>
      <c r="X133" s="26"/>
      <c r="Y133" s="26"/>
      <c r="Z133" s="26">
        <f t="shared" si="10"/>
        <v>3515.5555555555552</v>
      </c>
      <c r="AA133" s="26">
        <v>941.66666666666663</v>
      </c>
      <c r="AB133" s="26"/>
      <c r="AC133" s="26"/>
      <c r="AD133" s="26">
        <f t="shared" si="11"/>
        <v>4457.2222222222217</v>
      </c>
      <c r="AE133" s="25"/>
    </row>
    <row r="134" spans="1:31" x14ac:dyDescent="0.3">
      <c r="A134" s="25">
        <v>5063</v>
      </c>
      <c r="B134" s="25" t="s">
        <v>25</v>
      </c>
      <c r="C134" s="25" t="s">
        <v>298</v>
      </c>
      <c r="D134" s="25" t="s">
        <v>297</v>
      </c>
      <c r="E134" s="92">
        <v>160000</v>
      </c>
      <c r="F134" s="31">
        <v>43832</v>
      </c>
      <c r="G134" s="31">
        <v>44198</v>
      </c>
      <c r="H134" s="26"/>
      <c r="I134" s="26">
        <v>4.4000000000000004</v>
      </c>
      <c r="J134" s="26"/>
      <c r="K134" s="26"/>
      <c r="L134" s="26"/>
      <c r="M134" s="26"/>
      <c r="N134" s="26"/>
      <c r="O134" s="26">
        <f>(+$E134*$I134%)/360*29</f>
        <v>567.1111111111112</v>
      </c>
      <c r="P134" s="26"/>
      <c r="Q134" s="26"/>
      <c r="R134" s="26">
        <v>567.1111111111112</v>
      </c>
      <c r="S134" s="26">
        <v>586.66666666666674</v>
      </c>
      <c r="T134" s="26"/>
      <c r="U134" s="26"/>
      <c r="V134" s="26">
        <f t="shared" si="9"/>
        <v>1153.7777777777778</v>
      </c>
      <c r="W134" s="26">
        <v>586.66666666666674</v>
      </c>
      <c r="X134" s="26"/>
      <c r="Y134" s="26"/>
      <c r="Z134" s="26">
        <f t="shared" si="10"/>
        <v>1740.4444444444446</v>
      </c>
      <c r="AA134" s="26">
        <v>586.66666666666674</v>
      </c>
      <c r="AB134" s="26"/>
      <c r="AC134" s="26"/>
      <c r="AD134" s="26">
        <f t="shared" si="11"/>
        <v>2327.1111111111113</v>
      </c>
      <c r="AE134" s="25"/>
    </row>
    <row r="135" spans="1:31" x14ac:dyDescent="0.3">
      <c r="A135" s="25">
        <v>5060</v>
      </c>
      <c r="B135" s="25" t="s">
        <v>19</v>
      </c>
      <c r="C135" s="25" t="s">
        <v>296</v>
      </c>
      <c r="D135" s="25" t="s">
        <v>295</v>
      </c>
      <c r="E135" s="92">
        <v>60000</v>
      </c>
      <c r="F135" s="31">
        <v>43837</v>
      </c>
      <c r="G135" s="31">
        <v>44203</v>
      </c>
      <c r="H135" s="26"/>
      <c r="I135" s="26">
        <v>1.9</v>
      </c>
      <c r="J135" s="26"/>
      <c r="K135" s="26"/>
      <c r="L135" s="26"/>
      <c r="M135" s="26"/>
      <c r="N135" s="26"/>
      <c r="O135" s="26">
        <f>(+$E135*$I135%)/360*24</f>
        <v>76</v>
      </c>
      <c r="P135" s="26"/>
      <c r="Q135" s="26"/>
      <c r="R135" s="26">
        <v>76</v>
      </c>
      <c r="S135" s="26">
        <v>95</v>
      </c>
      <c r="T135" s="26"/>
      <c r="U135" s="26"/>
      <c r="V135" s="26">
        <f t="shared" ref="V135:V193" si="13">+R135+S135+T135+U135</f>
        <v>171</v>
      </c>
      <c r="W135" s="26">
        <v>95</v>
      </c>
      <c r="X135" s="26"/>
      <c r="Y135" s="26"/>
      <c r="Z135" s="26">
        <f t="shared" ref="Z135:Z193" si="14">+V135+W135+X135+Y135</f>
        <v>266</v>
      </c>
      <c r="AA135" s="26">
        <v>95</v>
      </c>
      <c r="AB135" s="26"/>
      <c r="AC135" s="26"/>
      <c r="AD135" s="26">
        <f t="shared" ref="AD135:AD193" si="15">+Z135+AA135+AB135+AC135</f>
        <v>361</v>
      </c>
      <c r="AE135" s="25"/>
    </row>
    <row r="136" spans="1:31" x14ac:dyDescent="0.3">
      <c r="A136" s="25">
        <v>5060</v>
      </c>
      <c r="B136" s="25" t="s">
        <v>16</v>
      </c>
      <c r="C136" s="25" t="s">
        <v>294</v>
      </c>
      <c r="D136" s="25" t="s">
        <v>293</v>
      </c>
      <c r="E136" s="92">
        <v>60000</v>
      </c>
      <c r="F136" s="31">
        <v>43838</v>
      </c>
      <c r="G136" s="31">
        <v>44204</v>
      </c>
      <c r="H136" s="26"/>
      <c r="I136" s="26">
        <v>1.9</v>
      </c>
      <c r="J136" s="26"/>
      <c r="K136" s="26"/>
      <c r="L136" s="26"/>
      <c r="M136" s="26"/>
      <c r="N136" s="26"/>
      <c r="O136" s="26">
        <f>(+$E136*$I136%)/360*23</f>
        <v>72.833333333333329</v>
      </c>
      <c r="P136" s="26"/>
      <c r="Q136" s="26"/>
      <c r="R136" s="26">
        <v>72.833333333333329</v>
      </c>
      <c r="S136" s="26">
        <v>95</v>
      </c>
      <c r="T136" s="26"/>
      <c r="U136" s="26"/>
      <c r="V136" s="26">
        <f t="shared" si="13"/>
        <v>167.83333333333331</v>
      </c>
      <c r="W136" s="26">
        <v>95</v>
      </c>
      <c r="X136" s="26"/>
      <c r="Y136" s="26"/>
      <c r="Z136" s="26">
        <f t="shared" si="14"/>
        <v>262.83333333333331</v>
      </c>
      <c r="AA136" s="26">
        <v>95</v>
      </c>
      <c r="AB136" s="26"/>
      <c r="AC136" s="26"/>
      <c r="AD136" s="26">
        <f t="shared" si="15"/>
        <v>357.83333333333331</v>
      </c>
      <c r="AE136" s="25"/>
    </row>
    <row r="137" spans="1:31" x14ac:dyDescent="0.3">
      <c r="A137" s="25">
        <v>5060</v>
      </c>
      <c r="B137" s="25" t="s">
        <v>233</v>
      </c>
      <c r="C137" s="25" t="s">
        <v>292</v>
      </c>
      <c r="D137" s="25" t="s">
        <v>291</v>
      </c>
      <c r="E137" s="92">
        <v>59000</v>
      </c>
      <c r="F137" s="31">
        <v>43846</v>
      </c>
      <c r="G137" s="31">
        <v>44212</v>
      </c>
      <c r="H137" s="26"/>
      <c r="I137" s="26">
        <v>5.65</v>
      </c>
      <c r="J137" s="26"/>
      <c r="K137" s="26"/>
      <c r="L137" s="26"/>
      <c r="M137" s="26"/>
      <c r="N137" s="26"/>
      <c r="O137" s="26">
        <f>(+$E137*$I137%)/360*25</f>
        <v>231.49305555555557</v>
      </c>
      <c r="P137" s="26"/>
      <c r="Q137" s="26"/>
      <c r="R137" s="26">
        <v>231.49305555555557</v>
      </c>
      <c r="S137" s="26">
        <v>277.79166666666669</v>
      </c>
      <c r="T137" s="26"/>
      <c r="U137" s="26"/>
      <c r="V137" s="26">
        <f t="shared" si="13"/>
        <v>509.28472222222229</v>
      </c>
      <c r="W137" s="26">
        <v>277.79166666666669</v>
      </c>
      <c r="X137" s="26"/>
      <c r="Y137" s="26"/>
      <c r="Z137" s="26">
        <f t="shared" si="14"/>
        <v>787.07638888888891</v>
      </c>
      <c r="AA137" s="26">
        <v>277.79166666666669</v>
      </c>
      <c r="AB137" s="26"/>
      <c r="AC137" s="26"/>
      <c r="AD137" s="26">
        <f t="shared" si="15"/>
        <v>1064.8680555555557</v>
      </c>
      <c r="AE137" s="25"/>
    </row>
    <row r="138" spans="1:31" x14ac:dyDescent="0.3">
      <c r="A138" s="25">
        <v>5060</v>
      </c>
      <c r="B138" s="25" t="s">
        <v>19</v>
      </c>
      <c r="C138" s="25" t="s">
        <v>290</v>
      </c>
      <c r="D138" s="25" t="s">
        <v>289</v>
      </c>
      <c r="E138" s="92">
        <v>50000</v>
      </c>
      <c r="F138" s="31">
        <v>43846</v>
      </c>
      <c r="G138" s="31">
        <v>44212</v>
      </c>
      <c r="H138" s="26"/>
      <c r="I138" s="26">
        <v>1.9</v>
      </c>
      <c r="J138" s="26"/>
      <c r="K138" s="26"/>
      <c r="L138" s="26"/>
      <c r="M138" s="26"/>
      <c r="N138" s="26"/>
      <c r="O138" s="26">
        <f>(+$E138*$I138%)/360*25</f>
        <v>65.972222222222214</v>
      </c>
      <c r="P138" s="26"/>
      <c r="Q138" s="26"/>
      <c r="R138" s="26">
        <v>65.972222222222214</v>
      </c>
      <c r="S138" s="26">
        <v>79.166666666666671</v>
      </c>
      <c r="T138" s="26"/>
      <c r="U138" s="26"/>
      <c r="V138" s="26">
        <f t="shared" si="13"/>
        <v>145.13888888888889</v>
      </c>
      <c r="W138" s="26">
        <v>79.166666666666671</v>
      </c>
      <c r="X138" s="26"/>
      <c r="Y138" s="26"/>
      <c r="Z138" s="26">
        <f t="shared" si="14"/>
        <v>224.30555555555554</v>
      </c>
      <c r="AA138" s="26">
        <v>79.166666666666671</v>
      </c>
      <c r="AB138" s="26"/>
      <c r="AC138" s="26"/>
      <c r="AD138" s="26">
        <f t="shared" si="15"/>
        <v>303.47222222222223</v>
      </c>
      <c r="AE138" s="25"/>
    </row>
    <row r="139" spans="1:31" x14ac:dyDescent="0.3">
      <c r="A139" s="25">
        <v>5055</v>
      </c>
      <c r="B139" s="25" t="s">
        <v>159</v>
      </c>
      <c r="C139" s="25" t="s">
        <v>288</v>
      </c>
      <c r="D139" s="25" t="s">
        <v>287</v>
      </c>
      <c r="E139" s="92">
        <v>746000</v>
      </c>
      <c r="F139" s="31">
        <v>43851</v>
      </c>
      <c r="G139" s="31">
        <v>44206</v>
      </c>
      <c r="H139" s="26"/>
      <c r="I139" s="26">
        <v>7.55</v>
      </c>
      <c r="J139" s="26"/>
      <c r="K139" s="26"/>
      <c r="L139" s="26"/>
      <c r="M139" s="26"/>
      <c r="N139" s="26"/>
      <c r="O139" s="26">
        <f>(+$E139*$I139%)/360*21</f>
        <v>3285.5083333333332</v>
      </c>
      <c r="P139" s="26"/>
      <c r="Q139" s="26"/>
      <c r="R139" s="26">
        <v>3285.5083333333332</v>
      </c>
      <c r="S139" s="26">
        <v>4693.5833333333339</v>
      </c>
      <c r="T139" s="26"/>
      <c r="U139" s="26"/>
      <c r="V139" s="26">
        <f t="shared" si="13"/>
        <v>7979.0916666666672</v>
      </c>
      <c r="W139" s="26">
        <v>4693.5833333333339</v>
      </c>
      <c r="X139" s="26"/>
      <c r="Y139" s="26"/>
      <c r="Z139" s="26">
        <f t="shared" si="14"/>
        <v>12672.675000000001</v>
      </c>
      <c r="AA139" s="26">
        <v>4693.5833333333339</v>
      </c>
      <c r="AB139" s="26"/>
      <c r="AC139" s="26"/>
      <c r="AD139" s="26">
        <f t="shared" si="15"/>
        <v>17366.258333333335</v>
      </c>
      <c r="AE139" s="25"/>
    </row>
    <row r="140" spans="1:31" x14ac:dyDescent="0.3">
      <c r="A140" s="25">
        <v>5055</v>
      </c>
      <c r="B140" s="25" t="s">
        <v>159</v>
      </c>
      <c r="C140" s="25" t="s">
        <v>286</v>
      </c>
      <c r="D140" s="25" t="s">
        <v>285</v>
      </c>
      <c r="E140" s="92">
        <v>50000</v>
      </c>
      <c r="F140" s="31">
        <v>43851</v>
      </c>
      <c r="G140" s="31">
        <v>44210</v>
      </c>
      <c r="H140" s="26"/>
      <c r="I140" s="26">
        <v>5.65</v>
      </c>
      <c r="J140" s="26"/>
      <c r="K140" s="26"/>
      <c r="L140" s="26"/>
      <c r="M140" s="26"/>
      <c r="N140" s="26"/>
      <c r="O140" s="26">
        <f>(+$E140*$I140%)/360*17</f>
        <v>133.40277777777777</v>
      </c>
      <c r="P140" s="26"/>
      <c r="Q140" s="26"/>
      <c r="R140" s="26">
        <v>133.40277777777777</v>
      </c>
      <c r="S140" s="26">
        <v>235.41666666666666</v>
      </c>
      <c r="T140" s="26"/>
      <c r="U140" s="26"/>
      <c r="V140" s="26">
        <f t="shared" si="13"/>
        <v>368.81944444444446</v>
      </c>
      <c r="W140" s="26">
        <v>235.41666666666666</v>
      </c>
      <c r="X140" s="26"/>
      <c r="Y140" s="26"/>
      <c r="Z140" s="26">
        <f t="shared" si="14"/>
        <v>604.23611111111109</v>
      </c>
      <c r="AA140" s="26">
        <v>235.41666666666666</v>
      </c>
      <c r="AB140" s="26"/>
      <c r="AC140" s="26"/>
      <c r="AD140" s="26">
        <f t="shared" si="15"/>
        <v>839.65277777777771</v>
      </c>
      <c r="AE140" s="25"/>
    </row>
    <row r="141" spans="1:31" x14ac:dyDescent="0.3">
      <c r="A141" s="25">
        <v>5055</v>
      </c>
      <c r="B141" s="25" t="s">
        <v>159</v>
      </c>
      <c r="C141" s="25" t="s">
        <v>284</v>
      </c>
      <c r="D141" s="25" t="s">
        <v>283</v>
      </c>
      <c r="E141" s="92">
        <v>220000</v>
      </c>
      <c r="F141" s="31">
        <v>43852</v>
      </c>
      <c r="G141" s="31">
        <v>44218</v>
      </c>
      <c r="H141" s="26"/>
      <c r="I141" s="26">
        <v>5.65</v>
      </c>
      <c r="J141" s="26"/>
      <c r="K141" s="26"/>
      <c r="L141" s="26"/>
      <c r="M141" s="26"/>
      <c r="N141" s="26"/>
      <c r="O141" s="26">
        <f>(+$E141*$I141%)/360*9</f>
        <v>310.75</v>
      </c>
      <c r="P141" s="26"/>
      <c r="Q141" s="26"/>
      <c r="R141" s="26">
        <v>310.75</v>
      </c>
      <c r="S141" s="26">
        <v>1035.8333333333333</v>
      </c>
      <c r="T141" s="26"/>
      <c r="U141" s="26"/>
      <c r="V141" s="26">
        <f t="shared" si="13"/>
        <v>1346.5833333333333</v>
      </c>
      <c r="W141" s="26">
        <v>1035.8333333333333</v>
      </c>
      <c r="X141" s="26"/>
      <c r="Y141" s="26"/>
      <c r="Z141" s="26">
        <f t="shared" si="14"/>
        <v>2382.4166666666665</v>
      </c>
      <c r="AA141" s="26">
        <v>1035.8333333333333</v>
      </c>
      <c r="AB141" s="26"/>
      <c r="AC141" s="26"/>
      <c r="AD141" s="26">
        <f t="shared" si="15"/>
        <v>3418.25</v>
      </c>
      <c r="AE141" s="25"/>
    </row>
    <row r="142" spans="1:31" x14ac:dyDescent="0.3">
      <c r="A142" s="25">
        <v>5060</v>
      </c>
      <c r="B142" s="25" t="s">
        <v>16</v>
      </c>
      <c r="C142" s="25" t="s">
        <v>282</v>
      </c>
      <c r="D142" s="25" t="s">
        <v>281</v>
      </c>
      <c r="E142" s="92">
        <v>60000</v>
      </c>
      <c r="F142" s="31">
        <v>43852</v>
      </c>
      <c r="G142" s="31">
        <v>44218</v>
      </c>
      <c r="H142" s="26"/>
      <c r="I142" s="26">
        <v>1.9</v>
      </c>
      <c r="J142" s="26"/>
      <c r="K142" s="26"/>
      <c r="L142" s="26"/>
      <c r="M142" s="26"/>
      <c r="N142" s="26"/>
      <c r="O142" s="26">
        <f>(+$E142*$I142%)/360*9</f>
        <v>28.5</v>
      </c>
      <c r="P142" s="26"/>
      <c r="Q142" s="26"/>
      <c r="R142" s="26">
        <v>28.5</v>
      </c>
      <c r="S142" s="26">
        <v>95</v>
      </c>
      <c r="T142" s="26"/>
      <c r="U142" s="26"/>
      <c r="V142" s="26">
        <f t="shared" si="13"/>
        <v>123.5</v>
      </c>
      <c r="W142" s="26">
        <v>95</v>
      </c>
      <c r="X142" s="26"/>
      <c r="Y142" s="26"/>
      <c r="Z142" s="26">
        <f t="shared" si="14"/>
        <v>218.5</v>
      </c>
      <c r="AA142" s="26">
        <v>95</v>
      </c>
      <c r="AB142" s="26"/>
      <c r="AC142" s="26"/>
      <c r="AD142" s="26">
        <f t="shared" si="15"/>
        <v>313.5</v>
      </c>
      <c r="AE142" s="25"/>
    </row>
    <row r="143" spans="1:31" x14ac:dyDescent="0.3">
      <c r="A143" s="25">
        <v>5055</v>
      </c>
      <c r="B143" s="25" t="s">
        <v>159</v>
      </c>
      <c r="C143" s="25" t="s">
        <v>280</v>
      </c>
      <c r="D143" s="25" t="s">
        <v>279</v>
      </c>
      <c r="E143" s="92">
        <v>2200000</v>
      </c>
      <c r="F143" s="31">
        <v>43848</v>
      </c>
      <c r="G143" s="31">
        <v>44214</v>
      </c>
      <c r="H143" s="26"/>
      <c r="I143" s="26">
        <v>6.85</v>
      </c>
      <c r="J143" s="26"/>
      <c r="K143" s="26"/>
      <c r="L143" s="26"/>
      <c r="M143" s="26"/>
      <c r="N143" s="26"/>
      <c r="O143" s="26">
        <f>(+$E143*$I143%)/360*13</f>
        <v>5441.9444444444434</v>
      </c>
      <c r="P143" s="26"/>
      <c r="Q143" s="26"/>
      <c r="R143" s="26">
        <v>5441.9444444444434</v>
      </c>
      <c r="S143" s="26">
        <v>12558.33333333333</v>
      </c>
      <c r="T143" s="26"/>
      <c r="U143" s="26"/>
      <c r="V143" s="26">
        <f t="shared" si="13"/>
        <v>18000.277777777774</v>
      </c>
      <c r="W143" s="26">
        <v>12558.33333333333</v>
      </c>
      <c r="X143" s="26"/>
      <c r="Y143" s="26"/>
      <c r="Z143" s="26">
        <f t="shared" si="14"/>
        <v>30558.611111111102</v>
      </c>
      <c r="AA143" s="26">
        <v>12558.33333333333</v>
      </c>
      <c r="AB143" s="26"/>
      <c r="AC143" s="26"/>
      <c r="AD143" s="26">
        <f t="shared" si="15"/>
        <v>43116.944444444431</v>
      </c>
      <c r="AE143" s="25"/>
    </row>
    <row r="144" spans="1:31" x14ac:dyDescent="0.3">
      <c r="A144" s="25"/>
      <c r="B144" s="25" t="s">
        <v>712</v>
      </c>
      <c r="C144" s="25" t="s">
        <v>731</v>
      </c>
      <c r="D144" s="25" t="s">
        <v>725</v>
      </c>
      <c r="E144" s="92"/>
      <c r="F144" s="31"/>
      <c r="G144" s="31"/>
      <c r="H144" s="26"/>
      <c r="I144" s="93"/>
      <c r="J144" s="26"/>
      <c r="K144" s="26"/>
      <c r="L144" s="26"/>
      <c r="M144" s="26"/>
      <c r="N144" s="26"/>
      <c r="O144" s="26"/>
      <c r="P144" s="26">
        <v>-10193.84</v>
      </c>
      <c r="Q144" s="26">
        <v>10193.84</v>
      </c>
      <c r="R144" s="26">
        <v>0</v>
      </c>
      <c r="S144" s="26">
        <v>0</v>
      </c>
      <c r="T144" s="26"/>
      <c r="U144" s="26">
        <v>10193.84</v>
      </c>
      <c r="V144" s="26">
        <f t="shared" si="13"/>
        <v>10193.84</v>
      </c>
      <c r="W144" s="26">
        <v>0</v>
      </c>
      <c r="X144" s="26"/>
      <c r="Y144" s="26">
        <v>-10193.84</v>
      </c>
      <c r="Z144" s="26">
        <f t="shared" si="14"/>
        <v>0</v>
      </c>
      <c r="AA144" s="26">
        <v>0</v>
      </c>
      <c r="AB144" s="26"/>
      <c r="AC144" s="26"/>
      <c r="AD144" s="26">
        <f t="shared" si="15"/>
        <v>0</v>
      </c>
      <c r="AE144" s="25" t="s">
        <v>732</v>
      </c>
    </row>
    <row r="145" spans="1:31" x14ac:dyDescent="0.3">
      <c r="A145" s="25">
        <v>5063</v>
      </c>
      <c r="B145" s="25" t="s">
        <v>25</v>
      </c>
      <c r="C145" s="25" t="s">
        <v>278</v>
      </c>
      <c r="D145" s="25" t="s">
        <v>277</v>
      </c>
      <c r="E145" s="94">
        <v>175000</v>
      </c>
      <c r="F145" s="31">
        <v>43862</v>
      </c>
      <c r="G145" s="31">
        <v>44228</v>
      </c>
      <c r="H145" s="26"/>
      <c r="I145" s="30">
        <f>VLOOKUP(C145,[1]Hoja1!G:H,2,FALSE)</f>
        <v>4.4000000000000004</v>
      </c>
      <c r="J145" s="27"/>
      <c r="K145" s="27"/>
      <c r="L145" s="27"/>
      <c r="M145" s="27"/>
      <c r="N145" s="27"/>
      <c r="O145" s="27"/>
      <c r="P145" s="27"/>
      <c r="Q145" s="27"/>
      <c r="R145" s="27"/>
      <c r="S145" s="26">
        <v>0</v>
      </c>
      <c r="T145" s="27"/>
      <c r="U145" s="27"/>
      <c r="V145" s="27"/>
      <c r="W145" s="26">
        <v>1283.3333333333335</v>
      </c>
      <c r="X145" s="27"/>
      <c r="Y145" s="27"/>
      <c r="Z145" s="26">
        <f t="shared" si="14"/>
        <v>1283.3333333333335</v>
      </c>
      <c r="AA145" s="26">
        <v>641.66666666666674</v>
      </c>
      <c r="AB145" s="26"/>
      <c r="AC145" s="26"/>
      <c r="AD145" s="26">
        <f t="shared" si="15"/>
        <v>1925.0000000000002</v>
      </c>
      <c r="AE145" s="25"/>
    </row>
    <row r="146" spans="1:31" x14ac:dyDescent="0.3">
      <c r="A146" s="25">
        <v>5005</v>
      </c>
      <c r="B146" s="25" t="s">
        <v>265</v>
      </c>
      <c r="C146" s="25" t="s">
        <v>276</v>
      </c>
      <c r="D146" s="25" t="s">
        <v>275</v>
      </c>
      <c r="E146" s="94">
        <v>15300</v>
      </c>
      <c r="F146" s="31">
        <v>43865</v>
      </c>
      <c r="G146" s="31">
        <v>44231</v>
      </c>
      <c r="H146" s="26"/>
      <c r="I146" s="30">
        <f>VLOOKUP(C146,[1]Hoja1!G:H,2,FALSE)</f>
        <v>6.9</v>
      </c>
      <c r="J146" s="27"/>
      <c r="K146" s="27"/>
      <c r="L146" s="27"/>
      <c r="M146" s="27"/>
      <c r="N146" s="27"/>
      <c r="O146" s="27"/>
      <c r="P146" s="27"/>
      <c r="Q146" s="27"/>
      <c r="R146" s="27"/>
      <c r="S146" s="26">
        <v>0</v>
      </c>
      <c r="T146" s="27"/>
      <c r="U146" s="27"/>
      <c r="V146" s="27"/>
      <c r="W146" s="26">
        <v>164.22</v>
      </c>
      <c r="X146" s="27"/>
      <c r="Y146" s="27"/>
      <c r="Z146" s="26">
        <f t="shared" si="14"/>
        <v>164.22</v>
      </c>
      <c r="AA146" s="26">
        <v>87.975000000000009</v>
      </c>
      <c r="AB146" s="26"/>
      <c r="AC146" s="26"/>
      <c r="AD146" s="26">
        <f t="shared" si="15"/>
        <v>252.19499999999999</v>
      </c>
      <c r="AE146" s="25"/>
    </row>
    <row r="147" spans="1:31" x14ac:dyDescent="0.3">
      <c r="A147" s="25">
        <v>5028</v>
      </c>
      <c r="B147" s="25" t="s">
        <v>274</v>
      </c>
      <c r="C147" s="25" t="s">
        <v>273</v>
      </c>
      <c r="D147" s="25" t="s">
        <v>272</v>
      </c>
      <c r="E147" s="94">
        <v>1400000</v>
      </c>
      <c r="F147" s="31">
        <v>43865</v>
      </c>
      <c r="G147" s="31">
        <v>44231</v>
      </c>
      <c r="H147" s="26"/>
      <c r="I147" s="30">
        <f>VLOOKUP(C147,[1]Hoja1!G:H,2,FALSE)</f>
        <v>7.9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6">
        <v>0</v>
      </c>
      <c r="T147" s="27"/>
      <c r="U147" s="27"/>
      <c r="V147" s="27"/>
      <c r="W147" s="26">
        <v>17204.444444444445</v>
      </c>
      <c r="X147" s="27"/>
      <c r="Y147" s="27"/>
      <c r="Z147" s="26">
        <f t="shared" si="14"/>
        <v>17204.444444444445</v>
      </c>
      <c r="AA147" s="26">
        <v>9216.6666666666661</v>
      </c>
      <c r="AB147" s="26"/>
      <c r="AC147" s="26"/>
      <c r="AD147" s="26">
        <f t="shared" si="15"/>
        <v>26421.111111111109</v>
      </c>
      <c r="AE147" s="25"/>
    </row>
    <row r="148" spans="1:31" x14ac:dyDescent="0.3">
      <c r="A148" s="25">
        <v>5060</v>
      </c>
      <c r="B148" s="25" t="s">
        <v>37</v>
      </c>
      <c r="C148" s="25" t="s">
        <v>270</v>
      </c>
      <c r="D148" s="25" t="s">
        <v>271</v>
      </c>
      <c r="E148" s="94">
        <v>130000</v>
      </c>
      <c r="F148" s="31">
        <v>43866</v>
      </c>
      <c r="G148" s="31">
        <v>44232</v>
      </c>
      <c r="H148" s="26"/>
      <c r="I148" s="30">
        <f>VLOOKUP(C148,[1]Hoja1!G:H,2,FALSE)</f>
        <v>2.9</v>
      </c>
      <c r="J148" s="27"/>
      <c r="K148" s="27"/>
      <c r="L148" s="27"/>
      <c r="M148" s="27"/>
      <c r="N148" s="27"/>
      <c r="O148" s="27"/>
      <c r="P148" s="27"/>
      <c r="Q148" s="27"/>
      <c r="R148" s="27"/>
      <c r="S148" s="26">
        <v>0</v>
      </c>
      <c r="T148" s="27"/>
      <c r="U148" s="27"/>
      <c r="V148" s="27"/>
      <c r="W148" s="26">
        <v>575.97222222222217</v>
      </c>
      <c r="X148" s="27"/>
      <c r="Y148" s="27"/>
      <c r="Z148" s="26">
        <f t="shared" si="14"/>
        <v>575.97222222222217</v>
      </c>
      <c r="AA148" s="26">
        <v>314.16666666666663</v>
      </c>
      <c r="AB148" s="26"/>
      <c r="AC148" s="26"/>
      <c r="AD148" s="26">
        <f t="shared" si="15"/>
        <v>890.1388888888888</v>
      </c>
      <c r="AE148" s="25"/>
    </row>
    <row r="149" spans="1:31" x14ac:dyDescent="0.3">
      <c r="A149" s="25">
        <v>5057</v>
      </c>
      <c r="B149" s="25" t="s">
        <v>268</v>
      </c>
      <c r="C149" s="25" t="s">
        <v>267</v>
      </c>
      <c r="D149" s="25" t="s">
        <v>266</v>
      </c>
      <c r="E149" s="94">
        <v>500000</v>
      </c>
      <c r="F149" s="31">
        <v>43866</v>
      </c>
      <c r="G149" s="31">
        <v>44232</v>
      </c>
      <c r="H149" s="26"/>
      <c r="I149" s="30">
        <f>VLOOKUP(C149,[1]Hoja1!G:H,2,FALSE)</f>
        <v>3.4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6">
        <v>0</v>
      </c>
      <c r="T149" s="27"/>
      <c r="U149" s="27"/>
      <c r="V149" s="27"/>
      <c r="W149" s="26">
        <v>2597.2222222222222</v>
      </c>
      <c r="X149" s="27"/>
      <c r="Y149" s="27"/>
      <c r="Z149" s="26">
        <f t="shared" si="14"/>
        <v>2597.2222222222222</v>
      </c>
      <c r="AA149" s="26">
        <v>1416.6666666666667</v>
      </c>
      <c r="AB149" s="26"/>
      <c r="AC149" s="26"/>
      <c r="AD149" s="26">
        <f t="shared" si="15"/>
        <v>4013.8888888888887</v>
      </c>
      <c r="AE149" s="25"/>
    </row>
    <row r="150" spans="1:31" x14ac:dyDescent="0.3">
      <c r="A150" s="25">
        <v>5005</v>
      </c>
      <c r="B150" s="25" t="s">
        <v>265</v>
      </c>
      <c r="C150" s="25" t="s">
        <v>264</v>
      </c>
      <c r="D150" s="25" t="s">
        <v>263</v>
      </c>
      <c r="E150" s="94">
        <v>188600</v>
      </c>
      <c r="F150" s="31">
        <v>43867</v>
      </c>
      <c r="G150" s="31">
        <v>44233</v>
      </c>
      <c r="H150" s="26"/>
      <c r="I150" s="30">
        <f>VLOOKUP(C150,[1]Hoja1!G:H,2,FALSE)</f>
        <v>6.9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6">
        <v>0</v>
      </c>
      <c r="T150" s="27"/>
      <c r="U150" s="27"/>
      <c r="V150" s="27"/>
      <c r="W150" s="26">
        <v>1952.0100000000004</v>
      </c>
      <c r="X150" s="27"/>
      <c r="Y150" s="27"/>
      <c r="Z150" s="26">
        <f t="shared" si="14"/>
        <v>1952.0100000000004</v>
      </c>
      <c r="AA150" s="26">
        <v>1084.4500000000003</v>
      </c>
      <c r="AB150" s="26"/>
      <c r="AC150" s="26"/>
      <c r="AD150" s="26">
        <f t="shared" si="15"/>
        <v>3036.4600000000009</v>
      </c>
      <c r="AE150" s="25"/>
    </row>
    <row r="151" spans="1:31" x14ac:dyDescent="0.3">
      <c r="A151" s="25">
        <v>5028</v>
      </c>
      <c r="B151" s="25" t="s">
        <v>262</v>
      </c>
      <c r="C151" s="25" t="s">
        <v>261</v>
      </c>
      <c r="D151" s="25" t="s">
        <v>260</v>
      </c>
      <c r="E151" s="94">
        <v>300000</v>
      </c>
      <c r="F151" s="31">
        <v>43865</v>
      </c>
      <c r="G151" s="31">
        <v>44231</v>
      </c>
      <c r="H151" s="26"/>
      <c r="I151" s="30">
        <f>VLOOKUP(C151,[1]Hoja1!G:H,2,FALSE)</f>
        <v>7.9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6">
        <v>0</v>
      </c>
      <c r="T151" s="27"/>
      <c r="U151" s="27"/>
      <c r="V151" s="27"/>
      <c r="W151" s="26">
        <v>3686.6666666666665</v>
      </c>
      <c r="X151" s="27"/>
      <c r="Y151" s="27"/>
      <c r="Z151" s="26">
        <f t="shared" si="14"/>
        <v>3686.6666666666665</v>
      </c>
      <c r="AA151" s="26">
        <v>1974.9999999999998</v>
      </c>
      <c r="AB151" s="26"/>
      <c r="AC151" s="26"/>
      <c r="AD151" s="26">
        <f t="shared" si="15"/>
        <v>5661.6666666666661</v>
      </c>
      <c r="AE151" s="25"/>
    </row>
    <row r="152" spans="1:31" x14ac:dyDescent="0.3">
      <c r="A152" s="25">
        <v>5060</v>
      </c>
      <c r="B152" s="25" t="s">
        <v>19</v>
      </c>
      <c r="C152" s="25" t="s">
        <v>259</v>
      </c>
      <c r="D152" s="25" t="s">
        <v>258</v>
      </c>
      <c r="E152" s="94">
        <v>72500</v>
      </c>
      <c r="F152" s="31">
        <v>43864</v>
      </c>
      <c r="G152" s="31">
        <v>44230</v>
      </c>
      <c r="H152" s="26"/>
      <c r="I152" s="30">
        <f>VLOOKUP(C152,[1]Hoja1!G:H,2,FALSE)</f>
        <v>1.9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6">
        <v>0</v>
      </c>
      <c r="T152" s="27"/>
      <c r="U152" s="27"/>
      <c r="V152" s="27"/>
      <c r="W152" s="26">
        <v>218.10416666666666</v>
      </c>
      <c r="X152" s="27"/>
      <c r="Y152" s="27"/>
      <c r="Z152" s="26">
        <f t="shared" si="14"/>
        <v>218.10416666666666</v>
      </c>
      <c r="AA152" s="26">
        <v>114.79166666666667</v>
      </c>
      <c r="AB152" s="26"/>
      <c r="AC152" s="26"/>
      <c r="AD152" s="26">
        <f t="shared" si="15"/>
        <v>332.89583333333331</v>
      </c>
      <c r="AE152" s="25"/>
    </row>
    <row r="153" spans="1:31" x14ac:dyDescent="0.3">
      <c r="A153" s="25">
        <v>5060</v>
      </c>
      <c r="B153" s="25" t="s">
        <v>19</v>
      </c>
      <c r="C153" s="25" t="s">
        <v>257</v>
      </c>
      <c r="D153" s="25" t="s">
        <v>256</v>
      </c>
      <c r="E153" s="94">
        <v>90000</v>
      </c>
      <c r="F153" s="31">
        <v>43864</v>
      </c>
      <c r="G153" s="31">
        <v>44230</v>
      </c>
      <c r="H153" s="26"/>
      <c r="I153" s="30">
        <f>VLOOKUP(C153,[1]Hoja1!G:H,2,FALSE)</f>
        <v>1.9</v>
      </c>
      <c r="J153" s="27"/>
      <c r="K153" s="27"/>
      <c r="L153" s="27"/>
      <c r="M153" s="27"/>
      <c r="N153" s="27"/>
      <c r="O153" s="27"/>
      <c r="P153" s="27"/>
      <c r="Q153" s="27"/>
      <c r="R153" s="27"/>
      <c r="S153" s="26">
        <v>0</v>
      </c>
      <c r="T153" s="27"/>
      <c r="U153" s="27"/>
      <c r="V153" s="27"/>
      <c r="W153" s="26">
        <v>270.75</v>
      </c>
      <c r="X153" s="27"/>
      <c r="Y153" s="27"/>
      <c r="Z153" s="26">
        <f t="shared" si="14"/>
        <v>270.75</v>
      </c>
      <c r="AA153" s="26">
        <v>142.5</v>
      </c>
      <c r="AB153" s="26"/>
      <c r="AC153" s="26"/>
      <c r="AD153" s="26">
        <f t="shared" si="15"/>
        <v>413.25</v>
      </c>
      <c r="AE153" s="25"/>
    </row>
    <row r="154" spans="1:31" x14ac:dyDescent="0.3">
      <c r="A154" s="25">
        <v>5055</v>
      </c>
      <c r="B154" s="25" t="s">
        <v>56</v>
      </c>
      <c r="C154" s="25" t="s">
        <v>255</v>
      </c>
      <c r="D154" s="25" t="s">
        <v>254</v>
      </c>
      <c r="E154" s="94">
        <v>1000000</v>
      </c>
      <c r="F154" s="31">
        <v>43878</v>
      </c>
      <c r="G154" s="31">
        <v>44244</v>
      </c>
      <c r="H154" s="26"/>
      <c r="I154" s="30">
        <f>VLOOKUP(C154,[1]Hoja1!G:H,2,FALSE)</f>
        <v>5.4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6">
        <v>0</v>
      </c>
      <c r="T154" s="27"/>
      <c r="U154" s="27"/>
      <c r="V154" s="27"/>
      <c r="W154" s="26">
        <v>6450.0000000000009</v>
      </c>
      <c r="X154" s="27"/>
      <c r="Y154" s="27"/>
      <c r="Z154" s="26">
        <f t="shared" si="14"/>
        <v>6450.0000000000009</v>
      </c>
      <c r="AA154" s="26">
        <v>4500.0000000000009</v>
      </c>
      <c r="AB154" s="26"/>
      <c r="AC154" s="26"/>
      <c r="AD154" s="26">
        <f t="shared" si="15"/>
        <v>10950.000000000002</v>
      </c>
      <c r="AE154" s="25"/>
    </row>
    <row r="155" spans="1:31" x14ac:dyDescent="0.3">
      <c r="A155" s="25">
        <v>5055</v>
      </c>
      <c r="B155" s="25" t="s">
        <v>56</v>
      </c>
      <c r="C155" s="25" t="s">
        <v>253</v>
      </c>
      <c r="D155" s="25" t="s">
        <v>252</v>
      </c>
      <c r="E155" s="94">
        <v>1500000</v>
      </c>
      <c r="F155" s="31">
        <v>43879</v>
      </c>
      <c r="G155" s="31">
        <v>44245</v>
      </c>
      <c r="H155" s="26"/>
      <c r="I155" s="30">
        <f>VLOOKUP(C155,[1]Hoja1!G:H,2,FALSE)</f>
        <v>6.9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6">
        <v>0</v>
      </c>
      <c r="T155" s="27"/>
      <c r="U155" s="27"/>
      <c r="V155" s="27"/>
      <c r="W155" s="26">
        <v>12075.000000000002</v>
      </c>
      <c r="X155" s="27"/>
      <c r="Y155" s="27"/>
      <c r="Z155" s="26">
        <f t="shared" si="14"/>
        <v>12075.000000000002</v>
      </c>
      <c r="AA155" s="26">
        <v>8625.0000000000018</v>
      </c>
      <c r="AB155" s="26"/>
      <c r="AC155" s="26"/>
      <c r="AD155" s="26">
        <f t="shared" si="15"/>
        <v>20700.000000000004</v>
      </c>
      <c r="AE155" s="25"/>
    </row>
    <row r="156" spans="1:31" x14ac:dyDescent="0.3">
      <c r="A156" s="25">
        <v>5063</v>
      </c>
      <c r="B156" s="25" t="s">
        <v>77</v>
      </c>
      <c r="C156" s="25" t="s">
        <v>251</v>
      </c>
      <c r="D156" s="25" t="s">
        <v>250</v>
      </c>
      <c r="E156" s="94">
        <v>23000</v>
      </c>
      <c r="F156" s="31">
        <v>43880</v>
      </c>
      <c r="G156" s="31">
        <v>44246</v>
      </c>
      <c r="H156" s="26"/>
      <c r="I156" s="30">
        <f>VLOOKUP(C156,[1]Hoja1!G:H,2,FALSE)</f>
        <v>5.4</v>
      </c>
      <c r="J156" s="27"/>
      <c r="K156" s="27"/>
      <c r="L156" s="27"/>
      <c r="M156" s="27"/>
      <c r="N156" s="27"/>
      <c r="O156" s="27"/>
      <c r="P156" s="27"/>
      <c r="Q156" s="27"/>
      <c r="R156" s="27"/>
      <c r="S156" s="26">
        <v>0</v>
      </c>
      <c r="T156" s="27"/>
      <c r="U156" s="27"/>
      <c r="V156" s="27"/>
      <c r="W156" s="26">
        <v>144.90000000000003</v>
      </c>
      <c r="X156" s="27"/>
      <c r="Y156" s="27"/>
      <c r="Z156" s="26">
        <f t="shared" si="14"/>
        <v>144.90000000000003</v>
      </c>
      <c r="AA156" s="26">
        <v>103.50000000000001</v>
      </c>
      <c r="AB156" s="26"/>
      <c r="AC156" s="26"/>
      <c r="AD156" s="26">
        <f t="shared" si="15"/>
        <v>248.40000000000003</v>
      </c>
      <c r="AE156" s="25"/>
    </row>
    <row r="157" spans="1:31" x14ac:dyDescent="0.3">
      <c r="A157" s="25">
        <v>5060</v>
      </c>
      <c r="B157" s="25" t="s">
        <v>16</v>
      </c>
      <c r="C157" s="25" t="s">
        <v>249</v>
      </c>
      <c r="D157" s="25" t="s">
        <v>248</v>
      </c>
      <c r="E157" s="94">
        <v>87500</v>
      </c>
      <c r="F157" s="31">
        <v>43880</v>
      </c>
      <c r="G157" s="31">
        <v>44246</v>
      </c>
      <c r="H157" s="26"/>
      <c r="I157" s="30">
        <f>VLOOKUP(C157,[1]Hoja1!G:H,2,FALSE)</f>
        <v>1.9</v>
      </c>
      <c r="J157" s="27"/>
      <c r="K157" s="27"/>
      <c r="L157" s="27"/>
      <c r="M157" s="27"/>
      <c r="N157" s="27"/>
      <c r="O157" s="27"/>
      <c r="P157" s="27"/>
      <c r="Q157" s="27"/>
      <c r="R157" s="27"/>
      <c r="S157" s="26">
        <v>0</v>
      </c>
      <c r="T157" s="27"/>
      <c r="U157" s="27"/>
      <c r="V157" s="27"/>
      <c r="W157" s="26">
        <v>189.34027777777777</v>
      </c>
      <c r="X157" s="27"/>
      <c r="Y157" s="27"/>
      <c r="Z157" s="26">
        <f t="shared" si="14"/>
        <v>189.34027777777777</v>
      </c>
      <c r="AA157" s="26">
        <v>138.54166666666666</v>
      </c>
      <c r="AB157" s="26"/>
      <c r="AC157" s="26"/>
      <c r="AD157" s="26">
        <f t="shared" si="15"/>
        <v>327.88194444444446</v>
      </c>
      <c r="AE157" s="25"/>
    </row>
    <row r="158" spans="1:31" x14ac:dyDescent="0.3">
      <c r="A158" s="25">
        <v>5060</v>
      </c>
      <c r="B158" s="25" t="s">
        <v>19</v>
      </c>
      <c r="C158" s="25" t="s">
        <v>247</v>
      </c>
      <c r="D158" s="25" t="s">
        <v>246</v>
      </c>
      <c r="E158" s="94">
        <v>87500</v>
      </c>
      <c r="F158" s="31">
        <v>43880</v>
      </c>
      <c r="G158" s="31">
        <v>44246</v>
      </c>
      <c r="H158" s="26"/>
      <c r="I158" s="30">
        <f>VLOOKUP(C158,[1]Hoja1!G:H,2,FALSE)</f>
        <v>1.9</v>
      </c>
      <c r="J158" s="27"/>
      <c r="K158" s="27"/>
      <c r="L158" s="27"/>
      <c r="M158" s="27"/>
      <c r="N158" s="27"/>
      <c r="O158" s="27"/>
      <c r="P158" s="27"/>
      <c r="Q158" s="27"/>
      <c r="R158" s="27"/>
      <c r="S158" s="26">
        <v>0</v>
      </c>
      <c r="T158" s="27"/>
      <c r="U158" s="27"/>
      <c r="V158" s="27"/>
      <c r="W158" s="26">
        <v>189.34027777777777</v>
      </c>
      <c r="X158" s="27"/>
      <c r="Y158" s="27"/>
      <c r="Z158" s="26">
        <f t="shared" si="14"/>
        <v>189.34027777777777</v>
      </c>
      <c r="AA158" s="26">
        <v>138.54166666666666</v>
      </c>
      <c r="AB158" s="26"/>
      <c r="AC158" s="26"/>
      <c r="AD158" s="26">
        <f t="shared" si="15"/>
        <v>327.88194444444446</v>
      </c>
      <c r="AE158" s="25"/>
    </row>
    <row r="159" spans="1:31" x14ac:dyDescent="0.3">
      <c r="A159" s="25">
        <v>5063</v>
      </c>
      <c r="B159" s="25" t="s">
        <v>13</v>
      </c>
      <c r="C159" s="25" t="s">
        <v>245</v>
      </c>
      <c r="D159" s="25" t="s">
        <v>244</v>
      </c>
      <c r="E159" s="94">
        <v>100000</v>
      </c>
      <c r="F159" s="31">
        <v>43881</v>
      </c>
      <c r="G159" s="31">
        <v>44247</v>
      </c>
      <c r="H159" s="26"/>
      <c r="I159" s="30">
        <f>VLOOKUP(C159,[1]Hoja1!G:H,2,FALSE)</f>
        <v>8.9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6">
        <v>0</v>
      </c>
      <c r="T159" s="27"/>
      <c r="U159" s="27"/>
      <c r="V159" s="27"/>
      <c r="W159" s="26">
        <v>988.88888888888914</v>
      </c>
      <c r="X159" s="27"/>
      <c r="Y159" s="27"/>
      <c r="Z159" s="26">
        <f t="shared" si="14"/>
        <v>988.88888888888914</v>
      </c>
      <c r="AA159" s="26">
        <v>741.66666666666686</v>
      </c>
      <c r="AB159" s="26"/>
      <c r="AC159" s="26"/>
      <c r="AD159" s="26">
        <f t="shared" si="15"/>
        <v>1730.5555555555561</v>
      </c>
      <c r="AE159" s="25"/>
    </row>
    <row r="160" spans="1:31" x14ac:dyDescent="0.3">
      <c r="A160" s="25">
        <v>5063</v>
      </c>
      <c r="B160" s="25" t="s">
        <v>25</v>
      </c>
      <c r="C160" s="25" t="s">
        <v>243</v>
      </c>
      <c r="D160" s="25" t="s">
        <v>242</v>
      </c>
      <c r="E160" s="94">
        <v>122500</v>
      </c>
      <c r="F160" s="31">
        <v>43891</v>
      </c>
      <c r="G160" s="31">
        <v>44256</v>
      </c>
      <c r="H160" s="26"/>
      <c r="I160" s="30">
        <f>VLOOKUP(C160,[1]Hoja1!G:H,2,FALSE)</f>
        <v>4.4000000000000004</v>
      </c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6">
        <v>434.19444444444451</v>
      </c>
      <c r="X160" s="27"/>
      <c r="Y160" s="27"/>
      <c r="Z160" s="26">
        <f t="shared" si="14"/>
        <v>434.19444444444451</v>
      </c>
      <c r="AA160" s="26">
        <v>449.16666666666674</v>
      </c>
      <c r="AB160" s="26"/>
      <c r="AC160" s="26"/>
      <c r="AD160" s="26">
        <f t="shared" si="15"/>
        <v>883.36111111111131</v>
      </c>
      <c r="AE160" s="25"/>
    </row>
    <row r="161" spans="1:31" x14ac:dyDescent="0.3">
      <c r="A161" s="25">
        <v>5056</v>
      </c>
      <c r="B161" s="25" t="s">
        <v>124</v>
      </c>
      <c r="C161" s="25" t="s">
        <v>241</v>
      </c>
      <c r="D161" s="25" t="s">
        <v>240</v>
      </c>
      <c r="E161" s="94">
        <v>200000</v>
      </c>
      <c r="F161" s="31">
        <v>43892</v>
      </c>
      <c r="G161" s="31">
        <v>44257</v>
      </c>
      <c r="H161" s="26"/>
      <c r="I161" s="30">
        <f>VLOOKUP(C161,[1]Hoja1!G:H,2,FALSE)</f>
        <v>5.9</v>
      </c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6">
        <v>917.77777777777783</v>
      </c>
      <c r="X161" s="27"/>
      <c r="Y161" s="27"/>
      <c r="Z161" s="26">
        <f t="shared" si="14"/>
        <v>917.77777777777783</v>
      </c>
      <c r="AA161" s="26">
        <v>983.33333333333337</v>
      </c>
      <c r="AB161" s="26"/>
      <c r="AC161" s="26"/>
      <c r="AD161" s="26">
        <f t="shared" si="15"/>
        <v>1901.1111111111113</v>
      </c>
      <c r="AE161" s="25"/>
    </row>
    <row r="162" spans="1:31" x14ac:dyDescent="0.3">
      <c r="A162" s="25">
        <v>5040</v>
      </c>
      <c r="B162" s="25" t="s">
        <v>82</v>
      </c>
      <c r="C162" s="25" t="s">
        <v>239</v>
      </c>
      <c r="D162" s="25" t="s">
        <v>238</v>
      </c>
      <c r="E162" s="94">
        <v>22652.99</v>
      </c>
      <c r="F162" s="31">
        <v>43894</v>
      </c>
      <c r="G162" s="31">
        <v>44259</v>
      </c>
      <c r="H162" s="26"/>
      <c r="I162" s="30">
        <f>VLOOKUP(C162,[1]Hoja1!G:H,2,FALSE)</f>
        <v>6.15</v>
      </c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6">
        <v>100.61703058333335</v>
      </c>
      <c r="X162" s="27"/>
      <c r="Y162" s="27"/>
      <c r="Z162" s="26">
        <f t="shared" si="14"/>
        <v>100.61703058333335</v>
      </c>
      <c r="AA162" s="26">
        <v>116.09657375000002</v>
      </c>
      <c r="AB162" s="26"/>
      <c r="AC162" s="26"/>
      <c r="AD162" s="26">
        <f t="shared" si="15"/>
        <v>216.71360433333336</v>
      </c>
      <c r="AE162" s="25"/>
    </row>
    <row r="163" spans="1:31" x14ac:dyDescent="0.3">
      <c r="A163" s="25">
        <v>5056</v>
      </c>
      <c r="B163" s="25" t="s">
        <v>124</v>
      </c>
      <c r="C163" s="25" t="s">
        <v>237</v>
      </c>
      <c r="D163" s="25" t="s">
        <v>236</v>
      </c>
      <c r="E163" s="94">
        <v>50000</v>
      </c>
      <c r="F163" s="31">
        <v>43902</v>
      </c>
      <c r="G163" s="31">
        <v>44267</v>
      </c>
      <c r="H163" s="26"/>
      <c r="I163" s="30">
        <f>VLOOKUP(C163,[1]Hoja1!G:H,2,FALSE)</f>
        <v>4.9000000000000004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6">
        <v>122.5</v>
      </c>
      <c r="X163" s="27"/>
      <c r="Y163" s="27"/>
      <c r="Z163" s="26">
        <f t="shared" si="14"/>
        <v>122.5</v>
      </c>
      <c r="AA163" s="26">
        <v>204.16666666666666</v>
      </c>
      <c r="AB163" s="26"/>
      <c r="AC163" s="26"/>
      <c r="AD163" s="26">
        <f t="shared" si="15"/>
        <v>326.66666666666663</v>
      </c>
      <c r="AE163" s="25"/>
    </row>
    <row r="164" spans="1:31" x14ac:dyDescent="0.3">
      <c r="A164" s="25">
        <v>5060</v>
      </c>
      <c r="B164" s="25" t="s">
        <v>16</v>
      </c>
      <c r="C164" s="25" t="s">
        <v>235</v>
      </c>
      <c r="D164" s="25" t="s">
        <v>234</v>
      </c>
      <c r="E164" s="94">
        <v>72500</v>
      </c>
      <c r="F164" s="31">
        <v>43903</v>
      </c>
      <c r="G164" s="31">
        <v>44268</v>
      </c>
      <c r="H164" s="26"/>
      <c r="I164" s="30">
        <f>VLOOKUP(C164,[1]Hoja1!G:H,2,FALSE)</f>
        <v>1.9</v>
      </c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6">
        <v>65.048611111111114</v>
      </c>
      <c r="X164" s="27"/>
      <c r="Y164" s="27"/>
      <c r="Z164" s="26">
        <f t="shared" si="14"/>
        <v>65.048611111111114</v>
      </c>
      <c r="AA164" s="26">
        <v>114.79166666666667</v>
      </c>
      <c r="AB164" s="26"/>
      <c r="AC164" s="26"/>
      <c r="AD164" s="26">
        <f t="shared" si="15"/>
        <v>179.84027777777777</v>
      </c>
      <c r="AE164" s="25"/>
    </row>
    <row r="165" spans="1:31" x14ac:dyDescent="0.3">
      <c r="A165" s="43">
        <v>5060</v>
      </c>
      <c r="B165" s="43" t="s">
        <v>233</v>
      </c>
      <c r="C165" s="43" t="s">
        <v>232</v>
      </c>
      <c r="D165" s="43" t="s">
        <v>231</v>
      </c>
      <c r="E165" s="94">
        <v>80000</v>
      </c>
      <c r="F165" s="45">
        <v>43903</v>
      </c>
      <c r="G165" s="31">
        <v>44268</v>
      </c>
      <c r="H165" s="26"/>
      <c r="I165" s="30">
        <f>VLOOKUP(C165,[1]Hoja1!G:H,2,FALSE)</f>
        <v>5.65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6">
        <v>213.44444444444443</v>
      </c>
      <c r="X165" s="27"/>
      <c r="Y165" s="27"/>
      <c r="Z165" s="26">
        <f t="shared" si="14"/>
        <v>213.44444444444443</v>
      </c>
      <c r="AA165" s="26">
        <v>376.66666666666669</v>
      </c>
      <c r="AB165" s="26"/>
      <c r="AC165" s="26"/>
      <c r="AD165" s="26">
        <f t="shared" si="15"/>
        <v>590.11111111111109</v>
      </c>
      <c r="AE165" s="25"/>
    </row>
    <row r="166" spans="1:31" x14ac:dyDescent="0.3">
      <c r="A166" s="25">
        <v>5063</v>
      </c>
      <c r="B166" s="25" t="s">
        <v>13</v>
      </c>
      <c r="C166" s="25" t="s">
        <v>230</v>
      </c>
      <c r="D166" s="25" t="s">
        <v>229</v>
      </c>
      <c r="E166" s="92">
        <v>100000</v>
      </c>
      <c r="F166" s="31">
        <v>43904</v>
      </c>
      <c r="G166" s="31">
        <v>44269</v>
      </c>
      <c r="H166" s="26"/>
      <c r="I166" s="30">
        <f>VLOOKUP(C166,[1]Hoja1!G:H,2,FALSE)</f>
        <v>4.6500000000000004</v>
      </c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6">
        <v>206.66666666666671</v>
      </c>
      <c r="X166" s="27"/>
      <c r="Y166" s="27"/>
      <c r="Z166" s="26">
        <f t="shared" si="14"/>
        <v>206.66666666666671</v>
      </c>
      <c r="AA166" s="26">
        <v>387.50000000000011</v>
      </c>
      <c r="AB166" s="26"/>
      <c r="AC166" s="26"/>
      <c r="AD166" s="26">
        <f t="shared" si="15"/>
        <v>594.16666666666686</v>
      </c>
      <c r="AE166" s="25"/>
    </row>
    <row r="167" spans="1:31" x14ac:dyDescent="0.3">
      <c r="A167" s="25">
        <v>5057</v>
      </c>
      <c r="B167" s="25" t="s">
        <v>74</v>
      </c>
      <c r="C167" s="25" t="s">
        <v>228</v>
      </c>
      <c r="D167" s="25" t="s">
        <v>227</v>
      </c>
      <c r="E167" s="92">
        <v>100000</v>
      </c>
      <c r="F167" s="31">
        <v>43910</v>
      </c>
      <c r="G167" s="31">
        <v>44275</v>
      </c>
      <c r="H167" s="26"/>
      <c r="I167" s="30">
        <f>VLOOKUP(C167,[1]Hoja1!G:H,2,FALSE)</f>
        <v>3.4</v>
      </c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6">
        <v>94.444444444444457</v>
      </c>
      <c r="X167" s="27"/>
      <c r="Y167" s="27"/>
      <c r="Z167" s="26">
        <f t="shared" si="14"/>
        <v>94.444444444444457</v>
      </c>
      <c r="AA167" s="26">
        <v>283.33333333333337</v>
      </c>
      <c r="AB167" s="26"/>
      <c r="AC167" s="26"/>
      <c r="AD167" s="26">
        <f t="shared" si="15"/>
        <v>377.77777777777783</v>
      </c>
      <c r="AE167" s="25"/>
    </row>
    <row r="168" spans="1:31" x14ac:dyDescent="0.3">
      <c r="A168" s="25">
        <v>5003</v>
      </c>
      <c r="B168" s="25" t="s">
        <v>148</v>
      </c>
      <c r="C168" s="25" t="s">
        <v>733</v>
      </c>
      <c r="D168" s="25" t="s">
        <v>734</v>
      </c>
      <c r="E168" s="92">
        <v>150000</v>
      </c>
      <c r="F168" s="31">
        <v>43614</v>
      </c>
      <c r="G168" s="31">
        <v>43980</v>
      </c>
      <c r="H168" s="26"/>
      <c r="I168" s="92">
        <v>5.9161599999999996</v>
      </c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5">
        <v>0</v>
      </c>
      <c r="X168" s="27"/>
      <c r="Y168" s="26">
        <v>7567.7546666666667</v>
      </c>
      <c r="Z168" s="26">
        <f t="shared" si="14"/>
        <v>7567.7546666666667</v>
      </c>
      <c r="AA168" s="26">
        <v>739.52</v>
      </c>
      <c r="AB168" s="26"/>
      <c r="AC168" s="26"/>
      <c r="AD168" s="26">
        <f t="shared" si="15"/>
        <v>8307.2746666666662</v>
      </c>
      <c r="AE168" s="25" t="s">
        <v>735</v>
      </c>
    </row>
    <row r="169" spans="1:31" x14ac:dyDescent="0.3">
      <c r="A169" s="25">
        <v>5062</v>
      </c>
      <c r="B169" s="25" t="s">
        <v>85</v>
      </c>
      <c r="C169" s="25" t="s">
        <v>226</v>
      </c>
      <c r="D169" s="25" t="s">
        <v>225</v>
      </c>
      <c r="E169" s="92">
        <v>315230</v>
      </c>
      <c r="F169" s="31">
        <v>43795</v>
      </c>
      <c r="G169" s="31">
        <v>44044</v>
      </c>
      <c r="H169" s="26"/>
      <c r="I169" s="92">
        <v>7.4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5">
        <v>0</v>
      </c>
      <c r="X169" s="27"/>
      <c r="Y169" s="26">
        <v>8186.8209923499999</v>
      </c>
      <c r="Z169" s="26">
        <f t="shared" si="14"/>
        <v>8186.8209923499999</v>
      </c>
      <c r="AA169" s="26">
        <v>1949.2430934166669</v>
      </c>
      <c r="AB169" s="26"/>
      <c r="AC169" s="26"/>
      <c r="AD169" s="26">
        <f t="shared" si="15"/>
        <v>10136.064085766666</v>
      </c>
      <c r="AE169" s="25" t="s">
        <v>735</v>
      </c>
    </row>
    <row r="170" spans="1:31" x14ac:dyDescent="0.3">
      <c r="A170" s="25">
        <v>5060</v>
      </c>
      <c r="B170" s="25" t="s">
        <v>16</v>
      </c>
      <c r="C170" s="25" t="s">
        <v>224</v>
      </c>
      <c r="D170" s="25" t="s">
        <v>223</v>
      </c>
      <c r="E170" s="92">
        <v>330000</v>
      </c>
      <c r="F170" s="31">
        <v>43733</v>
      </c>
      <c r="G170" s="31">
        <v>44099</v>
      </c>
      <c r="H170" s="26"/>
      <c r="I170" s="92">
        <v>1.9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5">
        <v>0</v>
      </c>
      <c r="X170" s="27"/>
      <c r="Y170" s="26">
        <v>3274.3333333333335</v>
      </c>
      <c r="Z170" s="26">
        <f t="shared" si="14"/>
        <v>3274.3333333333335</v>
      </c>
      <c r="AA170" s="26">
        <v>522.5</v>
      </c>
      <c r="AB170" s="26"/>
      <c r="AC170" s="26"/>
      <c r="AD170" s="26">
        <f t="shared" si="15"/>
        <v>3796.8333333333335</v>
      </c>
      <c r="AE170" s="25" t="s">
        <v>735</v>
      </c>
    </row>
    <row r="171" spans="1:31" x14ac:dyDescent="0.3">
      <c r="A171" s="25">
        <v>5060</v>
      </c>
      <c r="B171" s="25" t="s">
        <v>40</v>
      </c>
      <c r="C171" s="25" t="s">
        <v>222</v>
      </c>
      <c r="D171" s="25" t="s">
        <v>221</v>
      </c>
      <c r="E171" s="92">
        <v>1100000</v>
      </c>
      <c r="F171" s="31">
        <v>43665</v>
      </c>
      <c r="G171" s="31">
        <v>44031</v>
      </c>
      <c r="H171" s="26"/>
      <c r="I171" s="92">
        <v>6.4</v>
      </c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5">
        <v>0</v>
      </c>
      <c r="X171" s="27"/>
      <c r="Y171" s="26">
        <v>50062.222222222219</v>
      </c>
      <c r="Z171" s="26">
        <f t="shared" si="14"/>
        <v>50062.222222222219</v>
      </c>
      <c r="AA171" s="26">
        <v>5866.6666666666661</v>
      </c>
      <c r="AB171" s="26"/>
      <c r="AC171" s="26"/>
      <c r="AD171" s="26">
        <f t="shared" si="15"/>
        <v>55928.888888888883</v>
      </c>
      <c r="AE171" s="25" t="s">
        <v>735</v>
      </c>
    </row>
    <row r="172" spans="1:31" x14ac:dyDescent="0.3">
      <c r="A172" s="25">
        <v>5031</v>
      </c>
      <c r="B172" s="25" t="s">
        <v>7</v>
      </c>
      <c r="C172" s="25" t="s">
        <v>220</v>
      </c>
      <c r="D172" s="25" t="s">
        <v>219</v>
      </c>
      <c r="E172" s="92">
        <v>465000</v>
      </c>
      <c r="F172" s="31">
        <v>43733</v>
      </c>
      <c r="G172" s="31">
        <v>44099</v>
      </c>
      <c r="H172" s="26"/>
      <c r="I172" s="92">
        <v>6.4</v>
      </c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5">
        <v>0</v>
      </c>
      <c r="X172" s="27"/>
      <c r="Y172" s="26">
        <v>15541.333333333334</v>
      </c>
      <c r="Z172" s="26">
        <f t="shared" si="14"/>
        <v>15541.333333333334</v>
      </c>
      <c r="AA172" s="26">
        <v>2480</v>
      </c>
      <c r="AB172" s="26"/>
      <c r="AC172" s="26"/>
      <c r="AD172" s="26">
        <f t="shared" si="15"/>
        <v>18021.333333333336</v>
      </c>
      <c r="AE172" s="25" t="s">
        <v>735</v>
      </c>
    </row>
    <row r="173" spans="1:31" x14ac:dyDescent="0.3">
      <c r="A173" s="25">
        <v>5055</v>
      </c>
      <c r="B173" s="25" t="s">
        <v>53</v>
      </c>
      <c r="C173" s="25" t="s">
        <v>217</v>
      </c>
      <c r="D173" s="25" t="s">
        <v>216</v>
      </c>
      <c r="E173" s="92">
        <v>800000</v>
      </c>
      <c r="F173" s="31">
        <v>43829</v>
      </c>
      <c r="G173" s="31">
        <v>44195</v>
      </c>
      <c r="H173" s="26"/>
      <c r="I173" s="92">
        <v>6.85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5">
        <v>0</v>
      </c>
      <c r="X173" s="27"/>
      <c r="Y173" s="26">
        <v>14004.444444444442</v>
      </c>
      <c r="Z173" s="26">
        <f t="shared" si="14"/>
        <v>14004.444444444442</v>
      </c>
      <c r="AA173" s="26">
        <v>4566.6666666666661</v>
      </c>
      <c r="AB173" s="26"/>
      <c r="AC173" s="26"/>
      <c r="AD173" s="26">
        <f t="shared" si="15"/>
        <v>18571.111111111109</v>
      </c>
      <c r="AE173" s="25" t="s">
        <v>735</v>
      </c>
    </row>
    <row r="174" spans="1:31" x14ac:dyDescent="0.3">
      <c r="A174" s="90">
        <v>5063</v>
      </c>
      <c r="B174" s="90" t="s">
        <v>25</v>
      </c>
      <c r="C174" s="90" t="s">
        <v>215</v>
      </c>
      <c r="D174" s="90" t="s">
        <v>214</v>
      </c>
      <c r="E174" s="91">
        <v>122500</v>
      </c>
      <c r="F174" s="31">
        <v>43922</v>
      </c>
      <c r="G174" s="31">
        <v>44287</v>
      </c>
      <c r="H174" s="26"/>
      <c r="I174" s="95">
        <v>4.4000000000000004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5"/>
      <c r="X174" s="27"/>
      <c r="Y174" s="27"/>
      <c r="Z174" s="26"/>
      <c r="AA174" s="26">
        <v>434.19444444444451</v>
      </c>
      <c r="AB174" s="26"/>
      <c r="AC174" s="26"/>
      <c r="AD174" s="26">
        <f t="shared" si="15"/>
        <v>434.19444444444451</v>
      </c>
      <c r="AE174" s="25"/>
    </row>
    <row r="175" spans="1:31" x14ac:dyDescent="0.3">
      <c r="A175" s="90">
        <v>5060</v>
      </c>
      <c r="B175" s="90" t="s">
        <v>16</v>
      </c>
      <c r="C175" s="90" t="s">
        <v>213</v>
      </c>
      <c r="D175" s="90" t="s">
        <v>212</v>
      </c>
      <c r="E175" s="91">
        <v>90000</v>
      </c>
      <c r="F175" s="31">
        <v>43925</v>
      </c>
      <c r="G175" s="31">
        <v>44290</v>
      </c>
      <c r="H175" s="26"/>
      <c r="I175" s="95">
        <v>1.9</v>
      </c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5"/>
      <c r="X175" s="27"/>
      <c r="Y175" s="27"/>
      <c r="Z175" s="26"/>
      <c r="AA175" s="26">
        <v>137.75</v>
      </c>
      <c r="AB175" s="26"/>
      <c r="AC175" s="26"/>
      <c r="AD175" s="26">
        <f t="shared" si="15"/>
        <v>137.75</v>
      </c>
      <c r="AE175" s="25"/>
    </row>
    <row r="176" spans="1:31" x14ac:dyDescent="0.3">
      <c r="A176" s="90">
        <v>5005</v>
      </c>
      <c r="B176" s="90" t="s">
        <v>211</v>
      </c>
      <c r="C176" s="90" t="s">
        <v>210</v>
      </c>
      <c r="D176" s="90" t="s">
        <v>209</v>
      </c>
      <c r="E176" s="91">
        <v>1100000</v>
      </c>
      <c r="F176" s="31">
        <v>43927</v>
      </c>
      <c r="G176" s="31">
        <v>44292</v>
      </c>
      <c r="H176" s="26"/>
      <c r="I176" s="95">
        <v>5.92</v>
      </c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5"/>
      <c r="X176" s="27"/>
      <c r="Y176" s="27"/>
      <c r="Z176" s="26"/>
      <c r="AA176" s="26">
        <v>4341.333333333333</v>
      </c>
      <c r="AB176" s="26"/>
      <c r="AC176" s="26"/>
      <c r="AD176" s="26">
        <f t="shared" si="15"/>
        <v>4341.333333333333</v>
      </c>
      <c r="AE176" s="25"/>
    </row>
    <row r="177" spans="1:31" x14ac:dyDescent="0.3">
      <c r="A177" s="90">
        <v>5057</v>
      </c>
      <c r="B177" s="90" t="s">
        <v>74</v>
      </c>
      <c r="C177" s="90" t="s">
        <v>208</v>
      </c>
      <c r="D177" s="90" t="s">
        <v>207</v>
      </c>
      <c r="E177" s="91">
        <v>120000</v>
      </c>
      <c r="F177" s="31">
        <v>43930</v>
      </c>
      <c r="G177" s="31">
        <v>44295</v>
      </c>
      <c r="H177" s="26"/>
      <c r="I177" s="95">
        <v>3.4</v>
      </c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5"/>
      <c r="X177" s="27"/>
      <c r="Y177" s="27"/>
      <c r="Z177" s="26"/>
      <c r="AA177" s="26">
        <v>238</v>
      </c>
      <c r="AB177" s="26"/>
      <c r="AC177" s="26"/>
      <c r="AD177" s="26">
        <f t="shared" si="15"/>
        <v>238</v>
      </c>
      <c r="AE177" s="25"/>
    </row>
    <row r="178" spans="1:31" x14ac:dyDescent="0.3">
      <c r="A178" s="90">
        <v>5004</v>
      </c>
      <c r="B178" s="90" t="s">
        <v>174</v>
      </c>
      <c r="C178" s="90" t="s">
        <v>206</v>
      </c>
      <c r="D178" s="90" t="s">
        <v>205</v>
      </c>
      <c r="E178" s="91">
        <v>810000</v>
      </c>
      <c r="F178" s="31">
        <v>43936</v>
      </c>
      <c r="G178" s="31">
        <v>44301</v>
      </c>
      <c r="H178" s="26"/>
      <c r="I178" s="95">
        <v>5.65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5"/>
      <c r="X178" s="27"/>
      <c r="Y178" s="27"/>
      <c r="Z178" s="26"/>
      <c r="AA178" s="26">
        <v>1906.875</v>
      </c>
      <c r="AB178" s="26"/>
      <c r="AC178" s="26"/>
      <c r="AD178" s="26">
        <f t="shared" si="15"/>
        <v>1906.875</v>
      </c>
      <c r="AE178" s="25"/>
    </row>
    <row r="179" spans="1:31" x14ac:dyDescent="0.3">
      <c r="A179" s="90">
        <v>5031</v>
      </c>
      <c r="B179" s="90" t="s">
        <v>204</v>
      </c>
      <c r="C179" s="90" t="s">
        <v>203</v>
      </c>
      <c r="D179" s="90" t="s">
        <v>202</v>
      </c>
      <c r="E179" s="91">
        <v>330000</v>
      </c>
      <c r="F179" s="31">
        <v>43937</v>
      </c>
      <c r="G179" s="31">
        <v>44302</v>
      </c>
      <c r="H179" s="26"/>
      <c r="I179" s="95">
        <v>4.9000000000000004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5"/>
      <c r="X179" s="27"/>
      <c r="Y179" s="27"/>
      <c r="Z179" s="26"/>
      <c r="AA179" s="26">
        <v>628.83333333333326</v>
      </c>
      <c r="AB179" s="26"/>
      <c r="AC179" s="26"/>
      <c r="AD179" s="26">
        <f t="shared" si="15"/>
        <v>628.83333333333326</v>
      </c>
      <c r="AE179" s="25"/>
    </row>
    <row r="180" spans="1:31" x14ac:dyDescent="0.3">
      <c r="A180" s="90">
        <v>5060</v>
      </c>
      <c r="B180" s="90" t="s">
        <v>177</v>
      </c>
      <c r="C180" s="90" t="s">
        <v>201</v>
      </c>
      <c r="D180" s="90" t="s">
        <v>200</v>
      </c>
      <c r="E180" s="91">
        <v>33000</v>
      </c>
      <c r="F180" s="31">
        <v>43942</v>
      </c>
      <c r="G180" s="31">
        <v>44307</v>
      </c>
      <c r="H180" s="26"/>
      <c r="I180" s="95">
        <v>6.4</v>
      </c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5"/>
      <c r="X180" s="27"/>
      <c r="Y180" s="27"/>
      <c r="Z180" s="26"/>
      <c r="AA180" s="26">
        <v>52.8</v>
      </c>
      <c r="AB180" s="26"/>
      <c r="AC180" s="26"/>
      <c r="AD180" s="26">
        <f t="shared" si="15"/>
        <v>52.8</v>
      </c>
      <c r="AE180" s="25"/>
    </row>
    <row r="181" spans="1:31" x14ac:dyDescent="0.3">
      <c r="A181" s="90">
        <v>5004</v>
      </c>
      <c r="B181" s="90" t="s">
        <v>174</v>
      </c>
      <c r="C181" s="90" t="s">
        <v>197</v>
      </c>
      <c r="D181" s="90" t="s">
        <v>199</v>
      </c>
      <c r="E181" s="91">
        <v>1050000</v>
      </c>
      <c r="F181" s="31">
        <v>43943</v>
      </c>
      <c r="G181" s="31">
        <v>44308</v>
      </c>
      <c r="H181" s="26"/>
      <c r="I181" s="95">
        <v>5.65</v>
      </c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5"/>
      <c r="X181" s="27"/>
      <c r="Y181" s="27"/>
      <c r="Z181" s="26"/>
      <c r="AA181" s="26">
        <v>1318.3333333333333</v>
      </c>
      <c r="AB181" s="26"/>
      <c r="AC181" s="26"/>
      <c r="AD181" s="26">
        <f t="shared" si="15"/>
        <v>1318.3333333333333</v>
      </c>
      <c r="AE181" s="25"/>
    </row>
    <row r="182" spans="1:31" x14ac:dyDescent="0.3">
      <c r="A182" s="90">
        <v>5057</v>
      </c>
      <c r="B182" s="90" t="s">
        <v>74</v>
      </c>
      <c r="C182" s="90" t="s">
        <v>195</v>
      </c>
      <c r="D182" s="90" t="s">
        <v>194</v>
      </c>
      <c r="E182" s="91">
        <v>100000</v>
      </c>
      <c r="F182" s="31">
        <v>43946</v>
      </c>
      <c r="G182" s="31">
        <v>44311</v>
      </c>
      <c r="H182" s="26"/>
      <c r="I182" s="95">
        <v>3.4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5"/>
      <c r="X182" s="27"/>
      <c r="Y182" s="27"/>
      <c r="Z182" s="26"/>
      <c r="AA182" s="26">
        <v>47.222222222222229</v>
      </c>
      <c r="AB182" s="26"/>
      <c r="AC182" s="26"/>
      <c r="AD182" s="26">
        <f t="shared" si="15"/>
        <v>47.222222222222229</v>
      </c>
      <c r="AE182" s="25"/>
    </row>
    <row r="183" spans="1:31" x14ac:dyDescent="0.3">
      <c r="A183" s="90">
        <v>5063</v>
      </c>
      <c r="B183" s="90" t="s">
        <v>77</v>
      </c>
      <c r="C183" s="90" t="s">
        <v>193</v>
      </c>
      <c r="D183" s="90" t="s">
        <v>192</v>
      </c>
      <c r="E183" s="91">
        <v>191200</v>
      </c>
      <c r="F183" s="31">
        <v>43948</v>
      </c>
      <c r="G183" s="31">
        <v>44312</v>
      </c>
      <c r="H183" s="26"/>
      <c r="I183" s="95">
        <v>5.4</v>
      </c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5"/>
      <c r="X183" s="27"/>
      <c r="Y183" s="27"/>
      <c r="Z183" s="26"/>
      <c r="AA183" s="26">
        <v>86.04</v>
      </c>
      <c r="AB183" s="26"/>
      <c r="AC183" s="26"/>
      <c r="AD183" s="26">
        <f t="shared" si="15"/>
        <v>86.04</v>
      </c>
      <c r="AE183" s="25"/>
    </row>
    <row r="184" spans="1:31" x14ac:dyDescent="0.3">
      <c r="A184" s="90">
        <v>5060</v>
      </c>
      <c r="B184" s="90" t="s">
        <v>177</v>
      </c>
      <c r="C184" s="90" t="s">
        <v>191</v>
      </c>
      <c r="D184" s="90" t="s">
        <v>190</v>
      </c>
      <c r="E184" s="91">
        <v>20000</v>
      </c>
      <c r="F184" s="31">
        <v>43946</v>
      </c>
      <c r="G184" s="31">
        <v>44311</v>
      </c>
      <c r="H184" s="26"/>
      <c r="I184" s="95">
        <v>6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5"/>
      <c r="X184" s="27"/>
      <c r="Y184" s="27"/>
      <c r="Z184" s="26"/>
      <c r="AA184" s="26">
        <v>16.666666666666668</v>
      </c>
      <c r="AB184" s="26"/>
      <c r="AC184" s="26"/>
      <c r="AD184" s="26">
        <f t="shared" si="15"/>
        <v>16.666666666666668</v>
      </c>
      <c r="AE184" s="25"/>
    </row>
    <row r="185" spans="1:31" x14ac:dyDescent="0.3">
      <c r="A185" s="78">
        <v>5060</v>
      </c>
      <c r="B185" s="78" t="s">
        <v>177</v>
      </c>
      <c r="C185" s="78" t="s">
        <v>189</v>
      </c>
      <c r="D185" s="78" t="s">
        <v>188</v>
      </c>
      <c r="E185" s="79">
        <v>60000</v>
      </c>
      <c r="F185" s="31">
        <v>43946</v>
      </c>
      <c r="G185" s="31">
        <v>44311</v>
      </c>
      <c r="H185" s="26"/>
      <c r="I185" s="95">
        <v>6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5"/>
      <c r="X185" s="27"/>
      <c r="Y185" s="27"/>
      <c r="Z185" s="26"/>
      <c r="AA185" s="26">
        <v>50</v>
      </c>
      <c r="AB185" s="26"/>
      <c r="AC185" s="26"/>
      <c r="AD185" s="26">
        <f t="shared" si="15"/>
        <v>50</v>
      </c>
      <c r="AE185" s="25"/>
    </row>
    <row r="186" spans="1:31" x14ac:dyDescent="0.3">
      <c r="A186" s="78">
        <v>5060</v>
      </c>
      <c r="B186" s="78" t="s">
        <v>177</v>
      </c>
      <c r="C186" s="78" t="s">
        <v>187</v>
      </c>
      <c r="D186" s="78" t="s">
        <v>186</v>
      </c>
      <c r="E186" s="79">
        <v>87995</v>
      </c>
      <c r="F186" s="31">
        <v>43946</v>
      </c>
      <c r="G186" s="31">
        <v>44311</v>
      </c>
      <c r="H186" s="26"/>
      <c r="I186" s="95">
        <v>6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5"/>
      <c r="X186" s="27"/>
      <c r="Y186" s="27"/>
      <c r="Z186" s="26"/>
      <c r="AA186" s="26">
        <v>73.329166666666666</v>
      </c>
      <c r="AB186" s="26"/>
      <c r="AC186" s="26"/>
      <c r="AD186" s="26">
        <f t="shared" si="15"/>
        <v>73.329166666666666</v>
      </c>
      <c r="AE186" s="25"/>
    </row>
    <row r="187" spans="1:31" x14ac:dyDescent="0.3">
      <c r="A187" s="78">
        <v>5060</v>
      </c>
      <c r="B187" s="78" t="s">
        <v>177</v>
      </c>
      <c r="C187" s="78" t="s">
        <v>185</v>
      </c>
      <c r="D187" s="78" t="s">
        <v>184</v>
      </c>
      <c r="E187" s="79">
        <v>17500</v>
      </c>
      <c r="F187" s="31">
        <v>43946</v>
      </c>
      <c r="G187" s="31">
        <v>44311</v>
      </c>
      <c r="H187" s="26"/>
      <c r="I187" s="95">
        <v>6</v>
      </c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5"/>
      <c r="X187" s="27"/>
      <c r="Y187" s="27"/>
      <c r="Z187" s="26"/>
      <c r="AA187" s="26">
        <v>14.583333333333332</v>
      </c>
      <c r="AB187" s="26"/>
      <c r="AC187" s="26"/>
      <c r="AD187" s="26">
        <f t="shared" si="15"/>
        <v>14.583333333333332</v>
      </c>
      <c r="AE187" s="25"/>
    </row>
    <row r="188" spans="1:31" x14ac:dyDescent="0.3">
      <c r="A188" s="78">
        <v>5060</v>
      </c>
      <c r="B188" s="78" t="s">
        <v>177</v>
      </c>
      <c r="C188" s="78" t="s">
        <v>183</v>
      </c>
      <c r="D188" s="78" t="s">
        <v>182</v>
      </c>
      <c r="E188" s="79">
        <v>48500</v>
      </c>
      <c r="F188" s="31">
        <v>43946</v>
      </c>
      <c r="G188" s="31">
        <v>44311</v>
      </c>
      <c r="H188" s="26"/>
      <c r="I188" s="95">
        <v>6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5"/>
      <c r="X188" s="27"/>
      <c r="Y188" s="27"/>
      <c r="Z188" s="26"/>
      <c r="AA188" s="26">
        <v>40.416666666666671</v>
      </c>
      <c r="AB188" s="26"/>
      <c r="AC188" s="26"/>
      <c r="AD188" s="26">
        <f t="shared" si="15"/>
        <v>40.416666666666671</v>
      </c>
      <c r="AE188" s="25"/>
    </row>
    <row r="189" spans="1:31" x14ac:dyDescent="0.3">
      <c r="A189" s="78">
        <v>5060</v>
      </c>
      <c r="B189" s="78" t="s">
        <v>177</v>
      </c>
      <c r="C189" s="78" t="s">
        <v>181</v>
      </c>
      <c r="D189" s="78" t="s">
        <v>180</v>
      </c>
      <c r="E189" s="79">
        <v>100000</v>
      </c>
      <c r="F189" s="31">
        <v>43946</v>
      </c>
      <c r="G189" s="31">
        <v>44311</v>
      </c>
      <c r="H189" s="26"/>
      <c r="I189" s="95">
        <v>6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5"/>
      <c r="X189" s="27"/>
      <c r="Y189" s="27"/>
      <c r="Z189" s="26"/>
      <c r="AA189" s="26">
        <v>83.333333333333343</v>
      </c>
      <c r="AB189" s="26"/>
      <c r="AC189" s="26"/>
      <c r="AD189" s="26">
        <f t="shared" si="15"/>
        <v>83.333333333333343</v>
      </c>
      <c r="AE189" s="25"/>
    </row>
    <row r="190" spans="1:31" x14ac:dyDescent="0.3">
      <c r="A190" s="78">
        <v>5060</v>
      </c>
      <c r="B190" s="78" t="s">
        <v>177</v>
      </c>
      <c r="C190" s="78" t="s">
        <v>179</v>
      </c>
      <c r="D190" s="78" t="s">
        <v>178</v>
      </c>
      <c r="E190" s="79">
        <v>50000</v>
      </c>
      <c r="F190" s="31">
        <v>43946</v>
      </c>
      <c r="G190" s="31">
        <v>44311</v>
      </c>
      <c r="H190" s="26"/>
      <c r="I190" s="95">
        <v>6</v>
      </c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5"/>
      <c r="X190" s="27"/>
      <c r="Y190" s="27"/>
      <c r="Z190" s="26"/>
      <c r="AA190" s="26">
        <v>41.666666666666671</v>
      </c>
      <c r="AB190" s="26"/>
      <c r="AC190" s="26"/>
      <c r="AD190" s="26">
        <f t="shared" si="15"/>
        <v>41.666666666666671</v>
      </c>
      <c r="AE190" s="25"/>
    </row>
    <row r="191" spans="1:31" x14ac:dyDescent="0.3">
      <c r="A191" s="78">
        <v>5060</v>
      </c>
      <c r="B191" s="78" t="s">
        <v>177</v>
      </c>
      <c r="C191" s="78" t="s">
        <v>176</v>
      </c>
      <c r="D191" s="78" t="s">
        <v>175</v>
      </c>
      <c r="E191" s="79">
        <v>50000</v>
      </c>
      <c r="F191" s="31">
        <v>43946</v>
      </c>
      <c r="G191" s="31">
        <v>44311</v>
      </c>
      <c r="H191" s="26"/>
      <c r="I191" s="95">
        <v>6</v>
      </c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5"/>
      <c r="X191" s="27"/>
      <c r="Y191" s="27"/>
      <c r="Z191" s="26"/>
      <c r="AA191" s="26">
        <v>41.666666666666671</v>
      </c>
      <c r="AB191" s="26"/>
      <c r="AC191" s="26"/>
      <c r="AD191" s="26">
        <f t="shared" si="15"/>
        <v>41.666666666666671</v>
      </c>
      <c r="AE191" s="25"/>
    </row>
    <row r="192" spans="1:31" x14ac:dyDescent="0.3">
      <c r="A192" s="78">
        <v>5004</v>
      </c>
      <c r="B192" s="78" t="s">
        <v>174</v>
      </c>
      <c r="C192" s="78" t="s">
        <v>173</v>
      </c>
      <c r="D192" s="78" t="s">
        <v>172</v>
      </c>
      <c r="E192" s="79">
        <v>985000</v>
      </c>
      <c r="F192" s="31">
        <v>43950</v>
      </c>
      <c r="G192" s="31">
        <v>44315</v>
      </c>
      <c r="H192" s="26"/>
      <c r="I192" s="95">
        <v>6.15</v>
      </c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5"/>
      <c r="X192" s="27"/>
      <c r="Y192" s="27"/>
      <c r="Z192" s="26"/>
      <c r="AA192" s="26">
        <v>168.27083333333334</v>
      </c>
      <c r="AB192" s="26"/>
      <c r="AC192" s="26"/>
      <c r="AD192" s="26">
        <f t="shared" si="15"/>
        <v>168.27083333333334</v>
      </c>
      <c r="AE192" s="25"/>
    </row>
    <row r="193" spans="1:31" x14ac:dyDescent="0.3">
      <c r="A193" s="90"/>
      <c r="B193" s="90"/>
      <c r="C193" s="90"/>
      <c r="D193" s="90"/>
      <c r="E193" s="91"/>
      <c r="F193" s="31"/>
      <c r="G193" s="31"/>
      <c r="H193" s="26"/>
      <c r="I193" s="30"/>
      <c r="J193" s="27">
        <v>0</v>
      </c>
      <c r="K193" s="27"/>
      <c r="L193" s="27"/>
      <c r="M193" s="27"/>
      <c r="N193" s="27">
        <f t="shared" ref="N193" si="16">+J193+K193+L193+M193</f>
        <v>0</v>
      </c>
      <c r="O193" s="27"/>
      <c r="P193" s="27"/>
      <c r="Q193" s="27"/>
      <c r="R193" s="27">
        <v>0</v>
      </c>
      <c r="S193" s="27"/>
      <c r="T193" s="27"/>
      <c r="U193" s="27"/>
      <c r="V193" s="27">
        <f t="shared" si="13"/>
        <v>0</v>
      </c>
      <c r="W193" s="26"/>
      <c r="X193" s="27"/>
      <c r="Y193" s="27"/>
      <c r="Z193" s="26">
        <f t="shared" si="14"/>
        <v>0</v>
      </c>
      <c r="AA193" s="26"/>
      <c r="AB193" s="26"/>
      <c r="AC193" s="26"/>
      <c r="AD193" s="26">
        <f t="shared" si="15"/>
        <v>0</v>
      </c>
      <c r="AE193" s="25"/>
    </row>
    <row r="194" spans="1:31" ht="15" thickBot="1" x14ac:dyDescent="0.35">
      <c r="A194" s="23" t="s">
        <v>4</v>
      </c>
      <c r="B194" s="23"/>
      <c r="C194" s="23"/>
      <c r="D194" s="20"/>
      <c r="E194" s="22">
        <f>SUM(E33:E193)</f>
        <v>46390516.670000009</v>
      </c>
      <c r="F194" s="21"/>
      <c r="G194" s="21"/>
      <c r="H194" s="20"/>
      <c r="I194" s="16">
        <f>AVERAGE(I6:I67)</f>
        <v>5.4859677419354815</v>
      </c>
      <c r="J194" s="16">
        <f t="shared" ref="J194:AD194" si="17">SUM(J6:J193)</f>
        <v>781890.16629431024</v>
      </c>
      <c r="K194" s="16" t="e">
        <f t="shared" si="17"/>
        <v>#REF!</v>
      </c>
      <c r="L194" s="16">
        <f t="shared" si="17"/>
        <v>0</v>
      </c>
      <c r="M194" s="16">
        <f t="shared" si="17"/>
        <v>0</v>
      </c>
      <c r="N194" s="16" t="e">
        <f t="shared" si="17"/>
        <v>#REF!</v>
      </c>
      <c r="O194" s="16" t="e">
        <f t="shared" si="17"/>
        <v>#REF!</v>
      </c>
      <c r="P194" s="16">
        <f t="shared" si="17"/>
        <v>-74839.042000000001</v>
      </c>
      <c r="Q194" s="16">
        <f t="shared" si="17"/>
        <v>-9381.7900000000009</v>
      </c>
      <c r="R194" s="16">
        <f t="shared" si="17"/>
        <v>1138710.6289672824</v>
      </c>
      <c r="S194" s="16">
        <f t="shared" si="17"/>
        <v>231505.66476055552</v>
      </c>
      <c r="T194" s="16">
        <f t="shared" si="17"/>
        <v>-14568.11</v>
      </c>
      <c r="U194" s="16">
        <f t="shared" si="17"/>
        <v>-8860.380000000001</v>
      </c>
      <c r="V194" s="16">
        <f t="shared" si="17"/>
        <v>1346787.8037278375</v>
      </c>
      <c r="W194" s="16">
        <f t="shared" si="17"/>
        <v>220922.37049516654</v>
      </c>
      <c r="X194" s="19">
        <f t="shared" si="17"/>
        <v>-22935.800000000003</v>
      </c>
      <c r="Y194" s="16">
        <f t="shared" si="17"/>
        <v>-71464.311007650002</v>
      </c>
      <c r="Z194" s="16">
        <f t="shared" si="17"/>
        <v>1473310.0632153554</v>
      </c>
      <c r="AA194" s="16">
        <f t="shared" si="17"/>
        <v>201394.23222441657</v>
      </c>
      <c r="AB194" s="16">
        <f t="shared" si="17"/>
        <v>-326498.68</v>
      </c>
      <c r="AC194" s="16">
        <f t="shared" si="17"/>
        <v>15643.852000000001</v>
      </c>
      <c r="AD194" s="16">
        <f t="shared" si="17"/>
        <v>1363849.4674397705</v>
      </c>
    </row>
    <row r="195" spans="1:31" ht="15" thickTop="1" x14ac:dyDescent="0.3"/>
    <row r="196" spans="1:31" x14ac:dyDescent="0.3">
      <c r="B196" t="s">
        <v>3</v>
      </c>
      <c r="E196" s="3"/>
      <c r="P196" s="6"/>
      <c r="T196" s="6"/>
      <c r="U196" t="s">
        <v>2</v>
      </c>
      <c r="V196" s="3">
        <v>1346787.82</v>
      </c>
      <c r="X196" s="6"/>
      <c r="Y196" t="s">
        <v>2</v>
      </c>
      <c r="Z196" s="3">
        <v>1473310.06</v>
      </c>
      <c r="AA196" s="3"/>
      <c r="AB196" s="3"/>
      <c r="AC196" s="3"/>
      <c r="AD196" s="3"/>
    </row>
    <row r="197" spans="1:31" ht="15" thickBot="1" x14ac:dyDescent="0.35">
      <c r="E197" s="6"/>
      <c r="K197" s="11"/>
      <c r="N197" s="6"/>
      <c r="O197" s="11"/>
      <c r="Q197" s="3"/>
      <c r="S197" s="11"/>
      <c r="U197" s="3"/>
      <c r="W197" s="11"/>
      <c r="Y197" s="3"/>
      <c r="Z197" s="12">
        <f>+Z196-Z194</f>
        <v>-3.2153553329408169E-3</v>
      </c>
      <c r="AA197" s="11"/>
      <c r="AB197" s="11"/>
      <c r="AC197" s="11"/>
      <c r="AD197" s="11"/>
    </row>
    <row r="198" spans="1:31" ht="15" thickTop="1" x14ac:dyDescent="0.3">
      <c r="J198" s="6"/>
      <c r="N198" s="6"/>
      <c r="Q198" s="6"/>
      <c r="R198" s="6"/>
      <c r="U198" s="6"/>
      <c r="V198" s="6"/>
      <c r="Y198" s="6"/>
      <c r="Z198" s="6"/>
      <c r="AA198" s="6"/>
      <c r="AB198" s="6"/>
      <c r="AC198" s="6"/>
      <c r="AD198" s="6"/>
    </row>
    <row r="199" spans="1:31" x14ac:dyDescent="0.3">
      <c r="J199" s="6"/>
      <c r="N199" s="6"/>
      <c r="R199" s="6"/>
      <c r="V199" s="6"/>
      <c r="Z199" s="6"/>
      <c r="AA199" s="6"/>
      <c r="AB199" s="6"/>
      <c r="AC199" s="6"/>
      <c r="AD199" s="6"/>
    </row>
    <row r="202" spans="1:31" x14ac:dyDescent="0.3">
      <c r="H202" s="3"/>
      <c r="I202" s="7"/>
      <c r="J202" s="3">
        <f>+H202*I202/365*31</f>
        <v>0</v>
      </c>
    </row>
    <row r="204" spans="1:31" x14ac:dyDescent="0.3">
      <c r="H204" s="6"/>
      <c r="I204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C2C-CE16-4715-8E8E-18E66D087BD7}">
  <dimension ref="A1:AB33"/>
  <sheetViews>
    <sheetView topLeftCell="B1" workbookViewId="0">
      <selection activeCell="I15" sqref="I15"/>
    </sheetView>
  </sheetViews>
  <sheetFormatPr baseColWidth="10" defaultRowHeight="14.4" x14ac:dyDescent="0.3"/>
  <cols>
    <col min="10" max="13" width="0" hidden="1" customWidth="1"/>
    <col min="14" max="14" width="13" hidden="1" customWidth="1"/>
    <col min="15" max="22" width="0" hidden="1" customWidth="1"/>
  </cols>
  <sheetData>
    <row r="1" spans="1:27" x14ac:dyDescent="0.3">
      <c r="A1" s="97" t="s">
        <v>500</v>
      </c>
      <c r="B1" s="97"/>
      <c r="C1" s="97"/>
      <c r="D1" s="97"/>
      <c r="E1" s="97"/>
      <c r="F1" s="98"/>
      <c r="G1" s="98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 spans="1:27" x14ac:dyDescent="0.3">
      <c r="A2" s="97" t="s">
        <v>499</v>
      </c>
      <c r="B2" s="97"/>
      <c r="C2" s="97"/>
      <c r="D2" s="97"/>
      <c r="E2" s="97"/>
      <c r="F2" s="98"/>
      <c r="G2" s="98"/>
      <c r="H2" s="97"/>
      <c r="I2" s="99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</row>
    <row r="3" spans="1:27" x14ac:dyDescent="0.3">
      <c r="A3" s="97" t="s">
        <v>739</v>
      </c>
      <c r="B3" s="97"/>
      <c r="C3" s="97"/>
      <c r="D3" s="97"/>
      <c r="E3" s="97"/>
      <c r="F3" s="98"/>
      <c r="G3" s="98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</row>
    <row r="4" spans="1:27" x14ac:dyDescent="0.3">
      <c r="A4" s="97"/>
      <c r="B4" s="97"/>
      <c r="C4" s="97"/>
      <c r="D4" s="100"/>
      <c r="E4" s="100"/>
      <c r="F4" s="98"/>
      <c r="G4" s="98"/>
      <c r="H4" s="100"/>
      <c r="I4" s="100"/>
      <c r="J4" s="100">
        <v>43861</v>
      </c>
      <c r="K4" s="100"/>
      <c r="L4" s="100"/>
      <c r="M4" s="100"/>
      <c r="N4" s="100">
        <v>43863</v>
      </c>
      <c r="O4" s="100"/>
      <c r="P4" s="100"/>
      <c r="Q4" s="100"/>
      <c r="R4" s="100">
        <v>43921</v>
      </c>
      <c r="S4" s="100"/>
      <c r="T4" s="100"/>
      <c r="U4" s="100"/>
      <c r="V4" s="100">
        <v>43951</v>
      </c>
      <c r="W4" s="100"/>
      <c r="X4" s="97"/>
      <c r="Y4" s="100"/>
      <c r="Z4" s="100">
        <v>43982</v>
      </c>
      <c r="AA4" s="97"/>
    </row>
    <row r="5" spans="1:27" ht="43.2" x14ac:dyDescent="0.3">
      <c r="A5" s="101" t="s">
        <v>497</v>
      </c>
      <c r="B5" s="102" t="s">
        <v>496</v>
      </c>
      <c r="C5" s="102" t="s">
        <v>495</v>
      </c>
      <c r="D5" s="103" t="s">
        <v>494</v>
      </c>
      <c r="E5" s="103" t="s">
        <v>493</v>
      </c>
      <c r="F5" s="104" t="s">
        <v>492</v>
      </c>
      <c r="G5" s="104" t="s">
        <v>491</v>
      </c>
      <c r="H5" s="105"/>
      <c r="I5" s="106" t="s">
        <v>490</v>
      </c>
      <c r="J5" s="107" t="s">
        <v>484</v>
      </c>
      <c r="K5" s="108" t="s">
        <v>487</v>
      </c>
      <c r="L5" s="108" t="s">
        <v>486</v>
      </c>
      <c r="M5" s="108" t="s">
        <v>489</v>
      </c>
      <c r="N5" s="108" t="s">
        <v>484</v>
      </c>
      <c r="O5" s="109" t="s">
        <v>487</v>
      </c>
      <c r="P5" s="109" t="s">
        <v>486</v>
      </c>
      <c r="Q5" s="109" t="s">
        <v>489</v>
      </c>
      <c r="R5" s="109" t="s">
        <v>484</v>
      </c>
      <c r="S5" s="110" t="s">
        <v>487</v>
      </c>
      <c r="T5" s="110" t="s">
        <v>486</v>
      </c>
      <c r="U5" s="110" t="s">
        <v>488</v>
      </c>
      <c r="V5" s="110" t="s">
        <v>484</v>
      </c>
      <c r="W5" s="137" t="s">
        <v>487</v>
      </c>
      <c r="X5" s="138" t="s">
        <v>486</v>
      </c>
      <c r="Y5" s="137" t="s">
        <v>488</v>
      </c>
      <c r="Z5" s="137" t="s">
        <v>484</v>
      </c>
      <c r="AA5" s="108" t="s">
        <v>728</v>
      </c>
    </row>
    <row r="6" spans="1:27" x14ac:dyDescent="0.3">
      <c r="A6" s="111"/>
      <c r="B6" s="111" t="s">
        <v>74</v>
      </c>
      <c r="C6" s="111" t="s">
        <v>677</v>
      </c>
      <c r="D6" s="113" t="s">
        <v>678</v>
      </c>
      <c r="E6" s="135">
        <v>75000</v>
      </c>
      <c r="F6" s="112">
        <v>43599</v>
      </c>
      <c r="G6" s="112">
        <v>43965</v>
      </c>
      <c r="H6" s="113"/>
      <c r="I6" s="113">
        <v>3.4</v>
      </c>
      <c r="J6" s="113">
        <v>1848.2648401826482</v>
      </c>
      <c r="K6" s="113">
        <v>212.5</v>
      </c>
      <c r="L6" s="113"/>
      <c r="M6" s="113"/>
      <c r="N6" s="113">
        <v>2060.7648401826482</v>
      </c>
      <c r="O6" s="113">
        <v>212.5</v>
      </c>
      <c r="P6" s="113"/>
      <c r="Q6" s="113"/>
      <c r="R6" s="113">
        <v>2273.2648401826482</v>
      </c>
      <c r="S6" s="113">
        <v>212.5</v>
      </c>
      <c r="T6" s="113"/>
      <c r="U6" s="113"/>
      <c r="V6" s="113">
        <v>2485.7648401826482</v>
      </c>
      <c r="W6" s="113"/>
      <c r="X6" s="139">
        <v>-2556.9899999999998</v>
      </c>
      <c r="Y6" s="113">
        <v>71.23</v>
      </c>
      <c r="Z6" s="113">
        <v>4.8401826484081312E-3</v>
      </c>
      <c r="AA6" s="111" t="s">
        <v>218</v>
      </c>
    </row>
    <row r="7" spans="1:27" x14ac:dyDescent="0.3">
      <c r="A7" s="111"/>
      <c r="B7" s="111" t="s">
        <v>25</v>
      </c>
      <c r="C7" s="111" t="s">
        <v>679</v>
      </c>
      <c r="D7" s="113" t="s">
        <v>680</v>
      </c>
      <c r="E7" s="135">
        <v>150000</v>
      </c>
      <c r="F7" s="112">
        <v>43587</v>
      </c>
      <c r="G7" s="112">
        <v>43953</v>
      </c>
      <c r="H7" s="113"/>
      <c r="I7" s="113">
        <v>4.4000000000000004</v>
      </c>
      <c r="J7" s="113">
        <v>5000.7305936073062</v>
      </c>
      <c r="K7" s="113">
        <v>550.00000000000011</v>
      </c>
      <c r="L7" s="113"/>
      <c r="M7" s="113"/>
      <c r="N7" s="113">
        <v>5550.7305936073062</v>
      </c>
      <c r="O7" s="113">
        <v>550.00000000000011</v>
      </c>
      <c r="P7" s="113"/>
      <c r="Q7" s="113"/>
      <c r="R7" s="113">
        <v>6100.7305936073062</v>
      </c>
      <c r="S7" s="113">
        <v>550.00000000000011</v>
      </c>
      <c r="T7" s="113"/>
      <c r="U7" s="113"/>
      <c r="V7" s="113">
        <v>6650.7305936073062</v>
      </c>
      <c r="W7" s="113"/>
      <c r="X7" s="139">
        <v>-6618.08</v>
      </c>
      <c r="Y7" s="113">
        <v>-32.65</v>
      </c>
      <c r="Z7" s="113">
        <v>5.936073062926539E-4</v>
      </c>
      <c r="AA7" s="111" t="s">
        <v>218</v>
      </c>
    </row>
    <row r="8" spans="1:27" x14ac:dyDescent="0.3">
      <c r="A8" s="111"/>
      <c r="B8" s="111" t="s">
        <v>13</v>
      </c>
      <c r="C8" s="111" t="s">
        <v>681</v>
      </c>
      <c r="D8" s="113" t="s">
        <v>682</v>
      </c>
      <c r="E8" s="135">
        <v>100000</v>
      </c>
      <c r="F8" s="112">
        <v>43593</v>
      </c>
      <c r="G8" s="112">
        <v>43953</v>
      </c>
      <c r="H8" s="113"/>
      <c r="I8" s="113">
        <v>4.9000000000000004</v>
      </c>
      <c r="J8" s="113">
        <v>3712.6636225266361</v>
      </c>
      <c r="K8" s="113">
        <v>408.33333333333331</v>
      </c>
      <c r="L8" s="113"/>
      <c r="M8" s="113"/>
      <c r="N8" s="113">
        <v>4120.9969558599696</v>
      </c>
      <c r="O8" s="113">
        <v>408.33333333333331</v>
      </c>
      <c r="P8" s="113"/>
      <c r="Q8" s="113"/>
      <c r="R8" s="113">
        <v>4529.3302891933026</v>
      </c>
      <c r="S8" s="113">
        <v>408.33333333333331</v>
      </c>
      <c r="T8" s="113"/>
      <c r="U8" s="113"/>
      <c r="V8" s="113">
        <v>4937.6636225266357</v>
      </c>
      <c r="W8" s="113"/>
      <c r="X8" s="139">
        <v>-4913.42</v>
      </c>
      <c r="Y8" s="113">
        <v>-24.24</v>
      </c>
      <c r="Z8" s="113">
        <v>3.6225266355920382E-3</v>
      </c>
      <c r="AA8" s="111" t="s">
        <v>218</v>
      </c>
    </row>
    <row r="9" spans="1:27" x14ac:dyDescent="0.3">
      <c r="A9" s="111"/>
      <c r="B9" s="111" t="s">
        <v>82</v>
      </c>
      <c r="C9" s="111" t="s">
        <v>683</v>
      </c>
      <c r="D9" s="113" t="s">
        <v>684</v>
      </c>
      <c r="E9" s="135">
        <v>41000</v>
      </c>
      <c r="F9" s="112">
        <v>43593</v>
      </c>
      <c r="G9" s="112">
        <v>43954</v>
      </c>
      <c r="H9" s="113"/>
      <c r="I9" s="113">
        <v>6.15</v>
      </c>
      <c r="J9" s="113">
        <v>1903.5981735159817</v>
      </c>
      <c r="K9" s="113">
        <v>210.12500000000006</v>
      </c>
      <c r="L9" s="113"/>
      <c r="M9" s="113"/>
      <c r="N9" s="113">
        <v>2113.7231735159817</v>
      </c>
      <c r="O9" s="113">
        <v>210.12500000000006</v>
      </c>
      <c r="P9" s="113"/>
      <c r="Q9" s="113"/>
      <c r="R9" s="113">
        <v>2323.8481735159817</v>
      </c>
      <c r="S9" s="113">
        <v>210.12500000000006</v>
      </c>
      <c r="T9" s="113"/>
      <c r="U9" s="113"/>
      <c r="V9" s="113">
        <v>2533.9731735159817</v>
      </c>
      <c r="W9" s="113"/>
      <c r="X9" s="139">
        <v>-2528.41</v>
      </c>
      <c r="Y9" s="113">
        <v>-5.56</v>
      </c>
      <c r="Z9" s="113">
        <v>3.1735159818166991E-3</v>
      </c>
      <c r="AA9" s="111" t="s">
        <v>218</v>
      </c>
    </row>
    <row r="10" spans="1:27" x14ac:dyDescent="0.3">
      <c r="A10" s="111"/>
      <c r="B10" s="111" t="s">
        <v>7</v>
      </c>
      <c r="C10" s="111" t="s">
        <v>685</v>
      </c>
      <c r="D10" s="113" t="s">
        <v>686</v>
      </c>
      <c r="E10" s="135">
        <v>95000</v>
      </c>
      <c r="F10" s="112">
        <v>43601</v>
      </c>
      <c r="G10" s="112">
        <v>43967</v>
      </c>
      <c r="H10" s="113"/>
      <c r="I10" s="113">
        <v>6.4</v>
      </c>
      <c r="J10" s="113">
        <v>4373.5281582952812</v>
      </c>
      <c r="K10" s="113">
        <v>506.66666666666669</v>
      </c>
      <c r="L10" s="113"/>
      <c r="M10" s="113"/>
      <c r="N10" s="113">
        <v>4880.1948249619481</v>
      </c>
      <c r="O10" s="113">
        <v>506.66666666666669</v>
      </c>
      <c r="P10" s="113"/>
      <c r="Q10" s="113"/>
      <c r="R10" s="113">
        <v>5386.8614916286151</v>
      </c>
      <c r="S10" s="113">
        <v>506.66666666666669</v>
      </c>
      <c r="T10" s="113"/>
      <c r="U10" s="113"/>
      <c r="V10" s="113">
        <v>5893.5281582952821</v>
      </c>
      <c r="W10" s="113"/>
      <c r="X10" s="139">
        <v>-6096.66</v>
      </c>
      <c r="Y10" s="113">
        <v>203.13</v>
      </c>
      <c r="Z10" s="113">
        <v>-1.8417047177763379E-3</v>
      </c>
      <c r="AA10" s="111" t="s">
        <v>218</v>
      </c>
    </row>
    <row r="11" spans="1:27" x14ac:dyDescent="0.3">
      <c r="A11" s="111"/>
      <c r="B11" s="111" t="s">
        <v>7</v>
      </c>
      <c r="C11" s="111" t="s">
        <v>687</v>
      </c>
      <c r="D11" s="113" t="s">
        <v>688</v>
      </c>
      <c r="E11" s="135">
        <v>185000</v>
      </c>
      <c r="F11" s="112">
        <v>43601</v>
      </c>
      <c r="G11" s="112">
        <v>43967</v>
      </c>
      <c r="H11" s="113"/>
      <c r="I11" s="113">
        <v>6.4</v>
      </c>
      <c r="J11" s="113">
        <v>8516.8706240487063</v>
      </c>
      <c r="K11" s="113">
        <v>986.66666666666652</v>
      </c>
      <c r="L11" s="113"/>
      <c r="M11" s="113"/>
      <c r="N11" s="113">
        <v>9503.5372907153724</v>
      </c>
      <c r="O11" s="113">
        <v>986.66666666666652</v>
      </c>
      <c r="P11" s="113"/>
      <c r="Q11" s="113"/>
      <c r="R11" s="113">
        <v>10490.203957382038</v>
      </c>
      <c r="S11" s="113">
        <v>986.66666666666652</v>
      </c>
      <c r="T11" s="113"/>
      <c r="U11" s="113"/>
      <c r="V11" s="113">
        <v>11476.870624048704</v>
      </c>
      <c r="W11" s="113"/>
      <c r="X11" s="139">
        <v>-11872.44</v>
      </c>
      <c r="Y11" s="113">
        <v>395.57</v>
      </c>
      <c r="Z11" s="113">
        <v>6.2404870396903789E-4</v>
      </c>
      <c r="AA11" s="111" t="s">
        <v>218</v>
      </c>
    </row>
    <row r="12" spans="1:27" x14ac:dyDescent="0.3">
      <c r="A12" s="111"/>
      <c r="B12" s="111" t="s">
        <v>127</v>
      </c>
      <c r="C12" s="111" t="s">
        <v>689</v>
      </c>
      <c r="D12" s="113" t="s">
        <v>690</v>
      </c>
      <c r="E12" s="135">
        <v>110000</v>
      </c>
      <c r="F12" s="112">
        <v>43612</v>
      </c>
      <c r="G12" s="112">
        <v>43978</v>
      </c>
      <c r="H12" s="113"/>
      <c r="I12" s="113">
        <v>3.9</v>
      </c>
      <c r="J12" s="113">
        <v>2956.6392694063925</v>
      </c>
      <c r="K12" s="113">
        <v>357.5</v>
      </c>
      <c r="L12" s="113"/>
      <c r="M12" s="113"/>
      <c r="N12" s="113">
        <v>3314.1392694063925</v>
      </c>
      <c r="O12" s="113">
        <v>357.5</v>
      </c>
      <c r="P12" s="113"/>
      <c r="Q12" s="113"/>
      <c r="R12" s="113">
        <v>3671.6392694063925</v>
      </c>
      <c r="S12" s="113">
        <v>357.5</v>
      </c>
      <c r="T12" s="113"/>
      <c r="U12" s="113"/>
      <c r="V12" s="113">
        <v>4029.1392694063925</v>
      </c>
      <c r="W12" s="113"/>
      <c r="X12" s="139">
        <v>-4290</v>
      </c>
      <c r="Y12" s="113">
        <v>260.86</v>
      </c>
      <c r="Z12" s="113">
        <v>-7.3059360749994084E-4</v>
      </c>
      <c r="AA12" s="111" t="s">
        <v>218</v>
      </c>
    </row>
    <row r="13" spans="1:27" x14ac:dyDescent="0.3">
      <c r="A13" s="111">
        <v>5055</v>
      </c>
      <c r="B13" s="111" t="s">
        <v>159</v>
      </c>
      <c r="C13" s="111" t="s">
        <v>691</v>
      </c>
      <c r="D13" s="113" t="s">
        <v>692</v>
      </c>
      <c r="E13" s="135">
        <v>500000</v>
      </c>
      <c r="F13" s="112">
        <v>43600</v>
      </c>
      <c r="G13" s="112">
        <v>43966</v>
      </c>
      <c r="H13" s="113"/>
      <c r="I13" s="113">
        <v>6.85</v>
      </c>
      <c r="J13" s="113">
        <v>24730.898021308974</v>
      </c>
      <c r="K13" s="113">
        <v>2854.1666666666661</v>
      </c>
      <c r="L13" s="113"/>
      <c r="M13" s="113"/>
      <c r="N13" s="113">
        <v>27585.064687975639</v>
      </c>
      <c r="O13" s="113">
        <v>2854.1666666666661</v>
      </c>
      <c r="P13" s="113"/>
      <c r="Q13" s="113"/>
      <c r="R13" s="113">
        <v>30439.231354642303</v>
      </c>
      <c r="S13" s="113">
        <v>2854.1666666666661</v>
      </c>
      <c r="T13" s="113"/>
      <c r="U13" s="113"/>
      <c r="V13" s="113">
        <v>33293.398021308967</v>
      </c>
      <c r="W13" s="113"/>
      <c r="X13" s="139">
        <v>-34343.85</v>
      </c>
      <c r="Y13" s="113">
        <v>1050.45</v>
      </c>
      <c r="Z13" s="113">
        <v>-1.9786910313541739E-3</v>
      </c>
      <c r="AA13" s="111" t="s">
        <v>218</v>
      </c>
    </row>
    <row r="14" spans="1:27" x14ac:dyDescent="0.3">
      <c r="A14" s="111"/>
      <c r="B14" s="111" t="s">
        <v>53</v>
      </c>
      <c r="C14" s="111" t="s">
        <v>693</v>
      </c>
      <c r="D14" s="113" t="s">
        <v>694</v>
      </c>
      <c r="E14" s="135">
        <v>500000</v>
      </c>
      <c r="F14" s="112">
        <v>43600</v>
      </c>
      <c r="G14" s="112">
        <v>43966</v>
      </c>
      <c r="H14" s="113"/>
      <c r="I14" s="113">
        <v>6.85</v>
      </c>
      <c r="J14" s="113">
        <v>24730.898021308974</v>
      </c>
      <c r="K14" s="113">
        <v>2854.1666666666661</v>
      </c>
      <c r="L14" s="113"/>
      <c r="M14" s="113"/>
      <c r="N14" s="113">
        <v>27585.064687975639</v>
      </c>
      <c r="O14" s="113">
        <v>2854.1666666666661</v>
      </c>
      <c r="P14" s="113"/>
      <c r="Q14" s="113"/>
      <c r="R14" s="113">
        <v>30439.231354642303</v>
      </c>
      <c r="S14" s="113">
        <v>2854.1666666666661</v>
      </c>
      <c r="T14" s="113"/>
      <c r="U14" s="113"/>
      <c r="V14" s="113">
        <v>33293.398021308967</v>
      </c>
      <c r="W14" s="113"/>
      <c r="X14" s="139">
        <v>-34343.85</v>
      </c>
      <c r="Y14" s="113">
        <v>1050.45</v>
      </c>
      <c r="Z14" s="113">
        <v>-1.9786910313541739E-3</v>
      </c>
      <c r="AA14" s="111" t="s">
        <v>218</v>
      </c>
    </row>
    <row r="15" spans="1:27" x14ac:dyDescent="0.3">
      <c r="A15" s="136" t="s">
        <v>432</v>
      </c>
      <c r="B15" s="136" t="s">
        <v>25</v>
      </c>
      <c r="C15" s="136" t="s">
        <v>445</v>
      </c>
      <c r="D15" s="135" t="s">
        <v>695</v>
      </c>
      <c r="E15" s="135"/>
      <c r="F15" s="134">
        <v>43647</v>
      </c>
      <c r="G15" s="134">
        <v>44013</v>
      </c>
      <c r="H15" s="135"/>
      <c r="I15" s="135">
        <v>4.4000000000000004</v>
      </c>
      <c r="J15" s="135">
        <v>3915.7990867579915</v>
      </c>
      <c r="K15" s="135">
        <v>550.00000000000011</v>
      </c>
      <c r="L15" s="135"/>
      <c r="M15" s="135"/>
      <c r="N15" s="135">
        <v>4465.799086757992</v>
      </c>
      <c r="O15" s="135">
        <v>550.00000000000011</v>
      </c>
      <c r="P15" s="135"/>
      <c r="Q15" s="135"/>
      <c r="R15" s="135">
        <v>5015.799086757992</v>
      </c>
      <c r="S15" s="135">
        <v>550.00000000000011</v>
      </c>
      <c r="T15" s="135"/>
      <c r="U15" s="135"/>
      <c r="V15" s="135">
        <v>5565.799086757992</v>
      </c>
      <c r="W15" s="135">
        <v>568.33333333333337</v>
      </c>
      <c r="X15" s="140">
        <v>-5858.63</v>
      </c>
      <c r="Y15" s="135">
        <v>-275.5</v>
      </c>
      <c r="Z15" s="113">
        <v>2.420091324893292E-3</v>
      </c>
      <c r="AA15" s="136"/>
    </row>
    <row r="16" spans="1:27" x14ac:dyDescent="0.3">
      <c r="A16" s="136" t="s">
        <v>429</v>
      </c>
      <c r="B16" s="136" t="s">
        <v>85</v>
      </c>
      <c r="C16" s="136" t="s">
        <v>702</v>
      </c>
      <c r="D16" s="136" t="s">
        <v>703</v>
      </c>
      <c r="E16" s="146"/>
      <c r="F16" s="136" t="s">
        <v>426</v>
      </c>
      <c r="G16" s="136" t="s">
        <v>425</v>
      </c>
      <c r="H16" s="135"/>
      <c r="I16" s="135">
        <v>7.4</v>
      </c>
      <c r="J16" s="135">
        <v>7564.4444444444453</v>
      </c>
      <c r="K16" s="135">
        <v>1233.3333333333335</v>
      </c>
      <c r="L16" s="135"/>
      <c r="M16" s="135"/>
      <c r="N16" s="135">
        <v>8797.7777777777792</v>
      </c>
      <c r="O16" s="135">
        <v>1274.4444444444446</v>
      </c>
      <c r="P16" s="135"/>
      <c r="Q16" s="135"/>
      <c r="R16" s="135">
        <v>10072.222222222224</v>
      </c>
      <c r="S16" s="135">
        <v>1233.3333333333335</v>
      </c>
      <c r="T16" s="135"/>
      <c r="U16" s="135"/>
      <c r="V16" s="135">
        <v>11305.555555555558</v>
      </c>
      <c r="W16" s="135">
        <v>1274.4444444444446</v>
      </c>
      <c r="X16" s="140">
        <v>-11393.97</v>
      </c>
      <c r="Y16" s="135">
        <v>-1186.03</v>
      </c>
      <c r="Z16" s="135">
        <v>4.3200998334214091E-12</v>
      </c>
      <c r="AA16" s="136"/>
    </row>
    <row r="17" spans="1:27" x14ac:dyDescent="0.3">
      <c r="A17" s="111">
        <v>5031</v>
      </c>
      <c r="B17" s="111" t="s">
        <v>329</v>
      </c>
      <c r="C17" s="111" t="s">
        <v>328</v>
      </c>
      <c r="D17" s="111" t="s">
        <v>327</v>
      </c>
      <c r="E17" s="118"/>
      <c r="F17" s="117">
        <v>43801</v>
      </c>
      <c r="G17" s="117">
        <v>44166</v>
      </c>
      <c r="H17" s="113"/>
      <c r="I17" s="113">
        <v>6.4</v>
      </c>
      <c r="J17" s="113">
        <v>1418.7401671111111</v>
      </c>
      <c r="K17" s="113">
        <v>1330.0689066666666</v>
      </c>
      <c r="L17" s="113"/>
      <c r="M17" s="113"/>
      <c r="N17" s="113">
        <v>2748.8090737777775</v>
      </c>
      <c r="O17" s="113">
        <v>1330.0689066666666</v>
      </c>
      <c r="P17" s="113"/>
      <c r="Q17" s="113"/>
      <c r="R17" s="113">
        <v>4078.8779804444439</v>
      </c>
      <c r="S17" s="113">
        <v>1330.0689066666666</v>
      </c>
      <c r="T17" s="113"/>
      <c r="U17" s="113"/>
      <c r="V17" s="113">
        <v>5408.9468871111103</v>
      </c>
      <c r="W17" s="135">
        <v>1374.4045368888887</v>
      </c>
      <c r="X17" s="139">
        <v>-7718.76</v>
      </c>
      <c r="Y17" s="113">
        <v>935.41</v>
      </c>
      <c r="Z17" s="113">
        <v>1.4239999983374219E-3</v>
      </c>
      <c r="AA17" s="111"/>
    </row>
    <row r="18" spans="1:27" x14ac:dyDescent="0.3">
      <c r="A18" s="111">
        <v>5031</v>
      </c>
      <c r="B18" s="111" t="s">
        <v>329</v>
      </c>
      <c r="C18" s="111" t="s">
        <v>723</v>
      </c>
      <c r="D18" s="111" t="s">
        <v>724</v>
      </c>
      <c r="E18" s="118"/>
      <c r="F18" s="117">
        <v>43819</v>
      </c>
      <c r="G18" s="117">
        <v>44185</v>
      </c>
      <c r="H18" s="113"/>
      <c r="I18" s="113">
        <v>5.4</v>
      </c>
      <c r="J18" s="113">
        <v>3825.0000000000009</v>
      </c>
      <c r="K18" s="113">
        <v>2250.0000000000005</v>
      </c>
      <c r="L18" s="113"/>
      <c r="M18" s="113"/>
      <c r="N18" s="113">
        <v>6075.0000000000018</v>
      </c>
      <c r="O18" s="113">
        <v>2250.0000000000005</v>
      </c>
      <c r="P18" s="113"/>
      <c r="Q18" s="113"/>
      <c r="R18" s="113">
        <v>8325.0000000000018</v>
      </c>
      <c r="S18" s="113">
        <v>2250.0000000000005</v>
      </c>
      <c r="T18" s="113"/>
      <c r="U18" s="113"/>
      <c r="V18" s="113">
        <v>10575.000000000002</v>
      </c>
      <c r="W18" s="135">
        <v>2325.0000000000005</v>
      </c>
      <c r="X18" s="139">
        <v>-11581.97</v>
      </c>
      <c r="Y18" s="113">
        <v>-1318.03</v>
      </c>
      <c r="Z18" s="113">
        <v>2.5011104298755527E-12</v>
      </c>
      <c r="AA18" s="111"/>
    </row>
    <row r="19" spans="1:27" x14ac:dyDescent="0.3">
      <c r="A19" s="111">
        <v>5003</v>
      </c>
      <c r="B19" s="111" t="s">
        <v>148</v>
      </c>
      <c r="C19" s="111" t="s">
        <v>733</v>
      </c>
      <c r="D19" s="111" t="s">
        <v>734</v>
      </c>
      <c r="E19" s="118">
        <v>150000</v>
      </c>
      <c r="F19" s="117">
        <v>43614</v>
      </c>
      <c r="G19" s="117">
        <v>43980</v>
      </c>
      <c r="H19" s="113"/>
      <c r="I19" s="118">
        <v>5.9161599999999996</v>
      </c>
      <c r="J19" s="114"/>
      <c r="K19" s="114"/>
      <c r="L19" s="114"/>
      <c r="M19" s="114"/>
      <c r="N19" s="114"/>
      <c r="O19" s="111">
        <v>0</v>
      </c>
      <c r="P19" s="114"/>
      <c r="Q19" s="113">
        <v>7567.7546666666667</v>
      </c>
      <c r="R19" s="113">
        <v>7567.7546666666667</v>
      </c>
      <c r="S19" s="113">
        <v>739.52</v>
      </c>
      <c r="T19" s="113"/>
      <c r="U19" s="113"/>
      <c r="V19" s="113">
        <v>8307.2746666666662</v>
      </c>
      <c r="W19" s="135">
        <v>764.17066666666665</v>
      </c>
      <c r="X19" s="139">
        <v>-8850</v>
      </c>
      <c r="Y19" s="113">
        <v>-221.45</v>
      </c>
      <c r="Z19" s="113">
        <v>-4.6666666668784273E-3</v>
      </c>
      <c r="AA19" s="111" t="s">
        <v>735</v>
      </c>
    </row>
    <row r="20" spans="1:27" x14ac:dyDescent="0.3">
      <c r="A20" s="136">
        <v>5062</v>
      </c>
      <c r="B20" s="136" t="s">
        <v>85</v>
      </c>
      <c r="C20" s="136" t="s">
        <v>226</v>
      </c>
      <c r="D20" s="136" t="s">
        <v>225</v>
      </c>
      <c r="E20" s="143"/>
      <c r="F20" s="144">
        <v>43795</v>
      </c>
      <c r="G20" s="144">
        <v>44044</v>
      </c>
      <c r="H20" s="135"/>
      <c r="I20" s="143">
        <v>7.4</v>
      </c>
      <c r="J20" s="145"/>
      <c r="K20" s="145"/>
      <c r="L20" s="145"/>
      <c r="M20" s="145"/>
      <c r="N20" s="145"/>
      <c r="O20" s="136">
        <v>0</v>
      </c>
      <c r="P20" s="145"/>
      <c r="Q20" s="135">
        <v>8186.8209923499999</v>
      </c>
      <c r="R20" s="135">
        <v>8186.8209923499999</v>
      </c>
      <c r="S20" s="135">
        <v>1949.2430934166669</v>
      </c>
      <c r="T20" s="135"/>
      <c r="U20" s="135"/>
      <c r="V20" s="135">
        <v>10136.064085766666</v>
      </c>
      <c r="W20" s="135">
        <v>2008.7</v>
      </c>
      <c r="X20" s="140">
        <v>-17958.61</v>
      </c>
      <c r="Y20" s="135"/>
      <c r="Z20" s="135">
        <v>-5813.845914233334</v>
      </c>
      <c r="AA20" s="136" t="s">
        <v>740</v>
      </c>
    </row>
    <row r="21" spans="1:27" x14ac:dyDescent="0.3">
      <c r="A21" s="121"/>
      <c r="B21" s="121"/>
      <c r="C21" s="121"/>
      <c r="D21" s="121"/>
      <c r="E21" s="122"/>
      <c r="F21" s="117"/>
      <c r="G21" s="117"/>
      <c r="H21" s="113"/>
      <c r="I21" s="120"/>
      <c r="J21" s="114"/>
      <c r="K21" s="114"/>
      <c r="L21" s="114"/>
      <c r="M21" s="114"/>
      <c r="N21" s="114"/>
      <c r="O21" s="111"/>
      <c r="P21" s="114"/>
      <c r="Q21" s="114"/>
      <c r="R21" s="113"/>
      <c r="S21" s="113"/>
      <c r="T21" s="113"/>
      <c r="U21" s="113"/>
      <c r="V21" s="113">
        <v>0</v>
      </c>
      <c r="W21" s="113"/>
      <c r="X21" s="139"/>
      <c r="Y21" s="113"/>
      <c r="Z21" s="113">
        <v>0</v>
      </c>
      <c r="AA21" s="111"/>
    </row>
    <row r="22" spans="1:27" x14ac:dyDescent="0.3">
      <c r="A22" s="115"/>
      <c r="B22" s="115"/>
      <c r="C22" s="115"/>
      <c r="D22" s="115"/>
      <c r="E22" s="116"/>
      <c r="F22" s="117"/>
      <c r="G22" s="117"/>
      <c r="H22" s="113"/>
      <c r="I22" s="119"/>
      <c r="J22" s="114">
        <v>0</v>
      </c>
      <c r="K22" s="114"/>
      <c r="L22" s="114"/>
      <c r="M22" s="114"/>
      <c r="N22" s="114">
        <v>0</v>
      </c>
      <c r="O22" s="113"/>
      <c r="P22" s="114"/>
      <c r="Q22" s="114"/>
      <c r="R22" s="113">
        <v>0</v>
      </c>
      <c r="S22" s="113"/>
      <c r="T22" s="113"/>
      <c r="U22" s="113"/>
      <c r="V22" s="113">
        <v>0</v>
      </c>
      <c r="W22" s="113"/>
      <c r="X22" s="139"/>
      <c r="Y22" s="113"/>
      <c r="Z22" s="113">
        <v>0</v>
      </c>
      <c r="AA22" s="111"/>
    </row>
    <row r="23" spans="1:27" ht="15" thickBot="1" x14ac:dyDescent="0.35">
      <c r="A23" s="123" t="s">
        <v>4</v>
      </c>
      <c r="B23" s="123"/>
      <c r="C23" s="123"/>
      <c r="D23" s="124"/>
      <c r="E23" s="125">
        <v>45429553.750000007</v>
      </c>
      <c r="F23" s="126"/>
      <c r="G23" s="126"/>
      <c r="H23" s="124"/>
      <c r="I23" s="127">
        <v>5.4687301587301569</v>
      </c>
      <c r="J23" s="127">
        <v>1138710.6289672824</v>
      </c>
      <c r="K23" s="127">
        <v>231505.66476055552</v>
      </c>
      <c r="L23" s="127">
        <v>-14568.11</v>
      </c>
      <c r="M23" s="127">
        <v>-8860.380000000001</v>
      </c>
      <c r="N23" s="127">
        <v>1346787.8037278375</v>
      </c>
      <c r="O23" s="127">
        <v>220922.37049516654</v>
      </c>
      <c r="P23" s="128">
        <v>-22935.800000000003</v>
      </c>
      <c r="Q23" s="127">
        <v>-71464.311007650002</v>
      </c>
      <c r="R23" s="127">
        <v>1473310.0632153554</v>
      </c>
      <c r="S23" s="127">
        <v>201394.23222441657</v>
      </c>
      <c r="T23" s="127">
        <v>-326498.68</v>
      </c>
      <c r="U23" s="127">
        <v>15643.852000000001</v>
      </c>
      <c r="V23" s="127">
        <v>1363849.4674397705</v>
      </c>
      <c r="W23" s="127">
        <v>222843.96670772225</v>
      </c>
      <c r="X23" s="141">
        <v>-177326.74000000005</v>
      </c>
      <c r="Y23" s="127">
        <v>903.63999999999987</v>
      </c>
      <c r="Z23" s="127">
        <v>1410270.3341474936</v>
      </c>
      <c r="AA23" s="97"/>
    </row>
    <row r="24" spans="1:27" ht="15" thickTop="1" x14ac:dyDescent="0.3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</row>
    <row r="25" spans="1:27" x14ac:dyDescent="0.3">
      <c r="A25" s="97"/>
      <c r="B25" s="97" t="s">
        <v>3</v>
      </c>
      <c r="C25" s="97"/>
      <c r="D25" s="97"/>
      <c r="E25" s="129"/>
      <c r="F25" s="100">
        <v>43795</v>
      </c>
      <c r="G25" s="97"/>
      <c r="H25" s="97"/>
      <c r="I25" s="97"/>
      <c r="J25" s="97"/>
      <c r="K25" s="97"/>
      <c r="L25" s="130"/>
      <c r="M25" s="97" t="s">
        <v>2</v>
      </c>
      <c r="N25" s="129">
        <v>1346787.82</v>
      </c>
      <c r="O25" s="97"/>
      <c r="P25" s="130"/>
      <c r="Q25" s="97" t="s">
        <v>2</v>
      </c>
      <c r="R25" s="129">
        <v>1473310.06</v>
      </c>
      <c r="S25" s="129"/>
      <c r="T25" s="129"/>
      <c r="U25" s="97" t="s">
        <v>2</v>
      </c>
      <c r="V25" s="129">
        <v>1363849.45</v>
      </c>
      <c r="W25" s="129"/>
      <c r="X25" s="97"/>
      <c r="Y25" s="97" t="s">
        <v>2</v>
      </c>
      <c r="Z25" s="129"/>
      <c r="AA25" s="97"/>
    </row>
    <row r="26" spans="1:27" ht="15" thickBot="1" x14ac:dyDescent="0.35">
      <c r="A26" s="97"/>
      <c r="B26" s="97"/>
      <c r="C26" s="97"/>
      <c r="D26" s="97"/>
      <c r="E26" s="130"/>
      <c r="F26" s="100">
        <v>43959</v>
      </c>
      <c r="G26" s="97"/>
      <c r="H26" s="97"/>
      <c r="I26" s="97"/>
      <c r="J26" s="97"/>
      <c r="K26" s="131"/>
      <c r="L26" s="97"/>
      <c r="M26" s="129"/>
      <c r="N26" s="97"/>
      <c r="O26" s="131"/>
      <c r="P26" s="97"/>
      <c r="Q26" s="129"/>
      <c r="R26" s="132">
        <v>-3.2153553329408169E-3</v>
      </c>
      <c r="S26" s="131"/>
      <c r="T26" s="131"/>
      <c r="U26" s="129"/>
      <c r="V26" s="132">
        <v>-1.7439770512282848E-2</v>
      </c>
      <c r="W26" s="131"/>
      <c r="X26" s="142"/>
      <c r="Y26" s="129"/>
      <c r="Z26" s="132">
        <v>-1410270.3341474936</v>
      </c>
      <c r="AA26" s="97"/>
    </row>
    <row r="27" spans="1:27" ht="15" thickTop="1" x14ac:dyDescent="0.3">
      <c r="A27" s="97"/>
      <c r="B27" s="97"/>
      <c r="C27" s="97"/>
      <c r="D27" s="97"/>
      <c r="E27" s="97"/>
      <c r="F27" s="147">
        <v>164</v>
      </c>
      <c r="G27" s="97"/>
      <c r="H27" s="97"/>
      <c r="I27" s="97"/>
      <c r="J27" s="130"/>
      <c r="K27" s="97"/>
      <c r="L27" s="97"/>
      <c r="M27" s="130"/>
      <c r="N27" s="130"/>
      <c r="O27" s="97"/>
      <c r="P27" s="97"/>
      <c r="Q27" s="130"/>
      <c r="R27" s="130"/>
      <c r="S27" s="130"/>
      <c r="T27" s="130"/>
      <c r="U27" s="130"/>
      <c r="V27" s="130"/>
      <c r="W27" s="130"/>
      <c r="X27" s="97"/>
      <c r="Y27" s="130"/>
      <c r="Z27" s="130"/>
      <c r="AA27" s="97"/>
    </row>
    <row r="28" spans="1:27" x14ac:dyDescent="0.3">
      <c r="A28" s="97"/>
      <c r="B28" s="97"/>
      <c r="C28" s="97"/>
      <c r="D28" s="97"/>
      <c r="E28" s="97"/>
      <c r="F28" s="97"/>
      <c r="G28" s="97"/>
      <c r="H28" s="97"/>
      <c r="I28" s="97"/>
      <c r="J28" s="130"/>
      <c r="K28" s="97"/>
      <c r="L28" s="97"/>
      <c r="M28" s="97"/>
      <c r="N28" s="130"/>
      <c r="O28" s="97"/>
      <c r="P28" s="97"/>
      <c r="Q28" s="97"/>
      <c r="R28" s="130"/>
      <c r="S28" s="130"/>
      <c r="T28" s="130"/>
      <c r="U28" s="130"/>
      <c r="V28" s="130"/>
      <c r="W28" s="130"/>
      <c r="X28" s="97"/>
      <c r="Y28" s="130"/>
      <c r="Z28" s="130"/>
      <c r="AA28" s="97"/>
    </row>
    <row r="29" spans="1:27" x14ac:dyDescent="0.3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27" x14ac:dyDescent="0.3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130"/>
      <c r="X30" s="97"/>
      <c r="Y30" s="97"/>
      <c r="Z30" s="97"/>
      <c r="AA30" s="97"/>
    </row>
    <row r="31" spans="1:27" x14ac:dyDescent="0.3">
      <c r="A31" s="97"/>
      <c r="B31" s="97"/>
      <c r="C31" s="97"/>
      <c r="D31" s="97"/>
      <c r="E31" s="97"/>
      <c r="F31" s="97"/>
      <c r="G31" s="97"/>
      <c r="H31" s="129"/>
      <c r="I31" s="133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130"/>
      <c r="X31" s="97"/>
      <c r="Y31" s="97"/>
      <c r="Z31" s="97"/>
      <c r="AA31" s="97"/>
    </row>
    <row r="32" spans="1:27" x14ac:dyDescent="0.3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28" x14ac:dyDescent="0.3">
      <c r="A33" s="97"/>
      <c r="B33" s="97"/>
      <c r="C33" s="97"/>
      <c r="D33" s="97"/>
      <c r="E33" s="97"/>
      <c r="F33" s="97"/>
      <c r="G33" s="97"/>
      <c r="H33" s="130"/>
      <c r="I33" s="129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FF71-D901-4FD8-8D4A-DF26BBDDBDFF}">
  <dimension ref="A1:AE178"/>
  <sheetViews>
    <sheetView topLeftCell="B144" workbookViewId="0">
      <selection activeCell="AC161" sqref="AC161"/>
    </sheetView>
  </sheetViews>
  <sheetFormatPr baseColWidth="10" defaultRowHeight="14.4" x14ac:dyDescent="0.3"/>
  <cols>
    <col min="10" max="26" width="0" hidden="1" customWidth="1"/>
    <col min="30" max="30" width="13" bestFit="1" customWidth="1"/>
  </cols>
  <sheetData>
    <row r="1" spans="1:31" x14ac:dyDescent="0.3">
      <c r="A1" s="219" t="s">
        <v>500</v>
      </c>
      <c r="B1" s="149"/>
      <c r="C1" s="149"/>
      <c r="D1" s="149"/>
      <c r="E1" s="149"/>
      <c r="F1" s="150"/>
      <c r="G1" s="150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</row>
    <row r="2" spans="1:31" x14ac:dyDescent="0.3">
      <c r="A2" s="219" t="s">
        <v>499</v>
      </c>
      <c r="B2" s="149"/>
      <c r="C2" s="149"/>
      <c r="D2" s="149"/>
      <c r="E2" s="149"/>
      <c r="F2" s="150"/>
      <c r="G2" s="150"/>
      <c r="H2" s="149"/>
      <c r="I2" s="151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</row>
    <row r="3" spans="1:31" x14ac:dyDescent="0.3">
      <c r="A3" s="219" t="s">
        <v>741</v>
      </c>
      <c r="B3" s="149"/>
      <c r="C3" s="149"/>
      <c r="D3" s="149"/>
      <c r="E3" s="149"/>
      <c r="F3" s="150"/>
      <c r="G3" s="150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</row>
    <row r="4" spans="1:31" x14ac:dyDescent="0.3">
      <c r="A4" s="149"/>
      <c r="B4" s="149"/>
      <c r="C4" s="149"/>
      <c r="D4" s="152"/>
      <c r="E4" s="152"/>
      <c r="F4" s="150"/>
      <c r="G4" s="150"/>
      <c r="H4" s="152"/>
      <c r="I4" s="152"/>
      <c r="J4" s="152">
        <v>43861</v>
      </c>
      <c r="K4" s="152"/>
      <c r="L4" s="152"/>
      <c r="M4" s="152"/>
      <c r="N4" s="152">
        <v>43863</v>
      </c>
      <c r="O4" s="152"/>
      <c r="P4" s="152"/>
      <c r="Q4" s="152"/>
      <c r="R4" s="152">
        <v>43921</v>
      </c>
      <c r="S4" s="152"/>
      <c r="T4" s="152"/>
      <c r="U4" s="152"/>
      <c r="V4" s="152">
        <v>43951</v>
      </c>
      <c r="W4" s="152"/>
      <c r="X4" s="149"/>
      <c r="Y4" s="152"/>
      <c r="Z4" s="152">
        <v>43982</v>
      </c>
      <c r="AA4" s="177"/>
      <c r="AB4" s="149"/>
      <c r="AC4" s="177"/>
      <c r="AD4" s="225">
        <v>44012</v>
      </c>
      <c r="AE4" s="149"/>
    </row>
    <row r="5" spans="1:31" ht="43.2" x14ac:dyDescent="0.3">
      <c r="A5" s="211" t="s">
        <v>497</v>
      </c>
      <c r="B5" s="153" t="s">
        <v>496</v>
      </c>
      <c r="C5" s="153" t="s">
        <v>495</v>
      </c>
      <c r="D5" s="222" t="s">
        <v>494</v>
      </c>
      <c r="E5" s="222" t="s">
        <v>493</v>
      </c>
      <c r="F5" s="223" t="s">
        <v>492</v>
      </c>
      <c r="G5" s="223" t="s">
        <v>491</v>
      </c>
      <c r="H5" s="222"/>
      <c r="I5" s="224" t="s">
        <v>490</v>
      </c>
      <c r="J5" s="154" t="s">
        <v>484</v>
      </c>
      <c r="K5" s="155" t="s">
        <v>487</v>
      </c>
      <c r="L5" s="155" t="s">
        <v>486</v>
      </c>
      <c r="M5" s="155" t="s">
        <v>489</v>
      </c>
      <c r="N5" s="155" t="s">
        <v>484</v>
      </c>
      <c r="O5" s="156" t="s">
        <v>487</v>
      </c>
      <c r="P5" s="156" t="s">
        <v>486</v>
      </c>
      <c r="Q5" s="156" t="s">
        <v>489</v>
      </c>
      <c r="R5" s="156" t="s">
        <v>484</v>
      </c>
      <c r="S5" s="157" t="s">
        <v>487</v>
      </c>
      <c r="T5" s="157" t="s">
        <v>486</v>
      </c>
      <c r="U5" s="157" t="s">
        <v>488</v>
      </c>
      <c r="V5" s="157" t="s">
        <v>484</v>
      </c>
      <c r="W5" s="169" t="s">
        <v>487</v>
      </c>
      <c r="X5" s="170" t="s">
        <v>486</v>
      </c>
      <c r="Y5" s="169" t="s">
        <v>488</v>
      </c>
      <c r="Z5" s="169" t="s">
        <v>484</v>
      </c>
      <c r="AA5" s="220" t="s">
        <v>487</v>
      </c>
      <c r="AB5" s="221" t="s">
        <v>486</v>
      </c>
      <c r="AC5" s="220" t="s">
        <v>488</v>
      </c>
      <c r="AD5" s="220" t="s">
        <v>484</v>
      </c>
      <c r="AE5" s="220" t="s">
        <v>483</v>
      </c>
    </row>
    <row r="6" spans="1:31" x14ac:dyDescent="0.3">
      <c r="A6" s="185"/>
      <c r="B6" s="175" t="s">
        <v>77</v>
      </c>
      <c r="C6" s="175" t="s">
        <v>482</v>
      </c>
      <c r="D6" s="178" t="s">
        <v>481</v>
      </c>
      <c r="E6" s="178"/>
      <c r="F6" s="186">
        <v>43622</v>
      </c>
      <c r="G6" s="186">
        <v>43988</v>
      </c>
      <c r="H6" s="178"/>
      <c r="I6" s="178">
        <v>5.4</v>
      </c>
      <c r="J6" s="178">
        <v>8576.8767123287671</v>
      </c>
      <c r="K6" s="178">
        <v>1080.0000000000002</v>
      </c>
      <c r="L6" s="178"/>
      <c r="M6" s="178"/>
      <c r="N6" s="178">
        <v>9656.8767123287671</v>
      </c>
      <c r="O6" s="178">
        <v>1080.0000000000002</v>
      </c>
      <c r="P6" s="178"/>
      <c r="Q6" s="178"/>
      <c r="R6" s="178">
        <v>10736.876712328767</v>
      </c>
      <c r="S6" s="178">
        <v>1080.0000000000002</v>
      </c>
      <c r="T6" s="178"/>
      <c r="U6" s="178"/>
      <c r="V6" s="178">
        <v>11816.876712328767</v>
      </c>
      <c r="W6" s="178">
        <v>1116.0000000000002</v>
      </c>
      <c r="X6" s="179"/>
      <c r="Y6" s="178"/>
      <c r="Z6" s="178">
        <v>12932.876712328767</v>
      </c>
      <c r="AA6" s="178"/>
      <c r="AB6" s="179">
        <v>-12995.5</v>
      </c>
      <c r="AC6" s="178">
        <v>62.62</v>
      </c>
      <c r="AD6" s="178">
        <v>-3.2876712329041879E-3</v>
      </c>
      <c r="AE6" s="175" t="s">
        <v>96</v>
      </c>
    </row>
    <row r="7" spans="1:31" x14ac:dyDescent="0.3">
      <c r="A7" s="185"/>
      <c r="B7" s="175" t="s">
        <v>124</v>
      </c>
      <c r="C7" s="175" t="s">
        <v>480</v>
      </c>
      <c r="D7" s="178" t="s">
        <v>479</v>
      </c>
      <c r="E7" s="178"/>
      <c r="F7" s="186">
        <v>43633</v>
      </c>
      <c r="G7" s="186">
        <v>43999</v>
      </c>
      <c r="H7" s="178"/>
      <c r="I7" s="178">
        <v>4.4000000000000004</v>
      </c>
      <c r="J7" s="178">
        <v>4391.2937595129379</v>
      </c>
      <c r="K7" s="178">
        <v>579.33333333333337</v>
      </c>
      <c r="L7" s="178"/>
      <c r="M7" s="178"/>
      <c r="N7" s="178">
        <v>4970.6270928462709</v>
      </c>
      <c r="O7" s="178">
        <v>579.33333333333337</v>
      </c>
      <c r="P7" s="178"/>
      <c r="Q7" s="178"/>
      <c r="R7" s="178">
        <v>5549.9604261796039</v>
      </c>
      <c r="S7" s="178">
        <v>579.33333333333337</v>
      </c>
      <c r="T7" s="178"/>
      <c r="U7" s="178"/>
      <c r="V7" s="178">
        <v>6129.293759512937</v>
      </c>
      <c r="W7" s="178">
        <v>598.6444444444445</v>
      </c>
      <c r="X7" s="179"/>
      <c r="Y7" s="178"/>
      <c r="Z7" s="178">
        <v>6727.9382039573811</v>
      </c>
      <c r="AA7" s="178"/>
      <c r="AB7" s="179">
        <v>-6971.04</v>
      </c>
      <c r="AC7" s="178">
        <v>243.1</v>
      </c>
      <c r="AD7" s="178">
        <v>-1.7960426188494694E-3</v>
      </c>
      <c r="AE7" s="175" t="s">
        <v>96</v>
      </c>
    </row>
    <row r="8" spans="1:31" x14ac:dyDescent="0.3">
      <c r="A8" s="185"/>
      <c r="B8" s="175" t="s">
        <v>117</v>
      </c>
      <c r="C8" s="175" t="s">
        <v>478</v>
      </c>
      <c r="D8" s="178" t="s">
        <v>477</v>
      </c>
      <c r="E8" s="178"/>
      <c r="F8" s="186">
        <v>43644</v>
      </c>
      <c r="G8" s="186">
        <v>44010</v>
      </c>
      <c r="H8" s="178"/>
      <c r="I8" s="178">
        <v>5.87</v>
      </c>
      <c r="J8" s="178">
        <v>1412.3738203957382</v>
      </c>
      <c r="K8" s="178">
        <v>195.66666666666666</v>
      </c>
      <c r="L8" s="178"/>
      <c r="M8" s="178"/>
      <c r="N8" s="178">
        <v>1608.040487062405</v>
      </c>
      <c r="O8" s="178">
        <v>195.66666666666666</v>
      </c>
      <c r="P8" s="178"/>
      <c r="Q8" s="178"/>
      <c r="R8" s="178">
        <v>1803.7071537290717</v>
      </c>
      <c r="S8" s="178">
        <v>195.66666666666666</v>
      </c>
      <c r="T8" s="178"/>
      <c r="U8" s="178"/>
      <c r="V8" s="178">
        <v>1999.3738203957384</v>
      </c>
      <c r="W8" s="178">
        <v>202.1888888888889</v>
      </c>
      <c r="X8" s="179"/>
      <c r="Y8" s="178"/>
      <c r="Z8" s="178">
        <v>2201.5627092846275</v>
      </c>
      <c r="AA8" s="178"/>
      <c r="AB8" s="179">
        <v>-2346.41</v>
      </c>
      <c r="AC8" s="178">
        <v>144.85</v>
      </c>
      <c r="AD8" s="178">
        <v>2.7092846276843829E-3</v>
      </c>
      <c r="AE8" s="175" t="s">
        <v>96</v>
      </c>
    </row>
    <row r="9" spans="1:31" x14ac:dyDescent="0.3">
      <c r="A9" s="185"/>
      <c r="B9" s="175" t="s">
        <v>117</v>
      </c>
      <c r="C9" s="175" t="s">
        <v>476</v>
      </c>
      <c r="D9" s="178" t="s">
        <v>475</v>
      </c>
      <c r="E9" s="178"/>
      <c r="F9" s="186">
        <v>43644</v>
      </c>
      <c r="G9" s="186">
        <v>44010</v>
      </c>
      <c r="H9" s="178"/>
      <c r="I9" s="178">
        <v>5.87</v>
      </c>
      <c r="J9" s="178">
        <v>2118.5607305936073</v>
      </c>
      <c r="K9" s="178">
        <v>293.5</v>
      </c>
      <c r="L9" s="178"/>
      <c r="M9" s="178"/>
      <c r="N9" s="178">
        <v>2412.0607305936073</v>
      </c>
      <c r="O9" s="178">
        <v>293.5</v>
      </c>
      <c r="P9" s="178"/>
      <c r="Q9" s="178"/>
      <c r="R9" s="178">
        <v>2705.5607305936073</v>
      </c>
      <c r="S9" s="178">
        <v>293.5</v>
      </c>
      <c r="T9" s="178"/>
      <c r="U9" s="178"/>
      <c r="V9" s="178">
        <v>2999.0607305936073</v>
      </c>
      <c r="W9" s="178">
        <v>303.2833333333333</v>
      </c>
      <c r="X9" s="179"/>
      <c r="Y9" s="178"/>
      <c r="Z9" s="178">
        <v>3302.3440639269406</v>
      </c>
      <c r="AA9" s="178"/>
      <c r="AB9" s="179">
        <v>-3519.62</v>
      </c>
      <c r="AC9" s="178">
        <v>217.28</v>
      </c>
      <c r="AD9" s="178">
        <v>4.0639269407449774E-3</v>
      </c>
      <c r="AE9" s="175" t="s">
        <v>96</v>
      </c>
    </row>
    <row r="10" spans="1:31" x14ac:dyDescent="0.3">
      <c r="A10" s="185"/>
      <c r="B10" s="175" t="s">
        <v>117</v>
      </c>
      <c r="C10" s="175" t="s">
        <v>474</v>
      </c>
      <c r="D10" s="178" t="s">
        <v>473</v>
      </c>
      <c r="E10" s="178"/>
      <c r="F10" s="186">
        <v>43644</v>
      </c>
      <c r="G10" s="186">
        <v>44010</v>
      </c>
      <c r="H10" s="178"/>
      <c r="I10" s="178">
        <v>5.85</v>
      </c>
      <c r="J10" s="178">
        <v>3518.9041095890411</v>
      </c>
      <c r="K10" s="178">
        <v>487.5</v>
      </c>
      <c r="L10" s="178"/>
      <c r="M10" s="178"/>
      <c r="N10" s="178">
        <v>4006.4041095890411</v>
      </c>
      <c r="O10" s="178">
        <v>487.5</v>
      </c>
      <c r="P10" s="178"/>
      <c r="Q10" s="178"/>
      <c r="R10" s="178">
        <v>4493.9041095890407</v>
      </c>
      <c r="S10" s="178">
        <v>487.5</v>
      </c>
      <c r="T10" s="178"/>
      <c r="U10" s="178"/>
      <c r="V10" s="178">
        <v>4981.4041095890407</v>
      </c>
      <c r="W10" s="178">
        <v>503.75</v>
      </c>
      <c r="X10" s="179"/>
      <c r="Y10" s="178"/>
      <c r="Z10" s="178">
        <v>5485.1541095890407</v>
      </c>
      <c r="AA10" s="178"/>
      <c r="AB10" s="179">
        <v>-5866.03</v>
      </c>
      <c r="AC10" s="178">
        <v>380.88</v>
      </c>
      <c r="AD10" s="178">
        <v>4.1095890409224012E-3</v>
      </c>
      <c r="AE10" s="175" t="s">
        <v>96</v>
      </c>
    </row>
    <row r="11" spans="1:31" x14ac:dyDescent="0.3">
      <c r="A11" s="185"/>
      <c r="B11" s="175" t="s">
        <v>25</v>
      </c>
      <c r="C11" s="175" t="s">
        <v>472</v>
      </c>
      <c r="D11" s="178" t="s">
        <v>471</v>
      </c>
      <c r="E11" s="178"/>
      <c r="F11" s="186">
        <v>43617</v>
      </c>
      <c r="G11" s="186">
        <v>43983</v>
      </c>
      <c r="H11" s="178"/>
      <c r="I11" s="178">
        <v>4.4000000000000004</v>
      </c>
      <c r="J11" s="178">
        <v>4458.2648401826491</v>
      </c>
      <c r="K11" s="178">
        <v>550.00000000000011</v>
      </c>
      <c r="L11" s="178"/>
      <c r="M11" s="178"/>
      <c r="N11" s="178">
        <v>5008.2648401826491</v>
      </c>
      <c r="O11" s="178">
        <v>550.00000000000011</v>
      </c>
      <c r="P11" s="178"/>
      <c r="Q11" s="178"/>
      <c r="R11" s="178">
        <v>5558.2648401826491</v>
      </c>
      <c r="S11" s="178">
        <v>550.00000000000011</v>
      </c>
      <c r="T11" s="178"/>
      <c r="U11" s="178"/>
      <c r="V11" s="178">
        <v>6108.2648401826491</v>
      </c>
      <c r="W11" s="178">
        <v>568.33333333333337</v>
      </c>
      <c r="X11" s="179">
        <v>-6401.1</v>
      </c>
      <c r="Y11" s="178"/>
      <c r="Z11" s="178">
        <v>275.49817351598176</v>
      </c>
      <c r="AA11" s="178"/>
      <c r="AB11" s="179"/>
      <c r="AC11" s="178">
        <v>-275.5</v>
      </c>
      <c r="AD11" s="178">
        <v>-1.8264840182382613E-3</v>
      </c>
      <c r="AE11" s="175" t="s">
        <v>96</v>
      </c>
    </row>
    <row r="12" spans="1:31" x14ac:dyDescent="0.3">
      <c r="A12" s="185"/>
      <c r="B12" s="175" t="s">
        <v>13</v>
      </c>
      <c r="C12" s="175" t="s">
        <v>470</v>
      </c>
      <c r="D12" s="178" t="s">
        <v>469</v>
      </c>
      <c r="E12" s="178"/>
      <c r="F12" s="186">
        <v>43627</v>
      </c>
      <c r="G12" s="186">
        <v>43993</v>
      </c>
      <c r="H12" s="178"/>
      <c r="I12" s="178">
        <v>8.9</v>
      </c>
      <c r="J12" s="178">
        <v>25235.292998477937</v>
      </c>
      <c r="K12" s="178">
        <v>3244.7916666666674</v>
      </c>
      <c r="L12" s="178"/>
      <c r="M12" s="178"/>
      <c r="N12" s="178">
        <v>28480.084665144605</v>
      </c>
      <c r="O12" s="178">
        <v>3244.7916666666674</v>
      </c>
      <c r="P12" s="178"/>
      <c r="Q12" s="178"/>
      <c r="R12" s="178">
        <v>31724.876331811272</v>
      </c>
      <c r="S12" s="178">
        <v>3244.7916666666674</v>
      </c>
      <c r="T12" s="178"/>
      <c r="U12" s="178"/>
      <c r="V12" s="178">
        <v>34969.66799847794</v>
      </c>
      <c r="W12" s="178">
        <v>3352.9513888888896</v>
      </c>
      <c r="X12" s="179"/>
      <c r="Y12" s="178"/>
      <c r="Z12" s="178">
        <v>38322.619387366831</v>
      </c>
      <c r="AA12" s="178"/>
      <c r="AB12" s="179">
        <v>-38937.5</v>
      </c>
      <c r="AC12" s="178">
        <v>614.88</v>
      </c>
      <c r="AD12" s="178">
        <v>-6.126331692257736E-4</v>
      </c>
      <c r="AE12" s="175" t="s">
        <v>96</v>
      </c>
    </row>
    <row r="13" spans="1:31" x14ac:dyDescent="0.3">
      <c r="A13" s="185"/>
      <c r="B13" s="175" t="s">
        <v>13</v>
      </c>
      <c r="C13" s="175" t="s">
        <v>468</v>
      </c>
      <c r="D13" s="178" t="s">
        <v>467</v>
      </c>
      <c r="E13" s="178"/>
      <c r="F13" s="186">
        <v>43640</v>
      </c>
      <c r="G13" s="186">
        <v>44006</v>
      </c>
      <c r="H13" s="178"/>
      <c r="I13" s="178">
        <v>4.6500000000000004</v>
      </c>
      <c r="J13" s="178">
        <v>5696.0730593607332</v>
      </c>
      <c r="K13" s="178">
        <v>775.00000000000023</v>
      </c>
      <c r="L13" s="178"/>
      <c r="M13" s="178"/>
      <c r="N13" s="178">
        <v>6471.0730593607332</v>
      </c>
      <c r="O13" s="178">
        <v>775.00000000000023</v>
      </c>
      <c r="P13" s="178"/>
      <c r="Q13" s="178"/>
      <c r="R13" s="178">
        <v>7246.0730593607332</v>
      </c>
      <c r="S13" s="178">
        <v>775.00000000000023</v>
      </c>
      <c r="T13" s="178"/>
      <c r="U13" s="178"/>
      <c r="V13" s="178">
        <v>8021.0730593607332</v>
      </c>
      <c r="W13" s="178">
        <v>800.83333333333348</v>
      </c>
      <c r="X13" s="179"/>
      <c r="Y13" s="178"/>
      <c r="Z13" s="178">
        <v>8821.9063926940671</v>
      </c>
      <c r="AA13" s="178"/>
      <c r="AB13" s="179">
        <v>-9325.48</v>
      </c>
      <c r="AC13" s="178">
        <v>503.57</v>
      </c>
      <c r="AD13" s="178">
        <v>-3.6073059324621681E-3</v>
      </c>
      <c r="AE13" s="175" t="s">
        <v>96</v>
      </c>
    </row>
    <row r="14" spans="1:31" x14ac:dyDescent="0.3">
      <c r="A14" s="185"/>
      <c r="B14" s="175" t="s">
        <v>40</v>
      </c>
      <c r="C14" s="175" t="s">
        <v>466</v>
      </c>
      <c r="D14" s="178" t="s">
        <v>465</v>
      </c>
      <c r="E14" s="178"/>
      <c r="F14" s="186">
        <v>43642</v>
      </c>
      <c r="G14" s="186">
        <v>44008</v>
      </c>
      <c r="H14" s="178"/>
      <c r="I14" s="178">
        <v>6.4</v>
      </c>
      <c r="J14" s="178">
        <v>46617.716894977173</v>
      </c>
      <c r="K14" s="178">
        <v>6400</v>
      </c>
      <c r="L14" s="178"/>
      <c r="M14" s="178"/>
      <c r="N14" s="178">
        <v>53017.716894977173</v>
      </c>
      <c r="O14" s="178">
        <v>6400</v>
      </c>
      <c r="P14" s="178"/>
      <c r="Q14" s="178"/>
      <c r="R14" s="178">
        <v>59417.716894977173</v>
      </c>
      <c r="S14" s="178">
        <v>6400</v>
      </c>
      <c r="T14" s="178"/>
      <c r="U14" s="178"/>
      <c r="V14" s="178">
        <v>65817.716894977173</v>
      </c>
      <c r="W14" s="178">
        <v>6613.3333333333339</v>
      </c>
      <c r="X14" s="179"/>
      <c r="Y14" s="178"/>
      <c r="Z14" s="178">
        <v>72431.050228310502</v>
      </c>
      <c r="AA14" s="178"/>
      <c r="AB14" s="179">
        <v>-72381.320000000007</v>
      </c>
      <c r="AC14" s="178">
        <v>-49.73</v>
      </c>
      <c r="AD14" s="178">
        <v>2.2831049457039398E-4</v>
      </c>
      <c r="AE14" s="175" t="s">
        <v>96</v>
      </c>
    </row>
    <row r="15" spans="1:31" x14ac:dyDescent="0.3">
      <c r="A15" s="185"/>
      <c r="B15" s="175" t="s">
        <v>40</v>
      </c>
      <c r="C15" s="175" t="s">
        <v>464</v>
      </c>
      <c r="D15" s="178" t="s">
        <v>463</v>
      </c>
      <c r="E15" s="178"/>
      <c r="F15" s="186">
        <v>43642</v>
      </c>
      <c r="G15" s="186">
        <v>44008</v>
      </c>
      <c r="H15" s="178"/>
      <c r="I15" s="178">
        <v>6.4</v>
      </c>
      <c r="J15" s="178">
        <v>12431.39117199391</v>
      </c>
      <c r="K15" s="178">
        <v>1706.6666666666665</v>
      </c>
      <c r="L15" s="178"/>
      <c r="M15" s="178"/>
      <c r="N15" s="178">
        <v>14138.057838660576</v>
      </c>
      <c r="O15" s="178">
        <v>1706.6666666666665</v>
      </c>
      <c r="P15" s="178"/>
      <c r="Q15" s="178"/>
      <c r="R15" s="178">
        <v>15844.724505327242</v>
      </c>
      <c r="S15" s="178">
        <v>1706.6666666666665</v>
      </c>
      <c r="T15" s="178"/>
      <c r="U15" s="178"/>
      <c r="V15" s="178">
        <v>17551.39117199391</v>
      </c>
      <c r="W15" s="178">
        <v>1763.5555555555554</v>
      </c>
      <c r="X15" s="179"/>
      <c r="Y15" s="178"/>
      <c r="Z15" s="178">
        <v>19314.946727549464</v>
      </c>
      <c r="AA15" s="178"/>
      <c r="AB15" s="179">
        <v>-20367.77</v>
      </c>
      <c r="AC15" s="178">
        <v>1052.82</v>
      </c>
      <c r="AD15" s="178">
        <v>-3.27245053608749E-3</v>
      </c>
      <c r="AE15" s="175" t="s">
        <v>96</v>
      </c>
    </row>
    <row r="16" spans="1:31" x14ac:dyDescent="0.3">
      <c r="A16" s="185"/>
      <c r="B16" s="175" t="s">
        <v>143</v>
      </c>
      <c r="C16" s="175" t="s">
        <v>462</v>
      </c>
      <c r="D16" s="178" t="s">
        <v>461</v>
      </c>
      <c r="E16" s="178"/>
      <c r="F16" s="186">
        <v>43619</v>
      </c>
      <c r="G16" s="186">
        <v>43985</v>
      </c>
      <c r="H16" s="178"/>
      <c r="I16" s="178">
        <v>6.9</v>
      </c>
      <c r="J16" s="178">
        <v>64726.038916785401</v>
      </c>
      <c r="K16" s="178">
        <v>8050.3194700000013</v>
      </c>
      <c r="L16" s="178"/>
      <c r="M16" s="178"/>
      <c r="N16" s="178">
        <v>72776.358386785403</v>
      </c>
      <c r="O16" s="178">
        <v>8050.3194700000013</v>
      </c>
      <c r="P16" s="178"/>
      <c r="Q16" s="178"/>
      <c r="R16" s="178">
        <v>80826.677856785405</v>
      </c>
      <c r="S16" s="178">
        <v>8050.3194700000013</v>
      </c>
      <c r="T16" s="178"/>
      <c r="U16" s="178"/>
      <c r="V16" s="178">
        <v>88876.997326785407</v>
      </c>
      <c r="W16" s="178">
        <v>8318.6634523333341</v>
      </c>
      <c r="X16" s="179"/>
      <c r="Y16" s="178"/>
      <c r="Z16" s="178">
        <v>97195.660779118742</v>
      </c>
      <c r="AA16" s="178"/>
      <c r="AB16" s="179">
        <v>-96868.44</v>
      </c>
      <c r="AC16" s="178">
        <v>-327.22000000000003</v>
      </c>
      <c r="AD16" s="178">
        <v>7.7911873927405395E-4</v>
      </c>
      <c r="AE16" s="175" t="s">
        <v>96</v>
      </c>
    </row>
    <row r="17" spans="1:31" x14ac:dyDescent="0.3">
      <c r="A17" s="185"/>
      <c r="B17" s="175" t="s">
        <v>127</v>
      </c>
      <c r="C17" s="175" t="s">
        <v>460</v>
      </c>
      <c r="D17" s="178" t="s">
        <v>459</v>
      </c>
      <c r="E17" s="178"/>
      <c r="F17" s="186">
        <v>43633</v>
      </c>
      <c r="G17" s="186">
        <v>43999</v>
      </c>
      <c r="H17" s="178"/>
      <c r="I17" s="178">
        <v>5.9</v>
      </c>
      <c r="J17" s="178">
        <v>14907.153729071537</v>
      </c>
      <c r="K17" s="178">
        <v>1966.6666666666667</v>
      </c>
      <c r="L17" s="178"/>
      <c r="M17" s="178"/>
      <c r="N17" s="178">
        <v>16873.820395738203</v>
      </c>
      <c r="O17" s="178">
        <v>1966.6666666666667</v>
      </c>
      <c r="P17" s="178"/>
      <c r="Q17" s="178"/>
      <c r="R17" s="178">
        <v>18840.487062404871</v>
      </c>
      <c r="S17" s="178">
        <v>1966.6666666666667</v>
      </c>
      <c r="T17" s="178"/>
      <c r="U17" s="178"/>
      <c r="V17" s="178">
        <v>20807.153729071539</v>
      </c>
      <c r="W17" s="178">
        <v>2032.2222222222222</v>
      </c>
      <c r="X17" s="179"/>
      <c r="Y17" s="178"/>
      <c r="Z17" s="178">
        <v>22839.375951293761</v>
      </c>
      <c r="AA17" s="178"/>
      <c r="AB17" s="179">
        <v>-23664.639999999999</v>
      </c>
      <c r="AC17" s="178">
        <v>825.26</v>
      </c>
      <c r="AD17" s="178">
        <v>-4.0487062381089345E-3</v>
      </c>
      <c r="AE17" s="175" t="s">
        <v>96</v>
      </c>
    </row>
    <row r="18" spans="1:31" x14ac:dyDescent="0.3">
      <c r="A18" s="185"/>
      <c r="B18" s="175" t="s">
        <v>127</v>
      </c>
      <c r="C18" s="175" t="s">
        <v>458</v>
      </c>
      <c r="D18" s="178" t="s">
        <v>457</v>
      </c>
      <c r="E18" s="178"/>
      <c r="F18" s="186">
        <v>43633</v>
      </c>
      <c r="G18" s="186">
        <v>43999</v>
      </c>
      <c r="H18" s="178"/>
      <c r="I18" s="178">
        <v>5.9</v>
      </c>
      <c r="J18" s="178">
        <v>5217.5038051750371</v>
      </c>
      <c r="K18" s="178">
        <v>688.33333333333326</v>
      </c>
      <c r="L18" s="178"/>
      <c r="M18" s="178"/>
      <c r="N18" s="178">
        <v>5905.8371385083701</v>
      </c>
      <c r="O18" s="178">
        <v>688.33333333333326</v>
      </c>
      <c r="P18" s="178"/>
      <c r="Q18" s="178"/>
      <c r="R18" s="178">
        <v>6594.1704718417031</v>
      </c>
      <c r="S18" s="178">
        <v>688.33333333333326</v>
      </c>
      <c r="T18" s="178"/>
      <c r="U18" s="178"/>
      <c r="V18" s="178">
        <v>7282.5038051750362</v>
      </c>
      <c r="W18" s="178">
        <v>711.27777777777771</v>
      </c>
      <c r="X18" s="179"/>
      <c r="Y18" s="178"/>
      <c r="Z18" s="178">
        <v>7993.7815829528136</v>
      </c>
      <c r="AA18" s="178"/>
      <c r="AB18" s="179">
        <v>-8282.6200000000008</v>
      </c>
      <c r="AC18" s="178">
        <v>288.83999999999997</v>
      </c>
      <c r="AD18" s="178">
        <v>1.5829528127255799E-3</v>
      </c>
      <c r="AE18" s="175" t="s">
        <v>96</v>
      </c>
    </row>
    <row r="19" spans="1:31" x14ac:dyDescent="0.3">
      <c r="A19" s="185"/>
      <c r="B19" s="175" t="s">
        <v>22</v>
      </c>
      <c r="C19" s="175" t="s">
        <v>456</v>
      </c>
      <c r="D19" s="178" t="s">
        <v>455</v>
      </c>
      <c r="E19" s="178"/>
      <c r="F19" s="186">
        <v>43617</v>
      </c>
      <c r="G19" s="186">
        <v>43983</v>
      </c>
      <c r="H19" s="178"/>
      <c r="I19" s="178">
        <v>6.6</v>
      </c>
      <c r="J19" s="178">
        <v>49040.913242009126</v>
      </c>
      <c r="K19" s="178">
        <v>6050</v>
      </c>
      <c r="L19" s="178"/>
      <c r="M19" s="178"/>
      <c r="N19" s="178">
        <v>55090.913242009126</v>
      </c>
      <c r="O19" s="178">
        <v>6050</v>
      </c>
      <c r="P19" s="178"/>
      <c r="Q19" s="178"/>
      <c r="R19" s="178">
        <v>61140.913242009126</v>
      </c>
      <c r="S19" s="178">
        <v>6050</v>
      </c>
      <c r="T19" s="178"/>
      <c r="U19" s="178"/>
      <c r="V19" s="178">
        <v>67190.913242009119</v>
      </c>
      <c r="W19" s="178">
        <v>6251.6666666666661</v>
      </c>
      <c r="X19" s="179"/>
      <c r="Y19" s="178"/>
      <c r="Z19" s="178">
        <v>73442.579908675791</v>
      </c>
      <c r="AA19" s="178"/>
      <c r="AB19" s="179">
        <v>-72798.2</v>
      </c>
      <c r="AC19" s="178">
        <v>-644.38</v>
      </c>
      <c r="AD19" s="178">
        <v>-9.132420643709338E-5</v>
      </c>
      <c r="AE19" s="175" t="s">
        <v>96</v>
      </c>
    </row>
    <row r="20" spans="1:31" x14ac:dyDescent="0.3">
      <c r="A20" s="185"/>
      <c r="B20" s="175" t="s">
        <v>138</v>
      </c>
      <c r="C20" s="175" t="s">
        <v>454</v>
      </c>
      <c r="D20" s="178" t="s">
        <v>453</v>
      </c>
      <c r="E20" s="178"/>
      <c r="F20" s="186">
        <v>43623</v>
      </c>
      <c r="G20" s="186">
        <v>43989</v>
      </c>
      <c r="H20" s="178"/>
      <c r="I20" s="178">
        <v>6.49</v>
      </c>
      <c r="J20" s="178">
        <v>12831.826484018267</v>
      </c>
      <c r="K20" s="178">
        <v>1622.5</v>
      </c>
      <c r="L20" s="178"/>
      <c r="M20" s="178"/>
      <c r="N20" s="178">
        <v>14454.326484018267</v>
      </c>
      <c r="O20" s="178">
        <v>1622.5</v>
      </c>
      <c r="P20" s="178"/>
      <c r="Q20" s="178"/>
      <c r="R20" s="178">
        <v>16076.826484018267</v>
      </c>
      <c r="S20" s="178">
        <v>1622.5</v>
      </c>
      <c r="T20" s="178"/>
      <c r="U20" s="178"/>
      <c r="V20" s="178">
        <v>17699.326484018267</v>
      </c>
      <c r="W20" s="178">
        <v>1676.5833333333335</v>
      </c>
      <c r="X20" s="179"/>
      <c r="Y20" s="178"/>
      <c r="Z20" s="178">
        <v>19375.909817351599</v>
      </c>
      <c r="AA20" s="178"/>
      <c r="AB20" s="179">
        <v>-19305.36</v>
      </c>
      <c r="AC20" s="178">
        <v>-70.55</v>
      </c>
      <c r="AD20" s="178">
        <v>-1.826484010933882E-4</v>
      </c>
      <c r="AE20" s="175" t="s">
        <v>96</v>
      </c>
    </row>
    <row r="21" spans="1:31" x14ac:dyDescent="0.3">
      <c r="A21" s="185" t="s">
        <v>452</v>
      </c>
      <c r="B21" s="175" t="s">
        <v>103</v>
      </c>
      <c r="C21" s="175" t="s">
        <v>451</v>
      </c>
      <c r="D21" s="178" t="s">
        <v>450</v>
      </c>
      <c r="E21" s="178">
        <v>537381.17000000004</v>
      </c>
      <c r="F21" s="186">
        <v>43659</v>
      </c>
      <c r="G21" s="186">
        <v>44025</v>
      </c>
      <c r="H21" s="178"/>
      <c r="I21" s="178">
        <v>5.9</v>
      </c>
      <c r="J21" s="178">
        <v>17768.586089567732</v>
      </c>
      <c r="K21" s="178">
        <v>2642.1240858333335</v>
      </c>
      <c r="L21" s="178"/>
      <c r="M21" s="178"/>
      <c r="N21" s="178">
        <v>20410.710175401065</v>
      </c>
      <c r="O21" s="178">
        <v>2642.1240858333335</v>
      </c>
      <c r="P21" s="178"/>
      <c r="Q21" s="178"/>
      <c r="R21" s="178">
        <v>23052.834261234399</v>
      </c>
      <c r="S21" s="178">
        <v>2642.1240858333335</v>
      </c>
      <c r="T21" s="178"/>
      <c r="U21" s="178"/>
      <c r="V21" s="178">
        <v>25694.958347067732</v>
      </c>
      <c r="W21" s="178">
        <v>2730.1948886944447</v>
      </c>
      <c r="X21" s="179"/>
      <c r="Y21" s="178"/>
      <c r="Z21" s="178">
        <v>28425.153235762176</v>
      </c>
      <c r="AA21" s="178">
        <v>2605.9306052054799</v>
      </c>
      <c r="AB21" s="179"/>
      <c r="AC21" s="178"/>
      <c r="AD21" s="178">
        <v>31031.083840967658</v>
      </c>
      <c r="AE21" s="175"/>
    </row>
    <row r="22" spans="1:31" x14ac:dyDescent="0.3">
      <c r="A22" s="185" t="s">
        <v>429</v>
      </c>
      <c r="B22" s="175" t="s">
        <v>85</v>
      </c>
      <c r="C22" s="175" t="s">
        <v>449</v>
      </c>
      <c r="D22" s="178" t="s">
        <v>448</v>
      </c>
      <c r="E22" s="178">
        <v>75139</v>
      </c>
      <c r="F22" s="186">
        <v>43670</v>
      </c>
      <c r="G22" s="186">
        <v>44036</v>
      </c>
      <c r="H22" s="178"/>
      <c r="I22" s="178">
        <v>7.4</v>
      </c>
      <c r="J22" s="178">
        <v>2948.5595774733642</v>
      </c>
      <c r="K22" s="178">
        <v>463.35716666666673</v>
      </c>
      <c r="L22" s="178"/>
      <c r="M22" s="178"/>
      <c r="N22" s="178">
        <v>3411.9167441400309</v>
      </c>
      <c r="O22" s="178">
        <v>463.35716666666673</v>
      </c>
      <c r="P22" s="178"/>
      <c r="Q22" s="178"/>
      <c r="R22" s="178">
        <v>3875.2739108066976</v>
      </c>
      <c r="S22" s="178">
        <v>463.35716666666673</v>
      </c>
      <c r="T22" s="178"/>
      <c r="U22" s="178"/>
      <c r="V22" s="178">
        <v>4338.6310774733647</v>
      </c>
      <c r="W22" s="178">
        <v>478.80240555555565</v>
      </c>
      <c r="X22" s="179"/>
      <c r="Y22" s="178"/>
      <c r="Z22" s="178">
        <v>4817.4334830289208</v>
      </c>
      <c r="AA22" s="178">
        <v>457.00980821917813</v>
      </c>
      <c r="AB22" s="179"/>
      <c r="AC22" s="178"/>
      <c r="AD22" s="178">
        <v>5274.4432912480988</v>
      </c>
      <c r="AE22" s="175"/>
    </row>
    <row r="23" spans="1:31" x14ac:dyDescent="0.3">
      <c r="A23" s="185" t="s">
        <v>429</v>
      </c>
      <c r="B23" s="175" t="s">
        <v>85</v>
      </c>
      <c r="C23" s="175" t="s">
        <v>447</v>
      </c>
      <c r="D23" s="178" t="s">
        <v>446</v>
      </c>
      <c r="E23" s="178">
        <v>220000</v>
      </c>
      <c r="F23" s="186">
        <v>43670</v>
      </c>
      <c r="G23" s="186">
        <v>44036</v>
      </c>
      <c r="H23" s="178"/>
      <c r="I23" s="178">
        <v>7.4</v>
      </c>
      <c r="J23" s="178">
        <v>8633.1080669710827</v>
      </c>
      <c r="K23" s="178">
        <v>1356.666666666667</v>
      </c>
      <c r="L23" s="178"/>
      <c r="M23" s="178"/>
      <c r="N23" s="178">
        <v>9989.7747336377506</v>
      </c>
      <c r="O23" s="178">
        <v>1356.666666666667</v>
      </c>
      <c r="P23" s="178"/>
      <c r="Q23" s="178"/>
      <c r="R23" s="178">
        <v>11346.441400304418</v>
      </c>
      <c r="S23" s="178">
        <v>1356.666666666667</v>
      </c>
      <c r="T23" s="178"/>
      <c r="U23" s="178"/>
      <c r="V23" s="178">
        <v>12703.108066971086</v>
      </c>
      <c r="W23" s="178">
        <v>1401.8888888888891</v>
      </c>
      <c r="X23" s="179"/>
      <c r="Y23" s="178"/>
      <c r="Z23" s="178">
        <v>14104.996955859975</v>
      </c>
      <c r="AA23" s="178">
        <v>1338.0821917808221</v>
      </c>
      <c r="AB23" s="179"/>
      <c r="AC23" s="178"/>
      <c r="AD23" s="178">
        <v>15443.079147640798</v>
      </c>
      <c r="AE23" s="175"/>
    </row>
    <row r="24" spans="1:31" x14ac:dyDescent="0.3">
      <c r="A24" s="185"/>
      <c r="B24" s="175" t="s">
        <v>25</v>
      </c>
      <c r="C24" s="175" t="s">
        <v>445</v>
      </c>
      <c r="D24" s="178" t="s">
        <v>444</v>
      </c>
      <c r="E24" s="187">
        <v>85425</v>
      </c>
      <c r="F24" s="186">
        <v>43962</v>
      </c>
      <c r="G24" s="186">
        <v>44013</v>
      </c>
      <c r="H24" s="178"/>
      <c r="I24" s="178">
        <v>4.4000000000000004</v>
      </c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>
        <v>208.81666666666666</v>
      </c>
      <c r="X24" s="179"/>
      <c r="Y24" s="178"/>
      <c r="Z24" s="178">
        <v>208.81666666666666</v>
      </c>
      <c r="AA24" s="178">
        <v>308.93424657534251</v>
      </c>
      <c r="AB24" s="179"/>
      <c r="AC24" s="178"/>
      <c r="AD24" s="178">
        <v>517.75091324200912</v>
      </c>
      <c r="AE24" s="175"/>
    </row>
    <row r="25" spans="1:31" x14ac:dyDescent="0.3">
      <c r="A25" s="185" t="s">
        <v>443</v>
      </c>
      <c r="B25" s="175" t="s">
        <v>82</v>
      </c>
      <c r="C25" s="175" t="s">
        <v>442</v>
      </c>
      <c r="D25" s="178" t="s">
        <v>441</v>
      </c>
      <c r="E25" s="178">
        <v>53900</v>
      </c>
      <c r="F25" s="186">
        <v>43677</v>
      </c>
      <c r="G25" s="186">
        <v>44038</v>
      </c>
      <c r="H25" s="178"/>
      <c r="I25" s="178">
        <v>6.15</v>
      </c>
      <c r="J25" s="178">
        <v>1739.6655707762559</v>
      </c>
      <c r="K25" s="178">
        <v>276.23750000000001</v>
      </c>
      <c r="L25" s="178"/>
      <c r="M25" s="178"/>
      <c r="N25" s="178">
        <v>2015.9030707762558</v>
      </c>
      <c r="O25" s="178">
        <v>276.23750000000001</v>
      </c>
      <c r="P25" s="178"/>
      <c r="Q25" s="178"/>
      <c r="R25" s="178">
        <v>2292.140570776256</v>
      </c>
      <c r="S25" s="178">
        <v>276.23750000000001</v>
      </c>
      <c r="T25" s="178"/>
      <c r="U25" s="178"/>
      <c r="V25" s="178">
        <v>2568.3780707762562</v>
      </c>
      <c r="W25" s="178">
        <v>285.44541666666669</v>
      </c>
      <c r="X25" s="179"/>
      <c r="Y25" s="178"/>
      <c r="Z25" s="178">
        <v>2853.8234874429227</v>
      </c>
      <c r="AA25" s="178">
        <v>272.45342465753424</v>
      </c>
      <c r="AB25" s="179"/>
      <c r="AC25" s="178"/>
      <c r="AD25" s="178">
        <v>3126.2769121004567</v>
      </c>
      <c r="AE25" s="175"/>
    </row>
    <row r="26" spans="1:31" x14ac:dyDescent="0.3">
      <c r="A26" s="212" t="s">
        <v>440</v>
      </c>
      <c r="B26" s="189" t="s">
        <v>7</v>
      </c>
      <c r="C26" s="189" t="s">
        <v>439</v>
      </c>
      <c r="D26" s="190" t="s">
        <v>438</v>
      </c>
      <c r="E26" s="190">
        <v>500000</v>
      </c>
      <c r="F26" s="191">
        <v>43671</v>
      </c>
      <c r="G26" s="191">
        <v>44037</v>
      </c>
      <c r="H26" s="190"/>
      <c r="I26" s="190">
        <v>6.9</v>
      </c>
      <c r="J26" s="190">
        <v>18200.456621004563</v>
      </c>
      <c r="K26" s="190">
        <v>2875</v>
      </c>
      <c r="L26" s="190"/>
      <c r="M26" s="190"/>
      <c r="N26" s="190">
        <v>21075.456621004563</v>
      </c>
      <c r="O26" s="190">
        <v>2875</v>
      </c>
      <c r="P26" s="190"/>
      <c r="Q26" s="190"/>
      <c r="R26" s="190">
        <v>23950.456621004563</v>
      </c>
      <c r="S26" s="190">
        <v>2875</v>
      </c>
      <c r="T26" s="190"/>
      <c r="U26" s="190"/>
      <c r="V26" s="190">
        <v>26825.456621004563</v>
      </c>
      <c r="W26" s="190">
        <v>2970.833333333333</v>
      </c>
      <c r="X26" s="179"/>
      <c r="Y26" s="190"/>
      <c r="Z26" s="190">
        <v>29796.289954337895</v>
      </c>
      <c r="AA26" s="190">
        <v>2835.6164383561645</v>
      </c>
      <c r="AB26" s="179"/>
      <c r="AC26" s="190"/>
      <c r="AD26" s="190">
        <v>32631.906392694058</v>
      </c>
      <c r="AE26" s="189"/>
    </row>
    <row r="27" spans="1:31" x14ac:dyDescent="0.3">
      <c r="A27" s="212" t="s">
        <v>437</v>
      </c>
      <c r="B27" s="189" t="s">
        <v>106</v>
      </c>
      <c r="C27" s="189" t="s">
        <v>436</v>
      </c>
      <c r="D27" s="190" t="s">
        <v>435</v>
      </c>
      <c r="E27" s="190">
        <v>537381.16</v>
      </c>
      <c r="F27" s="191">
        <v>43659</v>
      </c>
      <c r="G27" s="191">
        <v>44025</v>
      </c>
      <c r="H27" s="190"/>
      <c r="I27" s="190">
        <v>5.9</v>
      </c>
      <c r="J27" s="190">
        <v>17768.585758916288</v>
      </c>
      <c r="K27" s="190">
        <v>2642.1240366666671</v>
      </c>
      <c r="L27" s="190"/>
      <c r="M27" s="190"/>
      <c r="N27" s="190">
        <v>20410.709795582956</v>
      </c>
      <c r="O27" s="190">
        <v>2642.1240366666671</v>
      </c>
      <c r="P27" s="190"/>
      <c r="Q27" s="190"/>
      <c r="R27" s="190">
        <v>23052.833832249624</v>
      </c>
      <c r="S27" s="190">
        <v>2642.1240366666671</v>
      </c>
      <c r="T27" s="190"/>
      <c r="U27" s="190"/>
      <c r="V27" s="190">
        <v>25694.957868916292</v>
      </c>
      <c r="W27" s="190">
        <v>2730.1948378888892</v>
      </c>
      <c r="X27" s="179"/>
      <c r="Y27" s="190"/>
      <c r="Z27" s="190">
        <v>28425.15270680518</v>
      </c>
      <c r="AA27" s="190">
        <v>2605.9305567123292</v>
      </c>
      <c r="AB27" s="179"/>
      <c r="AC27" s="190"/>
      <c r="AD27" s="190">
        <v>31031.08326351751</v>
      </c>
      <c r="AE27" s="189"/>
    </row>
    <row r="28" spans="1:31" x14ac:dyDescent="0.3">
      <c r="A28" s="212" t="s">
        <v>419</v>
      </c>
      <c r="B28" s="189" t="s">
        <v>40</v>
      </c>
      <c r="C28" s="189" t="s">
        <v>434</v>
      </c>
      <c r="D28" s="190" t="s">
        <v>433</v>
      </c>
      <c r="E28" s="190">
        <v>1100000</v>
      </c>
      <c r="F28" s="191">
        <v>43658</v>
      </c>
      <c r="G28" s="191">
        <v>44024</v>
      </c>
      <c r="H28" s="190"/>
      <c r="I28" s="190">
        <v>6.4</v>
      </c>
      <c r="J28" s="190">
        <v>39646.879756468792</v>
      </c>
      <c r="K28" s="190">
        <v>5866.6666666666661</v>
      </c>
      <c r="L28" s="190"/>
      <c r="M28" s="190"/>
      <c r="N28" s="190">
        <v>45513.546423135456</v>
      </c>
      <c r="O28" s="190">
        <v>5866.6666666666661</v>
      </c>
      <c r="P28" s="190"/>
      <c r="Q28" s="190"/>
      <c r="R28" s="190">
        <v>51380.213089802121</v>
      </c>
      <c r="S28" s="190">
        <v>5866.6666666666661</v>
      </c>
      <c r="T28" s="190"/>
      <c r="U28" s="190"/>
      <c r="V28" s="190">
        <v>57246.879756468785</v>
      </c>
      <c r="W28" s="190">
        <v>6062.2222222222217</v>
      </c>
      <c r="X28" s="179"/>
      <c r="Y28" s="190"/>
      <c r="Z28" s="190">
        <v>63309.101978691004</v>
      </c>
      <c r="AA28" s="190">
        <v>5786.3013698630139</v>
      </c>
      <c r="AB28" s="179"/>
      <c r="AC28" s="190"/>
      <c r="AD28" s="190">
        <v>69095.403348554013</v>
      </c>
      <c r="AE28" s="189"/>
    </row>
    <row r="29" spans="1:31" x14ac:dyDescent="0.3">
      <c r="A29" s="212" t="s">
        <v>432</v>
      </c>
      <c r="B29" s="189" t="s">
        <v>25</v>
      </c>
      <c r="C29" s="189" t="s">
        <v>431</v>
      </c>
      <c r="D29" s="189" t="s">
        <v>430</v>
      </c>
      <c r="E29" s="192">
        <v>100000</v>
      </c>
      <c r="F29" s="189" t="s">
        <v>426</v>
      </c>
      <c r="G29" s="189" t="s">
        <v>425</v>
      </c>
      <c r="H29" s="190"/>
      <c r="I29" s="190">
        <v>4.4000000000000004</v>
      </c>
      <c r="J29" s="190">
        <v>2248.8888888888887</v>
      </c>
      <c r="K29" s="190">
        <v>366.66666666666663</v>
      </c>
      <c r="L29" s="190"/>
      <c r="M29" s="190"/>
      <c r="N29" s="190">
        <v>2615.5555555555552</v>
      </c>
      <c r="O29" s="190">
        <v>366.66666666666663</v>
      </c>
      <c r="P29" s="190"/>
      <c r="Q29" s="190"/>
      <c r="R29" s="190">
        <v>2982.2222222222217</v>
      </c>
      <c r="S29" s="190">
        <v>366.66666666666663</v>
      </c>
      <c r="T29" s="190"/>
      <c r="U29" s="190"/>
      <c r="V29" s="190">
        <v>3348.8888888888882</v>
      </c>
      <c r="W29" s="190">
        <v>378.88888888888886</v>
      </c>
      <c r="X29" s="179"/>
      <c r="Y29" s="190"/>
      <c r="Z29" s="190">
        <v>3727.7777777777769</v>
      </c>
      <c r="AA29" s="190">
        <v>361.64383561643837</v>
      </c>
      <c r="AB29" s="179"/>
      <c r="AC29" s="190"/>
      <c r="AD29" s="190">
        <v>4089.4216133942155</v>
      </c>
      <c r="AE29" s="189"/>
    </row>
    <row r="30" spans="1:31" x14ac:dyDescent="0.3">
      <c r="A30" s="212" t="s">
        <v>429</v>
      </c>
      <c r="B30" s="189" t="s">
        <v>71</v>
      </c>
      <c r="C30" s="189" t="s">
        <v>428</v>
      </c>
      <c r="D30" s="189" t="s">
        <v>427</v>
      </c>
      <c r="E30" s="192">
        <v>100000</v>
      </c>
      <c r="F30" s="189" t="s">
        <v>426</v>
      </c>
      <c r="G30" s="189" t="s">
        <v>425</v>
      </c>
      <c r="H30" s="190"/>
      <c r="I30" s="190">
        <v>7.4</v>
      </c>
      <c r="J30" s="190">
        <v>3782.2222222222226</v>
      </c>
      <c r="K30" s="190">
        <v>616.66666666666674</v>
      </c>
      <c r="L30" s="190"/>
      <c r="M30" s="190"/>
      <c r="N30" s="190">
        <v>4398.8888888888896</v>
      </c>
      <c r="O30" s="190">
        <v>616.66666666666674</v>
      </c>
      <c r="P30" s="190"/>
      <c r="Q30" s="190"/>
      <c r="R30" s="190">
        <v>5015.5555555555566</v>
      </c>
      <c r="S30" s="190">
        <v>616.66666666666674</v>
      </c>
      <c r="T30" s="190"/>
      <c r="U30" s="190"/>
      <c r="V30" s="190">
        <v>5632.2222222222235</v>
      </c>
      <c r="W30" s="190">
        <v>637.22222222222229</v>
      </c>
      <c r="X30" s="179"/>
      <c r="Y30" s="190"/>
      <c r="Z30" s="190">
        <v>6269.4444444444462</v>
      </c>
      <c r="AA30" s="190">
        <v>608.21917808219189</v>
      </c>
      <c r="AB30" s="179"/>
      <c r="AC30" s="190"/>
      <c r="AD30" s="190">
        <v>6877.6636225266384</v>
      </c>
      <c r="AE30" s="189"/>
    </row>
    <row r="31" spans="1:31" x14ac:dyDescent="0.3">
      <c r="A31" s="212" t="s">
        <v>424</v>
      </c>
      <c r="B31" s="189" t="s">
        <v>64</v>
      </c>
      <c r="C31" s="189" t="s">
        <v>423</v>
      </c>
      <c r="D31" s="189" t="s">
        <v>422</v>
      </c>
      <c r="E31" s="192">
        <v>250000</v>
      </c>
      <c r="F31" s="189" t="s">
        <v>421</v>
      </c>
      <c r="G31" s="189" t="s">
        <v>420</v>
      </c>
      <c r="H31" s="190"/>
      <c r="I31" s="190">
        <v>4.9000000000000004</v>
      </c>
      <c r="J31" s="190">
        <v>6261.1111111111113</v>
      </c>
      <c r="K31" s="190">
        <v>1020.8333333333334</v>
      </c>
      <c r="L31" s="190"/>
      <c r="M31" s="190"/>
      <c r="N31" s="190">
        <v>7281.9444444444443</v>
      </c>
      <c r="O31" s="190">
        <v>1020.8333333333334</v>
      </c>
      <c r="P31" s="190"/>
      <c r="Q31" s="190"/>
      <c r="R31" s="190">
        <v>8302.7777777777774</v>
      </c>
      <c r="S31" s="190">
        <v>1020.8333333333334</v>
      </c>
      <c r="T31" s="190"/>
      <c r="U31" s="190"/>
      <c r="V31" s="190">
        <v>9323.6111111111113</v>
      </c>
      <c r="W31" s="190">
        <v>1054.8611111111111</v>
      </c>
      <c r="X31" s="179"/>
      <c r="Y31" s="190"/>
      <c r="Z31" s="190">
        <v>10378.472222222223</v>
      </c>
      <c r="AA31" s="190">
        <v>1006.8493150684931</v>
      </c>
      <c r="AB31" s="179"/>
      <c r="AC31" s="190"/>
      <c r="AD31" s="190">
        <v>11385.321537290716</v>
      </c>
      <c r="AE31" s="189"/>
    </row>
    <row r="32" spans="1:31" x14ac:dyDescent="0.3">
      <c r="A32" s="212" t="s">
        <v>419</v>
      </c>
      <c r="B32" s="189" t="s">
        <v>40</v>
      </c>
      <c r="C32" s="189" t="s">
        <v>418</v>
      </c>
      <c r="D32" s="189" t="s">
        <v>417</v>
      </c>
      <c r="E32" s="192">
        <v>2170000</v>
      </c>
      <c r="F32" s="189" t="s">
        <v>416</v>
      </c>
      <c r="G32" s="189" t="s">
        <v>415</v>
      </c>
      <c r="H32" s="190"/>
      <c r="I32" s="190">
        <v>6.4</v>
      </c>
      <c r="J32" s="190">
        <v>70983.111111111109</v>
      </c>
      <c r="K32" s="190">
        <v>11573.333333333334</v>
      </c>
      <c r="L32" s="190"/>
      <c r="M32" s="190"/>
      <c r="N32" s="190">
        <v>82556.444444444438</v>
      </c>
      <c r="O32" s="190">
        <v>11573.333333333334</v>
      </c>
      <c r="P32" s="190"/>
      <c r="Q32" s="190"/>
      <c r="R32" s="190">
        <v>94129.777777777766</v>
      </c>
      <c r="S32" s="190">
        <v>11573.333333333334</v>
      </c>
      <c r="T32" s="190"/>
      <c r="U32" s="190"/>
      <c r="V32" s="190">
        <v>105703.11111111109</v>
      </c>
      <c r="W32" s="190">
        <v>11959.111111111111</v>
      </c>
      <c r="X32" s="179"/>
      <c r="Y32" s="190"/>
      <c r="Z32" s="190">
        <v>117662.2222222222</v>
      </c>
      <c r="AA32" s="190">
        <v>11414.794520547945</v>
      </c>
      <c r="AB32" s="179"/>
      <c r="AC32" s="190"/>
      <c r="AD32" s="190">
        <v>129077.01674277015</v>
      </c>
      <c r="AE32" s="189"/>
    </row>
    <row r="33" spans="1:31" x14ac:dyDescent="0.3">
      <c r="A33" s="212" t="s">
        <v>414</v>
      </c>
      <c r="B33" s="189" t="s">
        <v>50</v>
      </c>
      <c r="C33" s="189" t="s">
        <v>413</v>
      </c>
      <c r="D33" s="189" t="s">
        <v>412</v>
      </c>
      <c r="E33" s="192">
        <v>150000</v>
      </c>
      <c r="F33" s="189" t="s">
        <v>411</v>
      </c>
      <c r="G33" s="189" t="s">
        <v>410</v>
      </c>
      <c r="H33" s="190"/>
      <c r="I33" s="190">
        <v>4.9000000000000004</v>
      </c>
      <c r="J33" s="190">
        <v>3756.666666666667</v>
      </c>
      <c r="K33" s="190">
        <v>612.5</v>
      </c>
      <c r="L33" s="190"/>
      <c r="M33" s="190"/>
      <c r="N33" s="190">
        <v>4369.166666666667</v>
      </c>
      <c r="O33" s="190">
        <v>612.5</v>
      </c>
      <c r="P33" s="190"/>
      <c r="Q33" s="190"/>
      <c r="R33" s="190">
        <v>4981.666666666667</v>
      </c>
      <c r="S33" s="190">
        <v>612.5</v>
      </c>
      <c r="T33" s="190"/>
      <c r="U33" s="190"/>
      <c r="V33" s="190">
        <v>5594.166666666667</v>
      </c>
      <c r="W33" s="190">
        <v>632.91666666666674</v>
      </c>
      <c r="X33" s="179"/>
      <c r="Y33" s="190"/>
      <c r="Z33" s="190">
        <v>6227.0833333333339</v>
      </c>
      <c r="AA33" s="190">
        <v>604.10958904109589</v>
      </c>
      <c r="AB33" s="179"/>
      <c r="AC33" s="190"/>
      <c r="AD33" s="190">
        <v>6831.1929223744301</v>
      </c>
      <c r="AE33" s="189"/>
    </row>
    <row r="34" spans="1:31" x14ac:dyDescent="0.3">
      <c r="A34" s="212">
        <v>5055</v>
      </c>
      <c r="B34" s="189" t="s">
        <v>159</v>
      </c>
      <c r="C34" s="189" t="s">
        <v>409</v>
      </c>
      <c r="D34" s="189" t="s">
        <v>408</v>
      </c>
      <c r="E34" s="192">
        <v>200000</v>
      </c>
      <c r="F34" s="189" t="s">
        <v>404</v>
      </c>
      <c r="G34" s="189" t="s">
        <v>403</v>
      </c>
      <c r="H34" s="190"/>
      <c r="I34" s="190">
        <v>5.65</v>
      </c>
      <c r="J34" s="190">
        <v>5775.5555555555557</v>
      </c>
      <c r="K34" s="190">
        <v>941.66666666666663</v>
      </c>
      <c r="L34" s="190"/>
      <c r="M34" s="190"/>
      <c r="N34" s="190">
        <v>6717.2222222222226</v>
      </c>
      <c r="O34" s="190">
        <v>941.66666666666663</v>
      </c>
      <c r="P34" s="190"/>
      <c r="Q34" s="190"/>
      <c r="R34" s="190">
        <v>7658.8888888888896</v>
      </c>
      <c r="S34" s="190">
        <v>941.66666666666663</v>
      </c>
      <c r="T34" s="190"/>
      <c r="U34" s="190"/>
      <c r="V34" s="190">
        <v>8600.5555555555566</v>
      </c>
      <c r="W34" s="190">
        <v>973.05555555555554</v>
      </c>
      <c r="X34" s="179"/>
      <c r="Y34" s="190"/>
      <c r="Z34" s="190">
        <v>9573.6111111111113</v>
      </c>
      <c r="AA34" s="190">
        <v>928.76712328767121</v>
      </c>
      <c r="AB34" s="179"/>
      <c r="AC34" s="190"/>
      <c r="AD34" s="190">
        <v>10502.378234398782</v>
      </c>
      <c r="AE34" s="189"/>
    </row>
    <row r="35" spans="1:31" x14ac:dyDescent="0.3">
      <c r="A35" s="212" t="s">
        <v>407</v>
      </c>
      <c r="B35" s="189" t="s">
        <v>53</v>
      </c>
      <c r="C35" s="189" t="s">
        <v>406</v>
      </c>
      <c r="D35" s="189" t="s">
        <v>405</v>
      </c>
      <c r="E35" s="192">
        <v>200000</v>
      </c>
      <c r="F35" s="189" t="s">
        <v>404</v>
      </c>
      <c r="G35" s="189" t="s">
        <v>403</v>
      </c>
      <c r="H35" s="190"/>
      <c r="I35" s="190">
        <v>5.65</v>
      </c>
      <c r="J35" s="190">
        <v>5775.5555555555557</v>
      </c>
      <c r="K35" s="190">
        <v>941.66666666666663</v>
      </c>
      <c r="L35" s="190"/>
      <c r="M35" s="190"/>
      <c r="N35" s="190">
        <v>6717.2222222222226</v>
      </c>
      <c r="O35" s="190">
        <v>941.66666666666663</v>
      </c>
      <c r="P35" s="190"/>
      <c r="Q35" s="190"/>
      <c r="R35" s="190">
        <v>7658.8888888888896</v>
      </c>
      <c r="S35" s="190">
        <v>941.66666666666663</v>
      </c>
      <c r="T35" s="190"/>
      <c r="U35" s="190"/>
      <c r="V35" s="190">
        <v>8600.5555555555566</v>
      </c>
      <c r="W35" s="190">
        <v>973.05555555555554</v>
      </c>
      <c r="X35" s="179"/>
      <c r="Y35" s="190"/>
      <c r="Z35" s="190">
        <v>9573.6111111111113</v>
      </c>
      <c r="AA35" s="190">
        <v>928.76712328767121</v>
      </c>
      <c r="AB35" s="179"/>
      <c r="AC35" s="190"/>
      <c r="AD35" s="190">
        <v>10502.378234398782</v>
      </c>
      <c r="AE35" s="189"/>
    </row>
    <row r="36" spans="1:31" ht="57.6" x14ac:dyDescent="0.3">
      <c r="A36" s="213">
        <v>5031</v>
      </c>
      <c r="B36" s="206" t="s">
        <v>7</v>
      </c>
      <c r="C36" s="206" t="s">
        <v>402</v>
      </c>
      <c r="D36" s="206" t="s">
        <v>401</v>
      </c>
      <c r="E36" s="207">
        <v>300000</v>
      </c>
      <c r="F36" s="193">
        <v>43703</v>
      </c>
      <c r="G36" s="193">
        <v>44069</v>
      </c>
      <c r="H36" s="190"/>
      <c r="I36" s="190">
        <v>6.9</v>
      </c>
      <c r="J36" s="190">
        <v>9027.5</v>
      </c>
      <c r="K36" s="190">
        <v>1725</v>
      </c>
      <c r="L36" s="190"/>
      <c r="M36" s="190"/>
      <c r="N36" s="190">
        <v>10752.5</v>
      </c>
      <c r="O36" s="190">
        <v>1725</v>
      </c>
      <c r="P36" s="190"/>
      <c r="Q36" s="190"/>
      <c r="R36" s="190">
        <v>12477.5</v>
      </c>
      <c r="S36" s="190">
        <v>1725</v>
      </c>
      <c r="T36" s="190"/>
      <c r="U36" s="190"/>
      <c r="V36" s="190">
        <v>14202.5</v>
      </c>
      <c r="W36" s="190">
        <v>1782.5</v>
      </c>
      <c r="X36" s="179"/>
      <c r="Y36" s="190"/>
      <c r="Z36" s="190">
        <v>15985</v>
      </c>
      <c r="AA36" s="190">
        <v>1701.3698630136987</v>
      </c>
      <c r="AB36" s="179"/>
      <c r="AC36" s="190"/>
      <c r="AD36" s="190">
        <v>17686.369863013701</v>
      </c>
      <c r="AE36" s="189"/>
    </row>
    <row r="37" spans="1:31" ht="57.6" x14ac:dyDescent="0.3">
      <c r="A37" s="213">
        <v>5040</v>
      </c>
      <c r="B37" s="206" t="s">
        <v>59</v>
      </c>
      <c r="C37" s="206" t="s">
        <v>400</v>
      </c>
      <c r="D37" s="206" t="s">
        <v>399</v>
      </c>
      <c r="E37" s="207">
        <v>385377.78</v>
      </c>
      <c r="F37" s="193">
        <v>43943</v>
      </c>
      <c r="G37" s="193">
        <v>44070</v>
      </c>
      <c r="H37" s="190"/>
      <c r="I37" s="190">
        <v>6.4</v>
      </c>
      <c r="J37" s="190"/>
      <c r="K37" s="190"/>
      <c r="L37" s="190"/>
      <c r="M37" s="190"/>
      <c r="N37" s="190"/>
      <c r="O37" s="190"/>
      <c r="P37" s="190"/>
      <c r="Q37" s="190"/>
      <c r="R37" s="194"/>
      <c r="S37" s="194">
        <v>548.09284266666668</v>
      </c>
      <c r="T37" s="192"/>
      <c r="U37" s="190"/>
      <c r="V37" s="190">
        <v>548.09284266666668</v>
      </c>
      <c r="W37" s="190">
        <v>2123.8597653333336</v>
      </c>
      <c r="X37" s="179"/>
      <c r="Y37" s="190"/>
      <c r="Z37" s="190">
        <v>2671.9526080000005</v>
      </c>
      <c r="AA37" s="190">
        <v>2027.1927057534247</v>
      </c>
      <c r="AB37" s="179"/>
      <c r="AC37" s="190"/>
      <c r="AD37" s="190">
        <v>4699.1453137534254</v>
      </c>
      <c r="AE37" s="189"/>
    </row>
    <row r="38" spans="1:31" ht="57.6" x14ac:dyDescent="0.3">
      <c r="A38" s="213">
        <v>5063</v>
      </c>
      <c r="B38" s="206" t="s">
        <v>25</v>
      </c>
      <c r="C38" s="206" t="s">
        <v>398</v>
      </c>
      <c r="D38" s="206" t="s">
        <v>397</v>
      </c>
      <c r="E38" s="207">
        <v>173000</v>
      </c>
      <c r="F38" s="193">
        <v>43709</v>
      </c>
      <c r="G38" s="193">
        <v>44075</v>
      </c>
      <c r="H38" s="190"/>
      <c r="I38" s="190">
        <v>4.4000000000000004</v>
      </c>
      <c r="J38" s="190">
        <v>3213.9555555555562</v>
      </c>
      <c r="K38" s="190">
        <v>634.33333333333337</v>
      </c>
      <c r="L38" s="190"/>
      <c r="M38" s="190"/>
      <c r="N38" s="190">
        <v>3848.2888888888897</v>
      </c>
      <c r="O38" s="190">
        <v>634.33333333333337</v>
      </c>
      <c r="P38" s="190"/>
      <c r="Q38" s="190"/>
      <c r="R38" s="190">
        <v>4482.6222222222232</v>
      </c>
      <c r="S38" s="190">
        <v>634.33333333333337</v>
      </c>
      <c r="T38" s="190"/>
      <c r="U38" s="190"/>
      <c r="V38" s="190">
        <v>5116.9555555555562</v>
      </c>
      <c r="W38" s="190">
        <v>655.47777777777787</v>
      </c>
      <c r="X38" s="179"/>
      <c r="Y38" s="190"/>
      <c r="Z38" s="190">
        <v>5772.4333333333343</v>
      </c>
      <c r="AA38" s="190">
        <v>625.64383561643842</v>
      </c>
      <c r="AB38" s="179"/>
      <c r="AC38" s="190"/>
      <c r="AD38" s="190">
        <v>6398.0771689497724</v>
      </c>
      <c r="AE38" s="189"/>
    </row>
    <row r="39" spans="1:31" ht="57.6" x14ac:dyDescent="0.3">
      <c r="A39" s="213">
        <v>5050</v>
      </c>
      <c r="B39" s="206" t="s">
        <v>31</v>
      </c>
      <c r="C39" s="206" t="s">
        <v>396</v>
      </c>
      <c r="D39" s="206" t="s">
        <v>395</v>
      </c>
      <c r="E39" s="207">
        <v>220000</v>
      </c>
      <c r="F39" s="193">
        <v>43711</v>
      </c>
      <c r="G39" s="193">
        <v>44076</v>
      </c>
      <c r="H39" s="190"/>
      <c r="I39" s="190">
        <v>5.9</v>
      </c>
      <c r="J39" s="190">
        <v>5408.3333333333339</v>
      </c>
      <c r="K39" s="190">
        <v>1081.6666666666667</v>
      </c>
      <c r="L39" s="190"/>
      <c r="M39" s="190"/>
      <c r="N39" s="190">
        <v>6490.0000000000009</v>
      </c>
      <c r="O39" s="190">
        <v>1081.6666666666667</v>
      </c>
      <c r="P39" s="190"/>
      <c r="Q39" s="190"/>
      <c r="R39" s="190">
        <v>7571.6666666666679</v>
      </c>
      <c r="S39" s="190">
        <v>1081.6666666666667</v>
      </c>
      <c r="T39" s="190"/>
      <c r="U39" s="190"/>
      <c r="V39" s="190">
        <v>8653.3333333333339</v>
      </c>
      <c r="W39" s="190">
        <v>1117.7222222222222</v>
      </c>
      <c r="X39" s="179"/>
      <c r="Y39" s="190"/>
      <c r="Z39" s="190">
        <v>9771.0555555555566</v>
      </c>
      <c r="AA39" s="190">
        <v>1066.8493150684931</v>
      </c>
      <c r="AB39" s="179"/>
      <c r="AC39" s="190"/>
      <c r="AD39" s="190">
        <v>10837.90487062405</v>
      </c>
      <c r="AE39" s="189"/>
    </row>
    <row r="40" spans="1:31" ht="57.6" x14ac:dyDescent="0.3">
      <c r="A40" s="213">
        <v>5050</v>
      </c>
      <c r="B40" s="206" t="s">
        <v>34</v>
      </c>
      <c r="C40" s="206" t="s">
        <v>394</v>
      </c>
      <c r="D40" s="206" t="s">
        <v>393</v>
      </c>
      <c r="E40" s="207">
        <v>300000</v>
      </c>
      <c r="F40" s="193">
        <v>43711</v>
      </c>
      <c r="G40" s="193">
        <v>44077</v>
      </c>
      <c r="H40" s="190"/>
      <c r="I40" s="190">
        <v>5.9</v>
      </c>
      <c r="J40" s="190">
        <v>7374.9999999999982</v>
      </c>
      <c r="K40" s="190">
        <v>1475</v>
      </c>
      <c r="L40" s="190"/>
      <c r="M40" s="190"/>
      <c r="N40" s="190">
        <v>8849.9999999999982</v>
      </c>
      <c r="O40" s="190">
        <v>1475</v>
      </c>
      <c r="P40" s="190"/>
      <c r="Q40" s="190"/>
      <c r="R40" s="190">
        <v>10324.999999999998</v>
      </c>
      <c r="S40" s="190">
        <v>1475</v>
      </c>
      <c r="T40" s="190"/>
      <c r="U40" s="190"/>
      <c r="V40" s="190">
        <v>11799.999999999998</v>
      </c>
      <c r="W40" s="190">
        <v>1524.1666666666665</v>
      </c>
      <c r="X40" s="179"/>
      <c r="Y40" s="190"/>
      <c r="Z40" s="190">
        <v>13324.166666666664</v>
      </c>
      <c r="AA40" s="190">
        <v>1454.7945205479452</v>
      </c>
      <c r="AB40" s="179"/>
      <c r="AC40" s="190"/>
      <c r="AD40" s="190">
        <v>14778.961187214609</v>
      </c>
      <c r="AE40" s="189"/>
    </row>
    <row r="41" spans="1:31" ht="57.6" x14ac:dyDescent="0.3">
      <c r="A41" s="213">
        <v>5062</v>
      </c>
      <c r="B41" s="206" t="s">
        <v>390</v>
      </c>
      <c r="C41" s="206" t="s">
        <v>392</v>
      </c>
      <c r="D41" s="206" t="s">
        <v>391</v>
      </c>
      <c r="E41" s="207">
        <v>100000</v>
      </c>
      <c r="F41" s="193">
        <v>43709</v>
      </c>
      <c r="G41" s="193">
        <v>44078</v>
      </c>
      <c r="H41" s="190"/>
      <c r="I41" s="190">
        <v>5.9</v>
      </c>
      <c r="J41" s="190">
        <v>2491.1111111111113</v>
      </c>
      <c r="K41" s="190">
        <v>491.66666666666669</v>
      </c>
      <c r="L41" s="190"/>
      <c r="M41" s="190"/>
      <c r="N41" s="190">
        <v>2982.7777777777778</v>
      </c>
      <c r="O41" s="190">
        <v>491.66666666666669</v>
      </c>
      <c r="P41" s="190"/>
      <c r="Q41" s="190"/>
      <c r="R41" s="190">
        <v>3474.4444444444443</v>
      </c>
      <c r="S41" s="190">
        <v>491.66666666666669</v>
      </c>
      <c r="T41" s="190"/>
      <c r="U41" s="190"/>
      <c r="V41" s="190">
        <v>3966.1111111111109</v>
      </c>
      <c r="W41" s="190">
        <v>508.05555555555554</v>
      </c>
      <c r="X41" s="179"/>
      <c r="Y41" s="190"/>
      <c r="Z41" s="190">
        <v>4474.1666666666661</v>
      </c>
      <c r="AA41" s="190">
        <v>484.93150684931504</v>
      </c>
      <c r="AB41" s="179"/>
      <c r="AC41" s="190"/>
      <c r="AD41" s="190">
        <v>4959.0981735159812</v>
      </c>
      <c r="AE41" s="189"/>
    </row>
    <row r="42" spans="1:31" ht="57.6" x14ac:dyDescent="0.3">
      <c r="A42" s="213">
        <v>5062</v>
      </c>
      <c r="B42" s="206" t="s">
        <v>390</v>
      </c>
      <c r="C42" s="206" t="s">
        <v>389</v>
      </c>
      <c r="D42" s="206" t="s">
        <v>388</v>
      </c>
      <c r="E42" s="207">
        <v>950000</v>
      </c>
      <c r="F42" s="193">
        <v>43709</v>
      </c>
      <c r="G42" s="193">
        <v>44079</v>
      </c>
      <c r="H42" s="190"/>
      <c r="I42" s="190">
        <v>5.9</v>
      </c>
      <c r="J42" s="190">
        <v>23665.555555555558</v>
      </c>
      <c r="K42" s="190">
        <v>4670.8333333333339</v>
      </c>
      <c r="L42" s="190"/>
      <c r="M42" s="190"/>
      <c r="N42" s="190">
        <v>28336.388888888891</v>
      </c>
      <c r="O42" s="190">
        <v>4670.8333333333339</v>
      </c>
      <c r="P42" s="190"/>
      <c r="Q42" s="190"/>
      <c r="R42" s="190">
        <v>33007.222222222226</v>
      </c>
      <c r="S42" s="190">
        <v>4670.8333333333339</v>
      </c>
      <c r="T42" s="190"/>
      <c r="U42" s="190"/>
      <c r="V42" s="190">
        <v>37678.055555555562</v>
      </c>
      <c r="W42" s="190">
        <v>4826.5277777777783</v>
      </c>
      <c r="X42" s="179"/>
      <c r="Y42" s="190"/>
      <c r="Z42" s="190">
        <v>42504.583333333343</v>
      </c>
      <c r="AA42" s="190">
        <v>4606.8493150684935</v>
      </c>
      <c r="AB42" s="179"/>
      <c r="AC42" s="190"/>
      <c r="AD42" s="190">
        <v>47111.432648401838</v>
      </c>
      <c r="AE42" s="189"/>
    </row>
    <row r="43" spans="1:31" ht="57.6" x14ac:dyDescent="0.3">
      <c r="A43" s="213">
        <v>5056</v>
      </c>
      <c r="B43" s="206" t="s">
        <v>47</v>
      </c>
      <c r="C43" s="206" t="s">
        <v>387</v>
      </c>
      <c r="D43" s="206" t="s">
        <v>386</v>
      </c>
      <c r="E43" s="207">
        <v>160000</v>
      </c>
      <c r="F43" s="193">
        <v>43709</v>
      </c>
      <c r="G43" s="193">
        <v>44080</v>
      </c>
      <c r="H43" s="190"/>
      <c r="I43" s="190">
        <v>6.4</v>
      </c>
      <c r="J43" s="190">
        <v>4323.5555555555557</v>
      </c>
      <c r="K43" s="190">
        <v>853.33333333333326</v>
      </c>
      <c r="L43" s="190"/>
      <c r="M43" s="190"/>
      <c r="N43" s="190">
        <v>5176.8888888888887</v>
      </c>
      <c r="O43" s="190">
        <v>853.33333333333326</v>
      </c>
      <c r="P43" s="190"/>
      <c r="Q43" s="190"/>
      <c r="R43" s="190">
        <v>6030.2222222222217</v>
      </c>
      <c r="S43" s="190">
        <v>853.33333333333326</v>
      </c>
      <c r="T43" s="190"/>
      <c r="U43" s="190"/>
      <c r="V43" s="190">
        <v>6883.5555555555547</v>
      </c>
      <c r="W43" s="190">
        <v>881.77777777777771</v>
      </c>
      <c r="X43" s="179"/>
      <c r="Y43" s="190"/>
      <c r="Z43" s="190">
        <v>7765.3333333333321</v>
      </c>
      <c r="AA43" s="190">
        <v>841.64383561643831</v>
      </c>
      <c r="AB43" s="179"/>
      <c r="AC43" s="190"/>
      <c r="AD43" s="190">
        <v>8606.9771689497702</v>
      </c>
      <c r="AE43" s="189"/>
    </row>
    <row r="44" spans="1:31" ht="57.6" x14ac:dyDescent="0.3">
      <c r="A44" s="213">
        <v>5063</v>
      </c>
      <c r="B44" s="206" t="s">
        <v>77</v>
      </c>
      <c r="C44" s="206" t="s">
        <v>385</v>
      </c>
      <c r="D44" s="206" t="s">
        <v>384</v>
      </c>
      <c r="E44" s="207">
        <v>240000</v>
      </c>
      <c r="F44" s="193">
        <v>43668</v>
      </c>
      <c r="G44" s="193">
        <v>44081</v>
      </c>
      <c r="H44" s="190"/>
      <c r="I44" s="190">
        <v>5.4</v>
      </c>
      <c r="J44" s="190">
        <v>6912.0000000000009</v>
      </c>
      <c r="K44" s="190">
        <v>1080.0000000000002</v>
      </c>
      <c r="L44" s="190"/>
      <c r="M44" s="190"/>
      <c r="N44" s="190">
        <v>7992.0000000000009</v>
      </c>
      <c r="O44" s="190">
        <v>1080.0000000000002</v>
      </c>
      <c r="P44" s="190"/>
      <c r="Q44" s="190"/>
      <c r="R44" s="190">
        <v>9072.0000000000018</v>
      </c>
      <c r="S44" s="190">
        <v>1080.0000000000002</v>
      </c>
      <c r="T44" s="190"/>
      <c r="U44" s="190"/>
      <c r="V44" s="190">
        <v>10152.000000000002</v>
      </c>
      <c r="W44" s="190">
        <v>1116.0000000000002</v>
      </c>
      <c r="X44" s="179"/>
      <c r="Y44" s="190"/>
      <c r="Z44" s="190">
        <v>11268.000000000002</v>
      </c>
      <c r="AA44" s="190">
        <v>1065.205479452055</v>
      </c>
      <c r="AB44" s="179"/>
      <c r="AC44" s="190"/>
      <c r="AD44" s="190">
        <v>12333.205479452057</v>
      </c>
      <c r="AE44" s="189"/>
    </row>
    <row r="45" spans="1:31" ht="57.6" x14ac:dyDescent="0.3">
      <c r="A45" s="213">
        <v>5057</v>
      </c>
      <c r="B45" s="206" t="s">
        <v>22</v>
      </c>
      <c r="C45" s="206" t="s">
        <v>383</v>
      </c>
      <c r="D45" s="206" t="s">
        <v>382</v>
      </c>
      <c r="E45" s="207">
        <v>600000</v>
      </c>
      <c r="F45" s="193">
        <v>43728</v>
      </c>
      <c r="G45" s="193">
        <v>44082</v>
      </c>
      <c r="H45" s="190"/>
      <c r="I45" s="190">
        <v>6.6</v>
      </c>
      <c r="J45" s="190">
        <v>14630</v>
      </c>
      <c r="K45" s="190">
        <v>3300</v>
      </c>
      <c r="L45" s="190"/>
      <c r="M45" s="190"/>
      <c r="N45" s="190">
        <v>17930</v>
      </c>
      <c r="O45" s="190">
        <v>3300</v>
      </c>
      <c r="P45" s="190"/>
      <c r="Q45" s="190"/>
      <c r="R45" s="190">
        <v>21230</v>
      </c>
      <c r="S45" s="190">
        <v>3300</v>
      </c>
      <c r="T45" s="190"/>
      <c r="U45" s="190"/>
      <c r="V45" s="190">
        <v>24530</v>
      </c>
      <c r="W45" s="190">
        <v>3410</v>
      </c>
      <c r="X45" s="179"/>
      <c r="Y45" s="190"/>
      <c r="Z45" s="190">
        <v>27940</v>
      </c>
      <c r="AA45" s="190">
        <v>3254.794520547945</v>
      </c>
      <c r="AB45" s="179"/>
      <c r="AC45" s="190"/>
      <c r="AD45" s="190">
        <v>31194.794520547945</v>
      </c>
      <c r="AE45" s="189"/>
    </row>
    <row r="46" spans="1:31" ht="57.6" x14ac:dyDescent="0.3">
      <c r="A46" s="213">
        <v>5060</v>
      </c>
      <c r="B46" s="206" t="s">
        <v>37</v>
      </c>
      <c r="C46" s="206" t="s">
        <v>381</v>
      </c>
      <c r="D46" s="206" t="s">
        <v>380</v>
      </c>
      <c r="E46" s="207">
        <v>650000</v>
      </c>
      <c r="F46" s="193">
        <v>43710</v>
      </c>
      <c r="G46" s="193">
        <v>44083</v>
      </c>
      <c r="H46" s="190"/>
      <c r="I46" s="190">
        <v>2.9</v>
      </c>
      <c r="J46" s="190">
        <v>7906.5277777777774</v>
      </c>
      <c r="K46" s="190">
        <v>1570.8333333333335</v>
      </c>
      <c r="L46" s="190"/>
      <c r="M46" s="190"/>
      <c r="N46" s="190">
        <v>9477.3611111111113</v>
      </c>
      <c r="O46" s="190">
        <v>1570.8333333333335</v>
      </c>
      <c r="P46" s="190"/>
      <c r="Q46" s="190"/>
      <c r="R46" s="190">
        <v>11048.194444444445</v>
      </c>
      <c r="S46" s="190">
        <v>1570.8333333333335</v>
      </c>
      <c r="T46" s="190"/>
      <c r="U46" s="190"/>
      <c r="V46" s="190">
        <v>12619.027777777779</v>
      </c>
      <c r="W46" s="190">
        <v>1623.1944444444446</v>
      </c>
      <c r="X46" s="179"/>
      <c r="Y46" s="190"/>
      <c r="Z46" s="190">
        <v>14242.222222222224</v>
      </c>
      <c r="AA46" s="190">
        <v>1549.3150684931509</v>
      </c>
      <c r="AB46" s="179"/>
      <c r="AC46" s="190"/>
      <c r="AD46" s="190">
        <v>15791.537290715376</v>
      </c>
      <c r="AE46" s="189"/>
    </row>
    <row r="47" spans="1:31" ht="57.6" x14ac:dyDescent="0.3">
      <c r="A47" s="213">
        <v>5060</v>
      </c>
      <c r="B47" s="206" t="s">
        <v>19</v>
      </c>
      <c r="C47" s="206" t="s">
        <v>379</v>
      </c>
      <c r="D47" s="206" t="s">
        <v>378</v>
      </c>
      <c r="E47" s="207">
        <v>330000</v>
      </c>
      <c r="F47" s="193">
        <v>43732</v>
      </c>
      <c r="G47" s="193">
        <v>44084</v>
      </c>
      <c r="H47" s="190"/>
      <c r="I47" s="190">
        <v>1.9</v>
      </c>
      <c r="J47" s="190">
        <v>2246.75</v>
      </c>
      <c r="K47" s="190">
        <v>522.5</v>
      </c>
      <c r="L47" s="190"/>
      <c r="M47" s="190"/>
      <c r="N47" s="190">
        <v>2769.25</v>
      </c>
      <c r="O47" s="190">
        <v>522.5</v>
      </c>
      <c r="P47" s="190"/>
      <c r="Q47" s="190"/>
      <c r="R47" s="190">
        <v>3291.75</v>
      </c>
      <c r="S47" s="190">
        <v>522.5</v>
      </c>
      <c r="T47" s="190"/>
      <c r="U47" s="190"/>
      <c r="V47" s="190">
        <v>3814.25</v>
      </c>
      <c r="W47" s="190">
        <v>539.91666666666674</v>
      </c>
      <c r="X47" s="179"/>
      <c r="Y47" s="190"/>
      <c r="Z47" s="190">
        <v>4354.166666666667</v>
      </c>
      <c r="AA47" s="190">
        <v>515.34246575342456</v>
      </c>
      <c r="AB47" s="179"/>
      <c r="AC47" s="190"/>
      <c r="AD47" s="190">
        <v>4869.5091324200912</v>
      </c>
      <c r="AE47" s="189"/>
    </row>
    <row r="48" spans="1:31" ht="43.2" x14ac:dyDescent="0.3">
      <c r="A48" s="213">
        <v>5063</v>
      </c>
      <c r="B48" s="206" t="s">
        <v>13</v>
      </c>
      <c r="C48" s="206" t="s">
        <v>377</v>
      </c>
      <c r="D48" s="206" t="s">
        <v>376</v>
      </c>
      <c r="E48" s="207">
        <v>50000</v>
      </c>
      <c r="F48" s="193">
        <v>43733</v>
      </c>
      <c r="G48" s="193">
        <v>44085</v>
      </c>
      <c r="H48" s="190"/>
      <c r="I48" s="190">
        <v>4.6500000000000004</v>
      </c>
      <c r="J48" s="190">
        <v>826.66666666666686</v>
      </c>
      <c r="K48" s="190">
        <v>193.75000000000006</v>
      </c>
      <c r="L48" s="190"/>
      <c r="M48" s="190"/>
      <c r="N48" s="190">
        <v>1020.416666666667</v>
      </c>
      <c r="O48" s="190">
        <v>193.75000000000006</v>
      </c>
      <c r="P48" s="190"/>
      <c r="Q48" s="190"/>
      <c r="R48" s="190">
        <v>1214.166666666667</v>
      </c>
      <c r="S48" s="190">
        <v>193.75000000000006</v>
      </c>
      <c r="T48" s="190"/>
      <c r="U48" s="190"/>
      <c r="V48" s="190">
        <v>1407.916666666667</v>
      </c>
      <c r="W48" s="190">
        <v>200.20833333333337</v>
      </c>
      <c r="X48" s="179"/>
      <c r="Y48" s="190"/>
      <c r="Z48" s="190">
        <v>1608.1250000000005</v>
      </c>
      <c r="AA48" s="190">
        <v>191.09589041095893</v>
      </c>
      <c r="AB48" s="179"/>
      <c r="AC48" s="190"/>
      <c r="AD48" s="190">
        <v>1799.2208904109593</v>
      </c>
      <c r="AE48" s="189"/>
    </row>
    <row r="49" spans="1:31" ht="57.6" x14ac:dyDescent="0.3">
      <c r="A49" s="213">
        <v>5063</v>
      </c>
      <c r="B49" s="206" t="s">
        <v>13</v>
      </c>
      <c r="C49" s="206" t="s">
        <v>375</v>
      </c>
      <c r="D49" s="206" t="s">
        <v>374</v>
      </c>
      <c r="E49" s="207">
        <v>200000</v>
      </c>
      <c r="F49" s="193">
        <v>43735</v>
      </c>
      <c r="G49" s="193">
        <v>44086</v>
      </c>
      <c r="H49" s="190"/>
      <c r="I49" s="190">
        <v>8.9</v>
      </c>
      <c r="J49" s="190">
        <v>6230.0000000000018</v>
      </c>
      <c r="K49" s="190">
        <v>1483.3333333333337</v>
      </c>
      <c r="L49" s="190"/>
      <c r="M49" s="190"/>
      <c r="N49" s="190">
        <v>7713.3333333333358</v>
      </c>
      <c r="O49" s="190">
        <v>1483.3333333333337</v>
      </c>
      <c r="P49" s="190"/>
      <c r="Q49" s="190"/>
      <c r="R49" s="190">
        <v>9196.6666666666697</v>
      </c>
      <c r="S49" s="190">
        <v>1483.3333333333337</v>
      </c>
      <c r="T49" s="190"/>
      <c r="U49" s="190"/>
      <c r="V49" s="190">
        <v>10680.000000000004</v>
      </c>
      <c r="W49" s="190">
        <v>1532.7777777777783</v>
      </c>
      <c r="X49" s="179"/>
      <c r="Y49" s="190"/>
      <c r="Z49" s="190">
        <v>12212.777777777781</v>
      </c>
      <c r="AA49" s="190">
        <v>1463.0136986301372</v>
      </c>
      <c r="AB49" s="179"/>
      <c r="AC49" s="190"/>
      <c r="AD49" s="190">
        <v>13675.791476407918</v>
      </c>
      <c r="AE49" s="189"/>
    </row>
    <row r="50" spans="1:31" ht="57.6" x14ac:dyDescent="0.3">
      <c r="A50" s="213">
        <v>5057</v>
      </c>
      <c r="B50" s="206" t="s">
        <v>74</v>
      </c>
      <c r="C50" s="206" t="s">
        <v>373</v>
      </c>
      <c r="D50" s="206" t="s">
        <v>372</v>
      </c>
      <c r="E50" s="207">
        <v>170000</v>
      </c>
      <c r="F50" s="193">
        <v>43739</v>
      </c>
      <c r="G50" s="193">
        <v>44105</v>
      </c>
      <c r="H50" s="190"/>
      <c r="I50" s="190">
        <v>3.4</v>
      </c>
      <c r="J50" s="190">
        <v>1958.7777777777778</v>
      </c>
      <c r="K50" s="190">
        <v>481.66666666666674</v>
      </c>
      <c r="L50" s="190"/>
      <c r="M50" s="190"/>
      <c r="N50" s="190">
        <v>2440.4444444444443</v>
      </c>
      <c r="O50" s="190">
        <v>481.66666666666674</v>
      </c>
      <c r="P50" s="190"/>
      <c r="Q50" s="190"/>
      <c r="R50" s="190">
        <v>2922.1111111111113</v>
      </c>
      <c r="S50" s="190">
        <v>481.66666666666674</v>
      </c>
      <c r="T50" s="190"/>
      <c r="U50" s="190"/>
      <c r="V50" s="190">
        <v>3403.7777777777783</v>
      </c>
      <c r="W50" s="190">
        <v>497.72222222222229</v>
      </c>
      <c r="X50" s="179"/>
      <c r="Y50" s="190"/>
      <c r="Z50" s="190">
        <v>3901.5000000000005</v>
      </c>
      <c r="AA50" s="190">
        <v>475.0684931506849</v>
      </c>
      <c r="AB50" s="179"/>
      <c r="AC50" s="190"/>
      <c r="AD50" s="190">
        <v>4376.5684931506858</v>
      </c>
      <c r="AE50" s="189"/>
    </row>
    <row r="51" spans="1:31" ht="57.6" x14ac:dyDescent="0.3">
      <c r="A51" s="213">
        <v>5063</v>
      </c>
      <c r="B51" s="206" t="s">
        <v>25</v>
      </c>
      <c r="C51" s="206" t="s">
        <v>371</v>
      </c>
      <c r="D51" s="206" t="s">
        <v>370</v>
      </c>
      <c r="E51" s="207">
        <v>188000</v>
      </c>
      <c r="F51" s="193">
        <v>43739</v>
      </c>
      <c r="G51" s="193">
        <v>44105</v>
      </c>
      <c r="H51" s="190"/>
      <c r="I51" s="190">
        <v>4.4000000000000004</v>
      </c>
      <c r="J51" s="190">
        <v>2803.2888888888892</v>
      </c>
      <c r="K51" s="190">
        <v>689.33333333333337</v>
      </c>
      <c r="L51" s="190"/>
      <c r="M51" s="190"/>
      <c r="N51" s="190">
        <v>3492.6222222222227</v>
      </c>
      <c r="O51" s="190">
        <v>689.33333333333337</v>
      </c>
      <c r="P51" s="190"/>
      <c r="Q51" s="190"/>
      <c r="R51" s="190">
        <v>4181.9555555555562</v>
      </c>
      <c r="S51" s="190">
        <v>689.33333333333337</v>
      </c>
      <c r="T51" s="190"/>
      <c r="U51" s="190"/>
      <c r="V51" s="190">
        <v>4871.2888888888892</v>
      </c>
      <c r="W51" s="190">
        <v>712.31111111111113</v>
      </c>
      <c r="X51" s="179"/>
      <c r="Y51" s="190"/>
      <c r="Z51" s="190">
        <v>5583.6</v>
      </c>
      <c r="AA51" s="190">
        <v>679.89041095890411</v>
      </c>
      <c r="AB51" s="179"/>
      <c r="AC51" s="190"/>
      <c r="AD51" s="190">
        <v>6263.4904109589042</v>
      </c>
      <c r="AE51" s="189"/>
    </row>
    <row r="52" spans="1:31" ht="57.6" x14ac:dyDescent="0.3">
      <c r="A52" s="213">
        <v>5005</v>
      </c>
      <c r="B52" s="206" t="s">
        <v>10</v>
      </c>
      <c r="C52" s="206" t="s">
        <v>369</v>
      </c>
      <c r="D52" s="206" t="s">
        <v>368</v>
      </c>
      <c r="E52" s="207">
        <v>300000</v>
      </c>
      <c r="F52" s="193">
        <v>43739</v>
      </c>
      <c r="G52" s="193">
        <v>44105</v>
      </c>
      <c r="H52" s="190"/>
      <c r="I52" s="190">
        <v>0.4</v>
      </c>
      <c r="J52" s="190">
        <v>406.66666666666674</v>
      </c>
      <c r="K52" s="190">
        <v>100</v>
      </c>
      <c r="L52" s="190"/>
      <c r="M52" s="190"/>
      <c r="N52" s="190">
        <v>506.66666666666674</v>
      </c>
      <c r="O52" s="190">
        <v>100</v>
      </c>
      <c r="P52" s="190"/>
      <c r="Q52" s="190"/>
      <c r="R52" s="190">
        <v>606.66666666666674</v>
      </c>
      <c r="S52" s="190">
        <v>100</v>
      </c>
      <c r="T52" s="190"/>
      <c r="U52" s="190"/>
      <c r="V52" s="190">
        <v>706.66666666666674</v>
      </c>
      <c r="W52" s="190">
        <v>103.33333333333334</v>
      </c>
      <c r="X52" s="179"/>
      <c r="Y52" s="190"/>
      <c r="Z52" s="190">
        <v>810.00000000000011</v>
      </c>
      <c r="AA52" s="190">
        <v>98.630136986301366</v>
      </c>
      <c r="AB52" s="179"/>
      <c r="AC52" s="190"/>
      <c r="AD52" s="190">
        <v>908.63013698630152</v>
      </c>
      <c r="AE52" s="189"/>
    </row>
    <row r="53" spans="1:31" ht="57.6" x14ac:dyDescent="0.3">
      <c r="A53" s="213">
        <v>5063</v>
      </c>
      <c r="B53" s="206" t="s">
        <v>77</v>
      </c>
      <c r="C53" s="206" t="s">
        <v>367</v>
      </c>
      <c r="D53" s="206" t="s">
        <v>366</v>
      </c>
      <c r="E53" s="207">
        <v>50000</v>
      </c>
      <c r="F53" s="193">
        <v>43745</v>
      </c>
      <c r="G53" s="193">
        <v>44111</v>
      </c>
      <c r="H53" s="190"/>
      <c r="I53" s="190">
        <v>5.4</v>
      </c>
      <c r="J53" s="190">
        <v>915.00000000000011</v>
      </c>
      <c r="K53" s="190">
        <v>225.00000000000003</v>
      </c>
      <c r="L53" s="190"/>
      <c r="M53" s="190"/>
      <c r="N53" s="190">
        <v>1140.0000000000002</v>
      </c>
      <c r="O53" s="190">
        <v>225.00000000000003</v>
      </c>
      <c r="P53" s="190"/>
      <c r="Q53" s="190"/>
      <c r="R53" s="190">
        <v>1365.0000000000002</v>
      </c>
      <c r="S53" s="190">
        <v>225.00000000000003</v>
      </c>
      <c r="T53" s="190"/>
      <c r="U53" s="190"/>
      <c r="V53" s="190">
        <v>1590.0000000000002</v>
      </c>
      <c r="W53" s="190">
        <v>232.50000000000003</v>
      </c>
      <c r="X53" s="179"/>
      <c r="Y53" s="190"/>
      <c r="Z53" s="190">
        <v>1822.5000000000002</v>
      </c>
      <c r="AA53" s="190">
        <v>221.91780821917811</v>
      </c>
      <c r="AB53" s="179"/>
      <c r="AC53" s="190"/>
      <c r="AD53" s="190">
        <v>2044.4178082191784</v>
      </c>
      <c r="AE53" s="189"/>
    </row>
    <row r="54" spans="1:31" ht="57.6" x14ac:dyDescent="0.3">
      <c r="A54" s="213">
        <v>5060</v>
      </c>
      <c r="B54" s="206" t="s">
        <v>16</v>
      </c>
      <c r="C54" s="206" t="s">
        <v>365</v>
      </c>
      <c r="D54" s="206" t="s">
        <v>364</v>
      </c>
      <c r="E54" s="207">
        <v>25000</v>
      </c>
      <c r="F54" s="193">
        <v>43748</v>
      </c>
      <c r="G54" s="193">
        <v>44114</v>
      </c>
      <c r="H54" s="190"/>
      <c r="I54" s="190">
        <v>1.9</v>
      </c>
      <c r="J54" s="190">
        <v>149.09722222222223</v>
      </c>
      <c r="K54" s="190">
        <v>39.583333333333336</v>
      </c>
      <c r="L54" s="190"/>
      <c r="M54" s="190"/>
      <c r="N54" s="190">
        <v>188.68055555555557</v>
      </c>
      <c r="O54" s="190">
        <v>39.583333333333336</v>
      </c>
      <c r="P54" s="190"/>
      <c r="Q54" s="190"/>
      <c r="R54" s="190">
        <v>228.26388888888891</v>
      </c>
      <c r="S54" s="190">
        <v>39.583333333333336</v>
      </c>
      <c r="T54" s="190"/>
      <c r="U54" s="190"/>
      <c r="V54" s="190">
        <v>267.84722222222223</v>
      </c>
      <c r="W54" s="190">
        <v>40.902777777777779</v>
      </c>
      <c r="X54" s="179"/>
      <c r="Y54" s="190"/>
      <c r="Z54" s="190">
        <v>308.75</v>
      </c>
      <c r="AA54" s="190">
        <v>39.041095890410965</v>
      </c>
      <c r="AB54" s="179"/>
      <c r="AC54" s="190"/>
      <c r="AD54" s="190">
        <v>347.79109589041099</v>
      </c>
      <c r="AE54" s="189"/>
    </row>
    <row r="55" spans="1:31" ht="57.6" x14ac:dyDescent="0.3">
      <c r="A55" s="213">
        <v>5060</v>
      </c>
      <c r="B55" s="206" t="s">
        <v>19</v>
      </c>
      <c r="C55" s="206" t="s">
        <v>363</v>
      </c>
      <c r="D55" s="206" t="s">
        <v>362</v>
      </c>
      <c r="E55" s="207">
        <v>25000</v>
      </c>
      <c r="F55" s="193">
        <v>43748</v>
      </c>
      <c r="G55" s="193">
        <v>44114</v>
      </c>
      <c r="H55" s="190"/>
      <c r="I55" s="190">
        <v>1.9</v>
      </c>
      <c r="J55" s="190">
        <v>149.09722222222223</v>
      </c>
      <c r="K55" s="190">
        <v>39.583333333333336</v>
      </c>
      <c r="L55" s="190"/>
      <c r="M55" s="190"/>
      <c r="N55" s="190">
        <v>188.68055555555557</v>
      </c>
      <c r="O55" s="190">
        <v>39.583333333333336</v>
      </c>
      <c r="P55" s="190"/>
      <c r="Q55" s="190"/>
      <c r="R55" s="190">
        <v>228.26388888888891</v>
      </c>
      <c r="S55" s="190">
        <v>39.583333333333336</v>
      </c>
      <c r="T55" s="190"/>
      <c r="U55" s="190"/>
      <c r="V55" s="190">
        <v>267.84722222222223</v>
      </c>
      <c r="W55" s="190">
        <v>40.902777777777779</v>
      </c>
      <c r="X55" s="179"/>
      <c r="Y55" s="190"/>
      <c r="Z55" s="190">
        <v>308.75</v>
      </c>
      <c r="AA55" s="190">
        <v>39.041095890410965</v>
      </c>
      <c r="AB55" s="179"/>
      <c r="AC55" s="190"/>
      <c r="AD55" s="190">
        <v>347.79109589041099</v>
      </c>
      <c r="AE55" s="189"/>
    </row>
    <row r="56" spans="1:31" ht="57.6" x14ac:dyDescent="0.3">
      <c r="A56" s="213">
        <v>5031</v>
      </c>
      <c r="B56" s="206" t="s">
        <v>329</v>
      </c>
      <c r="C56" s="206" t="s">
        <v>361</v>
      </c>
      <c r="D56" s="206" t="s">
        <v>360</v>
      </c>
      <c r="E56" s="207"/>
      <c r="F56" s="193">
        <v>43748</v>
      </c>
      <c r="G56" s="193">
        <v>44114</v>
      </c>
      <c r="H56" s="190"/>
      <c r="I56" s="190">
        <v>5.5</v>
      </c>
      <c r="J56" s="190">
        <v>12947.916666666664</v>
      </c>
      <c r="K56" s="190">
        <v>3437.5</v>
      </c>
      <c r="L56" s="190"/>
      <c r="M56" s="190"/>
      <c r="N56" s="190">
        <v>16385.416666666664</v>
      </c>
      <c r="O56" s="190">
        <v>3437.5</v>
      </c>
      <c r="P56" s="190"/>
      <c r="Q56" s="190"/>
      <c r="R56" s="190">
        <v>19822.916666666664</v>
      </c>
      <c r="S56" s="190">
        <v>3437.5</v>
      </c>
      <c r="T56" s="190"/>
      <c r="U56" s="190"/>
      <c r="V56" s="190">
        <v>23260.416666666664</v>
      </c>
      <c r="W56" s="190">
        <v>3552.083333333333</v>
      </c>
      <c r="X56" s="179"/>
      <c r="Y56" s="190"/>
      <c r="Z56" s="190">
        <v>26812.499999999996</v>
      </c>
      <c r="AA56" s="190">
        <v>0</v>
      </c>
      <c r="AB56" s="179">
        <v>-26823.77</v>
      </c>
      <c r="AC56" s="190">
        <v>11.27</v>
      </c>
      <c r="AD56" s="190">
        <v>-4.0749625895841746E-12</v>
      </c>
      <c r="AE56" s="189" t="s">
        <v>96</v>
      </c>
    </row>
    <row r="57" spans="1:31" ht="57.6" x14ac:dyDescent="0.3">
      <c r="A57" s="213">
        <v>5062</v>
      </c>
      <c r="B57" s="206" t="s">
        <v>359</v>
      </c>
      <c r="C57" s="206" t="s">
        <v>358</v>
      </c>
      <c r="D57" s="206" t="s">
        <v>357</v>
      </c>
      <c r="E57" s="207">
        <v>200000</v>
      </c>
      <c r="F57" s="193">
        <v>43750</v>
      </c>
      <c r="G57" s="193">
        <v>44116</v>
      </c>
      <c r="H57" s="190"/>
      <c r="I57" s="190">
        <v>6.4</v>
      </c>
      <c r="J57" s="190">
        <v>3946.6666666666665</v>
      </c>
      <c r="K57" s="190">
        <v>1066.6666666666667</v>
      </c>
      <c r="L57" s="190"/>
      <c r="M57" s="190"/>
      <c r="N57" s="190">
        <v>5013.333333333333</v>
      </c>
      <c r="O57" s="190">
        <v>1066.6666666666667</v>
      </c>
      <c r="P57" s="190"/>
      <c r="Q57" s="190"/>
      <c r="R57" s="190">
        <v>6080</v>
      </c>
      <c r="S57" s="190">
        <v>1066.6666666666667</v>
      </c>
      <c r="T57" s="190"/>
      <c r="U57" s="190"/>
      <c r="V57" s="190">
        <v>7146.666666666667</v>
      </c>
      <c r="W57" s="190">
        <v>1102.2222222222222</v>
      </c>
      <c r="X57" s="179"/>
      <c r="Y57" s="190"/>
      <c r="Z57" s="190">
        <v>8248.8888888888887</v>
      </c>
      <c r="AA57" s="190">
        <v>1052.0547945205478</v>
      </c>
      <c r="AB57" s="179"/>
      <c r="AC57" s="190"/>
      <c r="AD57" s="190">
        <v>9300.9436834094358</v>
      </c>
      <c r="AE57" s="189"/>
    </row>
    <row r="58" spans="1:31" ht="57.6" x14ac:dyDescent="0.3">
      <c r="A58" s="213">
        <v>5057</v>
      </c>
      <c r="B58" s="206" t="s">
        <v>74</v>
      </c>
      <c r="C58" s="206" t="s">
        <v>356</v>
      </c>
      <c r="D58" s="206" t="s">
        <v>355</v>
      </c>
      <c r="E58" s="207"/>
      <c r="F58" s="193">
        <v>43763</v>
      </c>
      <c r="G58" s="193">
        <v>44129</v>
      </c>
      <c r="H58" s="190"/>
      <c r="I58" s="190">
        <v>3.4</v>
      </c>
      <c r="J58" s="190">
        <v>1240.2444444444445</v>
      </c>
      <c r="K58" s="190">
        <v>379.66666666666663</v>
      </c>
      <c r="L58" s="190"/>
      <c r="M58" s="190"/>
      <c r="N58" s="190">
        <v>1619.911111111111</v>
      </c>
      <c r="O58" s="190">
        <v>379.66666666666663</v>
      </c>
      <c r="P58" s="190"/>
      <c r="Q58" s="190"/>
      <c r="R58" s="190">
        <v>1999.5777777777776</v>
      </c>
      <c r="S58" s="190">
        <v>379.66666666666663</v>
      </c>
      <c r="T58" s="190"/>
      <c r="U58" s="190"/>
      <c r="V58" s="190">
        <v>2379.2444444444441</v>
      </c>
      <c r="W58" s="190">
        <v>392.32222222222219</v>
      </c>
      <c r="X58" s="179"/>
      <c r="Y58" s="190"/>
      <c r="Z58" s="190">
        <v>2771.5866666666661</v>
      </c>
      <c r="AA58" s="190">
        <v>0</v>
      </c>
      <c r="AB58" s="179">
        <v>-2912.85</v>
      </c>
      <c r="AC58" s="190">
        <v>141.28</v>
      </c>
      <c r="AD58" s="190">
        <v>1.6666666666225183E-2</v>
      </c>
      <c r="AE58" s="189" t="s">
        <v>96</v>
      </c>
    </row>
    <row r="59" spans="1:31" ht="57.6" x14ac:dyDescent="0.3">
      <c r="A59" s="213">
        <v>5057</v>
      </c>
      <c r="B59" s="206" t="s">
        <v>74</v>
      </c>
      <c r="C59" s="206" t="s">
        <v>354</v>
      </c>
      <c r="D59" s="206" t="s">
        <v>353</v>
      </c>
      <c r="E59" s="207">
        <v>118000</v>
      </c>
      <c r="F59" s="193">
        <v>43768</v>
      </c>
      <c r="G59" s="193">
        <v>44134</v>
      </c>
      <c r="H59" s="190"/>
      <c r="I59" s="190">
        <v>3.4</v>
      </c>
      <c r="J59" s="190">
        <v>1036.4333333333334</v>
      </c>
      <c r="K59" s="190">
        <v>334.33333333333337</v>
      </c>
      <c r="L59" s="190"/>
      <c r="M59" s="190"/>
      <c r="N59" s="190">
        <v>1370.7666666666669</v>
      </c>
      <c r="O59" s="190">
        <v>334.33333333333337</v>
      </c>
      <c r="P59" s="190"/>
      <c r="Q59" s="190"/>
      <c r="R59" s="190">
        <v>1705.1000000000004</v>
      </c>
      <c r="S59" s="190">
        <v>334.33333333333337</v>
      </c>
      <c r="T59" s="190"/>
      <c r="U59" s="190"/>
      <c r="V59" s="190">
        <v>2039.4333333333338</v>
      </c>
      <c r="W59" s="190">
        <v>345.47777777777782</v>
      </c>
      <c r="X59" s="179"/>
      <c r="Y59" s="190"/>
      <c r="Z59" s="190">
        <v>2384.9111111111115</v>
      </c>
      <c r="AA59" s="190">
        <v>329.75342465753425</v>
      </c>
      <c r="AB59" s="179"/>
      <c r="AC59" s="190"/>
      <c r="AD59" s="190">
        <v>2714.6645357686457</v>
      </c>
      <c r="AE59" s="189"/>
    </row>
    <row r="60" spans="1:31" ht="57.6" x14ac:dyDescent="0.3">
      <c r="A60" s="213">
        <v>5063</v>
      </c>
      <c r="B60" s="206" t="s">
        <v>77</v>
      </c>
      <c r="C60" s="206" t="s">
        <v>352</v>
      </c>
      <c r="D60" s="206" t="s">
        <v>351</v>
      </c>
      <c r="E60" s="207">
        <v>120000</v>
      </c>
      <c r="F60" s="193">
        <v>43768</v>
      </c>
      <c r="G60" s="193">
        <v>44134</v>
      </c>
      <c r="H60" s="190"/>
      <c r="I60" s="190">
        <v>5.4</v>
      </c>
      <c r="J60" s="190">
        <v>1674.0000000000005</v>
      </c>
      <c r="K60" s="190">
        <v>540.00000000000011</v>
      </c>
      <c r="L60" s="190"/>
      <c r="M60" s="190"/>
      <c r="N60" s="190">
        <v>2214.0000000000005</v>
      </c>
      <c r="O60" s="190">
        <v>540.00000000000011</v>
      </c>
      <c r="P60" s="190"/>
      <c r="Q60" s="190"/>
      <c r="R60" s="190">
        <v>2754.0000000000005</v>
      </c>
      <c r="S60" s="190">
        <v>540.00000000000011</v>
      </c>
      <c r="T60" s="190"/>
      <c r="U60" s="190"/>
      <c r="V60" s="190">
        <v>3294.0000000000005</v>
      </c>
      <c r="W60" s="190">
        <v>558.00000000000011</v>
      </c>
      <c r="X60" s="179"/>
      <c r="Y60" s="190"/>
      <c r="Z60" s="190">
        <v>3852.0000000000005</v>
      </c>
      <c r="AA60" s="190">
        <v>532.60273972602749</v>
      </c>
      <c r="AB60" s="179"/>
      <c r="AC60" s="190"/>
      <c r="AD60" s="190">
        <v>4384.6027397260277</v>
      </c>
      <c r="AE60" s="189"/>
    </row>
    <row r="61" spans="1:31" ht="57.6" x14ac:dyDescent="0.3">
      <c r="A61" s="213">
        <v>5005</v>
      </c>
      <c r="B61" s="206" t="s">
        <v>10</v>
      </c>
      <c r="C61" s="206" t="s">
        <v>350</v>
      </c>
      <c r="D61" s="206" t="s">
        <v>349</v>
      </c>
      <c r="E61" s="207">
        <v>1030000</v>
      </c>
      <c r="F61" s="193">
        <v>43775</v>
      </c>
      <c r="G61" s="193">
        <v>44099</v>
      </c>
      <c r="H61" s="190"/>
      <c r="I61" s="190">
        <v>0.4</v>
      </c>
      <c r="J61" s="190">
        <v>1464.8888888888889</v>
      </c>
      <c r="K61" s="190">
        <v>343.33333333333331</v>
      </c>
      <c r="L61" s="190"/>
      <c r="M61" s="190"/>
      <c r="N61" s="190">
        <v>1808.2222222222222</v>
      </c>
      <c r="O61" s="190">
        <v>343.33333333333331</v>
      </c>
      <c r="P61" s="190"/>
      <c r="Q61" s="190"/>
      <c r="R61" s="190">
        <v>2151.5555555555557</v>
      </c>
      <c r="S61" s="190">
        <v>343.33333333333331</v>
      </c>
      <c r="T61" s="190"/>
      <c r="U61" s="190"/>
      <c r="V61" s="190">
        <v>2494.8888888888891</v>
      </c>
      <c r="W61" s="190">
        <v>354.77777777777777</v>
      </c>
      <c r="X61" s="179"/>
      <c r="Y61" s="190"/>
      <c r="Z61" s="190">
        <v>2849.666666666667</v>
      </c>
      <c r="AA61" s="190">
        <v>338.63013698630141</v>
      </c>
      <c r="AB61" s="179"/>
      <c r="AC61" s="190"/>
      <c r="AD61" s="190">
        <v>3188.2968036529683</v>
      </c>
      <c r="AE61" s="189"/>
    </row>
    <row r="62" spans="1:31" ht="57.6" x14ac:dyDescent="0.3">
      <c r="A62" s="213">
        <v>5004</v>
      </c>
      <c r="B62" s="206" t="s">
        <v>336</v>
      </c>
      <c r="C62" s="206" t="s">
        <v>348</v>
      </c>
      <c r="D62" s="206" t="s">
        <v>347</v>
      </c>
      <c r="E62" s="207">
        <v>38000</v>
      </c>
      <c r="F62" s="193">
        <v>43774</v>
      </c>
      <c r="G62" s="193">
        <v>44140</v>
      </c>
      <c r="H62" s="190"/>
      <c r="I62" s="190">
        <v>5.9</v>
      </c>
      <c r="J62" s="190">
        <v>541.81666666666672</v>
      </c>
      <c r="K62" s="190">
        <v>186.83333333333334</v>
      </c>
      <c r="L62" s="190"/>
      <c r="M62" s="190"/>
      <c r="N62" s="190">
        <v>728.65000000000009</v>
      </c>
      <c r="O62" s="190">
        <v>186.83333333333334</v>
      </c>
      <c r="P62" s="190"/>
      <c r="Q62" s="190"/>
      <c r="R62" s="190">
        <v>915.48333333333346</v>
      </c>
      <c r="S62" s="190">
        <v>186.83333333333334</v>
      </c>
      <c r="T62" s="190"/>
      <c r="U62" s="190"/>
      <c r="V62" s="190">
        <v>1102.3166666666668</v>
      </c>
      <c r="W62" s="190">
        <v>193.0611111111111</v>
      </c>
      <c r="X62" s="179"/>
      <c r="Y62" s="190"/>
      <c r="Z62" s="190">
        <v>1295.377777777778</v>
      </c>
      <c r="AA62" s="190">
        <v>184.27397260273972</v>
      </c>
      <c r="AB62" s="179"/>
      <c r="AC62" s="190"/>
      <c r="AD62" s="190">
        <v>1479.6517503805176</v>
      </c>
      <c r="AE62" s="189"/>
    </row>
    <row r="63" spans="1:31" ht="57.6" x14ac:dyDescent="0.3">
      <c r="A63" s="213">
        <v>5063</v>
      </c>
      <c r="B63" s="206" t="s">
        <v>77</v>
      </c>
      <c r="C63" s="206" t="s">
        <v>346</v>
      </c>
      <c r="D63" s="206" t="s">
        <v>345</v>
      </c>
      <c r="E63" s="207">
        <v>80000</v>
      </c>
      <c r="F63" s="193">
        <v>43772</v>
      </c>
      <c r="G63" s="193">
        <v>44138</v>
      </c>
      <c r="H63" s="190"/>
      <c r="I63" s="190">
        <v>5.4</v>
      </c>
      <c r="J63" s="190">
        <v>1068.0000000000002</v>
      </c>
      <c r="K63" s="190">
        <v>360.00000000000006</v>
      </c>
      <c r="L63" s="190"/>
      <c r="M63" s="190"/>
      <c r="N63" s="190">
        <v>1428.0000000000002</v>
      </c>
      <c r="O63" s="190">
        <v>360.00000000000006</v>
      </c>
      <c r="P63" s="190"/>
      <c r="Q63" s="190"/>
      <c r="R63" s="190">
        <v>1788.0000000000002</v>
      </c>
      <c r="S63" s="190">
        <v>360.00000000000006</v>
      </c>
      <c r="T63" s="190"/>
      <c r="U63" s="190"/>
      <c r="V63" s="190">
        <v>2148.0000000000005</v>
      </c>
      <c r="W63" s="190">
        <v>372.00000000000006</v>
      </c>
      <c r="X63" s="179"/>
      <c r="Y63" s="190"/>
      <c r="Z63" s="190">
        <v>2520.0000000000005</v>
      </c>
      <c r="AA63" s="190">
        <v>355.06849315068501</v>
      </c>
      <c r="AB63" s="179"/>
      <c r="AC63" s="190"/>
      <c r="AD63" s="190">
        <v>2875.0684931506853</v>
      </c>
      <c r="AE63" s="189"/>
    </row>
    <row r="64" spans="1:31" ht="57.6" x14ac:dyDescent="0.3">
      <c r="A64" s="213">
        <v>5060</v>
      </c>
      <c r="B64" s="206" t="s">
        <v>19</v>
      </c>
      <c r="C64" s="206" t="s">
        <v>344</v>
      </c>
      <c r="D64" s="206" t="s">
        <v>343</v>
      </c>
      <c r="E64" s="207">
        <v>78000</v>
      </c>
      <c r="F64" s="193">
        <v>43771</v>
      </c>
      <c r="G64" s="193">
        <v>44137</v>
      </c>
      <c r="H64" s="190"/>
      <c r="I64" s="190">
        <v>1.9</v>
      </c>
      <c r="J64" s="190">
        <v>370.5</v>
      </c>
      <c r="K64" s="190">
        <v>123.49999999999999</v>
      </c>
      <c r="L64" s="190"/>
      <c r="M64" s="190"/>
      <c r="N64" s="190">
        <v>494</v>
      </c>
      <c r="O64" s="190">
        <v>123.49999999999999</v>
      </c>
      <c r="P64" s="190"/>
      <c r="Q64" s="190"/>
      <c r="R64" s="190">
        <v>617.5</v>
      </c>
      <c r="S64" s="190">
        <v>123.49999999999999</v>
      </c>
      <c r="T64" s="190"/>
      <c r="U64" s="190"/>
      <c r="V64" s="190">
        <v>741</v>
      </c>
      <c r="W64" s="190">
        <v>127.61666666666666</v>
      </c>
      <c r="X64" s="179"/>
      <c r="Y64" s="190"/>
      <c r="Z64" s="190">
        <v>868.61666666666667</v>
      </c>
      <c r="AA64" s="190">
        <v>121.8082191780822</v>
      </c>
      <c r="AB64" s="179"/>
      <c r="AC64" s="190"/>
      <c r="AD64" s="190">
        <v>990.42488584474881</v>
      </c>
      <c r="AE64" s="189"/>
    </row>
    <row r="65" spans="1:31" ht="57.6" x14ac:dyDescent="0.3">
      <c r="A65" s="213">
        <v>5063</v>
      </c>
      <c r="B65" s="206" t="s">
        <v>25</v>
      </c>
      <c r="C65" s="206" t="s">
        <v>342</v>
      </c>
      <c r="D65" s="206" t="s">
        <v>341</v>
      </c>
      <c r="E65" s="207">
        <v>138000</v>
      </c>
      <c r="F65" s="193">
        <v>43770</v>
      </c>
      <c r="G65" s="193">
        <v>44136</v>
      </c>
      <c r="H65" s="190"/>
      <c r="I65" s="190">
        <v>4.4000000000000004</v>
      </c>
      <c r="J65" s="190">
        <v>1534.866666666667</v>
      </c>
      <c r="K65" s="190">
        <v>506.00000000000011</v>
      </c>
      <c r="L65" s="190"/>
      <c r="M65" s="190"/>
      <c r="N65" s="190">
        <v>2040.8666666666672</v>
      </c>
      <c r="O65" s="190">
        <v>506.00000000000011</v>
      </c>
      <c r="P65" s="190"/>
      <c r="Q65" s="190"/>
      <c r="R65" s="190">
        <v>2546.8666666666672</v>
      </c>
      <c r="S65" s="190">
        <v>506.00000000000011</v>
      </c>
      <c r="T65" s="190"/>
      <c r="U65" s="190"/>
      <c r="V65" s="190">
        <v>3052.8666666666672</v>
      </c>
      <c r="W65" s="190">
        <v>522.86666666666679</v>
      </c>
      <c r="X65" s="179"/>
      <c r="Y65" s="190"/>
      <c r="Z65" s="190">
        <v>3575.733333333334</v>
      </c>
      <c r="AA65" s="190">
        <v>499.06849315068496</v>
      </c>
      <c r="AB65" s="179"/>
      <c r="AC65" s="190"/>
      <c r="AD65" s="190">
        <v>4074.8018264840189</v>
      </c>
      <c r="AE65" s="189"/>
    </row>
    <row r="66" spans="1:31" ht="57.6" x14ac:dyDescent="0.3">
      <c r="A66" s="213">
        <v>5060</v>
      </c>
      <c r="B66" s="206" t="s">
        <v>40</v>
      </c>
      <c r="C66" s="206" t="s">
        <v>340</v>
      </c>
      <c r="D66" s="206" t="s">
        <v>339</v>
      </c>
      <c r="E66" s="207">
        <v>727000</v>
      </c>
      <c r="F66" s="193">
        <v>43784</v>
      </c>
      <c r="G66" s="193">
        <v>44150</v>
      </c>
      <c r="H66" s="190"/>
      <c r="I66" s="190">
        <v>6.4</v>
      </c>
      <c r="J66" s="190">
        <v>9951.8222222222212</v>
      </c>
      <c r="K66" s="190">
        <v>3877.333333333333</v>
      </c>
      <c r="L66" s="190"/>
      <c r="M66" s="190"/>
      <c r="N66" s="190">
        <v>13829.155555555553</v>
      </c>
      <c r="O66" s="190">
        <v>3877.333333333333</v>
      </c>
      <c r="P66" s="190"/>
      <c r="Q66" s="190"/>
      <c r="R66" s="190">
        <v>17706.488888888885</v>
      </c>
      <c r="S66" s="190">
        <v>3877.333333333333</v>
      </c>
      <c r="T66" s="190"/>
      <c r="U66" s="190"/>
      <c r="V66" s="190">
        <v>21583.822222222218</v>
      </c>
      <c r="W66" s="190">
        <v>4006.5777777777776</v>
      </c>
      <c r="X66" s="179"/>
      <c r="Y66" s="190"/>
      <c r="Z66" s="190">
        <v>25590.399999999994</v>
      </c>
      <c r="AA66" s="190">
        <v>3824.2191780821918</v>
      </c>
      <c r="AB66" s="179"/>
      <c r="AC66" s="190"/>
      <c r="AD66" s="190">
        <v>29414.619178082186</v>
      </c>
      <c r="AE66" s="189"/>
    </row>
    <row r="67" spans="1:31" ht="57.6" x14ac:dyDescent="0.3">
      <c r="A67" s="213">
        <v>5004</v>
      </c>
      <c r="B67" s="206" t="s">
        <v>336</v>
      </c>
      <c r="C67" s="206" t="s">
        <v>338</v>
      </c>
      <c r="D67" s="206" t="s">
        <v>337</v>
      </c>
      <c r="E67" s="207">
        <v>100000</v>
      </c>
      <c r="F67" s="193">
        <v>43792</v>
      </c>
      <c r="G67" s="193">
        <v>44158</v>
      </c>
      <c r="H67" s="190"/>
      <c r="I67" s="190">
        <v>5.9</v>
      </c>
      <c r="J67" s="190">
        <v>1294.7222222222222</v>
      </c>
      <c r="K67" s="190">
        <v>491.66666666666669</v>
      </c>
      <c r="L67" s="190"/>
      <c r="M67" s="190"/>
      <c r="N67" s="190">
        <v>1786.3888888888889</v>
      </c>
      <c r="O67" s="190">
        <v>491.66666666666669</v>
      </c>
      <c r="P67" s="190"/>
      <c r="Q67" s="190"/>
      <c r="R67" s="190">
        <v>2278.0555555555557</v>
      </c>
      <c r="S67" s="190">
        <v>491.66666666666669</v>
      </c>
      <c r="T67" s="190"/>
      <c r="U67" s="190"/>
      <c r="V67" s="190">
        <v>2769.7222222222222</v>
      </c>
      <c r="W67" s="190">
        <v>508.05555555555554</v>
      </c>
      <c r="X67" s="179"/>
      <c r="Y67" s="190"/>
      <c r="Z67" s="190">
        <v>3277.7777777777778</v>
      </c>
      <c r="AA67" s="190">
        <v>484.93150684931504</v>
      </c>
      <c r="AB67" s="179"/>
      <c r="AC67" s="190"/>
      <c r="AD67" s="190">
        <v>3762.709284627093</v>
      </c>
      <c r="AE67" s="189"/>
    </row>
    <row r="68" spans="1:31" ht="57.6" x14ac:dyDescent="0.3">
      <c r="A68" s="213">
        <v>5004</v>
      </c>
      <c r="B68" s="206" t="s">
        <v>336</v>
      </c>
      <c r="C68" s="206" t="s">
        <v>335</v>
      </c>
      <c r="D68" s="206" t="s">
        <v>334</v>
      </c>
      <c r="E68" s="207">
        <v>94477.4</v>
      </c>
      <c r="F68" s="193">
        <v>43792</v>
      </c>
      <c r="G68" s="193">
        <v>44158</v>
      </c>
      <c r="H68" s="190"/>
      <c r="I68" s="190">
        <v>5.9</v>
      </c>
      <c r="J68" s="190">
        <v>1223.2198927777779</v>
      </c>
      <c r="K68" s="190">
        <v>464.51388333333341</v>
      </c>
      <c r="L68" s="190"/>
      <c r="M68" s="190"/>
      <c r="N68" s="190">
        <v>1687.7337761111112</v>
      </c>
      <c r="O68" s="190">
        <v>464.51388333333341</v>
      </c>
      <c r="P68" s="190"/>
      <c r="Q68" s="190"/>
      <c r="R68" s="190">
        <v>2152.2476594444447</v>
      </c>
      <c r="S68" s="190">
        <v>464.51388333333341</v>
      </c>
      <c r="T68" s="190"/>
      <c r="U68" s="190"/>
      <c r="V68" s="190">
        <v>2616.7615427777782</v>
      </c>
      <c r="W68" s="190">
        <v>479.99767944444449</v>
      </c>
      <c r="X68" s="179"/>
      <c r="Y68" s="190"/>
      <c r="Z68" s="190">
        <v>3096.7592222222229</v>
      </c>
      <c r="AA68" s="190">
        <v>458.15067945205482</v>
      </c>
      <c r="AB68" s="179"/>
      <c r="AC68" s="190"/>
      <c r="AD68" s="190">
        <v>3554.9099016742775</v>
      </c>
      <c r="AE68" s="189"/>
    </row>
    <row r="69" spans="1:31" ht="57.6" x14ac:dyDescent="0.3">
      <c r="A69" s="213">
        <v>5004</v>
      </c>
      <c r="B69" s="206" t="s">
        <v>117</v>
      </c>
      <c r="C69" s="206" t="s">
        <v>333</v>
      </c>
      <c r="D69" s="206" t="s">
        <v>332</v>
      </c>
      <c r="E69" s="207">
        <v>100000</v>
      </c>
      <c r="F69" s="193">
        <v>43792</v>
      </c>
      <c r="G69" s="193">
        <v>44158</v>
      </c>
      <c r="H69" s="190"/>
      <c r="I69" s="190">
        <v>5.85</v>
      </c>
      <c r="J69" s="190">
        <v>1283.75</v>
      </c>
      <c r="K69" s="190">
        <v>487.5</v>
      </c>
      <c r="L69" s="190"/>
      <c r="M69" s="190"/>
      <c r="N69" s="190">
        <v>1771.25</v>
      </c>
      <c r="O69" s="190">
        <v>487.5</v>
      </c>
      <c r="P69" s="190"/>
      <c r="Q69" s="190"/>
      <c r="R69" s="190">
        <v>2258.75</v>
      </c>
      <c r="S69" s="190">
        <v>487.5</v>
      </c>
      <c r="T69" s="190"/>
      <c r="U69" s="190"/>
      <c r="V69" s="190">
        <v>2746.25</v>
      </c>
      <c r="W69" s="190">
        <v>503.75</v>
      </c>
      <c r="X69" s="179"/>
      <c r="Y69" s="190"/>
      <c r="Z69" s="190">
        <v>3250</v>
      </c>
      <c r="AA69" s="190">
        <v>480.82191780821915</v>
      </c>
      <c r="AB69" s="179"/>
      <c r="AC69" s="190"/>
      <c r="AD69" s="190">
        <v>3730.821917808219</v>
      </c>
      <c r="AE69" s="189"/>
    </row>
    <row r="70" spans="1:31" ht="57.6" x14ac:dyDescent="0.3">
      <c r="A70" s="213">
        <v>5004</v>
      </c>
      <c r="B70" s="206" t="s">
        <v>117</v>
      </c>
      <c r="C70" s="206" t="s">
        <v>331</v>
      </c>
      <c r="D70" s="206" t="s">
        <v>330</v>
      </c>
      <c r="E70" s="207">
        <v>150000</v>
      </c>
      <c r="F70" s="193">
        <v>43793</v>
      </c>
      <c r="G70" s="193">
        <v>44159</v>
      </c>
      <c r="H70" s="190"/>
      <c r="I70" s="190">
        <v>5.85</v>
      </c>
      <c r="J70" s="190">
        <v>1901.25</v>
      </c>
      <c r="K70" s="190">
        <v>731.25</v>
      </c>
      <c r="L70" s="190"/>
      <c r="M70" s="190"/>
      <c r="N70" s="190">
        <v>2632.5</v>
      </c>
      <c r="O70" s="190">
        <v>731.25</v>
      </c>
      <c r="P70" s="190"/>
      <c r="Q70" s="190"/>
      <c r="R70" s="190">
        <v>3363.75</v>
      </c>
      <c r="S70" s="190">
        <v>731.25</v>
      </c>
      <c r="T70" s="190"/>
      <c r="U70" s="190"/>
      <c r="V70" s="190">
        <v>4095</v>
      </c>
      <c r="W70" s="190">
        <v>755.625</v>
      </c>
      <c r="X70" s="179"/>
      <c r="Y70" s="190"/>
      <c r="Z70" s="190">
        <v>4850.625</v>
      </c>
      <c r="AA70" s="190">
        <v>721.23287671232879</v>
      </c>
      <c r="AB70" s="179"/>
      <c r="AC70" s="190"/>
      <c r="AD70" s="190">
        <v>5571.857876712329</v>
      </c>
      <c r="AE70" s="189"/>
    </row>
    <row r="71" spans="1:31" x14ac:dyDescent="0.3">
      <c r="A71" s="212">
        <v>5031</v>
      </c>
      <c r="B71" s="189" t="s">
        <v>329</v>
      </c>
      <c r="C71" s="189" t="s">
        <v>328</v>
      </c>
      <c r="D71" s="189" t="s">
        <v>327</v>
      </c>
      <c r="E71" s="179"/>
      <c r="F71" s="193">
        <v>43801</v>
      </c>
      <c r="G71" s="193">
        <v>44166</v>
      </c>
      <c r="H71" s="190"/>
      <c r="I71" s="190">
        <v>6.4</v>
      </c>
      <c r="J71" s="190">
        <v>1418.7401671111111</v>
      </c>
      <c r="K71" s="190">
        <v>1330.0689066666666</v>
      </c>
      <c r="L71" s="190"/>
      <c r="M71" s="190"/>
      <c r="N71" s="190">
        <v>2748.8090737777775</v>
      </c>
      <c r="O71" s="190">
        <v>1330.0689066666666</v>
      </c>
      <c r="P71" s="190"/>
      <c r="Q71" s="190"/>
      <c r="R71" s="190">
        <v>4078.8779804444439</v>
      </c>
      <c r="S71" s="190">
        <v>1330.0689066666666</v>
      </c>
      <c r="T71" s="190"/>
      <c r="U71" s="190"/>
      <c r="V71" s="190">
        <v>5408.9468871111103</v>
      </c>
      <c r="W71" s="190">
        <v>1374.4045368888887</v>
      </c>
      <c r="X71" s="179">
        <v>-7718.76</v>
      </c>
      <c r="Y71" s="190">
        <v>935.41</v>
      </c>
      <c r="Z71" s="190">
        <v>1.4239999983374219E-3</v>
      </c>
      <c r="AA71" s="190">
        <v>0</v>
      </c>
      <c r="AB71" s="179">
        <v>-211.08</v>
      </c>
      <c r="AC71" s="190">
        <v>211.08</v>
      </c>
      <c r="AD71" s="190">
        <v>1.4239999983374219E-3</v>
      </c>
      <c r="AE71" s="189" t="s">
        <v>96</v>
      </c>
    </row>
    <row r="72" spans="1:31" x14ac:dyDescent="0.3">
      <c r="A72" s="212">
        <v>5063</v>
      </c>
      <c r="B72" s="189" t="s">
        <v>25</v>
      </c>
      <c r="C72" s="189" t="s">
        <v>326</v>
      </c>
      <c r="D72" s="189" t="s">
        <v>325</v>
      </c>
      <c r="E72" s="179">
        <v>138000</v>
      </c>
      <c r="F72" s="193">
        <v>43800</v>
      </c>
      <c r="G72" s="193">
        <v>44166</v>
      </c>
      <c r="H72" s="190"/>
      <c r="I72" s="190">
        <v>4.4000000000000004</v>
      </c>
      <c r="J72" s="190">
        <v>539.73333333333346</v>
      </c>
      <c r="K72" s="190">
        <v>506.00000000000011</v>
      </c>
      <c r="L72" s="190"/>
      <c r="M72" s="190"/>
      <c r="N72" s="190">
        <v>1045.7333333333336</v>
      </c>
      <c r="O72" s="190">
        <v>506.00000000000011</v>
      </c>
      <c r="P72" s="190"/>
      <c r="Q72" s="190"/>
      <c r="R72" s="190">
        <v>1551.7333333333336</v>
      </c>
      <c r="S72" s="190">
        <v>506.00000000000011</v>
      </c>
      <c r="T72" s="190"/>
      <c r="U72" s="190"/>
      <c r="V72" s="190">
        <v>2057.7333333333336</v>
      </c>
      <c r="W72" s="190">
        <v>522.86666666666679</v>
      </c>
      <c r="X72" s="179"/>
      <c r="Y72" s="190"/>
      <c r="Z72" s="190">
        <v>2580.6000000000004</v>
      </c>
      <c r="AA72" s="190">
        <v>499.06849315068496</v>
      </c>
      <c r="AB72" s="179"/>
      <c r="AC72" s="190"/>
      <c r="AD72" s="190">
        <v>3079.6684931506852</v>
      </c>
      <c r="AE72" s="189"/>
    </row>
    <row r="73" spans="1:31" x14ac:dyDescent="0.3">
      <c r="A73" s="212">
        <v>5005</v>
      </c>
      <c r="B73" s="189" t="s">
        <v>10</v>
      </c>
      <c r="C73" s="189" t="s">
        <v>324</v>
      </c>
      <c r="D73" s="189" t="s">
        <v>323</v>
      </c>
      <c r="E73" s="179">
        <v>1400000</v>
      </c>
      <c r="F73" s="193">
        <v>43803</v>
      </c>
      <c r="G73" s="193">
        <v>44169</v>
      </c>
      <c r="H73" s="190"/>
      <c r="I73" s="190">
        <v>0.4</v>
      </c>
      <c r="J73" s="190">
        <v>544.44444444444446</v>
      </c>
      <c r="K73" s="190">
        <v>466.66666666666669</v>
      </c>
      <c r="L73" s="190"/>
      <c r="M73" s="190"/>
      <c r="N73" s="190">
        <v>1011.1111111111111</v>
      </c>
      <c r="O73" s="190">
        <v>466.66666666666669</v>
      </c>
      <c r="P73" s="190"/>
      <c r="Q73" s="190"/>
      <c r="R73" s="190">
        <v>1477.7777777777778</v>
      </c>
      <c r="S73" s="190">
        <v>466.66666666666669</v>
      </c>
      <c r="T73" s="190"/>
      <c r="U73" s="190"/>
      <c r="V73" s="190">
        <v>1944.4444444444446</v>
      </c>
      <c r="W73" s="190">
        <v>482.22222222222223</v>
      </c>
      <c r="X73" s="179"/>
      <c r="Y73" s="190"/>
      <c r="Z73" s="190">
        <v>2426.666666666667</v>
      </c>
      <c r="AA73" s="190">
        <v>460.27397260273972</v>
      </c>
      <c r="AB73" s="179"/>
      <c r="AC73" s="190"/>
      <c r="AD73" s="190">
        <v>2886.9406392694068</v>
      </c>
      <c r="AE73" s="189"/>
    </row>
    <row r="74" spans="1:31" x14ac:dyDescent="0.3">
      <c r="A74" s="212">
        <v>5056</v>
      </c>
      <c r="B74" s="189" t="s">
        <v>322</v>
      </c>
      <c r="C74" s="189" t="s">
        <v>321</v>
      </c>
      <c r="D74" s="189" t="s">
        <v>320</v>
      </c>
      <c r="E74" s="179">
        <v>33000</v>
      </c>
      <c r="F74" s="193">
        <v>43811</v>
      </c>
      <c r="G74" s="193">
        <v>44177</v>
      </c>
      <c r="H74" s="190"/>
      <c r="I74" s="190">
        <v>6.4</v>
      </c>
      <c r="J74" s="190">
        <v>252.26666666666665</v>
      </c>
      <c r="K74" s="190">
        <v>176</v>
      </c>
      <c r="L74" s="190"/>
      <c r="M74" s="190"/>
      <c r="N74" s="190">
        <v>428.26666666666665</v>
      </c>
      <c r="O74" s="190">
        <v>176</v>
      </c>
      <c r="P74" s="190"/>
      <c r="Q74" s="190"/>
      <c r="R74" s="190">
        <v>604.26666666666665</v>
      </c>
      <c r="S74" s="190">
        <v>176</v>
      </c>
      <c r="T74" s="190"/>
      <c r="U74" s="190"/>
      <c r="V74" s="190">
        <v>780.26666666666665</v>
      </c>
      <c r="W74" s="190">
        <v>181.86666666666665</v>
      </c>
      <c r="X74" s="179"/>
      <c r="Y74" s="190"/>
      <c r="Z74" s="190">
        <v>962.13333333333333</v>
      </c>
      <c r="AA74" s="190">
        <v>173.58904109589042</v>
      </c>
      <c r="AB74" s="179"/>
      <c r="AC74" s="190"/>
      <c r="AD74" s="190">
        <v>1135.7223744292237</v>
      </c>
      <c r="AE74" s="189"/>
    </row>
    <row r="75" spans="1:31" x14ac:dyDescent="0.3">
      <c r="A75" s="212">
        <v>5005</v>
      </c>
      <c r="B75" s="189" t="s">
        <v>265</v>
      </c>
      <c r="C75" s="189" t="s">
        <v>319</v>
      </c>
      <c r="D75" s="189" t="s">
        <v>318</v>
      </c>
      <c r="E75" s="179">
        <v>30000</v>
      </c>
      <c r="F75" s="193">
        <v>43815</v>
      </c>
      <c r="G75" s="193">
        <v>44181</v>
      </c>
      <c r="H75" s="190"/>
      <c r="I75" s="190">
        <v>6.9</v>
      </c>
      <c r="J75" s="190">
        <v>270.25</v>
      </c>
      <c r="K75" s="190">
        <v>172.5</v>
      </c>
      <c r="L75" s="190"/>
      <c r="M75" s="190"/>
      <c r="N75" s="190">
        <v>442.75</v>
      </c>
      <c r="O75" s="190">
        <v>172.5</v>
      </c>
      <c r="P75" s="190"/>
      <c r="Q75" s="190"/>
      <c r="R75" s="190">
        <v>615.25</v>
      </c>
      <c r="S75" s="190">
        <v>172.5</v>
      </c>
      <c r="T75" s="190"/>
      <c r="U75" s="190"/>
      <c r="V75" s="190">
        <v>787.75</v>
      </c>
      <c r="W75" s="190">
        <v>178.25</v>
      </c>
      <c r="X75" s="179"/>
      <c r="Y75" s="190"/>
      <c r="Z75" s="190">
        <v>966</v>
      </c>
      <c r="AA75" s="190">
        <v>170.13698630136986</v>
      </c>
      <c r="AB75" s="179"/>
      <c r="AC75" s="190"/>
      <c r="AD75" s="190">
        <v>1136.1369863013699</v>
      </c>
      <c r="AE75" s="189"/>
    </row>
    <row r="76" spans="1:31" x14ac:dyDescent="0.3">
      <c r="A76" s="212">
        <v>5061</v>
      </c>
      <c r="B76" s="189" t="s">
        <v>317</v>
      </c>
      <c r="C76" s="189" t="s">
        <v>316</v>
      </c>
      <c r="D76" s="189" t="s">
        <v>315</v>
      </c>
      <c r="E76" s="179">
        <v>200000</v>
      </c>
      <c r="F76" s="193">
        <v>43816</v>
      </c>
      <c r="G76" s="193">
        <v>44182</v>
      </c>
      <c r="H76" s="190"/>
      <c r="I76" s="190">
        <v>5.65</v>
      </c>
      <c r="J76" s="190">
        <v>1506.6666666666665</v>
      </c>
      <c r="K76" s="190">
        <v>941.66666666666663</v>
      </c>
      <c r="L76" s="190"/>
      <c r="M76" s="190"/>
      <c r="N76" s="190">
        <v>2448.333333333333</v>
      </c>
      <c r="O76" s="190">
        <v>941.66666666666663</v>
      </c>
      <c r="P76" s="190"/>
      <c r="Q76" s="190"/>
      <c r="R76" s="190">
        <v>3389.9999999999995</v>
      </c>
      <c r="S76" s="190">
        <v>941.66666666666663</v>
      </c>
      <c r="T76" s="190"/>
      <c r="U76" s="190"/>
      <c r="V76" s="190">
        <v>4331.6666666666661</v>
      </c>
      <c r="W76" s="190">
        <v>973.05555555555554</v>
      </c>
      <c r="X76" s="179"/>
      <c r="Y76" s="190"/>
      <c r="Z76" s="190">
        <v>5304.7222222222217</v>
      </c>
      <c r="AA76" s="190">
        <v>928.76712328767121</v>
      </c>
      <c r="AB76" s="179"/>
      <c r="AC76" s="190"/>
      <c r="AD76" s="190">
        <v>6233.4893455098927</v>
      </c>
      <c r="AE76" s="189"/>
    </row>
    <row r="77" spans="1:31" x14ac:dyDescent="0.3">
      <c r="A77" s="212">
        <v>5060</v>
      </c>
      <c r="B77" s="189" t="s">
        <v>233</v>
      </c>
      <c r="C77" s="189" t="s">
        <v>314</v>
      </c>
      <c r="D77" s="189" t="s">
        <v>313</v>
      </c>
      <c r="E77" s="179">
        <v>170000</v>
      </c>
      <c r="F77" s="193">
        <v>43822</v>
      </c>
      <c r="G77" s="193">
        <v>44186</v>
      </c>
      <c r="H77" s="190"/>
      <c r="I77" s="190">
        <v>5.65</v>
      </c>
      <c r="J77" s="190">
        <v>1387.3888888888891</v>
      </c>
      <c r="K77" s="190">
        <v>800.41666666666674</v>
      </c>
      <c r="L77" s="190"/>
      <c r="M77" s="190"/>
      <c r="N77" s="190">
        <v>2187.8055555555557</v>
      </c>
      <c r="O77" s="190">
        <v>800.41666666666674</v>
      </c>
      <c r="P77" s="190"/>
      <c r="Q77" s="190"/>
      <c r="R77" s="190">
        <v>2988.2222222222226</v>
      </c>
      <c r="S77" s="190">
        <v>800.41666666666674</v>
      </c>
      <c r="T77" s="190"/>
      <c r="U77" s="190"/>
      <c r="V77" s="190">
        <v>3788.6388888888896</v>
      </c>
      <c r="W77" s="190">
        <v>827.09722222222229</v>
      </c>
      <c r="X77" s="179"/>
      <c r="Y77" s="190"/>
      <c r="Z77" s="190">
        <v>4615.7361111111122</v>
      </c>
      <c r="AA77" s="190">
        <v>789.45205479452056</v>
      </c>
      <c r="AB77" s="179"/>
      <c r="AC77" s="190"/>
      <c r="AD77" s="190">
        <v>5405.1881659056326</v>
      </c>
      <c r="AE77" s="189"/>
    </row>
    <row r="78" spans="1:31" x14ac:dyDescent="0.3">
      <c r="A78" s="212">
        <v>5060</v>
      </c>
      <c r="B78" s="189" t="s">
        <v>233</v>
      </c>
      <c r="C78" s="189" t="s">
        <v>312</v>
      </c>
      <c r="D78" s="189" t="s">
        <v>311</v>
      </c>
      <c r="E78" s="179">
        <v>254800</v>
      </c>
      <c r="F78" s="193">
        <v>43822</v>
      </c>
      <c r="G78" s="193">
        <v>44186</v>
      </c>
      <c r="H78" s="190"/>
      <c r="I78" s="190">
        <v>5.65</v>
      </c>
      <c r="J78" s="190">
        <v>2079.451111111111</v>
      </c>
      <c r="K78" s="190">
        <v>1199.6833333333334</v>
      </c>
      <c r="L78" s="190"/>
      <c r="M78" s="190"/>
      <c r="N78" s="190">
        <v>3279.1344444444444</v>
      </c>
      <c r="O78" s="190">
        <v>1199.6833333333334</v>
      </c>
      <c r="P78" s="190"/>
      <c r="Q78" s="190"/>
      <c r="R78" s="190">
        <v>4478.8177777777782</v>
      </c>
      <c r="S78" s="190">
        <v>1199.6833333333334</v>
      </c>
      <c r="T78" s="190"/>
      <c r="U78" s="190"/>
      <c r="V78" s="190">
        <v>5678.5011111111116</v>
      </c>
      <c r="W78" s="190">
        <v>1239.6727777777778</v>
      </c>
      <c r="X78" s="179"/>
      <c r="Y78" s="190"/>
      <c r="Z78" s="190">
        <v>6918.1738888888895</v>
      </c>
      <c r="AA78" s="190">
        <v>1183.2493150684932</v>
      </c>
      <c r="AB78" s="179"/>
      <c r="AC78" s="190"/>
      <c r="AD78" s="190">
        <v>8101.4232039573826</v>
      </c>
      <c r="AE78" s="189"/>
    </row>
    <row r="79" spans="1:31" x14ac:dyDescent="0.3">
      <c r="A79" s="212">
        <v>5060</v>
      </c>
      <c r="B79" s="189" t="s">
        <v>233</v>
      </c>
      <c r="C79" s="189" t="s">
        <v>310</v>
      </c>
      <c r="D79" s="189" t="s">
        <v>309</v>
      </c>
      <c r="E79" s="179">
        <v>126000</v>
      </c>
      <c r="F79" s="193">
        <v>43822</v>
      </c>
      <c r="G79" s="193">
        <v>44186</v>
      </c>
      <c r="H79" s="190"/>
      <c r="I79" s="190">
        <v>5.65</v>
      </c>
      <c r="J79" s="190">
        <v>1028.3</v>
      </c>
      <c r="K79" s="190">
        <v>593.25</v>
      </c>
      <c r="L79" s="190"/>
      <c r="M79" s="190"/>
      <c r="N79" s="190">
        <v>1621.55</v>
      </c>
      <c r="O79" s="190">
        <v>593.25</v>
      </c>
      <c r="P79" s="190"/>
      <c r="Q79" s="190"/>
      <c r="R79" s="190">
        <v>2214.8000000000002</v>
      </c>
      <c r="S79" s="190">
        <v>593.25</v>
      </c>
      <c r="T79" s="190"/>
      <c r="U79" s="190"/>
      <c r="V79" s="190">
        <v>2808.05</v>
      </c>
      <c r="W79" s="190">
        <v>613.02499999999998</v>
      </c>
      <c r="X79" s="179"/>
      <c r="Y79" s="190"/>
      <c r="Z79" s="190">
        <v>3421.0750000000003</v>
      </c>
      <c r="AA79" s="190">
        <v>585.1232876712329</v>
      </c>
      <c r="AB79" s="179"/>
      <c r="AC79" s="190"/>
      <c r="AD79" s="190">
        <v>4006.1982876712332</v>
      </c>
      <c r="AE79" s="189"/>
    </row>
    <row r="80" spans="1:31" x14ac:dyDescent="0.3">
      <c r="A80" s="212">
        <v>5060</v>
      </c>
      <c r="B80" s="189" t="s">
        <v>233</v>
      </c>
      <c r="C80" s="189" t="s">
        <v>308</v>
      </c>
      <c r="D80" s="189" t="s">
        <v>307</v>
      </c>
      <c r="E80" s="179">
        <v>275000</v>
      </c>
      <c r="F80" s="193">
        <v>43822</v>
      </c>
      <c r="G80" s="193">
        <v>44186</v>
      </c>
      <c r="H80" s="190"/>
      <c r="I80" s="190">
        <v>5.65</v>
      </c>
      <c r="J80" s="190">
        <v>2244.3055555555557</v>
      </c>
      <c r="K80" s="190">
        <v>1294.7916666666667</v>
      </c>
      <c r="L80" s="190"/>
      <c r="M80" s="190"/>
      <c r="N80" s="190">
        <v>3539.0972222222226</v>
      </c>
      <c r="O80" s="190">
        <v>1294.7916666666667</v>
      </c>
      <c r="P80" s="190"/>
      <c r="Q80" s="190"/>
      <c r="R80" s="190">
        <v>4833.8888888888896</v>
      </c>
      <c r="S80" s="190">
        <v>1294.7916666666667</v>
      </c>
      <c r="T80" s="190"/>
      <c r="U80" s="190"/>
      <c r="V80" s="190">
        <v>6128.6805555555566</v>
      </c>
      <c r="W80" s="190">
        <v>1337.9513888888889</v>
      </c>
      <c r="X80" s="179"/>
      <c r="Y80" s="190"/>
      <c r="Z80" s="190">
        <v>7466.6319444444453</v>
      </c>
      <c r="AA80" s="190">
        <v>1277.0547945205478</v>
      </c>
      <c r="AB80" s="179"/>
      <c r="AC80" s="190"/>
      <c r="AD80" s="190">
        <v>8743.6867389649924</v>
      </c>
      <c r="AE80" s="189"/>
    </row>
    <row r="81" spans="1:31" x14ac:dyDescent="0.3">
      <c r="A81" s="212">
        <v>5060</v>
      </c>
      <c r="B81" s="189" t="s">
        <v>233</v>
      </c>
      <c r="C81" s="189" t="s">
        <v>306</v>
      </c>
      <c r="D81" s="189" t="s">
        <v>305</v>
      </c>
      <c r="E81" s="179">
        <v>206000</v>
      </c>
      <c r="F81" s="193">
        <v>43822</v>
      </c>
      <c r="G81" s="193">
        <v>44186</v>
      </c>
      <c r="H81" s="190"/>
      <c r="I81" s="190">
        <v>5.65</v>
      </c>
      <c r="J81" s="190">
        <v>1681.1888888888889</v>
      </c>
      <c r="K81" s="190">
        <v>969.91666666666663</v>
      </c>
      <c r="L81" s="190"/>
      <c r="M81" s="190"/>
      <c r="N81" s="190">
        <v>2651.1055555555554</v>
      </c>
      <c r="O81" s="190">
        <v>969.91666666666663</v>
      </c>
      <c r="P81" s="190"/>
      <c r="Q81" s="190"/>
      <c r="R81" s="190">
        <v>3621.0222222222219</v>
      </c>
      <c r="S81" s="190">
        <v>969.91666666666663</v>
      </c>
      <c r="T81" s="190"/>
      <c r="U81" s="190"/>
      <c r="V81" s="190">
        <v>4590.9388888888889</v>
      </c>
      <c r="W81" s="190">
        <v>1002.2472222222223</v>
      </c>
      <c r="X81" s="179"/>
      <c r="Y81" s="190"/>
      <c r="Z81" s="190">
        <v>5593.1861111111111</v>
      </c>
      <c r="AA81" s="190">
        <v>956.63013698630141</v>
      </c>
      <c r="AB81" s="179"/>
      <c r="AC81" s="190"/>
      <c r="AD81" s="190">
        <v>6549.8162480974124</v>
      </c>
      <c r="AE81" s="189"/>
    </row>
    <row r="82" spans="1:31" x14ac:dyDescent="0.3">
      <c r="A82" s="212">
        <v>5060</v>
      </c>
      <c r="B82" s="189" t="s">
        <v>233</v>
      </c>
      <c r="C82" s="189" t="s">
        <v>304</v>
      </c>
      <c r="D82" s="189" t="s">
        <v>303</v>
      </c>
      <c r="E82" s="179">
        <v>130000</v>
      </c>
      <c r="F82" s="193">
        <v>43822</v>
      </c>
      <c r="G82" s="193">
        <v>44186</v>
      </c>
      <c r="H82" s="190"/>
      <c r="I82" s="190">
        <v>5.65</v>
      </c>
      <c r="J82" s="190">
        <v>1060.9444444444443</v>
      </c>
      <c r="K82" s="190">
        <v>612.08333333333337</v>
      </c>
      <c r="L82" s="190"/>
      <c r="M82" s="190"/>
      <c r="N82" s="190">
        <v>1673.0277777777778</v>
      </c>
      <c r="O82" s="190">
        <v>612.08333333333337</v>
      </c>
      <c r="P82" s="190"/>
      <c r="Q82" s="190"/>
      <c r="R82" s="190">
        <v>2285.1111111111113</v>
      </c>
      <c r="S82" s="190">
        <v>612.08333333333337</v>
      </c>
      <c r="T82" s="190"/>
      <c r="U82" s="190"/>
      <c r="V82" s="190">
        <v>2897.1944444444448</v>
      </c>
      <c r="W82" s="190">
        <v>632.48611111111109</v>
      </c>
      <c r="X82" s="179"/>
      <c r="Y82" s="190"/>
      <c r="Z82" s="190">
        <v>3529.6805555555557</v>
      </c>
      <c r="AA82" s="190">
        <v>603.69863013698625</v>
      </c>
      <c r="AB82" s="179"/>
      <c r="AC82" s="190"/>
      <c r="AD82" s="190">
        <v>4133.3791856925418</v>
      </c>
      <c r="AE82" s="189"/>
    </row>
    <row r="83" spans="1:31" x14ac:dyDescent="0.3">
      <c r="A83" s="212">
        <v>5060</v>
      </c>
      <c r="B83" s="189" t="s">
        <v>233</v>
      </c>
      <c r="C83" s="189" t="s">
        <v>302</v>
      </c>
      <c r="D83" s="189" t="s">
        <v>301</v>
      </c>
      <c r="E83" s="179">
        <v>51138.69</v>
      </c>
      <c r="F83" s="193">
        <v>43822</v>
      </c>
      <c r="G83" s="193">
        <v>44186</v>
      </c>
      <c r="H83" s="190"/>
      <c r="I83" s="190">
        <v>5.65</v>
      </c>
      <c r="J83" s="190">
        <v>417.3485311666667</v>
      </c>
      <c r="K83" s="190">
        <v>240.77799875000005</v>
      </c>
      <c r="L83" s="190"/>
      <c r="M83" s="190"/>
      <c r="N83" s="190">
        <v>658.12652991666675</v>
      </c>
      <c r="O83" s="190">
        <v>240.77799875000005</v>
      </c>
      <c r="P83" s="190"/>
      <c r="Q83" s="190"/>
      <c r="R83" s="190">
        <v>898.90452866666681</v>
      </c>
      <c r="S83" s="190">
        <v>240.77799875000005</v>
      </c>
      <c r="T83" s="190"/>
      <c r="U83" s="190"/>
      <c r="V83" s="190">
        <v>1139.6825274166667</v>
      </c>
      <c r="W83" s="190">
        <v>248.80393204166671</v>
      </c>
      <c r="X83" s="179"/>
      <c r="Y83" s="190"/>
      <c r="Z83" s="190">
        <v>1388.4864594583335</v>
      </c>
      <c r="AA83" s="190">
        <v>237.47967000000003</v>
      </c>
      <c r="AB83" s="179"/>
      <c r="AC83" s="190"/>
      <c r="AD83" s="190">
        <v>1625.9661294583334</v>
      </c>
      <c r="AE83" s="189"/>
    </row>
    <row r="84" spans="1:31" x14ac:dyDescent="0.3">
      <c r="A84" s="212">
        <v>5060</v>
      </c>
      <c r="B84" s="189" t="s">
        <v>233</v>
      </c>
      <c r="C84" s="189" t="s">
        <v>300</v>
      </c>
      <c r="D84" s="189" t="s">
        <v>299</v>
      </c>
      <c r="E84" s="179">
        <v>200000</v>
      </c>
      <c r="F84" s="193">
        <v>43822</v>
      </c>
      <c r="G84" s="193">
        <v>44186</v>
      </c>
      <c r="H84" s="190"/>
      <c r="I84" s="190">
        <v>5.65</v>
      </c>
      <c r="J84" s="190">
        <v>1632.2222222222222</v>
      </c>
      <c r="K84" s="190">
        <v>941.66666666666663</v>
      </c>
      <c r="L84" s="190"/>
      <c r="M84" s="190"/>
      <c r="N84" s="190">
        <v>2573.8888888888887</v>
      </c>
      <c r="O84" s="190">
        <v>941.66666666666663</v>
      </c>
      <c r="P84" s="190"/>
      <c r="Q84" s="190"/>
      <c r="R84" s="190">
        <v>3515.5555555555552</v>
      </c>
      <c r="S84" s="190">
        <v>941.66666666666663</v>
      </c>
      <c r="T84" s="190"/>
      <c r="U84" s="190"/>
      <c r="V84" s="190">
        <v>4457.2222222222217</v>
      </c>
      <c r="W84" s="190">
        <v>973.05555555555554</v>
      </c>
      <c r="X84" s="179"/>
      <c r="Y84" s="190"/>
      <c r="Z84" s="190">
        <v>5430.2777777777774</v>
      </c>
      <c r="AA84" s="190">
        <v>928.76712328767121</v>
      </c>
      <c r="AB84" s="179"/>
      <c r="AC84" s="190"/>
      <c r="AD84" s="190">
        <v>6359.0449010654484</v>
      </c>
      <c r="AE84" s="189"/>
    </row>
    <row r="85" spans="1:31" x14ac:dyDescent="0.3">
      <c r="A85" s="212">
        <v>5063</v>
      </c>
      <c r="B85" s="189" t="s">
        <v>25</v>
      </c>
      <c r="C85" s="189" t="s">
        <v>298</v>
      </c>
      <c r="D85" s="189" t="s">
        <v>297</v>
      </c>
      <c r="E85" s="179">
        <v>160000</v>
      </c>
      <c r="F85" s="193">
        <v>43832</v>
      </c>
      <c r="G85" s="193">
        <v>44198</v>
      </c>
      <c r="H85" s="190"/>
      <c r="I85" s="190">
        <v>4.4000000000000004</v>
      </c>
      <c r="J85" s="190">
        <v>567.1111111111112</v>
      </c>
      <c r="K85" s="190">
        <v>586.66666666666674</v>
      </c>
      <c r="L85" s="190"/>
      <c r="M85" s="190"/>
      <c r="N85" s="190">
        <v>1153.7777777777778</v>
      </c>
      <c r="O85" s="190">
        <v>586.66666666666674</v>
      </c>
      <c r="P85" s="190"/>
      <c r="Q85" s="190"/>
      <c r="R85" s="190">
        <v>1740.4444444444446</v>
      </c>
      <c r="S85" s="190">
        <v>586.66666666666674</v>
      </c>
      <c r="T85" s="190"/>
      <c r="U85" s="190"/>
      <c r="V85" s="190">
        <v>2327.1111111111113</v>
      </c>
      <c r="W85" s="190">
        <v>606.22222222222229</v>
      </c>
      <c r="X85" s="179"/>
      <c r="Y85" s="190"/>
      <c r="Z85" s="190">
        <v>2933.3333333333335</v>
      </c>
      <c r="AA85" s="190">
        <v>578.63013698630141</v>
      </c>
      <c r="AB85" s="179"/>
      <c r="AC85" s="190"/>
      <c r="AD85" s="190">
        <v>3511.9634703196348</v>
      </c>
      <c r="AE85" s="189"/>
    </row>
    <row r="86" spans="1:31" x14ac:dyDescent="0.3">
      <c r="A86" s="212">
        <v>5060</v>
      </c>
      <c r="B86" s="189" t="s">
        <v>19</v>
      </c>
      <c r="C86" s="189" t="s">
        <v>296</v>
      </c>
      <c r="D86" s="189" t="s">
        <v>295</v>
      </c>
      <c r="E86" s="179">
        <v>60000</v>
      </c>
      <c r="F86" s="193">
        <v>43837</v>
      </c>
      <c r="G86" s="193">
        <v>44203</v>
      </c>
      <c r="H86" s="190"/>
      <c r="I86" s="190">
        <v>1.9</v>
      </c>
      <c r="J86" s="190">
        <v>76</v>
      </c>
      <c r="K86" s="190">
        <v>95</v>
      </c>
      <c r="L86" s="190"/>
      <c r="M86" s="190"/>
      <c r="N86" s="190">
        <v>171</v>
      </c>
      <c r="O86" s="190">
        <v>95</v>
      </c>
      <c r="P86" s="190"/>
      <c r="Q86" s="190"/>
      <c r="R86" s="190">
        <v>266</v>
      </c>
      <c r="S86" s="190">
        <v>95</v>
      </c>
      <c r="T86" s="190"/>
      <c r="U86" s="190"/>
      <c r="V86" s="190">
        <v>361</v>
      </c>
      <c r="W86" s="190">
        <v>98.166666666666657</v>
      </c>
      <c r="X86" s="179"/>
      <c r="Y86" s="190"/>
      <c r="Z86" s="190">
        <v>459.16666666666663</v>
      </c>
      <c r="AA86" s="190">
        <v>93.69863013698631</v>
      </c>
      <c r="AB86" s="179"/>
      <c r="AC86" s="190"/>
      <c r="AD86" s="190">
        <v>552.86529680365288</v>
      </c>
      <c r="AE86" s="189"/>
    </row>
    <row r="87" spans="1:31" x14ac:dyDescent="0.3">
      <c r="A87" s="212">
        <v>5060</v>
      </c>
      <c r="B87" s="189" t="s">
        <v>16</v>
      </c>
      <c r="C87" s="189" t="s">
        <v>294</v>
      </c>
      <c r="D87" s="189" t="s">
        <v>293</v>
      </c>
      <c r="E87" s="179">
        <v>60000</v>
      </c>
      <c r="F87" s="193">
        <v>43838</v>
      </c>
      <c r="G87" s="193">
        <v>44204</v>
      </c>
      <c r="H87" s="190"/>
      <c r="I87" s="190">
        <v>1.9</v>
      </c>
      <c r="J87" s="190">
        <v>72.833333333333329</v>
      </c>
      <c r="K87" s="190">
        <v>95</v>
      </c>
      <c r="L87" s="190"/>
      <c r="M87" s="190"/>
      <c r="N87" s="190">
        <v>167.83333333333331</v>
      </c>
      <c r="O87" s="190">
        <v>95</v>
      </c>
      <c r="P87" s="190"/>
      <c r="Q87" s="190"/>
      <c r="R87" s="190">
        <v>262.83333333333331</v>
      </c>
      <c r="S87" s="190">
        <v>95</v>
      </c>
      <c r="T87" s="190"/>
      <c r="U87" s="190"/>
      <c r="V87" s="190">
        <v>357.83333333333331</v>
      </c>
      <c r="W87" s="190">
        <v>98.166666666666657</v>
      </c>
      <c r="X87" s="179"/>
      <c r="Y87" s="190"/>
      <c r="Z87" s="190">
        <v>456</v>
      </c>
      <c r="AA87" s="190">
        <v>93.69863013698631</v>
      </c>
      <c r="AB87" s="179"/>
      <c r="AC87" s="190"/>
      <c r="AD87" s="190">
        <v>549.69863013698637</v>
      </c>
      <c r="AE87" s="189"/>
    </row>
    <row r="88" spans="1:31" x14ac:dyDescent="0.3">
      <c r="A88" s="212">
        <v>5060</v>
      </c>
      <c r="B88" s="189" t="s">
        <v>233</v>
      </c>
      <c r="C88" s="189" t="s">
        <v>292</v>
      </c>
      <c r="D88" s="189" t="s">
        <v>291</v>
      </c>
      <c r="E88" s="179">
        <v>59000</v>
      </c>
      <c r="F88" s="193">
        <v>43846</v>
      </c>
      <c r="G88" s="193">
        <v>44212</v>
      </c>
      <c r="H88" s="190"/>
      <c r="I88" s="190">
        <v>5.65</v>
      </c>
      <c r="J88" s="190">
        <v>231.49305555555557</v>
      </c>
      <c r="K88" s="190">
        <v>277.79166666666669</v>
      </c>
      <c r="L88" s="190"/>
      <c r="M88" s="190"/>
      <c r="N88" s="190">
        <v>509.28472222222229</v>
      </c>
      <c r="O88" s="190">
        <v>277.79166666666669</v>
      </c>
      <c r="P88" s="190"/>
      <c r="Q88" s="190"/>
      <c r="R88" s="190">
        <v>787.07638888888891</v>
      </c>
      <c r="S88" s="190">
        <v>277.79166666666669</v>
      </c>
      <c r="T88" s="190"/>
      <c r="U88" s="190"/>
      <c r="V88" s="190">
        <v>1064.8680555555557</v>
      </c>
      <c r="W88" s="190">
        <v>287.05138888888894</v>
      </c>
      <c r="X88" s="179"/>
      <c r="Y88" s="190"/>
      <c r="Z88" s="190">
        <v>1351.9194444444447</v>
      </c>
      <c r="AA88" s="190">
        <v>273.98630136986304</v>
      </c>
      <c r="AB88" s="179"/>
      <c r="AC88" s="190"/>
      <c r="AD88" s="190">
        <v>1625.9057458143077</v>
      </c>
      <c r="AE88" s="189"/>
    </row>
    <row r="89" spans="1:31" x14ac:dyDescent="0.3">
      <c r="A89" s="212">
        <v>5060</v>
      </c>
      <c r="B89" s="189" t="s">
        <v>19</v>
      </c>
      <c r="C89" s="189" t="s">
        <v>290</v>
      </c>
      <c r="D89" s="189" t="s">
        <v>289</v>
      </c>
      <c r="E89" s="179">
        <v>50000</v>
      </c>
      <c r="F89" s="193">
        <v>43846</v>
      </c>
      <c r="G89" s="193">
        <v>44212</v>
      </c>
      <c r="H89" s="190"/>
      <c r="I89" s="190">
        <v>1.9</v>
      </c>
      <c r="J89" s="190">
        <v>65.972222222222214</v>
      </c>
      <c r="K89" s="190">
        <v>79.166666666666671</v>
      </c>
      <c r="L89" s="190"/>
      <c r="M89" s="190"/>
      <c r="N89" s="190">
        <v>145.13888888888889</v>
      </c>
      <c r="O89" s="190">
        <v>79.166666666666671</v>
      </c>
      <c r="P89" s="190"/>
      <c r="Q89" s="190"/>
      <c r="R89" s="190">
        <v>224.30555555555554</v>
      </c>
      <c r="S89" s="190">
        <v>79.166666666666671</v>
      </c>
      <c r="T89" s="190"/>
      <c r="U89" s="190"/>
      <c r="V89" s="190">
        <v>303.47222222222223</v>
      </c>
      <c r="W89" s="190">
        <v>81.805555555555557</v>
      </c>
      <c r="X89" s="179"/>
      <c r="Y89" s="190"/>
      <c r="Z89" s="190">
        <v>385.27777777777777</v>
      </c>
      <c r="AA89" s="190">
        <v>78.08219178082193</v>
      </c>
      <c r="AB89" s="179"/>
      <c r="AC89" s="190"/>
      <c r="AD89" s="190">
        <v>463.35996955859969</v>
      </c>
      <c r="AE89" s="189"/>
    </row>
    <row r="90" spans="1:31" x14ac:dyDescent="0.3">
      <c r="A90" s="212">
        <v>5055</v>
      </c>
      <c r="B90" s="189" t="s">
        <v>159</v>
      </c>
      <c r="C90" s="189" t="s">
        <v>288</v>
      </c>
      <c r="D90" s="189" t="s">
        <v>287</v>
      </c>
      <c r="E90" s="179">
        <v>746000</v>
      </c>
      <c r="F90" s="193">
        <v>43851</v>
      </c>
      <c r="G90" s="193">
        <v>44206</v>
      </c>
      <c r="H90" s="190"/>
      <c r="I90" s="190">
        <v>7.55</v>
      </c>
      <c r="J90" s="190">
        <v>3285.5083333333332</v>
      </c>
      <c r="K90" s="190">
        <v>4693.5833333333339</v>
      </c>
      <c r="L90" s="190"/>
      <c r="M90" s="190"/>
      <c r="N90" s="190">
        <v>7979.0916666666672</v>
      </c>
      <c r="O90" s="190">
        <v>4693.5833333333339</v>
      </c>
      <c r="P90" s="190"/>
      <c r="Q90" s="190"/>
      <c r="R90" s="190">
        <v>12672.675000000001</v>
      </c>
      <c r="S90" s="190">
        <v>4693.5833333333339</v>
      </c>
      <c r="T90" s="190"/>
      <c r="U90" s="190"/>
      <c r="V90" s="190">
        <v>17366.258333333335</v>
      </c>
      <c r="W90" s="190">
        <v>4850.0361111111115</v>
      </c>
      <c r="X90" s="179"/>
      <c r="Y90" s="190"/>
      <c r="Z90" s="190">
        <v>22216.294444444447</v>
      </c>
      <c r="AA90" s="190">
        <v>4629.2876712328771</v>
      </c>
      <c r="AB90" s="179"/>
      <c r="AC90" s="190"/>
      <c r="AD90" s="190">
        <v>26845.582115677324</v>
      </c>
      <c r="AE90" s="189"/>
    </row>
    <row r="91" spans="1:31" x14ac:dyDescent="0.3">
      <c r="A91" s="212">
        <v>5055</v>
      </c>
      <c r="B91" s="189" t="s">
        <v>159</v>
      </c>
      <c r="C91" s="189" t="s">
        <v>286</v>
      </c>
      <c r="D91" s="189" t="s">
        <v>285</v>
      </c>
      <c r="E91" s="179">
        <v>50000</v>
      </c>
      <c r="F91" s="193">
        <v>43851</v>
      </c>
      <c r="G91" s="193">
        <v>44210</v>
      </c>
      <c r="H91" s="190"/>
      <c r="I91" s="190">
        <v>5.65</v>
      </c>
      <c r="J91" s="190">
        <v>133.40277777777777</v>
      </c>
      <c r="K91" s="190">
        <v>235.41666666666666</v>
      </c>
      <c r="L91" s="190"/>
      <c r="M91" s="190"/>
      <c r="N91" s="190">
        <v>368.81944444444446</v>
      </c>
      <c r="O91" s="190">
        <v>235.41666666666666</v>
      </c>
      <c r="P91" s="190"/>
      <c r="Q91" s="190"/>
      <c r="R91" s="190">
        <v>604.23611111111109</v>
      </c>
      <c r="S91" s="190">
        <v>235.41666666666666</v>
      </c>
      <c r="T91" s="190"/>
      <c r="U91" s="190"/>
      <c r="V91" s="190">
        <v>839.65277777777771</v>
      </c>
      <c r="W91" s="190">
        <v>243.26388888888889</v>
      </c>
      <c r="X91" s="179"/>
      <c r="Y91" s="190"/>
      <c r="Z91" s="190">
        <v>1082.9166666666665</v>
      </c>
      <c r="AA91" s="190">
        <v>232.1917808219178</v>
      </c>
      <c r="AB91" s="179"/>
      <c r="AC91" s="190"/>
      <c r="AD91" s="190">
        <v>1315.1084474885843</v>
      </c>
      <c r="AE91" s="189"/>
    </row>
    <row r="92" spans="1:31" x14ac:dyDescent="0.3">
      <c r="A92" s="212">
        <v>5055</v>
      </c>
      <c r="B92" s="189" t="s">
        <v>159</v>
      </c>
      <c r="C92" s="189" t="s">
        <v>284</v>
      </c>
      <c r="D92" s="189" t="s">
        <v>283</v>
      </c>
      <c r="E92" s="179">
        <v>220000</v>
      </c>
      <c r="F92" s="193">
        <v>43852</v>
      </c>
      <c r="G92" s="193">
        <v>44218</v>
      </c>
      <c r="H92" s="190"/>
      <c r="I92" s="190">
        <v>5.65</v>
      </c>
      <c r="J92" s="190">
        <v>310.75</v>
      </c>
      <c r="K92" s="190">
        <v>1035.8333333333333</v>
      </c>
      <c r="L92" s="190"/>
      <c r="M92" s="190"/>
      <c r="N92" s="190">
        <v>1346.5833333333333</v>
      </c>
      <c r="O92" s="190">
        <v>1035.8333333333333</v>
      </c>
      <c r="P92" s="190"/>
      <c r="Q92" s="190"/>
      <c r="R92" s="190">
        <v>2382.4166666666665</v>
      </c>
      <c r="S92" s="190">
        <v>1035.8333333333333</v>
      </c>
      <c r="T92" s="190"/>
      <c r="U92" s="190"/>
      <c r="V92" s="190">
        <v>3418.25</v>
      </c>
      <c r="W92" s="190">
        <v>1070.3611111111111</v>
      </c>
      <c r="X92" s="179"/>
      <c r="Y92" s="190"/>
      <c r="Z92" s="190">
        <v>4488.6111111111113</v>
      </c>
      <c r="AA92" s="190">
        <v>1021.6438356164383</v>
      </c>
      <c r="AB92" s="179"/>
      <c r="AC92" s="190"/>
      <c r="AD92" s="190">
        <v>5510.2549467275494</v>
      </c>
      <c r="AE92" s="189"/>
    </row>
    <row r="93" spans="1:31" x14ac:dyDescent="0.3">
      <c r="A93" s="212">
        <v>5060</v>
      </c>
      <c r="B93" s="189" t="s">
        <v>16</v>
      </c>
      <c r="C93" s="189" t="s">
        <v>282</v>
      </c>
      <c r="D93" s="189" t="s">
        <v>281</v>
      </c>
      <c r="E93" s="179">
        <v>60000</v>
      </c>
      <c r="F93" s="193">
        <v>43852</v>
      </c>
      <c r="G93" s="193">
        <v>44218</v>
      </c>
      <c r="H93" s="190"/>
      <c r="I93" s="190">
        <v>1.9</v>
      </c>
      <c r="J93" s="190">
        <v>28.5</v>
      </c>
      <c r="K93" s="190">
        <v>95</v>
      </c>
      <c r="L93" s="190"/>
      <c r="M93" s="190"/>
      <c r="N93" s="190">
        <v>123.5</v>
      </c>
      <c r="O93" s="190">
        <v>95</v>
      </c>
      <c r="P93" s="190"/>
      <c r="Q93" s="190"/>
      <c r="R93" s="190">
        <v>218.5</v>
      </c>
      <c r="S93" s="190">
        <v>95</v>
      </c>
      <c r="T93" s="190"/>
      <c r="U93" s="190"/>
      <c r="V93" s="190">
        <v>313.5</v>
      </c>
      <c r="W93" s="190">
        <v>98.166666666666657</v>
      </c>
      <c r="X93" s="179"/>
      <c r="Y93" s="190"/>
      <c r="Z93" s="190">
        <v>411.66666666666663</v>
      </c>
      <c r="AA93" s="190">
        <v>93.69863013698631</v>
      </c>
      <c r="AB93" s="179"/>
      <c r="AC93" s="190"/>
      <c r="AD93" s="190">
        <v>505.36529680365294</v>
      </c>
      <c r="AE93" s="189"/>
    </row>
    <row r="94" spans="1:31" x14ac:dyDescent="0.3">
      <c r="A94" s="212">
        <v>5055</v>
      </c>
      <c r="B94" s="189" t="s">
        <v>159</v>
      </c>
      <c r="C94" s="189" t="s">
        <v>280</v>
      </c>
      <c r="D94" s="189" t="s">
        <v>279</v>
      </c>
      <c r="E94" s="179">
        <v>2200000</v>
      </c>
      <c r="F94" s="193">
        <v>43848</v>
      </c>
      <c r="G94" s="193">
        <v>44214</v>
      </c>
      <c r="H94" s="190"/>
      <c r="I94" s="190">
        <v>6.85</v>
      </c>
      <c r="J94" s="190">
        <v>5441.9444444444434</v>
      </c>
      <c r="K94" s="190">
        <v>12558.33333333333</v>
      </c>
      <c r="L94" s="190"/>
      <c r="M94" s="190"/>
      <c r="N94" s="190">
        <v>18000.277777777774</v>
      </c>
      <c r="O94" s="190">
        <v>12558.33333333333</v>
      </c>
      <c r="P94" s="190"/>
      <c r="Q94" s="190"/>
      <c r="R94" s="190">
        <v>30558.611111111102</v>
      </c>
      <c r="S94" s="190">
        <v>12558.33333333333</v>
      </c>
      <c r="T94" s="190"/>
      <c r="U94" s="190"/>
      <c r="V94" s="190">
        <v>43116.944444444431</v>
      </c>
      <c r="W94" s="190">
        <v>12976.944444444442</v>
      </c>
      <c r="X94" s="179"/>
      <c r="Y94" s="190"/>
      <c r="Z94" s="190">
        <v>56093.888888888876</v>
      </c>
      <c r="AA94" s="190">
        <v>12386.301369863011</v>
      </c>
      <c r="AB94" s="179"/>
      <c r="AC94" s="190"/>
      <c r="AD94" s="190">
        <v>68480.190258751885</v>
      </c>
      <c r="AE94" s="189"/>
    </row>
    <row r="95" spans="1:31" x14ac:dyDescent="0.3">
      <c r="A95" s="212">
        <v>5063</v>
      </c>
      <c r="B95" s="189" t="s">
        <v>25</v>
      </c>
      <c r="C95" s="189" t="s">
        <v>278</v>
      </c>
      <c r="D95" s="189" t="s">
        <v>277</v>
      </c>
      <c r="E95" s="151">
        <v>175000</v>
      </c>
      <c r="F95" s="193">
        <v>43862</v>
      </c>
      <c r="G95" s="193">
        <v>44228</v>
      </c>
      <c r="H95" s="190"/>
      <c r="I95" s="195">
        <v>4.4000000000000004</v>
      </c>
      <c r="J95" s="194"/>
      <c r="K95" s="190">
        <v>0</v>
      </c>
      <c r="L95" s="194"/>
      <c r="M95" s="194"/>
      <c r="N95" s="194"/>
      <c r="O95" s="190">
        <v>1283.3333333333335</v>
      </c>
      <c r="P95" s="194"/>
      <c r="Q95" s="194"/>
      <c r="R95" s="190">
        <v>1283.3333333333335</v>
      </c>
      <c r="S95" s="190">
        <v>641.66666666666697</v>
      </c>
      <c r="T95" s="190"/>
      <c r="U95" s="190"/>
      <c r="V95" s="190">
        <v>1925.0000000000005</v>
      </c>
      <c r="W95" s="190">
        <v>663.055555555556</v>
      </c>
      <c r="X95" s="179"/>
      <c r="Y95" s="190"/>
      <c r="Z95" s="190">
        <v>2588.0555555555566</v>
      </c>
      <c r="AA95" s="190">
        <v>632.8767123287671</v>
      </c>
      <c r="AB95" s="179"/>
      <c r="AC95" s="190"/>
      <c r="AD95" s="190">
        <v>3220.9322678843237</v>
      </c>
      <c r="AE95" s="189"/>
    </row>
    <row r="96" spans="1:31" x14ac:dyDescent="0.3">
      <c r="A96" s="212">
        <v>5005</v>
      </c>
      <c r="B96" s="189" t="s">
        <v>265</v>
      </c>
      <c r="C96" s="189" t="s">
        <v>276</v>
      </c>
      <c r="D96" s="189" t="s">
        <v>275</v>
      </c>
      <c r="E96" s="151">
        <v>15300</v>
      </c>
      <c r="F96" s="193">
        <v>43865</v>
      </c>
      <c r="G96" s="193">
        <v>44231</v>
      </c>
      <c r="H96" s="190"/>
      <c r="I96" s="195">
        <v>6.9</v>
      </c>
      <c r="J96" s="194"/>
      <c r="K96" s="190">
        <v>0</v>
      </c>
      <c r="L96" s="194"/>
      <c r="M96" s="194"/>
      <c r="N96" s="194"/>
      <c r="O96" s="190">
        <v>164.22</v>
      </c>
      <c r="P96" s="194"/>
      <c r="Q96" s="194"/>
      <c r="R96" s="190">
        <v>164.22</v>
      </c>
      <c r="S96" s="190">
        <v>87.975000000000009</v>
      </c>
      <c r="T96" s="190"/>
      <c r="U96" s="190"/>
      <c r="V96" s="190">
        <v>252.19499999999999</v>
      </c>
      <c r="W96" s="190">
        <v>90.907499999999999</v>
      </c>
      <c r="X96" s="179"/>
      <c r="Y96" s="190"/>
      <c r="Z96" s="190">
        <v>343.10249999999996</v>
      </c>
      <c r="AA96" s="190">
        <v>86.76986301369864</v>
      </c>
      <c r="AB96" s="179"/>
      <c r="AC96" s="190"/>
      <c r="AD96" s="190">
        <v>429.87236301369859</v>
      </c>
      <c r="AE96" s="189"/>
    </row>
    <row r="97" spans="1:31" x14ac:dyDescent="0.3">
      <c r="A97" s="212">
        <v>5028</v>
      </c>
      <c r="B97" s="189" t="s">
        <v>274</v>
      </c>
      <c r="C97" s="189" t="s">
        <v>273</v>
      </c>
      <c r="D97" s="189" t="s">
        <v>272</v>
      </c>
      <c r="E97" s="151">
        <v>1400000</v>
      </c>
      <c r="F97" s="193">
        <v>43865</v>
      </c>
      <c r="G97" s="193">
        <v>44231</v>
      </c>
      <c r="H97" s="190"/>
      <c r="I97" s="195">
        <v>7.9</v>
      </c>
      <c r="J97" s="194"/>
      <c r="K97" s="190">
        <v>0</v>
      </c>
      <c r="L97" s="194"/>
      <c r="M97" s="194"/>
      <c r="N97" s="194"/>
      <c r="O97" s="190">
        <v>17204.444444444445</v>
      </c>
      <c r="P97" s="194"/>
      <c r="Q97" s="194"/>
      <c r="R97" s="190">
        <v>17204.444444444445</v>
      </c>
      <c r="S97" s="190">
        <v>9216.6666666666661</v>
      </c>
      <c r="T97" s="190"/>
      <c r="U97" s="190"/>
      <c r="V97" s="190">
        <v>26421.111111111109</v>
      </c>
      <c r="W97" s="190">
        <v>9523.8888888888887</v>
      </c>
      <c r="X97" s="179"/>
      <c r="Y97" s="190"/>
      <c r="Z97" s="190">
        <v>35945</v>
      </c>
      <c r="AA97" s="190">
        <v>9090.4109589041109</v>
      </c>
      <c r="AB97" s="179"/>
      <c r="AC97" s="190"/>
      <c r="AD97" s="190">
        <v>45035.410958904111</v>
      </c>
      <c r="AE97" s="189"/>
    </row>
    <row r="98" spans="1:31" x14ac:dyDescent="0.3">
      <c r="A98" s="212">
        <v>5060</v>
      </c>
      <c r="B98" s="189" t="s">
        <v>37</v>
      </c>
      <c r="C98" s="189" t="s">
        <v>270</v>
      </c>
      <c r="D98" s="189" t="s">
        <v>271</v>
      </c>
      <c r="E98" s="151">
        <v>130000</v>
      </c>
      <c r="F98" s="193">
        <v>43866</v>
      </c>
      <c r="G98" s="193">
        <v>44232</v>
      </c>
      <c r="H98" s="190"/>
      <c r="I98" s="195">
        <v>2.9</v>
      </c>
      <c r="J98" s="194"/>
      <c r="K98" s="190">
        <v>0</v>
      </c>
      <c r="L98" s="194"/>
      <c r="M98" s="194"/>
      <c r="N98" s="194"/>
      <c r="O98" s="190">
        <v>575.97222222222217</v>
      </c>
      <c r="P98" s="194"/>
      <c r="Q98" s="194"/>
      <c r="R98" s="190">
        <v>575.97222222222217</v>
      </c>
      <c r="S98" s="190">
        <v>314.16666666666663</v>
      </c>
      <c r="T98" s="190"/>
      <c r="U98" s="190"/>
      <c r="V98" s="190">
        <v>890.1388888888888</v>
      </c>
      <c r="W98" s="190">
        <v>324.63888888888886</v>
      </c>
      <c r="X98" s="179"/>
      <c r="Y98" s="190"/>
      <c r="Z98" s="190">
        <v>1214.7777777777776</v>
      </c>
      <c r="AA98" s="190">
        <v>309.86301369863014</v>
      </c>
      <c r="AB98" s="179"/>
      <c r="AC98" s="190"/>
      <c r="AD98" s="190">
        <v>1524.6407914764077</v>
      </c>
      <c r="AE98" s="189"/>
    </row>
    <row r="99" spans="1:31" x14ac:dyDescent="0.3">
      <c r="A99" s="212">
        <v>5057</v>
      </c>
      <c r="B99" s="189" t="s">
        <v>268</v>
      </c>
      <c r="C99" s="189" t="s">
        <v>267</v>
      </c>
      <c r="D99" s="189" t="s">
        <v>266</v>
      </c>
      <c r="E99" s="151">
        <v>500000</v>
      </c>
      <c r="F99" s="193">
        <v>43866</v>
      </c>
      <c r="G99" s="193">
        <v>44232</v>
      </c>
      <c r="H99" s="190"/>
      <c r="I99" s="195">
        <v>3.4</v>
      </c>
      <c r="J99" s="194"/>
      <c r="K99" s="190">
        <v>0</v>
      </c>
      <c r="L99" s="194"/>
      <c r="M99" s="194"/>
      <c r="N99" s="194"/>
      <c r="O99" s="190">
        <v>2597.2222222222222</v>
      </c>
      <c r="P99" s="194"/>
      <c r="Q99" s="194"/>
      <c r="R99" s="190">
        <v>2597.2222222222222</v>
      </c>
      <c r="S99" s="190">
        <v>1416.6666666666667</v>
      </c>
      <c r="T99" s="190"/>
      <c r="U99" s="190"/>
      <c r="V99" s="190">
        <v>4013.8888888888887</v>
      </c>
      <c r="W99" s="190">
        <v>1463.8888888888889</v>
      </c>
      <c r="X99" s="179"/>
      <c r="Y99" s="190"/>
      <c r="Z99" s="190">
        <v>5477.7777777777774</v>
      </c>
      <c r="AA99" s="190">
        <v>1397.2602739726026</v>
      </c>
      <c r="AB99" s="179"/>
      <c r="AC99" s="190"/>
      <c r="AD99" s="190">
        <v>6875.03805175038</v>
      </c>
      <c r="AE99" s="189"/>
    </row>
    <row r="100" spans="1:31" x14ac:dyDescent="0.3">
      <c r="A100" s="212">
        <v>5005</v>
      </c>
      <c r="B100" s="189" t="s">
        <v>265</v>
      </c>
      <c r="C100" s="189" t="s">
        <v>264</v>
      </c>
      <c r="D100" s="189" t="s">
        <v>263</v>
      </c>
      <c r="E100" s="151">
        <v>188600</v>
      </c>
      <c r="F100" s="193">
        <v>43867</v>
      </c>
      <c r="G100" s="193">
        <v>44233</v>
      </c>
      <c r="H100" s="190"/>
      <c r="I100" s="195">
        <v>6.9</v>
      </c>
      <c r="J100" s="194"/>
      <c r="K100" s="190">
        <v>0</v>
      </c>
      <c r="L100" s="194"/>
      <c r="M100" s="194"/>
      <c r="N100" s="194"/>
      <c r="O100" s="190">
        <v>1952.0100000000004</v>
      </c>
      <c r="P100" s="194"/>
      <c r="Q100" s="194"/>
      <c r="R100" s="190">
        <v>1952.0100000000004</v>
      </c>
      <c r="S100" s="190">
        <v>1084.4500000000003</v>
      </c>
      <c r="T100" s="190"/>
      <c r="U100" s="190"/>
      <c r="V100" s="190">
        <v>3036.4600000000009</v>
      </c>
      <c r="W100" s="190">
        <v>1120.5983333333336</v>
      </c>
      <c r="X100" s="179"/>
      <c r="Y100" s="190"/>
      <c r="Z100" s="190">
        <v>4157.0583333333343</v>
      </c>
      <c r="AA100" s="190">
        <v>1069.5945205479454</v>
      </c>
      <c r="AB100" s="179"/>
      <c r="AC100" s="190"/>
      <c r="AD100" s="190">
        <v>5226.65285388128</v>
      </c>
      <c r="AE100" s="189"/>
    </row>
    <row r="101" spans="1:31" x14ac:dyDescent="0.3">
      <c r="A101" s="212">
        <v>5028</v>
      </c>
      <c r="B101" s="189" t="s">
        <v>262</v>
      </c>
      <c r="C101" s="189" t="s">
        <v>261</v>
      </c>
      <c r="D101" s="189" t="s">
        <v>260</v>
      </c>
      <c r="E101" s="151">
        <v>300000</v>
      </c>
      <c r="F101" s="193">
        <v>43865</v>
      </c>
      <c r="G101" s="193">
        <v>44231</v>
      </c>
      <c r="H101" s="190"/>
      <c r="I101" s="195">
        <v>7.9</v>
      </c>
      <c r="J101" s="194"/>
      <c r="K101" s="190">
        <v>0</v>
      </c>
      <c r="L101" s="194"/>
      <c r="M101" s="194"/>
      <c r="N101" s="194"/>
      <c r="O101" s="190">
        <v>3686.6666666666665</v>
      </c>
      <c r="P101" s="194"/>
      <c r="Q101" s="194"/>
      <c r="R101" s="190">
        <v>3686.6666666666665</v>
      </c>
      <c r="S101" s="190">
        <v>1974.9999999999998</v>
      </c>
      <c r="T101" s="190"/>
      <c r="U101" s="190"/>
      <c r="V101" s="190">
        <v>5661.6666666666661</v>
      </c>
      <c r="W101" s="190">
        <v>2040.8333333333333</v>
      </c>
      <c r="X101" s="179"/>
      <c r="Y101" s="190"/>
      <c r="Z101" s="190">
        <v>7702.4999999999991</v>
      </c>
      <c r="AA101" s="190">
        <v>1947.9452054794522</v>
      </c>
      <c r="AB101" s="179"/>
      <c r="AC101" s="190"/>
      <c r="AD101" s="190">
        <v>9650.445205479451</v>
      </c>
      <c r="AE101" s="189"/>
    </row>
    <row r="102" spans="1:31" x14ac:dyDescent="0.3">
      <c r="A102" s="212">
        <v>5060</v>
      </c>
      <c r="B102" s="189" t="s">
        <v>19</v>
      </c>
      <c r="C102" s="189" t="s">
        <v>259</v>
      </c>
      <c r="D102" s="189" t="s">
        <v>258</v>
      </c>
      <c r="E102" s="151">
        <v>72500</v>
      </c>
      <c r="F102" s="193">
        <v>43864</v>
      </c>
      <c r="G102" s="193">
        <v>44230</v>
      </c>
      <c r="H102" s="190"/>
      <c r="I102" s="195">
        <v>1.9</v>
      </c>
      <c r="J102" s="194"/>
      <c r="K102" s="190">
        <v>0</v>
      </c>
      <c r="L102" s="194"/>
      <c r="M102" s="194"/>
      <c r="N102" s="194"/>
      <c r="O102" s="190">
        <v>218.10416666666666</v>
      </c>
      <c r="P102" s="194"/>
      <c r="Q102" s="194"/>
      <c r="R102" s="190">
        <v>218.10416666666666</v>
      </c>
      <c r="S102" s="190">
        <v>114.79166666666667</v>
      </c>
      <c r="T102" s="190"/>
      <c r="U102" s="190"/>
      <c r="V102" s="190">
        <v>332.89583333333331</v>
      </c>
      <c r="W102" s="190">
        <v>118.61805555555556</v>
      </c>
      <c r="X102" s="179"/>
      <c r="Y102" s="190"/>
      <c r="Z102" s="190">
        <v>451.51388888888886</v>
      </c>
      <c r="AA102" s="190">
        <v>113.21917808219179</v>
      </c>
      <c r="AB102" s="179"/>
      <c r="AC102" s="190"/>
      <c r="AD102" s="190">
        <v>564.73306697108069</v>
      </c>
      <c r="AE102" s="189"/>
    </row>
    <row r="103" spans="1:31" x14ac:dyDescent="0.3">
      <c r="A103" s="212">
        <v>5060</v>
      </c>
      <c r="B103" s="189" t="s">
        <v>19</v>
      </c>
      <c r="C103" s="189" t="s">
        <v>257</v>
      </c>
      <c r="D103" s="189" t="s">
        <v>256</v>
      </c>
      <c r="E103" s="151">
        <v>90000</v>
      </c>
      <c r="F103" s="193">
        <v>43864</v>
      </c>
      <c r="G103" s="193">
        <v>44230</v>
      </c>
      <c r="H103" s="190"/>
      <c r="I103" s="195">
        <v>1.9</v>
      </c>
      <c r="J103" s="194"/>
      <c r="K103" s="190">
        <v>0</v>
      </c>
      <c r="L103" s="194"/>
      <c r="M103" s="194"/>
      <c r="N103" s="194"/>
      <c r="O103" s="190">
        <v>270.75</v>
      </c>
      <c r="P103" s="194"/>
      <c r="Q103" s="194"/>
      <c r="R103" s="190">
        <v>270.75</v>
      </c>
      <c r="S103" s="190">
        <v>142.5</v>
      </c>
      <c r="T103" s="190"/>
      <c r="U103" s="190"/>
      <c r="V103" s="190">
        <v>413.25</v>
      </c>
      <c r="W103" s="190">
        <v>147.25</v>
      </c>
      <c r="X103" s="179"/>
      <c r="Y103" s="190"/>
      <c r="Z103" s="190">
        <v>560.5</v>
      </c>
      <c r="AA103" s="190">
        <v>140.54794520547946</v>
      </c>
      <c r="AB103" s="179"/>
      <c r="AC103" s="190"/>
      <c r="AD103" s="190">
        <v>701.04794520547944</v>
      </c>
      <c r="AE103" s="189"/>
    </row>
    <row r="104" spans="1:31" x14ac:dyDescent="0.3">
      <c r="A104" s="212">
        <v>5055</v>
      </c>
      <c r="B104" s="189" t="s">
        <v>56</v>
      </c>
      <c r="C104" s="189" t="s">
        <v>255</v>
      </c>
      <c r="D104" s="189" t="s">
        <v>254</v>
      </c>
      <c r="E104" s="151">
        <v>1000000</v>
      </c>
      <c r="F104" s="193">
        <v>43878</v>
      </c>
      <c r="G104" s="193">
        <v>44244</v>
      </c>
      <c r="H104" s="190"/>
      <c r="I104" s="195">
        <v>5.4</v>
      </c>
      <c r="J104" s="194"/>
      <c r="K104" s="190">
        <v>0</v>
      </c>
      <c r="L104" s="194"/>
      <c r="M104" s="194"/>
      <c r="N104" s="194"/>
      <c r="O104" s="190">
        <v>6450.0000000000009</v>
      </c>
      <c r="P104" s="194"/>
      <c r="Q104" s="194"/>
      <c r="R104" s="190">
        <v>6450.0000000000009</v>
      </c>
      <c r="S104" s="190">
        <v>4500.0000000000009</v>
      </c>
      <c r="T104" s="190"/>
      <c r="U104" s="190"/>
      <c r="V104" s="190">
        <v>10950.000000000002</v>
      </c>
      <c r="W104" s="190">
        <v>4650.0000000000009</v>
      </c>
      <c r="X104" s="179"/>
      <c r="Y104" s="190"/>
      <c r="Z104" s="190">
        <v>15600.000000000004</v>
      </c>
      <c r="AA104" s="190">
        <v>4438.3561643835628</v>
      </c>
      <c r="AB104" s="179"/>
      <c r="AC104" s="190"/>
      <c r="AD104" s="190">
        <v>20038.356164383567</v>
      </c>
      <c r="AE104" s="189"/>
    </row>
    <row r="105" spans="1:31" x14ac:dyDescent="0.3">
      <c r="A105" s="212">
        <v>5055</v>
      </c>
      <c r="B105" s="189" t="s">
        <v>56</v>
      </c>
      <c r="C105" s="189" t="s">
        <v>253</v>
      </c>
      <c r="D105" s="189" t="s">
        <v>252</v>
      </c>
      <c r="E105" s="151">
        <v>1500000</v>
      </c>
      <c r="F105" s="193">
        <v>43879</v>
      </c>
      <c r="G105" s="193">
        <v>44245</v>
      </c>
      <c r="H105" s="190"/>
      <c r="I105" s="195">
        <v>6.9</v>
      </c>
      <c r="J105" s="194"/>
      <c r="K105" s="190">
        <v>0</v>
      </c>
      <c r="L105" s="194"/>
      <c r="M105" s="194"/>
      <c r="N105" s="194"/>
      <c r="O105" s="190">
        <v>12075.000000000002</v>
      </c>
      <c r="P105" s="194"/>
      <c r="Q105" s="194"/>
      <c r="R105" s="190">
        <v>12075.000000000002</v>
      </c>
      <c r="S105" s="190">
        <v>8625.0000000000018</v>
      </c>
      <c r="T105" s="190"/>
      <c r="U105" s="190"/>
      <c r="V105" s="190">
        <v>20700.000000000004</v>
      </c>
      <c r="W105" s="190">
        <v>8912.5000000000018</v>
      </c>
      <c r="X105" s="179"/>
      <c r="Y105" s="190"/>
      <c r="Z105" s="190">
        <v>29612.500000000007</v>
      </c>
      <c r="AA105" s="190">
        <v>8506.8493150684935</v>
      </c>
      <c r="AB105" s="179"/>
      <c r="AC105" s="190"/>
      <c r="AD105" s="190">
        <v>38119.349315068503</v>
      </c>
      <c r="AE105" s="189"/>
    </row>
    <row r="106" spans="1:31" x14ac:dyDescent="0.3">
      <c r="A106" s="212">
        <v>5063</v>
      </c>
      <c r="B106" s="189" t="s">
        <v>77</v>
      </c>
      <c r="C106" s="189" t="s">
        <v>251</v>
      </c>
      <c r="D106" s="189" t="s">
        <v>250</v>
      </c>
      <c r="E106" s="151">
        <v>23000</v>
      </c>
      <c r="F106" s="193">
        <v>43880</v>
      </c>
      <c r="G106" s="193">
        <v>44246</v>
      </c>
      <c r="H106" s="190"/>
      <c r="I106" s="195">
        <v>5.4</v>
      </c>
      <c r="J106" s="194"/>
      <c r="K106" s="190">
        <v>0</v>
      </c>
      <c r="L106" s="194"/>
      <c r="M106" s="194"/>
      <c r="N106" s="194"/>
      <c r="O106" s="190">
        <v>144.90000000000003</v>
      </c>
      <c r="P106" s="194"/>
      <c r="Q106" s="194"/>
      <c r="R106" s="190">
        <v>144.90000000000003</v>
      </c>
      <c r="S106" s="190">
        <v>103.50000000000001</v>
      </c>
      <c r="T106" s="190"/>
      <c r="U106" s="190"/>
      <c r="V106" s="190">
        <v>248.40000000000003</v>
      </c>
      <c r="W106" s="190">
        <v>106.95000000000002</v>
      </c>
      <c r="X106" s="179"/>
      <c r="Y106" s="190"/>
      <c r="Z106" s="190">
        <v>355.35</v>
      </c>
      <c r="AA106" s="190">
        <v>102.08219178082193</v>
      </c>
      <c r="AB106" s="179"/>
      <c r="AC106" s="190"/>
      <c r="AD106" s="190">
        <v>457.43219178082194</v>
      </c>
      <c r="AE106" s="189"/>
    </row>
    <row r="107" spans="1:31" x14ac:dyDescent="0.3">
      <c r="A107" s="212">
        <v>5060</v>
      </c>
      <c r="B107" s="189" t="s">
        <v>16</v>
      </c>
      <c r="C107" s="189" t="s">
        <v>249</v>
      </c>
      <c r="D107" s="189" t="s">
        <v>248</v>
      </c>
      <c r="E107" s="151">
        <v>87500</v>
      </c>
      <c r="F107" s="193">
        <v>43880</v>
      </c>
      <c r="G107" s="193">
        <v>44246</v>
      </c>
      <c r="H107" s="190"/>
      <c r="I107" s="195">
        <v>1.9</v>
      </c>
      <c r="J107" s="194"/>
      <c r="K107" s="190">
        <v>0</v>
      </c>
      <c r="L107" s="194"/>
      <c r="M107" s="194"/>
      <c r="N107" s="194"/>
      <c r="O107" s="190">
        <v>189.34027777777777</v>
      </c>
      <c r="P107" s="194"/>
      <c r="Q107" s="194"/>
      <c r="R107" s="190">
        <v>189.34027777777777</v>
      </c>
      <c r="S107" s="190">
        <v>138.54166666666666</v>
      </c>
      <c r="T107" s="190"/>
      <c r="U107" s="190"/>
      <c r="V107" s="190">
        <v>327.88194444444446</v>
      </c>
      <c r="W107" s="190">
        <v>143.15972222222223</v>
      </c>
      <c r="X107" s="179"/>
      <c r="Y107" s="190"/>
      <c r="Z107" s="190">
        <v>471.04166666666669</v>
      </c>
      <c r="AA107" s="190">
        <v>136.64383561643837</v>
      </c>
      <c r="AB107" s="179"/>
      <c r="AC107" s="190"/>
      <c r="AD107" s="190">
        <v>607.68550228310505</v>
      </c>
      <c r="AE107" s="189"/>
    </row>
    <row r="108" spans="1:31" x14ac:dyDescent="0.3">
      <c r="A108" s="212">
        <v>5060</v>
      </c>
      <c r="B108" s="189" t="s">
        <v>19</v>
      </c>
      <c r="C108" s="189" t="s">
        <v>247</v>
      </c>
      <c r="D108" s="189" t="s">
        <v>246</v>
      </c>
      <c r="E108" s="151">
        <v>87500</v>
      </c>
      <c r="F108" s="193">
        <v>43880</v>
      </c>
      <c r="G108" s="193">
        <v>44246</v>
      </c>
      <c r="H108" s="190"/>
      <c r="I108" s="195">
        <v>1.9</v>
      </c>
      <c r="J108" s="194"/>
      <c r="K108" s="190">
        <v>0</v>
      </c>
      <c r="L108" s="194"/>
      <c r="M108" s="194"/>
      <c r="N108" s="194"/>
      <c r="O108" s="190">
        <v>189.34027777777777</v>
      </c>
      <c r="P108" s="194"/>
      <c r="Q108" s="194"/>
      <c r="R108" s="190">
        <v>189.34027777777777</v>
      </c>
      <c r="S108" s="190">
        <v>138.54166666666666</v>
      </c>
      <c r="T108" s="190"/>
      <c r="U108" s="190"/>
      <c r="V108" s="190">
        <v>327.88194444444446</v>
      </c>
      <c r="W108" s="190">
        <v>143.15972222222223</v>
      </c>
      <c r="X108" s="179"/>
      <c r="Y108" s="190"/>
      <c r="Z108" s="190">
        <v>471.04166666666669</v>
      </c>
      <c r="AA108" s="190">
        <v>136.64383561643837</v>
      </c>
      <c r="AB108" s="179"/>
      <c r="AC108" s="190"/>
      <c r="AD108" s="190">
        <v>607.68550228310505</v>
      </c>
      <c r="AE108" s="189"/>
    </row>
    <row r="109" spans="1:31" x14ac:dyDescent="0.3">
      <c r="A109" s="214">
        <v>5063</v>
      </c>
      <c r="B109" s="196" t="s">
        <v>13</v>
      </c>
      <c r="C109" s="196" t="s">
        <v>245</v>
      </c>
      <c r="D109" s="196" t="s">
        <v>244</v>
      </c>
      <c r="E109" s="151">
        <v>100000</v>
      </c>
      <c r="F109" s="197">
        <v>43881</v>
      </c>
      <c r="G109" s="197">
        <v>44247</v>
      </c>
      <c r="H109" s="198"/>
      <c r="I109" s="218">
        <v>8.9</v>
      </c>
      <c r="J109" s="199"/>
      <c r="K109" s="198">
        <v>0</v>
      </c>
      <c r="L109" s="199"/>
      <c r="M109" s="199"/>
      <c r="N109" s="199"/>
      <c r="O109" s="198">
        <v>988.88888888888914</v>
      </c>
      <c r="P109" s="199"/>
      <c r="Q109" s="199"/>
      <c r="R109" s="198">
        <v>988.88888888888914</v>
      </c>
      <c r="S109" s="198">
        <v>741.66666666666686</v>
      </c>
      <c r="T109" s="198"/>
      <c r="U109" s="198"/>
      <c r="V109" s="198">
        <v>1730.5555555555561</v>
      </c>
      <c r="W109" s="198">
        <v>766.38888888888914</v>
      </c>
      <c r="X109" s="188"/>
      <c r="Y109" s="198"/>
      <c r="Z109" s="198">
        <v>2496.9444444444453</v>
      </c>
      <c r="AA109" s="198">
        <v>731.50684931506862</v>
      </c>
      <c r="AB109" s="188"/>
      <c r="AC109" s="198"/>
      <c r="AD109" s="198">
        <v>3228.4512937595136</v>
      </c>
      <c r="AE109" s="196"/>
    </row>
    <row r="110" spans="1:31" x14ac:dyDescent="0.3">
      <c r="A110" s="212">
        <v>5063</v>
      </c>
      <c r="B110" s="189" t="s">
        <v>25</v>
      </c>
      <c r="C110" s="189" t="s">
        <v>243</v>
      </c>
      <c r="D110" s="189" t="s">
        <v>242</v>
      </c>
      <c r="E110" s="179">
        <v>122500</v>
      </c>
      <c r="F110" s="193">
        <v>43891</v>
      </c>
      <c r="G110" s="193">
        <v>44256</v>
      </c>
      <c r="H110" s="190"/>
      <c r="I110" s="190">
        <v>4.4000000000000004</v>
      </c>
      <c r="J110" s="190"/>
      <c r="K110" s="190"/>
      <c r="L110" s="190"/>
      <c r="M110" s="190"/>
      <c r="N110" s="190"/>
      <c r="O110" s="190">
        <v>434.19444444444451</v>
      </c>
      <c r="P110" s="190"/>
      <c r="Q110" s="190"/>
      <c r="R110" s="190">
        <v>434.19444444444451</v>
      </c>
      <c r="S110" s="190">
        <v>449.16666666666674</v>
      </c>
      <c r="T110" s="190"/>
      <c r="U110" s="190"/>
      <c r="V110" s="190">
        <v>883.36111111111131</v>
      </c>
      <c r="W110" s="190">
        <v>464.13888888888897</v>
      </c>
      <c r="X110" s="179"/>
      <c r="Y110" s="190"/>
      <c r="Z110" s="190">
        <v>1347.5000000000002</v>
      </c>
      <c r="AA110" s="190">
        <v>443.01369863013707</v>
      </c>
      <c r="AB110" s="179"/>
      <c r="AC110" s="190"/>
      <c r="AD110" s="190">
        <v>1790.5136986301372</v>
      </c>
      <c r="AE110" s="189"/>
    </row>
    <row r="111" spans="1:31" x14ac:dyDescent="0.3">
      <c r="A111" s="212">
        <v>5056</v>
      </c>
      <c r="B111" s="189" t="s">
        <v>124</v>
      </c>
      <c r="C111" s="189" t="s">
        <v>241</v>
      </c>
      <c r="D111" s="189" t="s">
        <v>240</v>
      </c>
      <c r="E111" s="179">
        <v>200000</v>
      </c>
      <c r="F111" s="193">
        <v>43892</v>
      </c>
      <c r="G111" s="193">
        <v>44257</v>
      </c>
      <c r="H111" s="190"/>
      <c r="I111" s="190">
        <v>5.9</v>
      </c>
      <c r="J111" s="190"/>
      <c r="K111" s="190"/>
      <c r="L111" s="190"/>
      <c r="M111" s="190"/>
      <c r="N111" s="190"/>
      <c r="O111" s="190">
        <v>917.77777777777783</v>
      </c>
      <c r="P111" s="190"/>
      <c r="Q111" s="190"/>
      <c r="R111" s="190">
        <v>917.77777777777783</v>
      </c>
      <c r="S111" s="190">
        <v>983.33333333333337</v>
      </c>
      <c r="T111" s="190"/>
      <c r="U111" s="190"/>
      <c r="V111" s="190">
        <v>1901.1111111111113</v>
      </c>
      <c r="W111" s="190">
        <v>1016.1111111111111</v>
      </c>
      <c r="X111" s="179"/>
      <c r="Y111" s="190"/>
      <c r="Z111" s="190">
        <v>2917.2222222222226</v>
      </c>
      <c r="AA111" s="190">
        <v>969.86301369863008</v>
      </c>
      <c r="AB111" s="179"/>
      <c r="AC111" s="190"/>
      <c r="AD111" s="190">
        <v>3887.0852359208529</v>
      </c>
      <c r="AE111" s="189"/>
    </row>
    <row r="112" spans="1:31" x14ac:dyDescent="0.3">
      <c r="A112" s="212">
        <v>5040</v>
      </c>
      <c r="B112" s="189" t="s">
        <v>82</v>
      </c>
      <c r="C112" s="189" t="s">
        <v>239</v>
      </c>
      <c r="D112" s="189" t="s">
        <v>238</v>
      </c>
      <c r="E112" s="179">
        <v>22652.99</v>
      </c>
      <c r="F112" s="193">
        <v>43894</v>
      </c>
      <c r="G112" s="193">
        <v>44259</v>
      </c>
      <c r="H112" s="190"/>
      <c r="I112" s="190">
        <v>6.15</v>
      </c>
      <c r="J112" s="190"/>
      <c r="K112" s="190"/>
      <c r="L112" s="190"/>
      <c r="M112" s="190"/>
      <c r="N112" s="190"/>
      <c r="O112" s="190">
        <v>100.61703058333335</v>
      </c>
      <c r="P112" s="190"/>
      <c r="Q112" s="190"/>
      <c r="R112" s="190">
        <v>100.61703058333335</v>
      </c>
      <c r="S112" s="190">
        <v>116.09657375000002</v>
      </c>
      <c r="T112" s="190"/>
      <c r="U112" s="190"/>
      <c r="V112" s="190">
        <v>216.71360433333336</v>
      </c>
      <c r="W112" s="190">
        <v>119.96645954166669</v>
      </c>
      <c r="X112" s="179"/>
      <c r="Y112" s="190"/>
      <c r="Z112" s="190">
        <v>336.68006387500009</v>
      </c>
      <c r="AA112" s="190">
        <v>114.50620972602742</v>
      </c>
      <c r="AB112" s="179"/>
      <c r="AC112" s="190"/>
      <c r="AD112" s="190">
        <v>451.18627360102749</v>
      </c>
      <c r="AE112" s="189"/>
    </row>
    <row r="113" spans="1:31" x14ac:dyDescent="0.3">
      <c r="A113" s="212">
        <v>5056</v>
      </c>
      <c r="B113" s="189" t="s">
        <v>124</v>
      </c>
      <c r="C113" s="189" t="s">
        <v>237</v>
      </c>
      <c r="D113" s="189" t="s">
        <v>236</v>
      </c>
      <c r="E113" s="179">
        <v>50000</v>
      </c>
      <c r="F113" s="193">
        <v>43902</v>
      </c>
      <c r="G113" s="193">
        <v>44267</v>
      </c>
      <c r="H113" s="190"/>
      <c r="I113" s="190">
        <v>4.9000000000000004</v>
      </c>
      <c r="J113" s="190"/>
      <c r="K113" s="190"/>
      <c r="L113" s="190"/>
      <c r="M113" s="190"/>
      <c r="N113" s="190"/>
      <c r="O113" s="190">
        <v>122.5</v>
      </c>
      <c r="P113" s="190"/>
      <c r="Q113" s="190"/>
      <c r="R113" s="190">
        <v>122.5</v>
      </c>
      <c r="S113" s="190">
        <v>204.16666666666666</v>
      </c>
      <c r="T113" s="190"/>
      <c r="U113" s="190"/>
      <c r="V113" s="190">
        <v>326.66666666666663</v>
      </c>
      <c r="W113" s="190">
        <v>210.97222222222223</v>
      </c>
      <c r="X113" s="179"/>
      <c r="Y113" s="190"/>
      <c r="Z113" s="190">
        <v>537.63888888888891</v>
      </c>
      <c r="AA113" s="190">
        <v>201.36986301369865</v>
      </c>
      <c r="AB113" s="179"/>
      <c r="AC113" s="190"/>
      <c r="AD113" s="190">
        <v>739.00875190258762</v>
      </c>
      <c r="AE113" s="189"/>
    </row>
    <row r="114" spans="1:31" x14ac:dyDescent="0.3">
      <c r="A114" s="212">
        <v>5060</v>
      </c>
      <c r="B114" s="189" t="s">
        <v>16</v>
      </c>
      <c r="C114" s="189" t="s">
        <v>235</v>
      </c>
      <c r="D114" s="189" t="s">
        <v>234</v>
      </c>
      <c r="E114" s="179">
        <v>72500</v>
      </c>
      <c r="F114" s="193">
        <v>43903</v>
      </c>
      <c r="G114" s="193">
        <v>44268</v>
      </c>
      <c r="H114" s="190"/>
      <c r="I114" s="190">
        <v>1.9</v>
      </c>
      <c r="J114" s="190"/>
      <c r="K114" s="190"/>
      <c r="L114" s="190"/>
      <c r="M114" s="190"/>
      <c r="N114" s="190"/>
      <c r="O114" s="190">
        <v>65.048611111111114</v>
      </c>
      <c r="P114" s="190"/>
      <c r="Q114" s="190"/>
      <c r="R114" s="190">
        <v>65.048611111111114</v>
      </c>
      <c r="S114" s="190">
        <v>114.79166666666667</v>
      </c>
      <c r="T114" s="190"/>
      <c r="U114" s="190"/>
      <c r="V114" s="190">
        <v>179.84027777777777</v>
      </c>
      <c r="W114" s="190">
        <v>118.61805555555556</v>
      </c>
      <c r="X114" s="179"/>
      <c r="Y114" s="190"/>
      <c r="Z114" s="190">
        <v>298.45833333333331</v>
      </c>
      <c r="AA114" s="190">
        <v>113.21917808219179</v>
      </c>
      <c r="AB114" s="179"/>
      <c r="AC114" s="190"/>
      <c r="AD114" s="190">
        <v>411.67751141552509</v>
      </c>
      <c r="AE114" s="189"/>
    </row>
    <row r="115" spans="1:31" x14ac:dyDescent="0.3">
      <c r="A115" s="212">
        <v>5060</v>
      </c>
      <c r="B115" s="189" t="s">
        <v>233</v>
      </c>
      <c r="C115" s="189" t="s">
        <v>232</v>
      </c>
      <c r="D115" s="189" t="s">
        <v>231</v>
      </c>
      <c r="E115" s="179">
        <v>80000</v>
      </c>
      <c r="F115" s="193">
        <v>43903</v>
      </c>
      <c r="G115" s="193">
        <v>44268</v>
      </c>
      <c r="H115" s="190"/>
      <c r="I115" s="190">
        <v>5.65</v>
      </c>
      <c r="J115" s="190"/>
      <c r="K115" s="190"/>
      <c r="L115" s="190"/>
      <c r="M115" s="190"/>
      <c r="N115" s="190"/>
      <c r="O115" s="190">
        <v>213.44444444444443</v>
      </c>
      <c r="P115" s="190"/>
      <c r="Q115" s="190"/>
      <c r="R115" s="190">
        <v>213.44444444444443</v>
      </c>
      <c r="S115" s="190">
        <v>376.66666666666669</v>
      </c>
      <c r="T115" s="190"/>
      <c r="U115" s="190"/>
      <c r="V115" s="190">
        <v>590.11111111111109</v>
      </c>
      <c r="W115" s="190">
        <v>389.22222222222223</v>
      </c>
      <c r="X115" s="179"/>
      <c r="Y115" s="190"/>
      <c r="Z115" s="190">
        <v>979.33333333333326</v>
      </c>
      <c r="AA115" s="190">
        <v>371.50684931506851</v>
      </c>
      <c r="AB115" s="179"/>
      <c r="AC115" s="190"/>
      <c r="AD115" s="190">
        <v>1350.8401826484019</v>
      </c>
      <c r="AE115" s="189"/>
    </row>
    <row r="116" spans="1:31" x14ac:dyDescent="0.3">
      <c r="A116" s="212">
        <v>5063</v>
      </c>
      <c r="B116" s="189" t="s">
        <v>13</v>
      </c>
      <c r="C116" s="189" t="s">
        <v>230</v>
      </c>
      <c r="D116" s="189" t="s">
        <v>229</v>
      </c>
      <c r="E116" s="179">
        <v>100000</v>
      </c>
      <c r="F116" s="193">
        <v>43904</v>
      </c>
      <c r="G116" s="193">
        <v>44269</v>
      </c>
      <c r="H116" s="190"/>
      <c r="I116" s="190">
        <v>4.6500000000000004</v>
      </c>
      <c r="J116" s="190"/>
      <c r="K116" s="190"/>
      <c r="L116" s="190"/>
      <c r="M116" s="190"/>
      <c r="N116" s="190"/>
      <c r="O116" s="190">
        <v>206.66666666666671</v>
      </c>
      <c r="P116" s="190"/>
      <c r="Q116" s="190"/>
      <c r="R116" s="190">
        <v>206.66666666666671</v>
      </c>
      <c r="S116" s="190">
        <v>387.50000000000011</v>
      </c>
      <c r="T116" s="190"/>
      <c r="U116" s="190"/>
      <c r="V116" s="190">
        <v>594.16666666666686</v>
      </c>
      <c r="W116" s="190">
        <v>400.41666666666674</v>
      </c>
      <c r="X116" s="179"/>
      <c r="Y116" s="190"/>
      <c r="Z116" s="190">
        <v>994.5833333333336</v>
      </c>
      <c r="AA116" s="190">
        <v>382.19178082191786</v>
      </c>
      <c r="AB116" s="179"/>
      <c r="AC116" s="190"/>
      <c r="AD116" s="190">
        <v>1376.7751141552515</v>
      </c>
      <c r="AE116" s="189"/>
    </row>
    <row r="117" spans="1:31" x14ac:dyDescent="0.3">
      <c r="A117" s="212">
        <v>5057</v>
      </c>
      <c r="B117" s="189" t="s">
        <v>74</v>
      </c>
      <c r="C117" s="189" t="s">
        <v>228</v>
      </c>
      <c r="D117" s="189" t="s">
        <v>227</v>
      </c>
      <c r="E117" s="179">
        <v>100000</v>
      </c>
      <c r="F117" s="193">
        <v>43910</v>
      </c>
      <c r="G117" s="193">
        <v>44275</v>
      </c>
      <c r="H117" s="190"/>
      <c r="I117" s="190">
        <v>3.4</v>
      </c>
      <c r="J117" s="190"/>
      <c r="K117" s="190"/>
      <c r="L117" s="190"/>
      <c r="M117" s="190"/>
      <c r="N117" s="190"/>
      <c r="O117" s="190">
        <v>94.444444444444457</v>
      </c>
      <c r="P117" s="190"/>
      <c r="Q117" s="190"/>
      <c r="R117" s="190">
        <v>94.444444444444457</v>
      </c>
      <c r="S117" s="190">
        <v>283.33333333333337</v>
      </c>
      <c r="T117" s="190"/>
      <c r="U117" s="190"/>
      <c r="V117" s="190">
        <v>377.77777777777783</v>
      </c>
      <c r="W117" s="190">
        <v>292.77777777777783</v>
      </c>
      <c r="X117" s="179"/>
      <c r="Y117" s="190"/>
      <c r="Z117" s="190">
        <v>670.55555555555566</v>
      </c>
      <c r="AA117" s="190">
        <v>279.45205479452062</v>
      </c>
      <c r="AB117" s="179"/>
      <c r="AC117" s="190"/>
      <c r="AD117" s="190">
        <v>950.00761035007622</v>
      </c>
      <c r="AE117" s="189"/>
    </row>
    <row r="118" spans="1:31" x14ac:dyDescent="0.3">
      <c r="A118" s="212">
        <v>5062</v>
      </c>
      <c r="B118" s="189" t="s">
        <v>85</v>
      </c>
      <c r="C118" s="189" t="s">
        <v>226</v>
      </c>
      <c r="D118" s="189" t="s">
        <v>225</v>
      </c>
      <c r="E118" s="179"/>
      <c r="F118" s="193">
        <v>43795</v>
      </c>
      <c r="G118" s="193">
        <v>44044</v>
      </c>
      <c r="H118" s="190"/>
      <c r="I118" s="179">
        <v>7.4</v>
      </c>
      <c r="J118" s="190"/>
      <c r="K118" s="190"/>
      <c r="L118" s="190"/>
      <c r="M118" s="190"/>
      <c r="N118" s="190"/>
      <c r="O118" s="189">
        <v>0</v>
      </c>
      <c r="P118" s="190"/>
      <c r="Q118" s="190">
        <v>8186.8209923499999</v>
      </c>
      <c r="R118" s="190">
        <v>8186.8209923499999</v>
      </c>
      <c r="S118" s="190">
        <v>1949.2430934166669</v>
      </c>
      <c r="T118" s="190"/>
      <c r="U118" s="190"/>
      <c r="V118" s="190">
        <v>10136.064085766666</v>
      </c>
      <c r="W118" s="190">
        <v>2008.7</v>
      </c>
      <c r="X118" s="179">
        <v>-17958.61</v>
      </c>
      <c r="Y118" s="190"/>
      <c r="Z118" s="190">
        <v>-5813.845914233334</v>
      </c>
      <c r="AA118" s="190">
        <v>0</v>
      </c>
      <c r="AB118" s="179"/>
      <c r="AC118" s="190"/>
      <c r="AD118" s="190">
        <v>-5813.845914233334</v>
      </c>
      <c r="AE118" s="189"/>
    </row>
    <row r="119" spans="1:31" x14ac:dyDescent="0.3">
      <c r="A119" s="212">
        <v>5060</v>
      </c>
      <c r="B119" s="189" t="s">
        <v>16</v>
      </c>
      <c r="C119" s="189" t="s">
        <v>224</v>
      </c>
      <c r="D119" s="189" t="s">
        <v>223</v>
      </c>
      <c r="E119" s="179">
        <v>330000</v>
      </c>
      <c r="F119" s="193">
        <v>43733</v>
      </c>
      <c r="G119" s="193">
        <v>44099</v>
      </c>
      <c r="H119" s="190"/>
      <c r="I119" s="179">
        <v>1.9</v>
      </c>
      <c r="J119" s="190"/>
      <c r="K119" s="190"/>
      <c r="L119" s="190"/>
      <c r="M119" s="190"/>
      <c r="N119" s="190"/>
      <c r="O119" s="189">
        <v>0</v>
      </c>
      <c r="P119" s="190"/>
      <c r="Q119" s="190">
        <v>3274.3333333333335</v>
      </c>
      <c r="R119" s="190">
        <v>3274.3333333333335</v>
      </c>
      <c r="S119" s="190">
        <v>522.5</v>
      </c>
      <c r="T119" s="190"/>
      <c r="U119" s="190"/>
      <c r="V119" s="190">
        <v>3796.8333333333335</v>
      </c>
      <c r="W119" s="190">
        <v>539.91666666666674</v>
      </c>
      <c r="X119" s="179"/>
      <c r="Y119" s="190"/>
      <c r="Z119" s="190">
        <v>4336.75</v>
      </c>
      <c r="AA119" s="190">
        <v>515.34246575342456</v>
      </c>
      <c r="AB119" s="179"/>
      <c r="AC119" s="190"/>
      <c r="AD119" s="190">
        <v>4852.0924657534242</v>
      </c>
      <c r="AE119" s="189"/>
    </row>
    <row r="120" spans="1:31" x14ac:dyDescent="0.3">
      <c r="A120" s="212">
        <v>5060</v>
      </c>
      <c r="B120" s="189" t="s">
        <v>40</v>
      </c>
      <c r="C120" s="189" t="s">
        <v>222</v>
      </c>
      <c r="D120" s="189" t="s">
        <v>221</v>
      </c>
      <c r="E120" s="179">
        <v>1100000</v>
      </c>
      <c r="F120" s="193">
        <v>43665</v>
      </c>
      <c r="G120" s="193">
        <v>44031</v>
      </c>
      <c r="H120" s="190"/>
      <c r="I120" s="179">
        <v>6.4</v>
      </c>
      <c r="J120" s="190"/>
      <c r="K120" s="190"/>
      <c r="L120" s="190"/>
      <c r="M120" s="190"/>
      <c r="N120" s="190"/>
      <c r="O120" s="189">
        <v>0</v>
      </c>
      <c r="P120" s="190"/>
      <c r="Q120" s="190">
        <v>50062.222222222219</v>
      </c>
      <c r="R120" s="190">
        <v>50062.222222222219</v>
      </c>
      <c r="S120" s="190">
        <v>5866.6666666666661</v>
      </c>
      <c r="T120" s="190"/>
      <c r="U120" s="190"/>
      <c r="V120" s="190">
        <v>55928.888888888883</v>
      </c>
      <c r="W120" s="190">
        <v>6062.2222222222217</v>
      </c>
      <c r="X120" s="179"/>
      <c r="Y120" s="190"/>
      <c r="Z120" s="190">
        <v>61991.111111111102</v>
      </c>
      <c r="AA120" s="190">
        <v>5786.3013698630139</v>
      </c>
      <c r="AB120" s="179"/>
      <c r="AC120" s="190"/>
      <c r="AD120" s="190">
        <v>67777.412480974119</v>
      </c>
      <c r="AE120" s="189"/>
    </row>
    <row r="121" spans="1:31" x14ac:dyDescent="0.3">
      <c r="A121" s="212">
        <v>5031</v>
      </c>
      <c r="B121" s="189" t="s">
        <v>7</v>
      </c>
      <c r="C121" s="189" t="s">
        <v>220</v>
      </c>
      <c r="D121" s="189" t="s">
        <v>219</v>
      </c>
      <c r="E121" s="179">
        <v>465000</v>
      </c>
      <c r="F121" s="193">
        <v>43733</v>
      </c>
      <c r="G121" s="193">
        <v>44099</v>
      </c>
      <c r="H121" s="190"/>
      <c r="I121" s="179">
        <v>6.4</v>
      </c>
      <c r="J121" s="190"/>
      <c r="K121" s="190"/>
      <c r="L121" s="190"/>
      <c r="M121" s="190"/>
      <c r="N121" s="190"/>
      <c r="O121" s="189">
        <v>0</v>
      </c>
      <c r="P121" s="190"/>
      <c r="Q121" s="190">
        <v>15541.333333333334</v>
      </c>
      <c r="R121" s="190">
        <v>15541.333333333334</v>
      </c>
      <c r="S121" s="190">
        <v>2480</v>
      </c>
      <c r="T121" s="190"/>
      <c r="U121" s="190"/>
      <c r="V121" s="190">
        <v>18021.333333333336</v>
      </c>
      <c r="W121" s="190">
        <v>2562.666666666667</v>
      </c>
      <c r="X121" s="179"/>
      <c r="Y121" s="190"/>
      <c r="Z121" s="190">
        <v>20584.000000000004</v>
      </c>
      <c r="AA121" s="190">
        <v>2446.027397260274</v>
      </c>
      <c r="AB121" s="179"/>
      <c r="AC121" s="190"/>
      <c r="AD121" s="190">
        <v>23030.027397260277</v>
      </c>
      <c r="AE121" s="189"/>
    </row>
    <row r="122" spans="1:31" x14ac:dyDescent="0.3">
      <c r="A122" s="212">
        <v>5055</v>
      </c>
      <c r="B122" s="189" t="s">
        <v>53</v>
      </c>
      <c r="C122" s="189" t="s">
        <v>217</v>
      </c>
      <c r="D122" s="189" t="s">
        <v>216</v>
      </c>
      <c r="E122" s="179">
        <v>800000</v>
      </c>
      <c r="F122" s="193">
        <v>43829</v>
      </c>
      <c r="G122" s="193">
        <v>44195</v>
      </c>
      <c r="H122" s="190"/>
      <c r="I122" s="179">
        <v>6.85</v>
      </c>
      <c r="J122" s="190"/>
      <c r="K122" s="190"/>
      <c r="L122" s="190"/>
      <c r="M122" s="190"/>
      <c r="N122" s="190"/>
      <c r="O122" s="189">
        <v>0</v>
      </c>
      <c r="P122" s="190"/>
      <c r="Q122" s="190">
        <v>14004.444444444442</v>
      </c>
      <c r="R122" s="190">
        <v>14004.444444444442</v>
      </c>
      <c r="S122" s="190">
        <v>4566.6666666666661</v>
      </c>
      <c r="T122" s="190"/>
      <c r="U122" s="190"/>
      <c r="V122" s="190">
        <v>18571.111111111109</v>
      </c>
      <c r="W122" s="190">
        <v>4718.8888888888878</v>
      </c>
      <c r="X122" s="179"/>
      <c r="Y122" s="190"/>
      <c r="Z122" s="190">
        <v>23289.999999999996</v>
      </c>
      <c r="AA122" s="190">
        <v>4504.1095890410952</v>
      </c>
      <c r="AB122" s="179"/>
      <c r="AC122" s="190"/>
      <c r="AD122" s="190">
        <v>27794.109589041091</v>
      </c>
      <c r="AE122" s="189"/>
    </row>
    <row r="123" spans="1:31" ht="57.6" x14ac:dyDescent="0.3">
      <c r="A123" s="213">
        <v>5063</v>
      </c>
      <c r="B123" s="206" t="s">
        <v>25</v>
      </c>
      <c r="C123" s="206" t="s">
        <v>215</v>
      </c>
      <c r="D123" s="206" t="s">
        <v>214</v>
      </c>
      <c r="E123" s="207">
        <v>122500</v>
      </c>
      <c r="F123" s="193">
        <v>43922</v>
      </c>
      <c r="G123" s="193">
        <v>44287</v>
      </c>
      <c r="H123" s="190"/>
      <c r="I123" s="179">
        <v>4.4000000000000004</v>
      </c>
      <c r="J123" s="190"/>
      <c r="K123" s="190"/>
      <c r="L123" s="190"/>
      <c r="M123" s="190"/>
      <c r="N123" s="190"/>
      <c r="O123" s="189"/>
      <c r="P123" s="190"/>
      <c r="Q123" s="190"/>
      <c r="R123" s="190"/>
      <c r="S123" s="190">
        <v>434.19444444444451</v>
      </c>
      <c r="T123" s="190"/>
      <c r="U123" s="190"/>
      <c r="V123" s="190">
        <v>434.19444444444451</v>
      </c>
      <c r="W123" s="190">
        <v>464.13888888888897</v>
      </c>
      <c r="X123" s="179"/>
      <c r="Y123" s="190"/>
      <c r="Z123" s="190">
        <v>898.33333333333348</v>
      </c>
      <c r="AA123" s="190">
        <v>443.01369863013707</v>
      </c>
      <c r="AB123" s="179"/>
      <c r="AC123" s="190"/>
      <c r="AD123" s="190">
        <v>1341.3470319634705</v>
      </c>
      <c r="AE123" s="189"/>
    </row>
    <row r="124" spans="1:31" ht="43.2" x14ac:dyDescent="0.3">
      <c r="A124" s="213">
        <v>5060</v>
      </c>
      <c r="B124" s="206" t="s">
        <v>16</v>
      </c>
      <c r="C124" s="206" t="s">
        <v>213</v>
      </c>
      <c r="D124" s="206" t="s">
        <v>212</v>
      </c>
      <c r="E124" s="207">
        <v>90000</v>
      </c>
      <c r="F124" s="193">
        <v>43925</v>
      </c>
      <c r="G124" s="193">
        <v>44290</v>
      </c>
      <c r="H124" s="190"/>
      <c r="I124" s="179">
        <v>1.9</v>
      </c>
      <c r="J124" s="190"/>
      <c r="K124" s="190"/>
      <c r="L124" s="190"/>
      <c r="M124" s="190"/>
      <c r="N124" s="190"/>
      <c r="O124" s="189"/>
      <c r="P124" s="190"/>
      <c r="Q124" s="190"/>
      <c r="R124" s="190"/>
      <c r="S124" s="190">
        <v>137.75</v>
      </c>
      <c r="T124" s="190"/>
      <c r="U124" s="190"/>
      <c r="V124" s="190">
        <v>137.75</v>
      </c>
      <c r="W124" s="190">
        <v>147.25</v>
      </c>
      <c r="X124" s="179"/>
      <c r="Y124" s="190"/>
      <c r="Z124" s="190">
        <v>285</v>
      </c>
      <c r="AA124" s="190">
        <v>140.54794520547946</v>
      </c>
      <c r="AB124" s="179"/>
      <c r="AC124" s="190"/>
      <c r="AD124" s="190">
        <v>425.54794520547944</v>
      </c>
      <c r="AE124" s="189"/>
    </row>
    <row r="125" spans="1:31" ht="57.6" x14ac:dyDescent="0.3">
      <c r="A125" s="213">
        <v>5005</v>
      </c>
      <c r="B125" s="206" t="s">
        <v>211</v>
      </c>
      <c r="C125" s="206" t="s">
        <v>210</v>
      </c>
      <c r="D125" s="206" t="s">
        <v>209</v>
      </c>
      <c r="E125" s="207">
        <v>1100000</v>
      </c>
      <c r="F125" s="193">
        <v>43927</v>
      </c>
      <c r="G125" s="193">
        <v>44292</v>
      </c>
      <c r="H125" s="190"/>
      <c r="I125" s="179">
        <v>5.92</v>
      </c>
      <c r="J125" s="190"/>
      <c r="K125" s="190"/>
      <c r="L125" s="190"/>
      <c r="M125" s="190"/>
      <c r="N125" s="190"/>
      <c r="O125" s="189"/>
      <c r="P125" s="190"/>
      <c r="Q125" s="190"/>
      <c r="R125" s="190"/>
      <c r="S125" s="190">
        <v>4341.333333333333</v>
      </c>
      <c r="T125" s="190"/>
      <c r="U125" s="190"/>
      <c r="V125" s="190">
        <v>4341.333333333333</v>
      </c>
      <c r="W125" s="190">
        <v>5607.5555555555557</v>
      </c>
      <c r="X125" s="179"/>
      <c r="Y125" s="190"/>
      <c r="Z125" s="190">
        <v>9948.8888888888887</v>
      </c>
      <c r="AA125" s="190">
        <v>5352.3287671232874</v>
      </c>
      <c r="AB125" s="179"/>
      <c r="AC125" s="190"/>
      <c r="AD125" s="190">
        <v>15301.217656012177</v>
      </c>
      <c r="AE125" s="189"/>
    </row>
    <row r="126" spans="1:31" ht="57.6" x14ac:dyDescent="0.3">
      <c r="A126" s="213">
        <v>5057</v>
      </c>
      <c r="B126" s="206" t="s">
        <v>74</v>
      </c>
      <c r="C126" s="206" t="s">
        <v>208</v>
      </c>
      <c r="D126" s="206" t="s">
        <v>207</v>
      </c>
      <c r="E126" s="207">
        <v>120000</v>
      </c>
      <c r="F126" s="193">
        <v>43930</v>
      </c>
      <c r="G126" s="193">
        <v>44295</v>
      </c>
      <c r="H126" s="190"/>
      <c r="I126" s="179">
        <v>3.4</v>
      </c>
      <c r="J126" s="190"/>
      <c r="K126" s="190"/>
      <c r="L126" s="190"/>
      <c r="M126" s="190"/>
      <c r="N126" s="190"/>
      <c r="O126" s="189"/>
      <c r="P126" s="190"/>
      <c r="Q126" s="190"/>
      <c r="R126" s="190"/>
      <c r="S126" s="190">
        <v>238</v>
      </c>
      <c r="T126" s="190"/>
      <c r="U126" s="190"/>
      <c r="V126" s="190">
        <v>238</v>
      </c>
      <c r="W126" s="190">
        <v>351.33333333333337</v>
      </c>
      <c r="X126" s="179"/>
      <c r="Y126" s="190"/>
      <c r="Z126" s="190">
        <v>589.33333333333337</v>
      </c>
      <c r="AA126" s="190">
        <v>335.34246575342473</v>
      </c>
      <c r="AB126" s="179"/>
      <c r="AC126" s="190"/>
      <c r="AD126" s="190">
        <v>924.67579908675816</v>
      </c>
      <c r="AE126" s="189"/>
    </row>
    <row r="127" spans="1:31" ht="57.6" x14ac:dyDescent="0.3">
      <c r="A127" s="213">
        <v>5004</v>
      </c>
      <c r="B127" s="206" t="s">
        <v>174</v>
      </c>
      <c r="C127" s="206" t="s">
        <v>206</v>
      </c>
      <c r="D127" s="206" t="s">
        <v>205</v>
      </c>
      <c r="E127" s="207">
        <v>810000</v>
      </c>
      <c r="F127" s="193">
        <v>43936</v>
      </c>
      <c r="G127" s="193">
        <v>44301</v>
      </c>
      <c r="H127" s="190"/>
      <c r="I127" s="179">
        <v>5.65</v>
      </c>
      <c r="J127" s="190"/>
      <c r="K127" s="190"/>
      <c r="L127" s="190"/>
      <c r="M127" s="190"/>
      <c r="N127" s="190"/>
      <c r="O127" s="189"/>
      <c r="P127" s="190"/>
      <c r="Q127" s="190"/>
      <c r="R127" s="190"/>
      <c r="S127" s="190">
        <v>1906.875</v>
      </c>
      <c r="T127" s="190"/>
      <c r="U127" s="190"/>
      <c r="V127" s="190">
        <v>1906.875</v>
      </c>
      <c r="W127" s="190">
        <v>3940.875</v>
      </c>
      <c r="X127" s="179"/>
      <c r="Y127" s="190"/>
      <c r="Z127" s="190">
        <v>5847.75</v>
      </c>
      <c r="AA127" s="190">
        <v>3761.5068493150684</v>
      </c>
      <c r="AB127" s="179"/>
      <c r="AC127" s="190"/>
      <c r="AD127" s="190">
        <v>9609.2568493150684</v>
      </c>
      <c r="AE127" s="189"/>
    </row>
    <row r="128" spans="1:31" ht="57.6" x14ac:dyDescent="0.3">
      <c r="A128" s="213">
        <v>5031</v>
      </c>
      <c r="B128" s="206" t="s">
        <v>204</v>
      </c>
      <c r="C128" s="206" t="s">
        <v>203</v>
      </c>
      <c r="D128" s="206" t="s">
        <v>202</v>
      </c>
      <c r="E128" s="207">
        <v>330000</v>
      </c>
      <c r="F128" s="193">
        <v>43937</v>
      </c>
      <c r="G128" s="193">
        <v>44302</v>
      </c>
      <c r="H128" s="190"/>
      <c r="I128" s="179">
        <v>4.9000000000000004</v>
      </c>
      <c r="J128" s="190"/>
      <c r="K128" s="190"/>
      <c r="L128" s="190"/>
      <c r="M128" s="190"/>
      <c r="N128" s="190"/>
      <c r="O128" s="189"/>
      <c r="P128" s="190"/>
      <c r="Q128" s="190"/>
      <c r="R128" s="190"/>
      <c r="S128" s="190">
        <v>628.83333333333326</v>
      </c>
      <c r="T128" s="190"/>
      <c r="U128" s="190"/>
      <c r="V128" s="190">
        <v>628.83333333333326</v>
      </c>
      <c r="W128" s="190">
        <v>1392.4166666666665</v>
      </c>
      <c r="X128" s="179"/>
      <c r="Y128" s="190"/>
      <c r="Z128" s="190">
        <v>2021.2499999999998</v>
      </c>
      <c r="AA128" s="190">
        <v>1329.0410958904108</v>
      </c>
      <c r="AB128" s="179"/>
      <c r="AC128" s="190"/>
      <c r="AD128" s="190">
        <v>3350.2910958904104</v>
      </c>
      <c r="AE128" s="189"/>
    </row>
    <row r="129" spans="1:31" ht="57.6" x14ac:dyDescent="0.3">
      <c r="A129" s="213">
        <v>5060</v>
      </c>
      <c r="B129" s="206" t="s">
        <v>177</v>
      </c>
      <c r="C129" s="206" t="s">
        <v>201</v>
      </c>
      <c r="D129" s="206" t="s">
        <v>200</v>
      </c>
      <c r="E129" s="207">
        <v>33000</v>
      </c>
      <c r="F129" s="193">
        <v>43942</v>
      </c>
      <c r="G129" s="193">
        <v>44307</v>
      </c>
      <c r="H129" s="190"/>
      <c r="I129" s="179">
        <v>6.4</v>
      </c>
      <c r="J129" s="190"/>
      <c r="K129" s="190"/>
      <c r="L129" s="190"/>
      <c r="M129" s="190"/>
      <c r="N129" s="190"/>
      <c r="O129" s="189"/>
      <c r="P129" s="190"/>
      <c r="Q129" s="190"/>
      <c r="R129" s="190"/>
      <c r="S129" s="190">
        <v>52.8</v>
      </c>
      <c r="T129" s="190"/>
      <c r="U129" s="190"/>
      <c r="V129" s="190">
        <v>52.8</v>
      </c>
      <c r="W129" s="190">
        <v>181.86666666666665</v>
      </c>
      <c r="X129" s="179"/>
      <c r="Y129" s="190"/>
      <c r="Z129" s="190">
        <v>234.66666666666663</v>
      </c>
      <c r="AA129" s="190">
        <v>173.58904109589042</v>
      </c>
      <c r="AB129" s="179"/>
      <c r="AC129" s="190"/>
      <c r="AD129" s="190">
        <v>408.25570776255705</v>
      </c>
      <c r="AE129" s="189"/>
    </row>
    <row r="130" spans="1:31" ht="57.6" x14ac:dyDescent="0.3">
      <c r="A130" s="213">
        <v>5004</v>
      </c>
      <c r="B130" s="206" t="s">
        <v>174</v>
      </c>
      <c r="C130" s="206" t="s">
        <v>197</v>
      </c>
      <c r="D130" s="206" t="s">
        <v>199</v>
      </c>
      <c r="E130" s="207">
        <v>1050000</v>
      </c>
      <c r="F130" s="193">
        <v>43943</v>
      </c>
      <c r="G130" s="193">
        <v>44308</v>
      </c>
      <c r="H130" s="190"/>
      <c r="I130" s="179">
        <v>5.65</v>
      </c>
      <c r="J130" s="190"/>
      <c r="K130" s="190"/>
      <c r="L130" s="190"/>
      <c r="M130" s="190"/>
      <c r="N130" s="190"/>
      <c r="O130" s="189"/>
      <c r="P130" s="190"/>
      <c r="Q130" s="190"/>
      <c r="R130" s="190"/>
      <c r="S130" s="190">
        <v>1318.3333333333333</v>
      </c>
      <c r="T130" s="190"/>
      <c r="U130" s="190"/>
      <c r="V130" s="190">
        <v>1318.3333333333333</v>
      </c>
      <c r="W130" s="190">
        <v>5108.5416666666661</v>
      </c>
      <c r="X130" s="179"/>
      <c r="Y130" s="190"/>
      <c r="Z130" s="190">
        <v>6426.8749999999991</v>
      </c>
      <c r="AA130" s="190">
        <v>4876.0273972602745</v>
      </c>
      <c r="AB130" s="179"/>
      <c r="AC130" s="190"/>
      <c r="AD130" s="190">
        <v>11302.902397260274</v>
      </c>
      <c r="AE130" s="189"/>
    </row>
    <row r="131" spans="1:31" ht="57.6" x14ac:dyDescent="0.3">
      <c r="A131" s="213">
        <v>5057</v>
      </c>
      <c r="B131" s="206" t="s">
        <v>74</v>
      </c>
      <c r="C131" s="206" t="s">
        <v>195</v>
      </c>
      <c r="D131" s="206" t="s">
        <v>194</v>
      </c>
      <c r="E131" s="207">
        <v>100000</v>
      </c>
      <c r="F131" s="193">
        <v>43946</v>
      </c>
      <c r="G131" s="193">
        <v>44311</v>
      </c>
      <c r="H131" s="190"/>
      <c r="I131" s="179">
        <v>3.4</v>
      </c>
      <c r="J131" s="190"/>
      <c r="K131" s="190"/>
      <c r="L131" s="190"/>
      <c r="M131" s="190"/>
      <c r="N131" s="190"/>
      <c r="O131" s="189"/>
      <c r="P131" s="190"/>
      <c r="Q131" s="190"/>
      <c r="R131" s="190"/>
      <c r="S131" s="190">
        <v>47.222222222222229</v>
      </c>
      <c r="T131" s="190"/>
      <c r="U131" s="190"/>
      <c r="V131" s="190">
        <v>47.222222222222229</v>
      </c>
      <c r="W131" s="190">
        <v>292.77777777777783</v>
      </c>
      <c r="X131" s="179"/>
      <c r="Y131" s="190"/>
      <c r="Z131" s="190">
        <v>340.00000000000006</v>
      </c>
      <c r="AA131" s="190">
        <v>279.45205479452062</v>
      </c>
      <c r="AB131" s="179"/>
      <c r="AC131" s="190"/>
      <c r="AD131" s="190">
        <v>619.45205479452068</v>
      </c>
      <c r="AE131" s="189"/>
    </row>
    <row r="132" spans="1:31" ht="57.6" x14ac:dyDescent="0.3">
      <c r="A132" s="213">
        <v>5063</v>
      </c>
      <c r="B132" s="206" t="s">
        <v>77</v>
      </c>
      <c r="C132" s="206" t="s">
        <v>193</v>
      </c>
      <c r="D132" s="206" t="s">
        <v>192</v>
      </c>
      <c r="E132" s="207">
        <v>191200</v>
      </c>
      <c r="F132" s="193">
        <v>43948</v>
      </c>
      <c r="G132" s="193">
        <v>44312</v>
      </c>
      <c r="H132" s="190"/>
      <c r="I132" s="179">
        <v>5.4</v>
      </c>
      <c r="J132" s="190"/>
      <c r="K132" s="190"/>
      <c r="L132" s="190"/>
      <c r="M132" s="190"/>
      <c r="N132" s="190"/>
      <c r="O132" s="189"/>
      <c r="P132" s="190"/>
      <c r="Q132" s="190"/>
      <c r="R132" s="190"/>
      <c r="S132" s="190">
        <v>86.04</v>
      </c>
      <c r="T132" s="190"/>
      <c r="U132" s="190"/>
      <c r="V132" s="190">
        <v>86.04</v>
      </c>
      <c r="W132" s="190">
        <v>889.08000000000015</v>
      </c>
      <c r="X132" s="179"/>
      <c r="Y132" s="190"/>
      <c r="Z132" s="190">
        <v>975.12000000000012</v>
      </c>
      <c r="AA132" s="190">
        <v>848.61369863013704</v>
      </c>
      <c r="AB132" s="179"/>
      <c r="AC132" s="190"/>
      <c r="AD132" s="190">
        <v>1823.733698630137</v>
      </c>
      <c r="AE132" s="189"/>
    </row>
    <row r="133" spans="1:31" ht="57.6" x14ac:dyDescent="0.3">
      <c r="A133" s="213">
        <v>5060</v>
      </c>
      <c r="B133" s="206" t="s">
        <v>177</v>
      </c>
      <c r="C133" s="206" t="s">
        <v>191</v>
      </c>
      <c r="D133" s="206" t="s">
        <v>190</v>
      </c>
      <c r="E133" s="207">
        <v>20000</v>
      </c>
      <c r="F133" s="193">
        <v>43946</v>
      </c>
      <c r="G133" s="193">
        <v>44311</v>
      </c>
      <c r="H133" s="190"/>
      <c r="I133" s="179">
        <v>6</v>
      </c>
      <c r="J133" s="190"/>
      <c r="K133" s="190"/>
      <c r="L133" s="190"/>
      <c r="M133" s="190"/>
      <c r="N133" s="190"/>
      <c r="O133" s="189"/>
      <c r="P133" s="190"/>
      <c r="Q133" s="190"/>
      <c r="R133" s="190"/>
      <c r="S133" s="190">
        <v>16.666666666666668</v>
      </c>
      <c r="T133" s="190"/>
      <c r="U133" s="190"/>
      <c r="V133" s="190">
        <v>16.666666666666668</v>
      </c>
      <c r="W133" s="190">
        <v>103.33333333333334</v>
      </c>
      <c r="X133" s="179"/>
      <c r="Y133" s="190"/>
      <c r="Z133" s="190">
        <v>120.00000000000001</v>
      </c>
      <c r="AA133" s="190">
        <v>98.630136986301366</v>
      </c>
      <c r="AB133" s="179"/>
      <c r="AC133" s="190"/>
      <c r="AD133" s="190">
        <v>218.63013698630138</v>
      </c>
      <c r="AE133" s="189"/>
    </row>
    <row r="134" spans="1:31" ht="57.6" x14ac:dyDescent="0.3">
      <c r="A134" s="215">
        <v>5060</v>
      </c>
      <c r="B134" s="208" t="s">
        <v>177</v>
      </c>
      <c r="C134" s="208" t="s">
        <v>189</v>
      </c>
      <c r="D134" s="208" t="s">
        <v>188</v>
      </c>
      <c r="E134" s="209">
        <v>60000</v>
      </c>
      <c r="F134" s="193">
        <v>43946</v>
      </c>
      <c r="G134" s="193">
        <v>44311</v>
      </c>
      <c r="H134" s="190"/>
      <c r="I134" s="179">
        <v>6</v>
      </c>
      <c r="J134" s="190"/>
      <c r="K134" s="190"/>
      <c r="L134" s="190"/>
      <c r="M134" s="190"/>
      <c r="N134" s="190"/>
      <c r="O134" s="189"/>
      <c r="P134" s="190"/>
      <c r="Q134" s="190"/>
      <c r="R134" s="190"/>
      <c r="S134" s="190">
        <v>50</v>
      </c>
      <c r="T134" s="190"/>
      <c r="U134" s="190"/>
      <c r="V134" s="190">
        <v>50</v>
      </c>
      <c r="W134" s="190">
        <v>310</v>
      </c>
      <c r="X134" s="179"/>
      <c r="Y134" s="190"/>
      <c r="Z134" s="190">
        <v>360</v>
      </c>
      <c r="AA134" s="190">
        <v>295.89041095890411</v>
      </c>
      <c r="AB134" s="179"/>
      <c r="AC134" s="190"/>
      <c r="AD134" s="190">
        <v>655.89041095890411</v>
      </c>
      <c r="AE134" s="189"/>
    </row>
    <row r="135" spans="1:31" ht="57.6" x14ac:dyDescent="0.3">
      <c r="A135" s="215">
        <v>5060</v>
      </c>
      <c r="B135" s="208" t="s">
        <v>177</v>
      </c>
      <c r="C135" s="208" t="s">
        <v>187</v>
      </c>
      <c r="D135" s="208" t="s">
        <v>186</v>
      </c>
      <c r="E135" s="209">
        <v>87995</v>
      </c>
      <c r="F135" s="193">
        <v>43946</v>
      </c>
      <c r="G135" s="193">
        <v>44311</v>
      </c>
      <c r="H135" s="190"/>
      <c r="I135" s="179">
        <v>6</v>
      </c>
      <c r="J135" s="190"/>
      <c r="K135" s="190"/>
      <c r="L135" s="190"/>
      <c r="M135" s="190"/>
      <c r="N135" s="190"/>
      <c r="O135" s="189"/>
      <c r="P135" s="190"/>
      <c r="Q135" s="190"/>
      <c r="R135" s="190"/>
      <c r="S135" s="190">
        <v>73.329166666666666</v>
      </c>
      <c r="T135" s="190"/>
      <c r="U135" s="190"/>
      <c r="V135" s="190">
        <v>73.329166666666666</v>
      </c>
      <c r="W135" s="190">
        <v>454.64083333333332</v>
      </c>
      <c r="X135" s="179"/>
      <c r="Y135" s="190"/>
      <c r="Z135" s="190">
        <v>527.97</v>
      </c>
      <c r="AA135" s="190">
        <v>433.94794520547941</v>
      </c>
      <c r="AB135" s="179"/>
      <c r="AC135" s="190"/>
      <c r="AD135" s="190">
        <v>961.91794520547944</v>
      </c>
      <c r="AE135" s="189"/>
    </row>
    <row r="136" spans="1:31" ht="57.6" x14ac:dyDescent="0.3">
      <c r="A136" s="215">
        <v>5060</v>
      </c>
      <c r="B136" s="208" t="s">
        <v>177</v>
      </c>
      <c r="C136" s="208" t="s">
        <v>185</v>
      </c>
      <c r="D136" s="208" t="s">
        <v>184</v>
      </c>
      <c r="E136" s="209">
        <v>17500</v>
      </c>
      <c r="F136" s="193">
        <v>43946</v>
      </c>
      <c r="G136" s="193">
        <v>44311</v>
      </c>
      <c r="H136" s="190"/>
      <c r="I136" s="179">
        <v>6</v>
      </c>
      <c r="J136" s="190"/>
      <c r="K136" s="190"/>
      <c r="L136" s="190"/>
      <c r="M136" s="190"/>
      <c r="N136" s="190"/>
      <c r="O136" s="189"/>
      <c r="P136" s="190"/>
      <c r="Q136" s="190"/>
      <c r="R136" s="190"/>
      <c r="S136" s="190">
        <v>14.583333333333332</v>
      </c>
      <c r="T136" s="190"/>
      <c r="U136" s="190"/>
      <c r="V136" s="190">
        <v>14.583333333333332</v>
      </c>
      <c r="W136" s="190">
        <v>90.416666666666657</v>
      </c>
      <c r="X136" s="179"/>
      <c r="Y136" s="190"/>
      <c r="Z136" s="190">
        <v>104.99999999999999</v>
      </c>
      <c r="AA136" s="190">
        <v>86.30136986301369</v>
      </c>
      <c r="AB136" s="179"/>
      <c r="AC136" s="190"/>
      <c r="AD136" s="190">
        <v>191.30136986301369</v>
      </c>
      <c r="AE136" s="189"/>
    </row>
    <row r="137" spans="1:31" ht="57.6" x14ac:dyDescent="0.3">
      <c r="A137" s="215">
        <v>5060</v>
      </c>
      <c r="B137" s="208" t="s">
        <v>177</v>
      </c>
      <c r="C137" s="208" t="s">
        <v>183</v>
      </c>
      <c r="D137" s="208" t="s">
        <v>182</v>
      </c>
      <c r="E137" s="209">
        <v>48500</v>
      </c>
      <c r="F137" s="193">
        <v>43946</v>
      </c>
      <c r="G137" s="193">
        <v>44311</v>
      </c>
      <c r="H137" s="190"/>
      <c r="I137" s="179">
        <v>6</v>
      </c>
      <c r="J137" s="190"/>
      <c r="K137" s="190"/>
      <c r="L137" s="190"/>
      <c r="M137" s="190"/>
      <c r="N137" s="190"/>
      <c r="O137" s="189"/>
      <c r="P137" s="190"/>
      <c r="Q137" s="190"/>
      <c r="R137" s="190"/>
      <c r="S137" s="190">
        <v>40.416666666666671</v>
      </c>
      <c r="T137" s="190"/>
      <c r="U137" s="190"/>
      <c r="V137" s="190">
        <v>40.416666666666671</v>
      </c>
      <c r="W137" s="190">
        <v>250.58333333333334</v>
      </c>
      <c r="X137" s="179"/>
      <c r="Y137" s="190"/>
      <c r="Z137" s="190">
        <v>291</v>
      </c>
      <c r="AA137" s="190">
        <v>239.17808219178082</v>
      </c>
      <c r="AB137" s="179"/>
      <c r="AC137" s="190"/>
      <c r="AD137" s="190">
        <v>530.17808219178085</v>
      </c>
      <c r="AE137" s="189"/>
    </row>
    <row r="138" spans="1:31" ht="57.6" x14ac:dyDescent="0.3">
      <c r="A138" s="215">
        <v>5060</v>
      </c>
      <c r="B138" s="208" t="s">
        <v>177</v>
      </c>
      <c r="C138" s="208" t="s">
        <v>181</v>
      </c>
      <c r="D138" s="208" t="s">
        <v>180</v>
      </c>
      <c r="E138" s="209">
        <v>100000</v>
      </c>
      <c r="F138" s="193">
        <v>43946</v>
      </c>
      <c r="G138" s="193">
        <v>44311</v>
      </c>
      <c r="H138" s="190"/>
      <c r="I138" s="179">
        <v>6</v>
      </c>
      <c r="J138" s="190"/>
      <c r="K138" s="190"/>
      <c r="L138" s="190"/>
      <c r="M138" s="190"/>
      <c r="N138" s="190"/>
      <c r="O138" s="189"/>
      <c r="P138" s="190"/>
      <c r="Q138" s="190"/>
      <c r="R138" s="190"/>
      <c r="S138" s="190">
        <v>83.333333333333343</v>
      </c>
      <c r="T138" s="190"/>
      <c r="U138" s="190"/>
      <c r="V138" s="190">
        <v>83.333333333333343</v>
      </c>
      <c r="W138" s="190">
        <v>516.66666666666674</v>
      </c>
      <c r="X138" s="179"/>
      <c r="Y138" s="190"/>
      <c r="Z138" s="190">
        <v>600.00000000000011</v>
      </c>
      <c r="AA138" s="190">
        <v>493.15068493150693</v>
      </c>
      <c r="AB138" s="179"/>
      <c r="AC138" s="190"/>
      <c r="AD138" s="190">
        <v>1093.1506849315069</v>
      </c>
      <c r="AE138" s="189"/>
    </row>
    <row r="139" spans="1:31" ht="57.6" x14ac:dyDescent="0.3">
      <c r="A139" s="215">
        <v>5060</v>
      </c>
      <c r="B139" s="208" t="s">
        <v>177</v>
      </c>
      <c r="C139" s="208" t="s">
        <v>179</v>
      </c>
      <c r="D139" s="208" t="s">
        <v>178</v>
      </c>
      <c r="E139" s="209">
        <v>50000</v>
      </c>
      <c r="F139" s="193">
        <v>43946</v>
      </c>
      <c r="G139" s="193">
        <v>44311</v>
      </c>
      <c r="H139" s="190"/>
      <c r="I139" s="179">
        <v>6</v>
      </c>
      <c r="J139" s="190"/>
      <c r="K139" s="190"/>
      <c r="L139" s="190"/>
      <c r="M139" s="190"/>
      <c r="N139" s="190"/>
      <c r="O139" s="189"/>
      <c r="P139" s="190"/>
      <c r="Q139" s="190"/>
      <c r="R139" s="190"/>
      <c r="S139" s="190">
        <v>41.666666666666671</v>
      </c>
      <c r="T139" s="190"/>
      <c r="U139" s="190"/>
      <c r="V139" s="190">
        <v>41.666666666666671</v>
      </c>
      <c r="W139" s="190">
        <v>258.33333333333337</v>
      </c>
      <c r="X139" s="179"/>
      <c r="Y139" s="190"/>
      <c r="Z139" s="190">
        <v>300.00000000000006</v>
      </c>
      <c r="AA139" s="190">
        <v>246.57534246575347</v>
      </c>
      <c r="AB139" s="179"/>
      <c r="AC139" s="190"/>
      <c r="AD139" s="190">
        <v>546.57534246575347</v>
      </c>
      <c r="AE139" s="189"/>
    </row>
    <row r="140" spans="1:31" ht="57.6" x14ac:dyDescent="0.3">
      <c r="A140" s="215">
        <v>5060</v>
      </c>
      <c r="B140" s="208" t="s">
        <v>177</v>
      </c>
      <c r="C140" s="208" t="s">
        <v>176</v>
      </c>
      <c r="D140" s="208" t="s">
        <v>175</v>
      </c>
      <c r="E140" s="209">
        <v>50000</v>
      </c>
      <c r="F140" s="193">
        <v>43946</v>
      </c>
      <c r="G140" s="193">
        <v>44311</v>
      </c>
      <c r="H140" s="190"/>
      <c r="I140" s="179">
        <v>6</v>
      </c>
      <c r="J140" s="190"/>
      <c r="K140" s="190"/>
      <c r="L140" s="190"/>
      <c r="M140" s="190"/>
      <c r="N140" s="190"/>
      <c r="O140" s="189"/>
      <c r="P140" s="190"/>
      <c r="Q140" s="190"/>
      <c r="R140" s="190"/>
      <c r="S140" s="190">
        <v>41.666666666666671</v>
      </c>
      <c r="T140" s="190"/>
      <c r="U140" s="190"/>
      <c r="V140" s="190">
        <v>41.666666666666671</v>
      </c>
      <c r="W140" s="190">
        <v>258.33333333333337</v>
      </c>
      <c r="X140" s="179"/>
      <c r="Y140" s="190"/>
      <c r="Z140" s="190">
        <v>300.00000000000006</v>
      </c>
      <c r="AA140" s="190">
        <v>246.57534246575347</v>
      </c>
      <c r="AB140" s="179"/>
      <c r="AC140" s="190"/>
      <c r="AD140" s="190">
        <v>546.57534246575347</v>
      </c>
      <c r="AE140" s="189"/>
    </row>
    <row r="141" spans="1:31" ht="57.6" x14ac:dyDescent="0.3">
      <c r="A141" s="215">
        <v>5004</v>
      </c>
      <c r="B141" s="208" t="s">
        <v>174</v>
      </c>
      <c r="C141" s="208" t="s">
        <v>173</v>
      </c>
      <c r="D141" s="208" t="s">
        <v>172</v>
      </c>
      <c r="E141" s="209">
        <v>985000</v>
      </c>
      <c r="F141" s="193">
        <v>43950</v>
      </c>
      <c r="G141" s="193">
        <v>44315</v>
      </c>
      <c r="H141" s="190"/>
      <c r="I141" s="179">
        <v>6.15</v>
      </c>
      <c r="J141" s="190"/>
      <c r="K141" s="190"/>
      <c r="L141" s="190"/>
      <c r="M141" s="190"/>
      <c r="N141" s="190"/>
      <c r="O141" s="189"/>
      <c r="P141" s="190"/>
      <c r="Q141" s="190"/>
      <c r="R141" s="190"/>
      <c r="S141" s="190">
        <v>168.27083333333334</v>
      </c>
      <c r="T141" s="190"/>
      <c r="U141" s="190"/>
      <c r="V141" s="190">
        <v>168.27083333333334</v>
      </c>
      <c r="W141" s="190">
        <v>5216.3958333333339</v>
      </c>
      <c r="X141" s="179"/>
      <c r="Y141" s="190"/>
      <c r="Z141" s="190">
        <v>5384.666666666667</v>
      </c>
      <c r="AA141" s="190">
        <v>4978.9726027397264</v>
      </c>
      <c r="AB141" s="179"/>
      <c r="AC141" s="190"/>
      <c r="AD141" s="190">
        <v>10363.639269406394</v>
      </c>
      <c r="AE141" s="189"/>
    </row>
    <row r="142" spans="1:31" x14ac:dyDescent="0.3">
      <c r="A142" s="212">
        <v>5063</v>
      </c>
      <c r="B142" s="189" t="s">
        <v>13</v>
      </c>
      <c r="C142" s="189" t="s">
        <v>171</v>
      </c>
      <c r="D142" s="189" t="s">
        <v>170</v>
      </c>
      <c r="E142" s="179">
        <v>100000</v>
      </c>
      <c r="F142" s="193">
        <v>43953</v>
      </c>
      <c r="G142" s="193">
        <v>44318</v>
      </c>
      <c r="H142" s="190"/>
      <c r="I142" s="189">
        <v>4.9000000000000004</v>
      </c>
      <c r="J142" s="190"/>
      <c r="K142" s="190"/>
      <c r="L142" s="190"/>
      <c r="M142" s="190"/>
      <c r="N142" s="190"/>
      <c r="O142" s="189"/>
      <c r="P142" s="190"/>
      <c r="Q142" s="190"/>
      <c r="R142" s="190"/>
      <c r="S142" s="190"/>
      <c r="T142" s="190"/>
      <c r="U142" s="190"/>
      <c r="V142" s="190">
        <v>0</v>
      </c>
      <c r="W142" s="190">
        <v>394.72222222222223</v>
      </c>
      <c r="X142" s="179"/>
      <c r="Y142" s="190"/>
      <c r="Z142" s="190">
        <v>394.72222222222223</v>
      </c>
      <c r="AA142" s="190">
        <v>402.7397260273973</v>
      </c>
      <c r="AB142" s="179"/>
      <c r="AC142" s="190"/>
      <c r="AD142" s="190">
        <v>797.46194824961958</v>
      </c>
      <c r="AE142" s="189"/>
    </row>
    <row r="143" spans="1:31" x14ac:dyDescent="0.3">
      <c r="A143" s="212">
        <v>5063</v>
      </c>
      <c r="B143" s="189" t="s">
        <v>25</v>
      </c>
      <c r="C143" s="189" t="s">
        <v>169</v>
      </c>
      <c r="D143" s="189" t="s">
        <v>168</v>
      </c>
      <c r="E143" s="179">
        <v>150000</v>
      </c>
      <c r="F143" s="193">
        <v>43953</v>
      </c>
      <c r="G143" s="193">
        <v>44318</v>
      </c>
      <c r="H143" s="190"/>
      <c r="I143" s="189">
        <v>4.4000000000000004</v>
      </c>
      <c r="J143" s="190"/>
      <c r="K143" s="190"/>
      <c r="L143" s="190"/>
      <c r="M143" s="190"/>
      <c r="N143" s="190"/>
      <c r="O143" s="189"/>
      <c r="P143" s="190"/>
      <c r="Q143" s="190"/>
      <c r="R143" s="190"/>
      <c r="S143" s="190"/>
      <c r="T143" s="190"/>
      <c r="U143" s="190"/>
      <c r="V143" s="190">
        <v>0</v>
      </c>
      <c r="W143" s="190">
        <v>531.66666666666674</v>
      </c>
      <c r="X143" s="179"/>
      <c r="Y143" s="190"/>
      <c r="Z143" s="190">
        <v>531.66666666666674</v>
      </c>
      <c r="AA143" s="190">
        <v>542.46575342465758</v>
      </c>
      <c r="AB143" s="179"/>
      <c r="AC143" s="190"/>
      <c r="AD143" s="190">
        <v>1074.1324200913243</v>
      </c>
      <c r="AE143" s="189"/>
    </row>
    <row r="144" spans="1:31" x14ac:dyDescent="0.3">
      <c r="A144" s="212">
        <v>5040</v>
      </c>
      <c r="B144" s="189" t="s">
        <v>82</v>
      </c>
      <c r="C144" s="189" t="s">
        <v>167</v>
      </c>
      <c r="D144" s="189" t="s">
        <v>166</v>
      </c>
      <c r="E144" s="179">
        <v>41000</v>
      </c>
      <c r="F144" s="193">
        <v>43954</v>
      </c>
      <c r="G144" s="193">
        <v>44319</v>
      </c>
      <c r="H144" s="190"/>
      <c r="I144" s="189">
        <v>6.15</v>
      </c>
      <c r="J144" s="190"/>
      <c r="K144" s="190"/>
      <c r="L144" s="190"/>
      <c r="M144" s="190"/>
      <c r="N144" s="190"/>
      <c r="O144" s="189"/>
      <c r="P144" s="190"/>
      <c r="Q144" s="190"/>
      <c r="R144" s="190"/>
      <c r="S144" s="190"/>
      <c r="T144" s="190"/>
      <c r="U144" s="190"/>
      <c r="V144" s="190">
        <v>0</v>
      </c>
      <c r="W144" s="190">
        <v>196.1166666666667</v>
      </c>
      <c r="X144" s="179"/>
      <c r="Y144" s="190"/>
      <c r="Z144" s="190">
        <v>196.1166666666667</v>
      </c>
      <c r="AA144" s="190">
        <v>207.2465753424658</v>
      </c>
      <c r="AB144" s="179"/>
      <c r="AC144" s="190"/>
      <c r="AD144" s="190">
        <v>403.36324200913248</v>
      </c>
      <c r="AE144" s="189"/>
    </row>
    <row r="145" spans="1:31" x14ac:dyDescent="0.3">
      <c r="A145" s="212">
        <v>5062</v>
      </c>
      <c r="B145" s="189" t="s">
        <v>85</v>
      </c>
      <c r="C145" s="189" t="s">
        <v>165</v>
      </c>
      <c r="D145" s="189" t="s">
        <v>164</v>
      </c>
      <c r="E145" s="179">
        <v>200000</v>
      </c>
      <c r="F145" s="193">
        <v>43959</v>
      </c>
      <c r="G145" s="193">
        <v>44324</v>
      </c>
      <c r="H145" s="190"/>
      <c r="I145" s="189">
        <v>4.4000000000000004</v>
      </c>
      <c r="J145" s="190"/>
      <c r="K145" s="190"/>
      <c r="L145" s="190"/>
      <c r="M145" s="190"/>
      <c r="N145" s="190"/>
      <c r="O145" s="189"/>
      <c r="P145" s="190"/>
      <c r="Q145" s="190"/>
      <c r="R145" s="190"/>
      <c r="S145" s="190"/>
      <c r="T145" s="190"/>
      <c r="U145" s="190"/>
      <c r="V145" s="190">
        <v>0</v>
      </c>
      <c r="W145" s="190">
        <v>562.22222222222217</v>
      </c>
      <c r="X145" s="179"/>
      <c r="Y145" s="190"/>
      <c r="Z145" s="190">
        <v>562.22222222222217</v>
      </c>
      <c r="AA145" s="190">
        <v>723.28767123287673</v>
      </c>
      <c r="AB145" s="179"/>
      <c r="AC145" s="190"/>
      <c r="AD145" s="190">
        <v>1285.5098934550988</v>
      </c>
      <c r="AE145" s="189"/>
    </row>
    <row r="146" spans="1:31" x14ac:dyDescent="0.3">
      <c r="A146" s="212">
        <v>5062</v>
      </c>
      <c r="B146" s="189" t="s">
        <v>85</v>
      </c>
      <c r="C146" s="189" t="s">
        <v>163</v>
      </c>
      <c r="D146" s="189" t="s">
        <v>162</v>
      </c>
      <c r="E146" s="179">
        <v>145230</v>
      </c>
      <c r="F146" s="193">
        <v>43959</v>
      </c>
      <c r="G146" s="193">
        <v>44324</v>
      </c>
      <c r="H146" s="190"/>
      <c r="I146" s="189">
        <v>4.4000000000000004</v>
      </c>
      <c r="J146" s="190"/>
      <c r="K146" s="190"/>
      <c r="L146" s="190"/>
      <c r="M146" s="190"/>
      <c r="N146" s="190"/>
      <c r="O146" s="189"/>
      <c r="P146" s="190"/>
      <c r="Q146" s="190"/>
      <c r="R146" s="190"/>
      <c r="S146" s="190"/>
      <c r="T146" s="190"/>
      <c r="U146" s="190"/>
      <c r="V146" s="190">
        <v>0</v>
      </c>
      <c r="W146" s="190">
        <v>408.25766666666675</v>
      </c>
      <c r="X146" s="179"/>
      <c r="Y146" s="190"/>
      <c r="Z146" s="190">
        <v>408.25766666666675</v>
      </c>
      <c r="AA146" s="190">
        <v>525.21534246575345</v>
      </c>
      <c r="AB146" s="179"/>
      <c r="AC146" s="190"/>
      <c r="AD146" s="190">
        <v>933.4730091324202</v>
      </c>
      <c r="AE146" s="189"/>
    </row>
    <row r="147" spans="1:31" x14ac:dyDescent="0.3">
      <c r="A147" s="212">
        <v>5057</v>
      </c>
      <c r="B147" s="189" t="s">
        <v>74</v>
      </c>
      <c r="C147" s="189" t="s">
        <v>161</v>
      </c>
      <c r="D147" s="189" t="s">
        <v>160</v>
      </c>
      <c r="E147" s="179">
        <v>75000</v>
      </c>
      <c r="F147" s="193">
        <v>43965</v>
      </c>
      <c r="G147" s="193">
        <v>44330</v>
      </c>
      <c r="H147" s="190"/>
      <c r="I147" s="189">
        <v>3.4</v>
      </c>
      <c r="J147" s="190"/>
      <c r="K147" s="190"/>
      <c r="L147" s="190"/>
      <c r="M147" s="190"/>
      <c r="N147" s="190"/>
      <c r="O147" s="189"/>
      <c r="P147" s="190"/>
      <c r="Q147" s="190"/>
      <c r="R147" s="190"/>
      <c r="S147" s="190"/>
      <c r="T147" s="190"/>
      <c r="U147" s="190"/>
      <c r="V147" s="190">
        <v>0</v>
      </c>
      <c r="W147" s="190">
        <v>120.41666666666666</v>
      </c>
      <c r="X147" s="179"/>
      <c r="Y147" s="190"/>
      <c r="Z147" s="190">
        <v>120.41666666666666</v>
      </c>
      <c r="AA147" s="190">
        <v>209.58904109589042</v>
      </c>
      <c r="AB147" s="179"/>
      <c r="AC147" s="190"/>
      <c r="AD147" s="190">
        <v>330.00570776255711</v>
      </c>
      <c r="AE147" s="189"/>
    </row>
    <row r="148" spans="1:31" x14ac:dyDescent="0.3">
      <c r="A148" s="212">
        <v>5055</v>
      </c>
      <c r="B148" s="189" t="s">
        <v>159</v>
      </c>
      <c r="C148" s="189" t="s">
        <v>158</v>
      </c>
      <c r="D148" s="189" t="s">
        <v>157</v>
      </c>
      <c r="E148" s="179">
        <v>500000</v>
      </c>
      <c r="F148" s="193">
        <v>43966</v>
      </c>
      <c r="G148" s="193">
        <v>44331</v>
      </c>
      <c r="H148" s="190"/>
      <c r="I148" s="189">
        <v>7.55</v>
      </c>
      <c r="J148" s="190"/>
      <c r="K148" s="190"/>
      <c r="L148" s="190"/>
      <c r="M148" s="190"/>
      <c r="N148" s="190"/>
      <c r="O148" s="189"/>
      <c r="P148" s="190"/>
      <c r="Q148" s="190"/>
      <c r="R148" s="190"/>
      <c r="S148" s="190"/>
      <c r="T148" s="190"/>
      <c r="U148" s="190"/>
      <c r="V148" s="190">
        <v>0</v>
      </c>
      <c r="W148" s="190">
        <v>1677.7777777777778</v>
      </c>
      <c r="X148" s="179"/>
      <c r="Y148" s="190"/>
      <c r="Z148" s="190">
        <v>1677.7777777777778</v>
      </c>
      <c r="AA148" s="190">
        <v>3102.7397260273974</v>
      </c>
      <c r="AB148" s="179"/>
      <c r="AC148" s="190"/>
      <c r="AD148" s="190">
        <v>4780.5175038051748</v>
      </c>
      <c r="AE148" s="189"/>
    </row>
    <row r="149" spans="1:31" x14ac:dyDescent="0.3">
      <c r="A149" s="212">
        <v>5055</v>
      </c>
      <c r="B149" s="189" t="s">
        <v>53</v>
      </c>
      <c r="C149" s="189" t="s">
        <v>156</v>
      </c>
      <c r="D149" s="189" t="s">
        <v>155</v>
      </c>
      <c r="E149" s="179">
        <v>500000</v>
      </c>
      <c r="F149" s="193">
        <v>43966</v>
      </c>
      <c r="G149" s="193">
        <v>44331</v>
      </c>
      <c r="H149" s="190"/>
      <c r="I149" s="189">
        <v>7.55</v>
      </c>
      <c r="J149" s="190"/>
      <c r="K149" s="190"/>
      <c r="L149" s="190"/>
      <c r="M149" s="190"/>
      <c r="N149" s="190"/>
      <c r="O149" s="189"/>
      <c r="P149" s="190"/>
      <c r="Q149" s="190"/>
      <c r="R149" s="190"/>
      <c r="S149" s="190"/>
      <c r="T149" s="190"/>
      <c r="U149" s="190"/>
      <c r="V149" s="190">
        <v>0</v>
      </c>
      <c r="W149" s="190">
        <v>1677.7777777777778</v>
      </c>
      <c r="X149" s="179"/>
      <c r="Y149" s="190"/>
      <c r="Z149" s="190">
        <v>1677.7777777777778</v>
      </c>
      <c r="AA149" s="190">
        <v>3102.7397260273974</v>
      </c>
      <c r="AB149" s="179"/>
      <c r="AC149" s="190"/>
      <c r="AD149" s="190">
        <v>4780.5175038051748</v>
      </c>
      <c r="AE149" s="189"/>
    </row>
    <row r="150" spans="1:31" x14ac:dyDescent="0.3">
      <c r="A150" s="212">
        <v>5031</v>
      </c>
      <c r="B150" s="189" t="s">
        <v>7</v>
      </c>
      <c r="C150" s="189" t="s">
        <v>154</v>
      </c>
      <c r="D150" s="189" t="s">
        <v>153</v>
      </c>
      <c r="E150" s="179">
        <v>103000</v>
      </c>
      <c r="F150" s="193">
        <v>43967</v>
      </c>
      <c r="G150" s="193">
        <v>44332</v>
      </c>
      <c r="H150" s="190"/>
      <c r="I150" s="189">
        <v>6.4</v>
      </c>
      <c r="J150" s="190"/>
      <c r="K150" s="190"/>
      <c r="L150" s="190"/>
      <c r="M150" s="190"/>
      <c r="N150" s="190"/>
      <c r="O150" s="189"/>
      <c r="P150" s="190"/>
      <c r="Q150" s="190"/>
      <c r="R150" s="190"/>
      <c r="S150" s="190"/>
      <c r="T150" s="190"/>
      <c r="U150" s="190"/>
      <c r="V150" s="190">
        <v>0</v>
      </c>
      <c r="W150" s="190">
        <v>274.66666666666663</v>
      </c>
      <c r="X150" s="179"/>
      <c r="Y150" s="190"/>
      <c r="Z150" s="190">
        <v>274.66666666666663</v>
      </c>
      <c r="AA150" s="190">
        <v>541.80821917808225</v>
      </c>
      <c r="AB150" s="179"/>
      <c r="AC150" s="190"/>
      <c r="AD150" s="190">
        <v>816.47488584474888</v>
      </c>
      <c r="AE150" s="189"/>
    </row>
    <row r="151" spans="1:31" x14ac:dyDescent="0.3">
      <c r="A151" s="212">
        <v>5031</v>
      </c>
      <c r="B151" s="189" t="s">
        <v>7</v>
      </c>
      <c r="C151" s="189" t="s">
        <v>152</v>
      </c>
      <c r="D151" s="189" t="s">
        <v>151</v>
      </c>
      <c r="E151" s="179">
        <v>200000</v>
      </c>
      <c r="F151" s="193">
        <v>43967</v>
      </c>
      <c r="G151" s="193">
        <v>44332</v>
      </c>
      <c r="H151" s="190"/>
      <c r="I151" s="189">
        <v>6.4</v>
      </c>
      <c r="J151" s="190"/>
      <c r="K151" s="190"/>
      <c r="L151" s="190"/>
      <c r="M151" s="190"/>
      <c r="N151" s="190"/>
      <c r="O151" s="189"/>
      <c r="P151" s="190"/>
      <c r="Q151" s="190"/>
      <c r="R151" s="190"/>
      <c r="S151" s="190"/>
      <c r="T151" s="190"/>
      <c r="U151" s="190"/>
      <c r="V151" s="190">
        <v>0</v>
      </c>
      <c r="W151" s="190">
        <v>533.33333333333337</v>
      </c>
      <c r="X151" s="179"/>
      <c r="Y151" s="190"/>
      <c r="Z151" s="190">
        <v>533.33333333333337</v>
      </c>
      <c r="AA151" s="190">
        <v>1052.0547945205478</v>
      </c>
      <c r="AB151" s="179"/>
      <c r="AC151" s="190"/>
      <c r="AD151" s="190">
        <v>1585.3881278538811</v>
      </c>
      <c r="AE151" s="189"/>
    </row>
    <row r="152" spans="1:31" x14ac:dyDescent="0.3">
      <c r="A152" s="212">
        <v>5005</v>
      </c>
      <c r="B152" s="189" t="s">
        <v>127</v>
      </c>
      <c r="C152" s="189" t="s">
        <v>150</v>
      </c>
      <c r="D152" s="189" t="s">
        <v>149</v>
      </c>
      <c r="E152" s="179">
        <v>110000</v>
      </c>
      <c r="F152" s="193">
        <v>43978</v>
      </c>
      <c r="G152" s="193">
        <v>44343</v>
      </c>
      <c r="H152" s="190"/>
      <c r="I152" s="189">
        <v>3.91</v>
      </c>
      <c r="J152" s="190"/>
      <c r="K152" s="190"/>
      <c r="L152" s="190"/>
      <c r="M152" s="190"/>
      <c r="N152" s="190"/>
      <c r="O152" s="189"/>
      <c r="P152" s="190"/>
      <c r="Q152" s="190"/>
      <c r="R152" s="190"/>
      <c r="S152" s="190"/>
      <c r="T152" s="190"/>
      <c r="U152" s="190"/>
      <c r="V152" s="190">
        <v>0</v>
      </c>
      <c r="W152" s="190">
        <v>47.788888888888891</v>
      </c>
      <c r="X152" s="179"/>
      <c r="Y152" s="190"/>
      <c r="Z152" s="190">
        <v>47.788888888888891</v>
      </c>
      <c r="AA152" s="190">
        <v>353.50684931506851</v>
      </c>
      <c r="AB152" s="179"/>
      <c r="AC152" s="190"/>
      <c r="AD152" s="190">
        <v>401.2957382039574</v>
      </c>
      <c r="AE152" s="189"/>
    </row>
    <row r="153" spans="1:31" x14ac:dyDescent="0.3">
      <c r="A153" s="215">
        <v>5003</v>
      </c>
      <c r="B153" s="208" t="s">
        <v>148</v>
      </c>
      <c r="C153" s="189" t="s">
        <v>147</v>
      </c>
      <c r="D153" s="189" t="s">
        <v>146</v>
      </c>
      <c r="E153" s="209">
        <v>150000</v>
      </c>
      <c r="F153" s="193">
        <v>43980</v>
      </c>
      <c r="G153" s="193">
        <v>44345</v>
      </c>
      <c r="H153" s="190"/>
      <c r="I153" s="179">
        <v>5.9</v>
      </c>
      <c r="J153" s="190"/>
      <c r="K153" s="190"/>
      <c r="L153" s="190"/>
      <c r="M153" s="190"/>
      <c r="N153" s="190"/>
      <c r="O153" s="189"/>
      <c r="P153" s="190"/>
      <c r="Q153" s="190"/>
      <c r="R153" s="190"/>
      <c r="S153" s="190"/>
      <c r="T153" s="190"/>
      <c r="U153" s="190"/>
      <c r="V153" s="190">
        <v>0</v>
      </c>
      <c r="W153" s="190">
        <v>0</v>
      </c>
      <c r="X153" s="179"/>
      <c r="Y153" s="190"/>
      <c r="Z153" s="190">
        <v>0</v>
      </c>
      <c r="AA153" s="190">
        <v>727.39726027397262</v>
      </c>
      <c r="AB153" s="179"/>
      <c r="AC153" s="190"/>
      <c r="AD153" s="190">
        <v>727.39726027397262</v>
      </c>
      <c r="AE153" s="189"/>
    </row>
    <row r="154" spans="1:31" x14ac:dyDescent="0.3">
      <c r="A154" s="212">
        <v>5057</v>
      </c>
      <c r="B154" s="189" t="s">
        <v>22</v>
      </c>
      <c r="C154" s="189" t="s">
        <v>145</v>
      </c>
      <c r="D154" s="189" t="s">
        <v>144</v>
      </c>
      <c r="E154" s="179">
        <v>1100000</v>
      </c>
      <c r="F154" s="193">
        <v>43983</v>
      </c>
      <c r="G154" s="193">
        <v>44348</v>
      </c>
      <c r="H154" s="190"/>
      <c r="I154" s="179">
        <v>6.6</v>
      </c>
      <c r="J154" s="190"/>
      <c r="K154" s="190"/>
      <c r="L154" s="190"/>
      <c r="M154" s="190"/>
      <c r="N154" s="190"/>
      <c r="O154" s="189"/>
      <c r="P154" s="190"/>
      <c r="Q154" s="190"/>
      <c r="R154" s="190"/>
      <c r="S154" s="190"/>
      <c r="T154" s="190"/>
      <c r="U154" s="190"/>
      <c r="V154" s="190"/>
      <c r="W154" s="190"/>
      <c r="X154" s="179"/>
      <c r="Y154" s="190"/>
      <c r="Z154" s="190"/>
      <c r="AA154" s="190">
        <v>5768.2191780821922</v>
      </c>
      <c r="AB154" s="179"/>
      <c r="AC154" s="190"/>
      <c r="AD154" s="190">
        <v>5768.2191780821922</v>
      </c>
      <c r="AE154" s="189"/>
    </row>
    <row r="155" spans="1:31" x14ac:dyDescent="0.3">
      <c r="A155" s="212">
        <v>5005</v>
      </c>
      <c r="B155" s="189" t="s">
        <v>143</v>
      </c>
      <c r="C155" s="189" t="s">
        <v>142</v>
      </c>
      <c r="D155" s="189" t="s">
        <v>141</v>
      </c>
      <c r="E155" s="179">
        <v>1400055.56</v>
      </c>
      <c r="F155" s="193">
        <v>43985</v>
      </c>
      <c r="G155" s="193">
        <v>44350</v>
      </c>
      <c r="H155" s="190"/>
      <c r="I155" s="179">
        <v>6.92</v>
      </c>
      <c r="J155" s="190"/>
      <c r="K155" s="190"/>
      <c r="L155" s="190"/>
      <c r="M155" s="190"/>
      <c r="N155" s="190"/>
      <c r="O155" s="189"/>
      <c r="P155" s="190"/>
      <c r="Q155" s="190"/>
      <c r="R155" s="190"/>
      <c r="S155" s="190"/>
      <c r="T155" s="190"/>
      <c r="U155" s="190"/>
      <c r="V155" s="190"/>
      <c r="W155" s="190"/>
      <c r="X155" s="179"/>
      <c r="Y155" s="190"/>
      <c r="Z155" s="190"/>
      <c r="AA155" s="190">
        <v>7166.7501597369865</v>
      </c>
      <c r="AB155" s="179"/>
      <c r="AC155" s="190"/>
      <c r="AD155" s="190">
        <v>7166.7501597369865</v>
      </c>
      <c r="AE155" s="189"/>
    </row>
    <row r="156" spans="1:31" x14ac:dyDescent="0.3">
      <c r="A156" s="212">
        <v>5063</v>
      </c>
      <c r="B156" s="189" t="s">
        <v>77</v>
      </c>
      <c r="C156" s="189" t="s">
        <v>140</v>
      </c>
      <c r="D156" s="189" t="s">
        <v>139</v>
      </c>
      <c r="E156" s="179">
        <v>240000</v>
      </c>
      <c r="F156" s="193">
        <v>43988</v>
      </c>
      <c r="G156" s="193">
        <v>44353</v>
      </c>
      <c r="H156" s="190"/>
      <c r="I156" s="179">
        <v>5.4</v>
      </c>
      <c r="J156" s="190"/>
      <c r="K156" s="190"/>
      <c r="L156" s="190"/>
      <c r="M156" s="190"/>
      <c r="N156" s="190"/>
      <c r="O156" s="189"/>
      <c r="P156" s="190"/>
      <c r="Q156" s="190"/>
      <c r="R156" s="190"/>
      <c r="S156" s="190"/>
      <c r="T156" s="190"/>
      <c r="U156" s="190"/>
      <c r="V156" s="190"/>
      <c r="W156" s="190"/>
      <c r="X156" s="179"/>
      <c r="Y156" s="190"/>
      <c r="Z156" s="190"/>
      <c r="AA156" s="190">
        <v>852.16438356164394</v>
      </c>
      <c r="AB156" s="179"/>
      <c r="AC156" s="190"/>
      <c r="AD156" s="190">
        <v>852.16438356164394</v>
      </c>
      <c r="AE156" s="189"/>
    </row>
    <row r="157" spans="1:31" x14ac:dyDescent="0.3">
      <c r="A157" s="212">
        <v>5031</v>
      </c>
      <c r="B157" s="189" t="s">
        <v>138</v>
      </c>
      <c r="C157" s="189" t="s">
        <v>137</v>
      </c>
      <c r="D157" s="189" t="s">
        <v>136</v>
      </c>
      <c r="E157" s="179">
        <v>150162.5</v>
      </c>
      <c r="F157" s="193">
        <v>43990</v>
      </c>
      <c r="G157" s="193">
        <v>44354</v>
      </c>
      <c r="H157" s="190"/>
      <c r="I157" s="179">
        <v>6.42</v>
      </c>
      <c r="J157" s="190"/>
      <c r="K157" s="190"/>
      <c r="L157" s="190"/>
      <c r="M157" s="190"/>
      <c r="N157" s="190"/>
      <c r="O157" s="189"/>
      <c r="P157" s="190"/>
      <c r="Q157" s="190"/>
      <c r="R157" s="190"/>
      <c r="S157" s="190"/>
      <c r="T157" s="190"/>
      <c r="U157" s="190"/>
      <c r="V157" s="190"/>
      <c r="W157" s="190"/>
      <c r="X157" s="179"/>
      <c r="Y157" s="190"/>
      <c r="Z157" s="190"/>
      <c r="AA157" s="190">
        <v>607.47930821917805</v>
      </c>
      <c r="AB157" s="179"/>
      <c r="AC157" s="190"/>
      <c r="AD157" s="190">
        <v>607.47930821917805</v>
      </c>
      <c r="AE157" s="189"/>
    </row>
    <row r="158" spans="1:31" x14ac:dyDescent="0.3">
      <c r="A158" s="212">
        <v>5060</v>
      </c>
      <c r="B158" s="189" t="s">
        <v>40</v>
      </c>
      <c r="C158" s="189" t="s">
        <v>135</v>
      </c>
      <c r="D158" s="189" t="s">
        <v>134</v>
      </c>
      <c r="E158" s="179">
        <v>350000</v>
      </c>
      <c r="F158" s="193">
        <v>43992</v>
      </c>
      <c r="G158" s="193">
        <v>44357</v>
      </c>
      <c r="H158" s="190"/>
      <c r="I158" s="179">
        <v>6.4</v>
      </c>
      <c r="J158" s="190"/>
      <c r="K158" s="190"/>
      <c r="L158" s="190"/>
      <c r="M158" s="190"/>
      <c r="N158" s="190"/>
      <c r="O158" s="189"/>
      <c r="P158" s="190"/>
      <c r="Q158" s="190"/>
      <c r="R158" s="190"/>
      <c r="S158" s="190"/>
      <c r="T158" s="190"/>
      <c r="U158" s="190"/>
      <c r="V158" s="190"/>
      <c r="W158" s="190"/>
      <c r="X158" s="179"/>
      <c r="Y158" s="190"/>
      <c r="Z158" s="190"/>
      <c r="AA158" s="190">
        <v>1227.3972602739725</v>
      </c>
      <c r="AB158" s="179"/>
      <c r="AC158" s="190"/>
      <c r="AD158" s="190">
        <v>1227.3972602739725</v>
      </c>
      <c r="AE158" s="189"/>
    </row>
    <row r="159" spans="1:31" x14ac:dyDescent="0.3">
      <c r="A159" s="212">
        <v>5060</v>
      </c>
      <c r="B159" s="189" t="s">
        <v>40</v>
      </c>
      <c r="C159" s="189" t="s">
        <v>133</v>
      </c>
      <c r="D159" s="189" t="s">
        <v>132</v>
      </c>
      <c r="E159" s="179">
        <v>955000</v>
      </c>
      <c r="F159" s="193">
        <v>43992</v>
      </c>
      <c r="G159" s="193">
        <v>44357</v>
      </c>
      <c r="H159" s="190"/>
      <c r="I159" s="179">
        <v>6.4</v>
      </c>
      <c r="J159" s="190"/>
      <c r="K159" s="190"/>
      <c r="L159" s="190"/>
      <c r="M159" s="190"/>
      <c r="N159" s="190"/>
      <c r="O159" s="189"/>
      <c r="P159" s="190"/>
      <c r="Q159" s="190"/>
      <c r="R159" s="190"/>
      <c r="S159" s="190"/>
      <c r="T159" s="190"/>
      <c r="U159" s="190"/>
      <c r="V159" s="190"/>
      <c r="W159" s="190"/>
      <c r="X159" s="179"/>
      <c r="Y159" s="190"/>
      <c r="Z159" s="190"/>
      <c r="AA159" s="190">
        <v>3349.0410958904108</v>
      </c>
      <c r="AB159" s="179"/>
      <c r="AC159" s="190"/>
      <c r="AD159" s="190">
        <v>3349.0410958904108</v>
      </c>
      <c r="AE159" s="189"/>
    </row>
    <row r="160" spans="1:31" x14ac:dyDescent="0.3">
      <c r="A160" s="212">
        <v>5063</v>
      </c>
      <c r="B160" s="189" t="s">
        <v>13</v>
      </c>
      <c r="C160" s="189" t="s">
        <v>131</v>
      </c>
      <c r="D160" s="189" t="s">
        <v>130</v>
      </c>
      <c r="E160" s="179">
        <v>437500</v>
      </c>
      <c r="F160" s="193">
        <v>43993</v>
      </c>
      <c r="G160" s="193">
        <v>44358</v>
      </c>
      <c r="H160" s="190"/>
      <c r="I160" s="179">
        <v>8.9</v>
      </c>
      <c r="J160" s="190"/>
      <c r="K160" s="190"/>
      <c r="L160" s="190"/>
      <c r="M160" s="190"/>
      <c r="N160" s="190"/>
      <c r="O160" s="189"/>
      <c r="P160" s="190"/>
      <c r="Q160" s="190"/>
      <c r="R160" s="190"/>
      <c r="S160" s="190"/>
      <c r="T160" s="190"/>
      <c r="U160" s="190"/>
      <c r="V160" s="190"/>
      <c r="W160" s="190"/>
      <c r="X160" s="179"/>
      <c r="Y160" s="190"/>
      <c r="Z160" s="190"/>
      <c r="AA160" s="190">
        <v>2026.8835616438359</v>
      </c>
      <c r="AB160" s="179"/>
      <c r="AC160" s="190"/>
      <c r="AD160" s="190">
        <v>2026.8835616438359</v>
      </c>
      <c r="AE160" s="189"/>
    </row>
    <row r="161" spans="1:31" x14ac:dyDescent="0.3">
      <c r="A161" s="212">
        <v>5005</v>
      </c>
      <c r="B161" s="189" t="s">
        <v>127</v>
      </c>
      <c r="C161" s="189" t="s">
        <v>129</v>
      </c>
      <c r="D161" s="189" t="s">
        <v>128</v>
      </c>
      <c r="E161" s="179">
        <v>400000</v>
      </c>
      <c r="F161" s="193">
        <v>43999</v>
      </c>
      <c r="G161" s="193">
        <v>44364</v>
      </c>
      <c r="H161" s="190"/>
      <c r="I161" s="179">
        <v>5.92</v>
      </c>
      <c r="J161" s="190"/>
      <c r="K161" s="190"/>
      <c r="L161" s="190"/>
      <c r="M161" s="190"/>
      <c r="N161" s="190"/>
      <c r="O161" s="189"/>
      <c r="P161" s="190"/>
      <c r="Q161" s="190"/>
      <c r="R161" s="190"/>
      <c r="S161" s="190"/>
      <c r="T161" s="190"/>
      <c r="U161" s="190"/>
      <c r="V161" s="190"/>
      <c r="W161" s="190"/>
      <c r="X161" s="179"/>
      <c r="Y161" s="190"/>
      <c r="Z161" s="190"/>
      <c r="AA161" s="190">
        <v>843.39726027397262</v>
      </c>
      <c r="AB161" s="179"/>
      <c r="AC161" s="190"/>
      <c r="AD161" s="190">
        <v>843.39726027397262</v>
      </c>
      <c r="AE161" s="189"/>
    </row>
    <row r="162" spans="1:31" x14ac:dyDescent="0.3">
      <c r="A162" s="212">
        <v>5005</v>
      </c>
      <c r="B162" s="189" t="s">
        <v>127</v>
      </c>
      <c r="C162" s="189" t="s">
        <v>126</v>
      </c>
      <c r="D162" s="189" t="s">
        <v>125</v>
      </c>
      <c r="E162" s="179">
        <v>140000</v>
      </c>
      <c r="F162" s="193">
        <v>43999</v>
      </c>
      <c r="G162" s="193">
        <v>44364</v>
      </c>
      <c r="H162" s="190"/>
      <c r="I162" s="179">
        <v>5.92</v>
      </c>
      <c r="J162" s="190"/>
      <c r="K162" s="190"/>
      <c r="L162" s="190"/>
      <c r="M162" s="190"/>
      <c r="N162" s="190"/>
      <c r="O162" s="189"/>
      <c r="P162" s="190"/>
      <c r="Q162" s="190"/>
      <c r="R162" s="190"/>
      <c r="S162" s="190"/>
      <c r="T162" s="190"/>
      <c r="U162" s="190"/>
      <c r="V162" s="190"/>
      <c r="W162" s="190"/>
      <c r="X162" s="179"/>
      <c r="Y162" s="190"/>
      <c r="Z162" s="190"/>
      <c r="AA162" s="190">
        <v>295.18904109589039</v>
      </c>
      <c r="AB162" s="179"/>
      <c r="AC162" s="190"/>
      <c r="AD162" s="190">
        <v>295.18904109589039</v>
      </c>
      <c r="AE162" s="189"/>
    </row>
    <row r="163" spans="1:31" x14ac:dyDescent="0.3">
      <c r="A163" s="212">
        <v>5056</v>
      </c>
      <c r="B163" s="189" t="s">
        <v>124</v>
      </c>
      <c r="C163" s="189" t="s">
        <v>123</v>
      </c>
      <c r="D163" s="189" t="s">
        <v>122</v>
      </c>
      <c r="E163" s="179">
        <v>158000</v>
      </c>
      <c r="F163" s="193">
        <v>43999</v>
      </c>
      <c r="G163" s="193">
        <v>44364</v>
      </c>
      <c r="H163" s="190"/>
      <c r="I163" s="179">
        <v>4.4000000000000004</v>
      </c>
      <c r="J163" s="190"/>
      <c r="K163" s="190"/>
      <c r="L163" s="190"/>
      <c r="M163" s="190"/>
      <c r="N163" s="190"/>
      <c r="O163" s="189"/>
      <c r="P163" s="190"/>
      <c r="Q163" s="190"/>
      <c r="R163" s="190"/>
      <c r="S163" s="190"/>
      <c r="T163" s="190"/>
      <c r="U163" s="190"/>
      <c r="V163" s="190"/>
      <c r="W163" s="190"/>
      <c r="X163" s="179"/>
      <c r="Y163" s="190"/>
      <c r="Z163" s="190"/>
      <c r="AA163" s="190">
        <v>247.60547945205479</v>
      </c>
      <c r="AB163" s="179"/>
      <c r="AC163" s="190"/>
      <c r="AD163" s="190">
        <v>247.60547945205479</v>
      </c>
      <c r="AE163" s="189"/>
    </row>
    <row r="164" spans="1:31" x14ac:dyDescent="0.3">
      <c r="A164" s="212">
        <v>5057</v>
      </c>
      <c r="B164" s="189" t="s">
        <v>74</v>
      </c>
      <c r="C164" s="189" t="s">
        <v>121</v>
      </c>
      <c r="D164" s="189" t="s">
        <v>120</v>
      </c>
      <c r="E164" s="179">
        <v>139000</v>
      </c>
      <c r="F164" s="193">
        <v>43999</v>
      </c>
      <c r="G164" s="193">
        <v>44364</v>
      </c>
      <c r="H164" s="190"/>
      <c r="I164" s="179">
        <v>3.4</v>
      </c>
      <c r="J164" s="190"/>
      <c r="K164" s="190"/>
      <c r="L164" s="190"/>
      <c r="M164" s="190"/>
      <c r="N164" s="190"/>
      <c r="O164" s="189"/>
      <c r="P164" s="190"/>
      <c r="Q164" s="190"/>
      <c r="R164" s="190"/>
      <c r="S164" s="190"/>
      <c r="T164" s="190"/>
      <c r="U164" s="190"/>
      <c r="V164" s="190"/>
      <c r="W164" s="190"/>
      <c r="X164" s="179"/>
      <c r="Y164" s="190"/>
      <c r="Z164" s="190"/>
      <c r="AA164" s="190">
        <v>168.32328767123289</v>
      </c>
      <c r="AB164" s="179"/>
      <c r="AC164" s="190"/>
      <c r="AD164" s="190">
        <v>168.32328767123289</v>
      </c>
      <c r="AE164" s="189"/>
    </row>
    <row r="165" spans="1:31" x14ac:dyDescent="0.3">
      <c r="A165" s="212">
        <v>5004</v>
      </c>
      <c r="B165" s="189" t="s">
        <v>117</v>
      </c>
      <c r="C165" s="189" t="s">
        <v>119</v>
      </c>
      <c r="D165" s="189" t="s">
        <v>118</v>
      </c>
      <c r="E165" s="179">
        <v>60000</v>
      </c>
      <c r="F165" s="193">
        <v>44010</v>
      </c>
      <c r="G165" s="193">
        <v>44375</v>
      </c>
      <c r="H165" s="190"/>
      <c r="I165" s="179">
        <v>5.85</v>
      </c>
      <c r="J165" s="190"/>
      <c r="K165" s="190"/>
      <c r="L165" s="190"/>
      <c r="M165" s="190"/>
      <c r="N165" s="190"/>
      <c r="O165" s="189"/>
      <c r="P165" s="190"/>
      <c r="Q165" s="190"/>
      <c r="R165" s="190"/>
      <c r="S165" s="190"/>
      <c r="T165" s="190"/>
      <c r="U165" s="190"/>
      <c r="V165" s="190"/>
      <c r="W165" s="190"/>
      <c r="X165" s="179"/>
      <c r="Y165" s="190"/>
      <c r="Z165" s="190"/>
      <c r="AA165" s="190">
        <v>19.232876712328768</v>
      </c>
      <c r="AB165" s="179"/>
      <c r="AC165" s="190"/>
      <c r="AD165" s="190">
        <v>19.232876712328768</v>
      </c>
      <c r="AE165" s="189"/>
    </row>
    <row r="166" spans="1:31" x14ac:dyDescent="0.3">
      <c r="A166" s="212">
        <v>5004</v>
      </c>
      <c r="B166" s="189" t="s">
        <v>117</v>
      </c>
      <c r="C166" s="189" t="s">
        <v>116</v>
      </c>
      <c r="D166" s="189" t="s">
        <v>115</v>
      </c>
      <c r="E166" s="179">
        <v>100000</v>
      </c>
      <c r="F166" s="193">
        <v>44010</v>
      </c>
      <c r="G166" s="193">
        <v>44375</v>
      </c>
      <c r="H166" s="190"/>
      <c r="I166" s="179">
        <v>5.85</v>
      </c>
      <c r="J166" s="190"/>
      <c r="K166" s="190"/>
      <c r="L166" s="190"/>
      <c r="M166" s="190"/>
      <c r="N166" s="190"/>
      <c r="O166" s="189"/>
      <c r="P166" s="190"/>
      <c r="Q166" s="190"/>
      <c r="R166" s="190"/>
      <c r="S166" s="190"/>
      <c r="T166" s="190"/>
      <c r="U166" s="190"/>
      <c r="V166" s="190"/>
      <c r="W166" s="190"/>
      <c r="X166" s="179"/>
      <c r="Y166" s="190"/>
      <c r="Z166" s="190"/>
      <c r="AA166" s="190">
        <v>32.054794520547944</v>
      </c>
      <c r="AB166" s="179"/>
      <c r="AC166" s="190"/>
      <c r="AD166" s="190">
        <v>32.054794520547944</v>
      </c>
      <c r="AE166" s="189"/>
    </row>
    <row r="167" spans="1:31" x14ac:dyDescent="0.3">
      <c r="A167" s="216"/>
      <c r="B167" s="210"/>
      <c r="C167" s="210"/>
      <c r="D167" s="210"/>
      <c r="E167" s="207"/>
      <c r="F167" s="201"/>
      <c r="G167" s="201"/>
      <c r="H167" s="202"/>
      <c r="I167" s="203"/>
      <c r="J167" s="204">
        <v>0</v>
      </c>
      <c r="K167" s="204"/>
      <c r="L167" s="204"/>
      <c r="M167" s="204"/>
      <c r="N167" s="204">
        <v>0</v>
      </c>
      <c r="O167" s="202"/>
      <c r="P167" s="204"/>
      <c r="Q167" s="204"/>
      <c r="R167" s="202">
        <v>0</v>
      </c>
      <c r="S167" s="202"/>
      <c r="T167" s="202"/>
      <c r="U167" s="202"/>
      <c r="V167" s="202">
        <v>0</v>
      </c>
      <c r="W167" s="202"/>
      <c r="X167" s="171"/>
      <c r="Y167" s="202"/>
      <c r="Z167" s="202">
        <v>0</v>
      </c>
      <c r="AA167" s="190">
        <v>0</v>
      </c>
      <c r="AB167" s="179"/>
      <c r="AC167" s="190"/>
      <c r="AD167" s="190">
        <v>0</v>
      </c>
      <c r="AE167" s="200"/>
    </row>
    <row r="168" spans="1:31" ht="15" thickBot="1" x14ac:dyDescent="0.35">
      <c r="A168" s="217" t="s">
        <v>4</v>
      </c>
      <c r="B168" s="158"/>
      <c r="C168" s="158"/>
      <c r="D168" s="159"/>
      <c r="E168" s="160">
        <v>43929716.25</v>
      </c>
      <c r="F168" s="161"/>
      <c r="G168" s="161"/>
      <c r="H168" s="159"/>
      <c r="I168" s="162">
        <v>6.1034782608695659</v>
      </c>
      <c r="J168" s="162">
        <v>634864.88402892789</v>
      </c>
      <c r="K168" s="162">
        <v>129870.58138125</v>
      </c>
      <c r="L168" s="162">
        <v>0</v>
      </c>
      <c r="M168" s="162">
        <v>0</v>
      </c>
      <c r="N168" s="162">
        <v>764735.46541017795</v>
      </c>
      <c r="O168" s="162">
        <v>180015.46730072217</v>
      </c>
      <c r="P168" s="163">
        <v>0</v>
      </c>
      <c r="Q168" s="162">
        <v>91069.154325683325</v>
      </c>
      <c r="R168" s="162">
        <v>1035820.0870365833</v>
      </c>
      <c r="S168" s="162">
        <v>187681.25389108324</v>
      </c>
      <c r="T168" s="162">
        <v>0</v>
      </c>
      <c r="U168" s="162">
        <v>0</v>
      </c>
      <c r="V168" s="162">
        <v>1223501.3409276658</v>
      </c>
      <c r="W168" s="162">
        <v>217912.0182632778</v>
      </c>
      <c r="X168" s="172">
        <v>-32078.47</v>
      </c>
      <c r="Y168" s="162">
        <v>935.41</v>
      </c>
      <c r="Z168" s="162">
        <v>1410270.3191909445</v>
      </c>
      <c r="AA168" s="180">
        <v>195842.85326466858</v>
      </c>
      <c r="AB168" s="181">
        <v>-423577.63</v>
      </c>
      <c r="AC168" s="180">
        <v>3330.3500000000004</v>
      </c>
      <c r="AD168" s="162">
        <v>1185865.8924556128</v>
      </c>
      <c r="AE168" s="205"/>
    </row>
    <row r="169" spans="1:31" ht="15" thickTop="1" x14ac:dyDescent="0.3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</row>
    <row r="170" spans="1:31" x14ac:dyDescent="0.3">
      <c r="A170" s="149"/>
      <c r="B170" s="149" t="s">
        <v>3</v>
      </c>
      <c r="C170" s="149"/>
      <c r="D170" s="149"/>
      <c r="E170" s="164"/>
      <c r="F170" s="164"/>
      <c r="G170" s="149"/>
      <c r="H170" s="149"/>
      <c r="I170" s="149"/>
      <c r="J170" s="149"/>
      <c r="K170" s="149"/>
      <c r="L170" s="165"/>
      <c r="M170" s="149" t="s">
        <v>2</v>
      </c>
      <c r="N170" s="164">
        <v>1346787.82</v>
      </c>
      <c r="O170" s="149"/>
      <c r="P170" s="165"/>
      <c r="Q170" s="149" t="s">
        <v>2</v>
      </c>
      <c r="R170" s="164">
        <v>1473310.06</v>
      </c>
      <c r="S170" s="164"/>
      <c r="T170" s="164"/>
      <c r="U170" s="149" t="s">
        <v>2</v>
      </c>
      <c r="V170" s="164">
        <v>1363849.45</v>
      </c>
      <c r="W170" s="164"/>
      <c r="X170" s="149"/>
      <c r="Y170" s="149" t="s">
        <v>2</v>
      </c>
      <c r="Z170" s="164">
        <v>1410270.32</v>
      </c>
      <c r="AA170" s="151"/>
      <c r="AB170" s="149"/>
      <c r="AC170" s="176" t="s">
        <v>2</v>
      </c>
      <c r="AD170" s="164">
        <v>1185865.8899999999</v>
      </c>
      <c r="AE170" s="149"/>
    </row>
    <row r="171" spans="1:31" ht="15" thickBot="1" x14ac:dyDescent="0.35">
      <c r="A171" s="149"/>
      <c r="B171" s="149"/>
      <c r="C171" s="149"/>
      <c r="D171" s="149"/>
      <c r="E171" s="165"/>
      <c r="F171" s="152"/>
      <c r="G171" s="149"/>
      <c r="H171" s="149"/>
      <c r="I171" s="149"/>
      <c r="J171" s="149"/>
      <c r="K171" s="166"/>
      <c r="L171" s="149"/>
      <c r="M171" s="164"/>
      <c r="N171" s="149"/>
      <c r="O171" s="166"/>
      <c r="P171" s="149"/>
      <c r="Q171" s="164"/>
      <c r="R171" s="167">
        <v>437489.97296341672</v>
      </c>
      <c r="S171" s="166"/>
      <c r="T171" s="166"/>
      <c r="U171" s="164"/>
      <c r="V171" s="167">
        <v>140348.10907233413</v>
      </c>
      <c r="W171" s="166"/>
      <c r="X171" s="173"/>
      <c r="Y171" s="164"/>
      <c r="Z171" s="167">
        <v>8.09055520221591E-4</v>
      </c>
      <c r="AA171" s="182"/>
      <c r="AB171" s="183"/>
      <c r="AC171" s="151"/>
      <c r="AD171" s="167">
        <v>-2.4556128773838282E-3</v>
      </c>
      <c r="AE171" s="149"/>
    </row>
    <row r="172" spans="1:31" ht="15" thickTop="1" x14ac:dyDescent="0.3">
      <c r="A172" s="149"/>
      <c r="B172" s="149"/>
      <c r="C172" s="149"/>
      <c r="D172" s="149"/>
      <c r="E172" s="149"/>
      <c r="F172" s="174"/>
      <c r="G172" s="149"/>
      <c r="H172" s="149"/>
      <c r="I172" s="149"/>
      <c r="J172" s="165"/>
      <c r="K172" s="149"/>
      <c r="L172" s="149"/>
      <c r="M172" s="165"/>
      <c r="N172" s="165"/>
      <c r="O172" s="149"/>
      <c r="P172" s="149"/>
      <c r="Q172" s="165"/>
      <c r="R172" s="165"/>
      <c r="S172" s="165"/>
      <c r="T172" s="165"/>
      <c r="U172" s="165"/>
      <c r="V172" s="165"/>
      <c r="W172" s="165"/>
      <c r="X172" s="149"/>
      <c r="Y172" s="165"/>
      <c r="Z172" s="165"/>
      <c r="AA172" s="184"/>
      <c r="AB172" s="149"/>
      <c r="AC172" s="184"/>
      <c r="AD172" s="165"/>
      <c r="AE172" s="149"/>
    </row>
    <row r="173" spans="1:31" x14ac:dyDescent="0.3">
      <c r="A173" s="149"/>
      <c r="B173" s="149"/>
      <c r="C173" s="149"/>
      <c r="D173" s="149"/>
      <c r="E173" s="149"/>
      <c r="F173" s="149"/>
      <c r="G173" s="149"/>
      <c r="H173" s="149"/>
      <c r="I173" s="149"/>
      <c r="J173" s="165"/>
      <c r="K173" s="149"/>
      <c r="L173" s="149"/>
      <c r="M173" s="149"/>
      <c r="N173" s="165"/>
      <c r="O173" s="149"/>
      <c r="P173" s="149"/>
      <c r="Q173" s="149"/>
      <c r="R173" s="165"/>
      <c r="S173" s="165"/>
      <c r="T173" s="165"/>
      <c r="U173" s="165"/>
      <c r="V173" s="165"/>
      <c r="W173" s="165"/>
      <c r="X173" s="149"/>
      <c r="Y173" s="165"/>
      <c r="Z173" s="165"/>
      <c r="AA173" s="184"/>
      <c r="AB173" s="149"/>
      <c r="AC173" s="184"/>
      <c r="AD173" s="165"/>
      <c r="AE173" s="149"/>
    </row>
    <row r="174" spans="1:31" x14ac:dyDescent="0.3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65"/>
      <c r="AA174" s="149"/>
      <c r="AB174" s="149"/>
      <c r="AC174" s="149"/>
      <c r="AD174" s="149"/>
      <c r="AE174" s="149"/>
    </row>
    <row r="175" spans="1:31" x14ac:dyDescent="0.3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65"/>
      <c r="X175" s="149"/>
      <c r="Y175" s="149"/>
      <c r="Z175" s="149"/>
      <c r="AA175" s="184"/>
      <c r="AB175" s="149"/>
      <c r="AC175" s="149"/>
      <c r="AD175" s="149"/>
      <c r="AE175" s="149"/>
    </row>
    <row r="176" spans="1:31" x14ac:dyDescent="0.3">
      <c r="A176" s="149"/>
      <c r="B176" s="149"/>
      <c r="C176" s="149"/>
      <c r="D176" s="149"/>
      <c r="E176" s="149"/>
      <c r="F176" s="149"/>
      <c r="G176" s="149"/>
      <c r="H176" s="164"/>
      <c r="I176" s="168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65"/>
      <c r="X176" s="149"/>
      <c r="Y176" s="149"/>
      <c r="Z176" s="149"/>
      <c r="AA176" s="184"/>
      <c r="AB176" s="149"/>
      <c r="AC176" s="149"/>
      <c r="AD176" s="149"/>
      <c r="AE176" s="149"/>
    </row>
    <row r="178" spans="8:9" x14ac:dyDescent="0.3">
      <c r="H178" s="165"/>
      <c r="I178" s="1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B106-0438-4A86-8368-8C135BC74C0A}">
  <dimension ref="A1:CY198"/>
  <sheetViews>
    <sheetView topLeftCell="B181" workbookViewId="0">
      <selection activeCell="G204" sqref="G204"/>
    </sheetView>
  </sheetViews>
  <sheetFormatPr baseColWidth="10" defaultRowHeight="14.4" x14ac:dyDescent="0.3"/>
  <cols>
    <col min="10" max="30" width="0" hidden="1" customWidth="1"/>
    <col min="34" max="34" width="13" bestFit="1" customWidth="1"/>
  </cols>
  <sheetData>
    <row r="1" spans="1:103" x14ac:dyDescent="0.3">
      <c r="A1" s="303" t="s">
        <v>500</v>
      </c>
      <c r="B1" s="227"/>
      <c r="C1" s="227"/>
      <c r="D1" s="227"/>
      <c r="E1" s="227"/>
      <c r="F1" s="228"/>
      <c r="G1" s="228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</row>
    <row r="2" spans="1:103" x14ac:dyDescent="0.3">
      <c r="A2" s="303" t="s">
        <v>499</v>
      </c>
      <c r="B2" s="227"/>
      <c r="C2" s="227"/>
      <c r="D2" s="227"/>
      <c r="E2" s="227"/>
      <c r="F2" s="228"/>
      <c r="G2" s="228"/>
      <c r="H2" s="227"/>
      <c r="I2" s="229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  <c r="CU2" s="227"/>
      <c r="CV2" s="227"/>
      <c r="CW2" s="227"/>
      <c r="CX2" s="227"/>
      <c r="CY2" s="227"/>
    </row>
    <row r="3" spans="1:103" x14ac:dyDescent="0.3">
      <c r="A3" s="344" t="s">
        <v>742</v>
      </c>
      <c r="B3" s="263"/>
      <c r="C3" s="263"/>
      <c r="D3" s="263"/>
      <c r="E3" s="227"/>
      <c r="F3" s="228"/>
      <c r="G3" s="228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/>
      <c r="BX3" s="227"/>
      <c r="BY3" s="227"/>
      <c r="BZ3" s="227"/>
      <c r="CA3" s="227"/>
      <c r="CB3" s="227"/>
      <c r="CC3" s="227"/>
      <c r="CD3" s="227"/>
      <c r="CE3" s="227"/>
      <c r="CF3" s="227"/>
      <c r="CG3" s="227"/>
      <c r="CH3" s="227"/>
      <c r="CI3" s="227"/>
      <c r="CJ3" s="227"/>
      <c r="CK3" s="227"/>
      <c r="CL3" s="227"/>
      <c r="CM3" s="227"/>
      <c r="CN3" s="227"/>
      <c r="CO3" s="227"/>
      <c r="CP3" s="227"/>
      <c r="CQ3" s="227"/>
      <c r="CR3" s="227"/>
      <c r="CS3" s="227"/>
      <c r="CT3" s="227"/>
      <c r="CU3" s="227"/>
      <c r="CV3" s="227"/>
      <c r="CW3" s="227"/>
      <c r="CX3" s="227"/>
      <c r="CY3" s="227"/>
    </row>
    <row r="4" spans="1:103" x14ac:dyDescent="0.3">
      <c r="A4" s="227"/>
      <c r="B4" s="227"/>
      <c r="C4" s="227"/>
      <c r="D4" s="230"/>
      <c r="E4" s="230"/>
      <c r="F4" s="228"/>
      <c r="G4" s="228"/>
      <c r="H4" s="230"/>
      <c r="I4" s="230"/>
      <c r="J4" s="230">
        <v>43861</v>
      </c>
      <c r="K4" s="230"/>
      <c r="L4" s="230"/>
      <c r="M4" s="230"/>
      <c r="N4" s="230">
        <v>43863</v>
      </c>
      <c r="O4" s="230"/>
      <c r="P4" s="230"/>
      <c r="Q4" s="230"/>
      <c r="R4" s="230">
        <v>43921</v>
      </c>
      <c r="S4" s="230"/>
      <c r="T4" s="230"/>
      <c r="U4" s="230"/>
      <c r="V4" s="230">
        <v>43951</v>
      </c>
      <c r="W4" s="230"/>
      <c r="X4" s="227"/>
      <c r="Y4" s="230"/>
      <c r="Z4" s="230">
        <v>43982</v>
      </c>
      <c r="AA4" s="264"/>
      <c r="AB4" s="227"/>
      <c r="AC4" s="264"/>
      <c r="AD4" s="309">
        <v>44012</v>
      </c>
      <c r="AE4" s="227"/>
      <c r="AF4" s="227"/>
      <c r="AG4" s="227"/>
      <c r="AH4" s="312">
        <v>44043</v>
      </c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7"/>
      <c r="BG4" s="227"/>
      <c r="BH4" s="227"/>
      <c r="BI4" s="227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7"/>
      <c r="CG4" s="227"/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7"/>
      <c r="CS4" s="227"/>
      <c r="CT4" s="227"/>
      <c r="CU4" s="227"/>
      <c r="CV4" s="227"/>
      <c r="CW4" s="227"/>
      <c r="CX4" s="227"/>
      <c r="CY4" s="227"/>
    </row>
    <row r="5" spans="1:103" ht="43.2" x14ac:dyDescent="0.3">
      <c r="A5" s="295" t="s">
        <v>497</v>
      </c>
      <c r="B5" s="231" t="s">
        <v>496</v>
      </c>
      <c r="C5" s="231" t="s">
        <v>495</v>
      </c>
      <c r="D5" s="306" t="s">
        <v>494</v>
      </c>
      <c r="E5" s="306" t="s">
        <v>493</v>
      </c>
      <c r="F5" s="307" t="s">
        <v>492</v>
      </c>
      <c r="G5" s="307" t="s">
        <v>491</v>
      </c>
      <c r="H5" s="306"/>
      <c r="I5" s="308" t="s">
        <v>490</v>
      </c>
      <c r="J5" s="232" t="s">
        <v>484</v>
      </c>
      <c r="K5" s="233" t="s">
        <v>487</v>
      </c>
      <c r="L5" s="233" t="s">
        <v>486</v>
      </c>
      <c r="M5" s="233" t="s">
        <v>489</v>
      </c>
      <c r="N5" s="233" t="s">
        <v>484</v>
      </c>
      <c r="O5" s="234" t="s">
        <v>487</v>
      </c>
      <c r="P5" s="234" t="s">
        <v>486</v>
      </c>
      <c r="Q5" s="234" t="s">
        <v>489</v>
      </c>
      <c r="R5" s="234" t="s">
        <v>484</v>
      </c>
      <c r="S5" s="235" t="s">
        <v>487</v>
      </c>
      <c r="T5" s="235" t="s">
        <v>486</v>
      </c>
      <c r="U5" s="235" t="s">
        <v>488</v>
      </c>
      <c r="V5" s="235" t="s">
        <v>484</v>
      </c>
      <c r="W5" s="255" t="s">
        <v>487</v>
      </c>
      <c r="X5" s="256" t="s">
        <v>486</v>
      </c>
      <c r="Y5" s="255" t="s">
        <v>488</v>
      </c>
      <c r="Z5" s="255" t="s">
        <v>484</v>
      </c>
      <c r="AA5" s="304" t="s">
        <v>487</v>
      </c>
      <c r="AB5" s="305" t="s">
        <v>486</v>
      </c>
      <c r="AC5" s="304" t="s">
        <v>488</v>
      </c>
      <c r="AD5" s="304" t="s">
        <v>484</v>
      </c>
      <c r="AE5" s="323" t="s">
        <v>487</v>
      </c>
      <c r="AF5" s="323" t="s">
        <v>486</v>
      </c>
      <c r="AG5" s="323" t="s">
        <v>485</v>
      </c>
      <c r="AH5" s="323" t="s">
        <v>484</v>
      </c>
      <c r="AI5" s="313" t="s">
        <v>483</v>
      </c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7"/>
      <c r="BA5" s="227"/>
      <c r="BB5" s="227"/>
      <c r="BC5" s="227"/>
      <c r="BD5" s="227"/>
      <c r="BE5" s="227"/>
      <c r="BF5" s="227"/>
      <c r="BG5" s="227"/>
      <c r="BH5" s="227"/>
      <c r="BI5" s="227"/>
      <c r="BJ5" s="227"/>
      <c r="BK5" s="227"/>
      <c r="BL5" s="227"/>
      <c r="BM5" s="227"/>
      <c r="BN5" s="227"/>
      <c r="BO5" s="227"/>
      <c r="BP5" s="227"/>
      <c r="BQ5" s="227"/>
      <c r="BR5" s="227"/>
      <c r="BS5" s="227"/>
      <c r="BT5" s="227"/>
      <c r="BU5" s="227"/>
      <c r="BV5" s="227"/>
      <c r="BW5" s="227"/>
      <c r="BX5" s="227"/>
      <c r="BY5" s="227"/>
      <c r="BZ5" s="227"/>
      <c r="CA5" s="227"/>
      <c r="CB5" s="227"/>
      <c r="CC5" s="227"/>
      <c r="CD5" s="227"/>
      <c r="CE5" s="227"/>
      <c r="CF5" s="227"/>
      <c r="CG5" s="227"/>
      <c r="CH5" s="227"/>
      <c r="CI5" s="227"/>
      <c r="CJ5" s="227"/>
      <c r="CK5" s="227"/>
      <c r="CL5" s="227"/>
      <c r="CM5" s="227"/>
      <c r="CN5" s="227"/>
      <c r="CO5" s="227"/>
      <c r="CP5" s="227"/>
      <c r="CQ5" s="227"/>
      <c r="CR5" s="227"/>
      <c r="CS5" s="227"/>
      <c r="CT5" s="227"/>
      <c r="CU5" s="227"/>
      <c r="CV5" s="227"/>
      <c r="CW5" s="227"/>
      <c r="CX5" s="227"/>
      <c r="CY5" s="227"/>
    </row>
    <row r="6" spans="1:103" x14ac:dyDescent="0.3">
      <c r="A6" s="272"/>
      <c r="B6" s="262" t="s">
        <v>77</v>
      </c>
      <c r="C6" s="262" t="s">
        <v>482</v>
      </c>
      <c r="D6" s="265" t="s">
        <v>481</v>
      </c>
      <c r="E6" s="265"/>
      <c r="F6" s="273">
        <v>43622</v>
      </c>
      <c r="G6" s="273">
        <v>43988</v>
      </c>
      <c r="H6" s="265"/>
      <c r="I6" s="265">
        <v>5.4</v>
      </c>
      <c r="J6" s="265">
        <v>8576.8767123287671</v>
      </c>
      <c r="K6" s="265">
        <v>1080.0000000000002</v>
      </c>
      <c r="L6" s="265"/>
      <c r="M6" s="265"/>
      <c r="N6" s="265">
        <v>9656.8767123287671</v>
      </c>
      <c r="O6" s="265">
        <v>1080.0000000000002</v>
      </c>
      <c r="P6" s="265"/>
      <c r="Q6" s="265"/>
      <c r="R6" s="265">
        <v>10736.876712328767</v>
      </c>
      <c r="S6" s="265">
        <v>1080.0000000000002</v>
      </c>
      <c r="T6" s="265"/>
      <c r="U6" s="265"/>
      <c r="V6" s="265">
        <v>11816.876712328767</v>
      </c>
      <c r="W6" s="265">
        <v>1116.0000000000002</v>
      </c>
      <c r="X6" s="266"/>
      <c r="Y6" s="265"/>
      <c r="Z6" s="265">
        <v>12932.876712328767</v>
      </c>
      <c r="AA6" s="265"/>
      <c r="AB6" s="266">
        <v>-12995.5</v>
      </c>
      <c r="AC6" s="265">
        <v>62.62</v>
      </c>
      <c r="AD6" s="265">
        <v>-3.2876712329041879E-3</v>
      </c>
      <c r="AE6" s="314"/>
      <c r="AF6" s="314"/>
      <c r="AG6" s="314"/>
      <c r="AH6" s="314">
        <v>-3.2876712329041879E-3</v>
      </c>
      <c r="AI6" s="318" t="s">
        <v>96</v>
      </c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1"/>
      <c r="BC6" s="311"/>
      <c r="BD6" s="311"/>
      <c r="BE6" s="311"/>
      <c r="BF6" s="311"/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/>
      <c r="BU6" s="311"/>
      <c r="BV6" s="311"/>
      <c r="BW6" s="311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11"/>
      <c r="CK6" s="311"/>
      <c r="CL6" s="311"/>
      <c r="CM6" s="311"/>
      <c r="CN6" s="311"/>
      <c r="CO6" s="311"/>
      <c r="CP6" s="311"/>
      <c r="CQ6" s="311"/>
      <c r="CR6" s="311"/>
      <c r="CS6" s="311"/>
      <c r="CT6" s="311"/>
      <c r="CU6" s="311"/>
      <c r="CV6" s="311"/>
      <c r="CW6" s="311"/>
      <c r="CX6" s="311"/>
      <c r="CY6" s="311"/>
    </row>
    <row r="7" spans="1:103" x14ac:dyDescent="0.3">
      <c r="A7" s="272"/>
      <c r="B7" s="262" t="s">
        <v>124</v>
      </c>
      <c r="C7" s="262" t="s">
        <v>480</v>
      </c>
      <c r="D7" s="265" t="s">
        <v>479</v>
      </c>
      <c r="E7" s="265"/>
      <c r="F7" s="273">
        <v>43633</v>
      </c>
      <c r="G7" s="273">
        <v>43999</v>
      </c>
      <c r="H7" s="265"/>
      <c r="I7" s="265">
        <v>4.4000000000000004</v>
      </c>
      <c r="J7" s="265">
        <v>4391.2937595129379</v>
      </c>
      <c r="K7" s="265">
        <v>579.33333333333337</v>
      </c>
      <c r="L7" s="265"/>
      <c r="M7" s="265"/>
      <c r="N7" s="265">
        <v>4970.6270928462709</v>
      </c>
      <c r="O7" s="265">
        <v>579.33333333333337</v>
      </c>
      <c r="P7" s="265"/>
      <c r="Q7" s="265"/>
      <c r="R7" s="265">
        <v>5549.9604261796039</v>
      </c>
      <c r="S7" s="265">
        <v>579.33333333333337</v>
      </c>
      <c r="T7" s="265"/>
      <c r="U7" s="265"/>
      <c r="V7" s="265">
        <v>6129.293759512937</v>
      </c>
      <c r="W7" s="265">
        <v>598.6444444444445</v>
      </c>
      <c r="X7" s="266"/>
      <c r="Y7" s="265"/>
      <c r="Z7" s="265">
        <v>6727.9382039573811</v>
      </c>
      <c r="AA7" s="265"/>
      <c r="AB7" s="266">
        <v>-6971.04</v>
      </c>
      <c r="AC7" s="265">
        <v>243.1</v>
      </c>
      <c r="AD7" s="265">
        <v>-1.7960426188494694E-3</v>
      </c>
      <c r="AE7" s="314"/>
      <c r="AF7" s="314"/>
      <c r="AG7" s="314"/>
      <c r="AH7" s="314">
        <v>-1.7960426188494694E-3</v>
      </c>
      <c r="AI7" s="318" t="s">
        <v>96</v>
      </c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</row>
    <row r="8" spans="1:103" x14ac:dyDescent="0.3">
      <c r="A8" s="272"/>
      <c r="B8" s="262" t="s">
        <v>117</v>
      </c>
      <c r="C8" s="262" t="s">
        <v>478</v>
      </c>
      <c r="D8" s="265" t="s">
        <v>477</v>
      </c>
      <c r="E8" s="265"/>
      <c r="F8" s="273">
        <v>43644</v>
      </c>
      <c r="G8" s="273">
        <v>44010</v>
      </c>
      <c r="H8" s="265"/>
      <c r="I8" s="265">
        <v>5.87</v>
      </c>
      <c r="J8" s="265">
        <v>1412.3738203957382</v>
      </c>
      <c r="K8" s="265">
        <v>195.66666666666666</v>
      </c>
      <c r="L8" s="265"/>
      <c r="M8" s="265"/>
      <c r="N8" s="265">
        <v>1608.040487062405</v>
      </c>
      <c r="O8" s="265">
        <v>195.66666666666666</v>
      </c>
      <c r="P8" s="265"/>
      <c r="Q8" s="265"/>
      <c r="R8" s="265">
        <v>1803.7071537290717</v>
      </c>
      <c r="S8" s="265">
        <v>195.66666666666666</v>
      </c>
      <c r="T8" s="265"/>
      <c r="U8" s="265"/>
      <c r="V8" s="265">
        <v>1999.3738203957384</v>
      </c>
      <c r="W8" s="265">
        <v>202.1888888888889</v>
      </c>
      <c r="X8" s="266"/>
      <c r="Y8" s="265"/>
      <c r="Z8" s="265">
        <v>2201.5627092846275</v>
      </c>
      <c r="AA8" s="265"/>
      <c r="AB8" s="266">
        <v>-2346.41</v>
      </c>
      <c r="AC8" s="265">
        <v>144.85</v>
      </c>
      <c r="AD8" s="265">
        <v>2.7092846276843829E-3</v>
      </c>
      <c r="AE8" s="314"/>
      <c r="AF8" s="314"/>
      <c r="AG8" s="314"/>
      <c r="AH8" s="314">
        <v>2.7092846276843829E-3</v>
      </c>
      <c r="AI8" s="318" t="s">
        <v>96</v>
      </c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</row>
    <row r="9" spans="1:103" x14ac:dyDescent="0.3">
      <c r="A9" s="272"/>
      <c r="B9" s="262" t="s">
        <v>117</v>
      </c>
      <c r="C9" s="262" t="s">
        <v>476</v>
      </c>
      <c r="D9" s="265" t="s">
        <v>475</v>
      </c>
      <c r="E9" s="265"/>
      <c r="F9" s="273">
        <v>43644</v>
      </c>
      <c r="G9" s="273">
        <v>44010</v>
      </c>
      <c r="H9" s="265"/>
      <c r="I9" s="265">
        <v>5.87</v>
      </c>
      <c r="J9" s="265">
        <v>2118.5607305936073</v>
      </c>
      <c r="K9" s="265">
        <v>293.5</v>
      </c>
      <c r="L9" s="265"/>
      <c r="M9" s="265"/>
      <c r="N9" s="265">
        <v>2412.0607305936073</v>
      </c>
      <c r="O9" s="265">
        <v>293.5</v>
      </c>
      <c r="P9" s="265"/>
      <c r="Q9" s="265"/>
      <c r="R9" s="265">
        <v>2705.5607305936073</v>
      </c>
      <c r="S9" s="265">
        <v>293.5</v>
      </c>
      <c r="T9" s="265"/>
      <c r="U9" s="265"/>
      <c r="V9" s="265">
        <v>2999.0607305936073</v>
      </c>
      <c r="W9" s="265">
        <v>303.2833333333333</v>
      </c>
      <c r="X9" s="266"/>
      <c r="Y9" s="265"/>
      <c r="Z9" s="265">
        <v>3302.3440639269406</v>
      </c>
      <c r="AA9" s="265"/>
      <c r="AB9" s="266">
        <v>-3519.62</v>
      </c>
      <c r="AC9" s="265">
        <v>217.28</v>
      </c>
      <c r="AD9" s="265">
        <v>4.0639269407449774E-3</v>
      </c>
      <c r="AE9" s="314"/>
      <c r="AF9" s="314"/>
      <c r="AG9" s="314"/>
      <c r="AH9" s="314">
        <v>4.0639269407449774E-3</v>
      </c>
      <c r="AI9" s="318" t="s">
        <v>96</v>
      </c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</row>
    <row r="10" spans="1:103" x14ac:dyDescent="0.3">
      <c r="A10" s="272"/>
      <c r="B10" s="262" t="s">
        <v>117</v>
      </c>
      <c r="C10" s="262" t="s">
        <v>474</v>
      </c>
      <c r="D10" s="265" t="s">
        <v>473</v>
      </c>
      <c r="E10" s="265"/>
      <c r="F10" s="273">
        <v>43644</v>
      </c>
      <c r="G10" s="273">
        <v>44010</v>
      </c>
      <c r="H10" s="265"/>
      <c r="I10" s="265">
        <v>5.85</v>
      </c>
      <c r="J10" s="265">
        <v>3518.9041095890411</v>
      </c>
      <c r="K10" s="265">
        <v>487.5</v>
      </c>
      <c r="L10" s="265"/>
      <c r="M10" s="265"/>
      <c r="N10" s="265">
        <v>4006.4041095890411</v>
      </c>
      <c r="O10" s="265">
        <v>487.5</v>
      </c>
      <c r="P10" s="265"/>
      <c r="Q10" s="265"/>
      <c r="R10" s="265">
        <v>4493.9041095890407</v>
      </c>
      <c r="S10" s="265">
        <v>487.5</v>
      </c>
      <c r="T10" s="265"/>
      <c r="U10" s="265"/>
      <c r="V10" s="265">
        <v>4981.4041095890407</v>
      </c>
      <c r="W10" s="265">
        <v>503.75</v>
      </c>
      <c r="X10" s="266"/>
      <c r="Y10" s="265"/>
      <c r="Z10" s="265">
        <v>5485.1541095890407</v>
      </c>
      <c r="AA10" s="265"/>
      <c r="AB10" s="266">
        <v>-5866.03</v>
      </c>
      <c r="AC10" s="265">
        <v>380.88</v>
      </c>
      <c r="AD10" s="265">
        <v>4.1095890409224012E-3</v>
      </c>
      <c r="AE10" s="314"/>
      <c r="AF10" s="314"/>
      <c r="AG10" s="314"/>
      <c r="AH10" s="314">
        <v>4.1095890409224012E-3</v>
      </c>
      <c r="AI10" s="318" t="s">
        <v>96</v>
      </c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</row>
    <row r="11" spans="1:103" x14ac:dyDescent="0.3">
      <c r="A11" s="272"/>
      <c r="B11" s="262" t="s">
        <v>25</v>
      </c>
      <c r="C11" s="262" t="s">
        <v>472</v>
      </c>
      <c r="D11" s="265" t="s">
        <v>471</v>
      </c>
      <c r="E11" s="265"/>
      <c r="F11" s="273">
        <v>43617</v>
      </c>
      <c r="G11" s="273">
        <v>43983</v>
      </c>
      <c r="H11" s="265"/>
      <c r="I11" s="265">
        <v>4.4000000000000004</v>
      </c>
      <c r="J11" s="265">
        <v>4458.2648401826491</v>
      </c>
      <c r="K11" s="265">
        <v>550.00000000000011</v>
      </c>
      <c r="L11" s="265"/>
      <c r="M11" s="265"/>
      <c r="N11" s="265">
        <v>5008.2648401826491</v>
      </c>
      <c r="O11" s="265">
        <v>550.00000000000011</v>
      </c>
      <c r="P11" s="265"/>
      <c r="Q11" s="265"/>
      <c r="R11" s="265">
        <v>5558.2648401826491</v>
      </c>
      <c r="S11" s="265">
        <v>550.00000000000011</v>
      </c>
      <c r="T11" s="265"/>
      <c r="U11" s="265"/>
      <c r="V11" s="265">
        <v>6108.2648401826491</v>
      </c>
      <c r="W11" s="265">
        <v>568.33333333333337</v>
      </c>
      <c r="X11" s="266">
        <v>-6401.1</v>
      </c>
      <c r="Y11" s="265"/>
      <c r="Z11" s="265">
        <v>275.49817351598176</v>
      </c>
      <c r="AA11" s="265"/>
      <c r="AB11" s="266"/>
      <c r="AC11" s="265">
        <v>-275.5</v>
      </c>
      <c r="AD11" s="265">
        <v>-1.8264840182382613E-3</v>
      </c>
      <c r="AE11" s="314"/>
      <c r="AF11" s="314"/>
      <c r="AG11" s="314"/>
      <c r="AH11" s="314">
        <v>-1.8264840182382613E-3</v>
      </c>
      <c r="AI11" s="318" t="s">
        <v>96</v>
      </c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</row>
    <row r="12" spans="1:103" x14ac:dyDescent="0.3">
      <c r="A12" s="272"/>
      <c r="B12" s="262" t="s">
        <v>13</v>
      </c>
      <c r="C12" s="262" t="s">
        <v>470</v>
      </c>
      <c r="D12" s="265" t="s">
        <v>469</v>
      </c>
      <c r="E12" s="265"/>
      <c r="F12" s="273">
        <v>43627</v>
      </c>
      <c r="G12" s="273">
        <v>43993</v>
      </c>
      <c r="H12" s="265"/>
      <c r="I12" s="265">
        <v>8.9</v>
      </c>
      <c r="J12" s="265">
        <v>25235.292998477937</v>
      </c>
      <c r="K12" s="265">
        <v>3244.7916666666674</v>
      </c>
      <c r="L12" s="265"/>
      <c r="M12" s="265"/>
      <c r="N12" s="265">
        <v>28480.084665144605</v>
      </c>
      <c r="O12" s="265">
        <v>3244.7916666666674</v>
      </c>
      <c r="P12" s="265"/>
      <c r="Q12" s="265"/>
      <c r="R12" s="265">
        <v>31724.876331811272</v>
      </c>
      <c r="S12" s="265">
        <v>3244.7916666666674</v>
      </c>
      <c r="T12" s="265"/>
      <c r="U12" s="265"/>
      <c r="V12" s="265">
        <v>34969.66799847794</v>
      </c>
      <c r="W12" s="265">
        <v>3352.9513888888896</v>
      </c>
      <c r="X12" s="266"/>
      <c r="Y12" s="265"/>
      <c r="Z12" s="265">
        <v>38322.619387366831</v>
      </c>
      <c r="AA12" s="265"/>
      <c r="AB12" s="266">
        <v>-38937.5</v>
      </c>
      <c r="AC12" s="265">
        <v>614.88</v>
      </c>
      <c r="AD12" s="265">
        <v>-6.126331692257736E-4</v>
      </c>
      <c r="AE12" s="314"/>
      <c r="AF12" s="314"/>
      <c r="AG12" s="314"/>
      <c r="AH12" s="314">
        <v>-6.126331692257736E-4</v>
      </c>
      <c r="AI12" s="318" t="s">
        <v>96</v>
      </c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</row>
    <row r="13" spans="1:103" x14ac:dyDescent="0.3">
      <c r="A13" s="272"/>
      <c r="B13" s="262" t="s">
        <v>13</v>
      </c>
      <c r="C13" s="262" t="s">
        <v>468</v>
      </c>
      <c r="D13" s="265" t="s">
        <v>467</v>
      </c>
      <c r="E13" s="265"/>
      <c r="F13" s="273">
        <v>43640</v>
      </c>
      <c r="G13" s="273">
        <v>44006</v>
      </c>
      <c r="H13" s="265"/>
      <c r="I13" s="265">
        <v>4.6500000000000004</v>
      </c>
      <c r="J13" s="265">
        <v>5696.0730593607332</v>
      </c>
      <c r="K13" s="265">
        <v>775.00000000000023</v>
      </c>
      <c r="L13" s="265"/>
      <c r="M13" s="265"/>
      <c r="N13" s="265">
        <v>6471.0730593607332</v>
      </c>
      <c r="O13" s="265">
        <v>775.00000000000023</v>
      </c>
      <c r="P13" s="265"/>
      <c r="Q13" s="265"/>
      <c r="R13" s="265">
        <v>7246.0730593607332</v>
      </c>
      <c r="S13" s="265">
        <v>775.00000000000023</v>
      </c>
      <c r="T13" s="265"/>
      <c r="U13" s="265"/>
      <c r="V13" s="265">
        <v>8021.0730593607332</v>
      </c>
      <c r="W13" s="265">
        <v>800.83333333333348</v>
      </c>
      <c r="X13" s="266"/>
      <c r="Y13" s="265"/>
      <c r="Z13" s="265">
        <v>8821.9063926940671</v>
      </c>
      <c r="AA13" s="265"/>
      <c r="AB13" s="266">
        <v>-9325.48</v>
      </c>
      <c r="AC13" s="265">
        <v>503.57</v>
      </c>
      <c r="AD13" s="265">
        <v>-3.6073059324621681E-3</v>
      </c>
      <c r="AE13" s="314"/>
      <c r="AF13" s="314"/>
      <c r="AG13" s="314"/>
      <c r="AH13" s="314">
        <v>-3.6073059324621681E-3</v>
      </c>
      <c r="AI13" s="318" t="s">
        <v>96</v>
      </c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</row>
    <row r="14" spans="1:103" x14ac:dyDescent="0.3">
      <c r="A14" s="272"/>
      <c r="B14" s="262" t="s">
        <v>40</v>
      </c>
      <c r="C14" s="262" t="s">
        <v>466</v>
      </c>
      <c r="D14" s="265" t="s">
        <v>465</v>
      </c>
      <c r="E14" s="265"/>
      <c r="F14" s="273">
        <v>43642</v>
      </c>
      <c r="G14" s="273">
        <v>44008</v>
      </c>
      <c r="H14" s="265"/>
      <c r="I14" s="265">
        <v>6.4</v>
      </c>
      <c r="J14" s="265">
        <v>46617.716894977173</v>
      </c>
      <c r="K14" s="265">
        <v>6400</v>
      </c>
      <c r="L14" s="265"/>
      <c r="M14" s="265"/>
      <c r="N14" s="265">
        <v>53017.716894977173</v>
      </c>
      <c r="O14" s="265">
        <v>6400</v>
      </c>
      <c r="P14" s="265"/>
      <c r="Q14" s="265"/>
      <c r="R14" s="265">
        <v>59417.716894977173</v>
      </c>
      <c r="S14" s="265">
        <v>6400</v>
      </c>
      <c r="T14" s="265"/>
      <c r="U14" s="265"/>
      <c r="V14" s="265">
        <v>65817.716894977173</v>
      </c>
      <c r="W14" s="265">
        <v>6613.3333333333339</v>
      </c>
      <c r="X14" s="266"/>
      <c r="Y14" s="265"/>
      <c r="Z14" s="265">
        <v>72431.050228310502</v>
      </c>
      <c r="AA14" s="265"/>
      <c r="AB14" s="266">
        <v>-72381.320000000007</v>
      </c>
      <c r="AC14" s="265">
        <v>-49.73</v>
      </c>
      <c r="AD14" s="265">
        <v>2.2831049457039398E-4</v>
      </c>
      <c r="AE14" s="314"/>
      <c r="AF14" s="314"/>
      <c r="AG14" s="314"/>
      <c r="AH14" s="314">
        <v>2.2831049457039398E-4</v>
      </c>
      <c r="AI14" s="318" t="s">
        <v>96</v>
      </c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</row>
    <row r="15" spans="1:103" x14ac:dyDescent="0.3">
      <c r="A15" s="272"/>
      <c r="B15" s="262" t="s">
        <v>40</v>
      </c>
      <c r="C15" s="262" t="s">
        <v>464</v>
      </c>
      <c r="D15" s="265" t="s">
        <v>463</v>
      </c>
      <c r="E15" s="265"/>
      <c r="F15" s="273">
        <v>43642</v>
      </c>
      <c r="G15" s="273">
        <v>44008</v>
      </c>
      <c r="H15" s="265"/>
      <c r="I15" s="265">
        <v>6.4</v>
      </c>
      <c r="J15" s="265">
        <v>12431.39117199391</v>
      </c>
      <c r="K15" s="265">
        <v>1706.6666666666665</v>
      </c>
      <c r="L15" s="265"/>
      <c r="M15" s="265"/>
      <c r="N15" s="265">
        <v>14138.057838660576</v>
      </c>
      <c r="O15" s="265">
        <v>1706.6666666666665</v>
      </c>
      <c r="P15" s="265"/>
      <c r="Q15" s="265"/>
      <c r="R15" s="265">
        <v>15844.724505327242</v>
      </c>
      <c r="S15" s="265">
        <v>1706.6666666666665</v>
      </c>
      <c r="T15" s="265"/>
      <c r="U15" s="265"/>
      <c r="V15" s="265">
        <v>17551.39117199391</v>
      </c>
      <c r="W15" s="265">
        <v>1763.5555555555554</v>
      </c>
      <c r="X15" s="266"/>
      <c r="Y15" s="265"/>
      <c r="Z15" s="265">
        <v>19314.946727549464</v>
      </c>
      <c r="AA15" s="265"/>
      <c r="AB15" s="266">
        <v>-20367.77</v>
      </c>
      <c r="AC15" s="265">
        <v>1052.82</v>
      </c>
      <c r="AD15" s="265">
        <v>-3.27245053608749E-3</v>
      </c>
      <c r="AE15" s="314"/>
      <c r="AF15" s="314"/>
      <c r="AG15" s="314"/>
      <c r="AH15" s="314">
        <v>-3.27245053608749E-3</v>
      </c>
      <c r="AI15" s="318" t="s">
        <v>96</v>
      </c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</row>
    <row r="16" spans="1:103" x14ac:dyDescent="0.3">
      <c r="A16" s="272"/>
      <c r="B16" s="262" t="s">
        <v>143</v>
      </c>
      <c r="C16" s="262" t="s">
        <v>462</v>
      </c>
      <c r="D16" s="265" t="s">
        <v>461</v>
      </c>
      <c r="E16" s="265"/>
      <c r="F16" s="273">
        <v>43619</v>
      </c>
      <c r="G16" s="273">
        <v>43985</v>
      </c>
      <c r="H16" s="265"/>
      <c r="I16" s="265">
        <v>6.9</v>
      </c>
      <c r="J16" s="265">
        <v>64726.038916785401</v>
      </c>
      <c r="K16" s="265">
        <v>8050.3194700000013</v>
      </c>
      <c r="L16" s="265"/>
      <c r="M16" s="265"/>
      <c r="N16" s="265">
        <v>72776.358386785403</v>
      </c>
      <c r="O16" s="265">
        <v>8050.3194700000013</v>
      </c>
      <c r="P16" s="265"/>
      <c r="Q16" s="265"/>
      <c r="R16" s="265">
        <v>80826.677856785405</v>
      </c>
      <c r="S16" s="265">
        <v>8050.3194700000013</v>
      </c>
      <c r="T16" s="265"/>
      <c r="U16" s="265"/>
      <c r="V16" s="265">
        <v>88876.997326785407</v>
      </c>
      <c r="W16" s="265">
        <v>8318.6634523333341</v>
      </c>
      <c r="X16" s="266"/>
      <c r="Y16" s="265"/>
      <c r="Z16" s="265">
        <v>97195.660779118742</v>
      </c>
      <c r="AA16" s="265"/>
      <c r="AB16" s="266">
        <v>-96868.44</v>
      </c>
      <c r="AC16" s="265">
        <v>-327.22000000000003</v>
      </c>
      <c r="AD16" s="265">
        <v>7.7911873927405395E-4</v>
      </c>
      <c r="AE16" s="314"/>
      <c r="AF16" s="314"/>
      <c r="AG16" s="314"/>
      <c r="AH16" s="314">
        <v>7.7911873927405395E-4</v>
      </c>
      <c r="AI16" s="318" t="s">
        <v>96</v>
      </c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</row>
    <row r="17" spans="1:103" x14ac:dyDescent="0.3">
      <c r="A17" s="272"/>
      <c r="B17" s="262" t="s">
        <v>127</v>
      </c>
      <c r="C17" s="262" t="s">
        <v>460</v>
      </c>
      <c r="D17" s="265" t="s">
        <v>459</v>
      </c>
      <c r="E17" s="265"/>
      <c r="F17" s="273">
        <v>43633</v>
      </c>
      <c r="G17" s="273">
        <v>43999</v>
      </c>
      <c r="H17" s="265"/>
      <c r="I17" s="265">
        <v>5.9</v>
      </c>
      <c r="J17" s="265">
        <v>14907.153729071537</v>
      </c>
      <c r="K17" s="265">
        <v>1966.6666666666667</v>
      </c>
      <c r="L17" s="265"/>
      <c r="M17" s="265"/>
      <c r="N17" s="265">
        <v>16873.820395738203</v>
      </c>
      <c r="O17" s="265">
        <v>1966.6666666666667</v>
      </c>
      <c r="P17" s="265"/>
      <c r="Q17" s="265"/>
      <c r="R17" s="265">
        <v>18840.487062404871</v>
      </c>
      <c r="S17" s="265">
        <v>1966.6666666666667</v>
      </c>
      <c r="T17" s="265"/>
      <c r="U17" s="265"/>
      <c r="V17" s="265">
        <v>20807.153729071539</v>
      </c>
      <c r="W17" s="265">
        <v>2032.2222222222222</v>
      </c>
      <c r="X17" s="266"/>
      <c r="Y17" s="265"/>
      <c r="Z17" s="265">
        <v>22839.375951293761</v>
      </c>
      <c r="AA17" s="265"/>
      <c r="AB17" s="266">
        <v>-23664.639999999999</v>
      </c>
      <c r="AC17" s="265">
        <v>825.26</v>
      </c>
      <c r="AD17" s="265">
        <v>-4.0487062381089345E-3</v>
      </c>
      <c r="AE17" s="314"/>
      <c r="AF17" s="314"/>
      <c r="AG17" s="314"/>
      <c r="AH17" s="314">
        <v>-4.0487062381089345E-3</v>
      </c>
      <c r="AI17" s="318" t="s">
        <v>96</v>
      </c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</row>
    <row r="18" spans="1:103" x14ac:dyDescent="0.3">
      <c r="A18" s="272"/>
      <c r="B18" s="262" t="s">
        <v>127</v>
      </c>
      <c r="C18" s="262" t="s">
        <v>458</v>
      </c>
      <c r="D18" s="265" t="s">
        <v>457</v>
      </c>
      <c r="E18" s="265"/>
      <c r="F18" s="273">
        <v>43633</v>
      </c>
      <c r="G18" s="273">
        <v>43999</v>
      </c>
      <c r="H18" s="265"/>
      <c r="I18" s="265">
        <v>5.9</v>
      </c>
      <c r="J18" s="265">
        <v>5217.5038051750371</v>
      </c>
      <c r="K18" s="265">
        <v>688.33333333333326</v>
      </c>
      <c r="L18" s="265"/>
      <c r="M18" s="265"/>
      <c r="N18" s="265">
        <v>5905.8371385083701</v>
      </c>
      <c r="O18" s="265">
        <v>688.33333333333326</v>
      </c>
      <c r="P18" s="265"/>
      <c r="Q18" s="265"/>
      <c r="R18" s="265">
        <v>6594.1704718417031</v>
      </c>
      <c r="S18" s="265">
        <v>688.33333333333326</v>
      </c>
      <c r="T18" s="265"/>
      <c r="U18" s="265"/>
      <c r="V18" s="265">
        <v>7282.5038051750362</v>
      </c>
      <c r="W18" s="265">
        <v>711.27777777777771</v>
      </c>
      <c r="X18" s="266"/>
      <c r="Y18" s="265"/>
      <c r="Z18" s="265">
        <v>7993.7815829528136</v>
      </c>
      <c r="AA18" s="265"/>
      <c r="AB18" s="266">
        <v>-8282.6200000000008</v>
      </c>
      <c r="AC18" s="265">
        <v>288.83999999999997</v>
      </c>
      <c r="AD18" s="265">
        <v>1.5829528127255799E-3</v>
      </c>
      <c r="AE18" s="314"/>
      <c r="AF18" s="314"/>
      <c r="AG18" s="314"/>
      <c r="AH18" s="314">
        <v>1.5829528127255799E-3</v>
      </c>
      <c r="AI18" s="318" t="s">
        <v>96</v>
      </c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</row>
    <row r="19" spans="1:103" x14ac:dyDescent="0.3">
      <c r="A19" s="272"/>
      <c r="B19" s="262" t="s">
        <v>22</v>
      </c>
      <c r="C19" s="262" t="s">
        <v>456</v>
      </c>
      <c r="D19" s="265" t="s">
        <v>455</v>
      </c>
      <c r="E19" s="265"/>
      <c r="F19" s="273">
        <v>43617</v>
      </c>
      <c r="G19" s="273">
        <v>43983</v>
      </c>
      <c r="H19" s="265"/>
      <c r="I19" s="265">
        <v>6.6</v>
      </c>
      <c r="J19" s="265">
        <v>49040.913242009126</v>
      </c>
      <c r="K19" s="265">
        <v>6050</v>
      </c>
      <c r="L19" s="265"/>
      <c r="M19" s="265"/>
      <c r="N19" s="265">
        <v>55090.913242009126</v>
      </c>
      <c r="O19" s="265">
        <v>6050</v>
      </c>
      <c r="P19" s="265"/>
      <c r="Q19" s="265"/>
      <c r="R19" s="265">
        <v>61140.913242009126</v>
      </c>
      <c r="S19" s="265">
        <v>6050</v>
      </c>
      <c r="T19" s="265"/>
      <c r="U19" s="265"/>
      <c r="V19" s="265">
        <v>67190.913242009119</v>
      </c>
      <c r="W19" s="265">
        <v>6251.6666666666661</v>
      </c>
      <c r="X19" s="266"/>
      <c r="Y19" s="265"/>
      <c r="Z19" s="265">
        <v>73442.579908675791</v>
      </c>
      <c r="AA19" s="265"/>
      <c r="AB19" s="266">
        <v>-72798.2</v>
      </c>
      <c r="AC19" s="265">
        <v>-644.38</v>
      </c>
      <c r="AD19" s="265">
        <v>-9.132420643709338E-5</v>
      </c>
      <c r="AE19" s="314"/>
      <c r="AF19" s="314"/>
      <c r="AG19" s="314"/>
      <c r="AH19" s="314">
        <v>-9.132420643709338E-5</v>
      </c>
      <c r="AI19" s="318" t="s">
        <v>96</v>
      </c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</row>
    <row r="20" spans="1:103" x14ac:dyDescent="0.3">
      <c r="A20" s="272"/>
      <c r="B20" s="262" t="s">
        <v>138</v>
      </c>
      <c r="C20" s="262" t="s">
        <v>454</v>
      </c>
      <c r="D20" s="265" t="s">
        <v>453</v>
      </c>
      <c r="E20" s="265"/>
      <c r="F20" s="273">
        <v>43623</v>
      </c>
      <c r="G20" s="273">
        <v>43989</v>
      </c>
      <c r="H20" s="265"/>
      <c r="I20" s="265">
        <v>6.49</v>
      </c>
      <c r="J20" s="265">
        <v>12831.826484018267</v>
      </c>
      <c r="K20" s="265">
        <v>1622.5</v>
      </c>
      <c r="L20" s="265"/>
      <c r="M20" s="265"/>
      <c r="N20" s="265">
        <v>14454.326484018267</v>
      </c>
      <c r="O20" s="265">
        <v>1622.5</v>
      </c>
      <c r="P20" s="265"/>
      <c r="Q20" s="265"/>
      <c r="R20" s="265">
        <v>16076.826484018267</v>
      </c>
      <c r="S20" s="265">
        <v>1622.5</v>
      </c>
      <c r="T20" s="265"/>
      <c r="U20" s="265"/>
      <c r="V20" s="265">
        <v>17699.326484018267</v>
      </c>
      <c r="W20" s="265">
        <v>1676.5833333333335</v>
      </c>
      <c r="X20" s="266"/>
      <c r="Y20" s="265"/>
      <c r="Z20" s="265">
        <v>19375.909817351599</v>
      </c>
      <c r="AA20" s="265"/>
      <c r="AB20" s="266">
        <v>-19305.36</v>
      </c>
      <c r="AC20" s="265">
        <v>-70.55</v>
      </c>
      <c r="AD20" s="265">
        <v>-1.826484010933882E-4</v>
      </c>
      <c r="AE20" s="314"/>
      <c r="AF20" s="314"/>
      <c r="AG20" s="314"/>
      <c r="AH20" s="314">
        <v>-1.826484010933882E-4</v>
      </c>
      <c r="AI20" s="318" t="s">
        <v>96</v>
      </c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</row>
    <row r="21" spans="1:103" x14ac:dyDescent="0.3">
      <c r="A21" s="339" t="s">
        <v>452</v>
      </c>
      <c r="B21" s="331" t="s">
        <v>103</v>
      </c>
      <c r="C21" s="331" t="s">
        <v>451</v>
      </c>
      <c r="D21" s="332" t="s">
        <v>450</v>
      </c>
      <c r="E21" s="332">
        <v>537381.17000000004</v>
      </c>
      <c r="F21" s="333">
        <v>43659</v>
      </c>
      <c r="G21" s="333">
        <v>44025</v>
      </c>
      <c r="H21" s="332"/>
      <c r="I21" s="332">
        <v>5.9</v>
      </c>
      <c r="J21" s="332">
        <v>17768.586089567732</v>
      </c>
      <c r="K21" s="332">
        <v>2642.1240858333335</v>
      </c>
      <c r="L21" s="332"/>
      <c r="M21" s="332"/>
      <c r="N21" s="332">
        <v>20410.710175401065</v>
      </c>
      <c r="O21" s="332">
        <v>2642.1240858333335</v>
      </c>
      <c r="P21" s="332"/>
      <c r="Q21" s="332"/>
      <c r="R21" s="332">
        <v>23052.834261234399</v>
      </c>
      <c r="S21" s="332">
        <v>2642.1240858333335</v>
      </c>
      <c r="T21" s="332"/>
      <c r="U21" s="332"/>
      <c r="V21" s="332">
        <v>25694.958347067732</v>
      </c>
      <c r="W21" s="332">
        <v>2730.1948886944447</v>
      </c>
      <c r="X21" s="328"/>
      <c r="Y21" s="332"/>
      <c r="Z21" s="332">
        <v>28425.153235762176</v>
      </c>
      <c r="AA21" s="332">
        <v>2605.9306052054799</v>
      </c>
      <c r="AB21" s="328"/>
      <c r="AC21" s="332"/>
      <c r="AD21" s="332">
        <v>31031.083840967658</v>
      </c>
      <c r="AE21" s="329">
        <v>260.59306052054797</v>
      </c>
      <c r="AF21" s="329">
        <v>-31413.02</v>
      </c>
      <c r="AG21" s="329">
        <v>121.34</v>
      </c>
      <c r="AH21" s="329">
        <v>-3.0985117956845443E-3</v>
      </c>
      <c r="AI21" s="334" t="s">
        <v>218</v>
      </c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</row>
    <row r="22" spans="1:103" x14ac:dyDescent="0.3">
      <c r="A22" s="339" t="s">
        <v>429</v>
      </c>
      <c r="B22" s="331" t="s">
        <v>85</v>
      </c>
      <c r="C22" s="331" t="s">
        <v>449</v>
      </c>
      <c r="D22" s="332" t="s">
        <v>448</v>
      </c>
      <c r="E22" s="332">
        <v>75139</v>
      </c>
      <c r="F22" s="333">
        <v>43670</v>
      </c>
      <c r="G22" s="333">
        <v>44036</v>
      </c>
      <c r="H22" s="332"/>
      <c r="I22" s="332">
        <v>7.4</v>
      </c>
      <c r="J22" s="332">
        <v>2948.5595774733642</v>
      </c>
      <c r="K22" s="332">
        <v>463.35716666666673</v>
      </c>
      <c r="L22" s="332"/>
      <c r="M22" s="332"/>
      <c r="N22" s="332">
        <v>3411.9167441400309</v>
      </c>
      <c r="O22" s="332">
        <v>463.35716666666673</v>
      </c>
      <c r="P22" s="332"/>
      <c r="Q22" s="332"/>
      <c r="R22" s="332">
        <v>3875.2739108066976</v>
      </c>
      <c r="S22" s="332">
        <v>463.35716666666673</v>
      </c>
      <c r="T22" s="332"/>
      <c r="U22" s="332"/>
      <c r="V22" s="332">
        <v>4338.6310774733647</v>
      </c>
      <c r="W22" s="332">
        <v>478.80240555555565</v>
      </c>
      <c r="X22" s="328"/>
      <c r="Y22" s="332"/>
      <c r="Z22" s="332">
        <v>4817.4334830289208</v>
      </c>
      <c r="AA22" s="332">
        <v>457.00980821917813</v>
      </c>
      <c r="AB22" s="328"/>
      <c r="AC22" s="332"/>
      <c r="AD22" s="332">
        <v>5274.4432912480988</v>
      </c>
      <c r="AE22" s="329">
        <v>365.60784657534253</v>
      </c>
      <c r="AF22" s="329">
        <v>-5560.29</v>
      </c>
      <c r="AG22" s="329">
        <v>-79.760000000000005</v>
      </c>
      <c r="AH22" s="329">
        <v>1.1378234414536337E-3</v>
      </c>
      <c r="AI22" s="334" t="s">
        <v>218</v>
      </c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</row>
    <row r="23" spans="1:103" x14ac:dyDescent="0.3">
      <c r="A23" s="339" t="s">
        <v>429</v>
      </c>
      <c r="B23" s="331" t="s">
        <v>85</v>
      </c>
      <c r="C23" s="331" t="s">
        <v>447</v>
      </c>
      <c r="D23" s="332" t="s">
        <v>446</v>
      </c>
      <c r="E23" s="332">
        <v>220000</v>
      </c>
      <c r="F23" s="333">
        <v>43670</v>
      </c>
      <c r="G23" s="333">
        <v>44036</v>
      </c>
      <c r="H23" s="332"/>
      <c r="I23" s="332">
        <v>7.4</v>
      </c>
      <c r="J23" s="332">
        <v>8633.1080669710827</v>
      </c>
      <c r="K23" s="332">
        <v>1356.666666666667</v>
      </c>
      <c r="L23" s="332"/>
      <c r="M23" s="332"/>
      <c r="N23" s="332">
        <v>9989.7747336377506</v>
      </c>
      <c r="O23" s="332">
        <v>1356.666666666667</v>
      </c>
      <c r="P23" s="332"/>
      <c r="Q23" s="332"/>
      <c r="R23" s="332">
        <v>11346.441400304418</v>
      </c>
      <c r="S23" s="332">
        <v>1356.666666666667</v>
      </c>
      <c r="T23" s="332"/>
      <c r="U23" s="332"/>
      <c r="V23" s="332">
        <v>12703.108066971086</v>
      </c>
      <c r="W23" s="332">
        <v>1401.8888888888891</v>
      </c>
      <c r="X23" s="328"/>
      <c r="Y23" s="332"/>
      <c r="Z23" s="332">
        <v>14104.996955859975</v>
      </c>
      <c r="AA23" s="332">
        <v>1338.0821917808221</v>
      </c>
      <c r="AB23" s="328"/>
      <c r="AC23" s="332"/>
      <c r="AD23" s="332">
        <v>15443.079147640798</v>
      </c>
      <c r="AE23" s="329">
        <v>1070.4657534246576</v>
      </c>
      <c r="AF23" s="329">
        <v>-16280</v>
      </c>
      <c r="AG23" s="329">
        <v>-233.54</v>
      </c>
      <c r="AH23" s="329">
        <v>4.9010654556411737E-3</v>
      </c>
      <c r="AI23" s="334" t="s">
        <v>218</v>
      </c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</row>
    <row r="24" spans="1:103" x14ac:dyDescent="0.3">
      <c r="A24" s="339"/>
      <c r="B24" s="331" t="s">
        <v>25</v>
      </c>
      <c r="C24" s="331" t="s">
        <v>445</v>
      </c>
      <c r="D24" s="332" t="s">
        <v>444</v>
      </c>
      <c r="E24" s="335">
        <v>85425</v>
      </c>
      <c r="F24" s="333">
        <v>43962</v>
      </c>
      <c r="G24" s="333">
        <v>44013</v>
      </c>
      <c r="H24" s="332"/>
      <c r="I24" s="332">
        <v>4.4000000000000004</v>
      </c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>
        <v>208.81666666666666</v>
      </c>
      <c r="X24" s="328"/>
      <c r="Y24" s="332"/>
      <c r="Z24" s="332">
        <v>208.81666666666666</v>
      </c>
      <c r="AA24" s="332">
        <v>308.93424657534251</v>
      </c>
      <c r="AB24" s="328"/>
      <c r="AC24" s="332"/>
      <c r="AD24" s="332">
        <v>517.75091324200912</v>
      </c>
      <c r="AE24" s="329">
        <v>10.297808219178084</v>
      </c>
      <c r="AF24" s="329">
        <v>-432.51</v>
      </c>
      <c r="AG24" s="329">
        <v>-95.54</v>
      </c>
      <c r="AH24" s="329">
        <v>-1.2785388127412034E-3</v>
      </c>
      <c r="AI24" s="334" t="s">
        <v>218</v>
      </c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</row>
    <row r="25" spans="1:103" x14ac:dyDescent="0.3">
      <c r="A25" s="339" t="s">
        <v>443</v>
      </c>
      <c r="B25" s="331" t="s">
        <v>82</v>
      </c>
      <c r="C25" s="331" t="s">
        <v>442</v>
      </c>
      <c r="D25" s="332" t="s">
        <v>441</v>
      </c>
      <c r="E25" s="332">
        <v>53900</v>
      </c>
      <c r="F25" s="333">
        <v>43677</v>
      </c>
      <c r="G25" s="333">
        <v>44038</v>
      </c>
      <c r="H25" s="332"/>
      <c r="I25" s="332">
        <v>6.15</v>
      </c>
      <c r="J25" s="332">
        <v>1739.6655707762559</v>
      </c>
      <c r="K25" s="332">
        <v>276.23750000000001</v>
      </c>
      <c r="L25" s="332"/>
      <c r="M25" s="332"/>
      <c r="N25" s="332">
        <v>2015.9030707762558</v>
      </c>
      <c r="O25" s="332">
        <v>276.23750000000001</v>
      </c>
      <c r="P25" s="332"/>
      <c r="Q25" s="332"/>
      <c r="R25" s="332">
        <v>2292.140570776256</v>
      </c>
      <c r="S25" s="332">
        <v>276.23750000000001</v>
      </c>
      <c r="T25" s="332"/>
      <c r="U25" s="332"/>
      <c r="V25" s="332">
        <v>2568.3780707762562</v>
      </c>
      <c r="W25" s="332">
        <v>285.44541666666669</v>
      </c>
      <c r="X25" s="328"/>
      <c r="Y25" s="332"/>
      <c r="Z25" s="332">
        <v>2853.8234874429227</v>
      </c>
      <c r="AA25" s="332">
        <v>272.45342465753424</v>
      </c>
      <c r="AB25" s="328"/>
      <c r="AC25" s="332"/>
      <c r="AD25" s="332">
        <v>3126.2769121004567</v>
      </c>
      <c r="AE25" s="329">
        <v>236.12630136986303</v>
      </c>
      <c r="AF25" s="329">
        <v>-3314.85</v>
      </c>
      <c r="AG25" s="329">
        <v>-47.55</v>
      </c>
      <c r="AH25" s="329">
        <v>3.2134703198636316E-3</v>
      </c>
      <c r="AI25" s="334" t="s">
        <v>218</v>
      </c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</row>
    <row r="26" spans="1:103" x14ac:dyDescent="0.3">
      <c r="A26" s="337" t="s">
        <v>440</v>
      </c>
      <c r="B26" s="325" t="s">
        <v>7</v>
      </c>
      <c r="C26" s="325" t="s">
        <v>439</v>
      </c>
      <c r="D26" s="326" t="s">
        <v>438</v>
      </c>
      <c r="E26" s="326">
        <v>500000</v>
      </c>
      <c r="F26" s="327">
        <v>43671</v>
      </c>
      <c r="G26" s="327">
        <v>44037</v>
      </c>
      <c r="H26" s="326"/>
      <c r="I26" s="326">
        <v>6.9</v>
      </c>
      <c r="J26" s="326">
        <v>18200.456621004563</v>
      </c>
      <c r="K26" s="326">
        <v>2875</v>
      </c>
      <c r="L26" s="326"/>
      <c r="M26" s="326"/>
      <c r="N26" s="326">
        <v>21075.456621004563</v>
      </c>
      <c r="O26" s="326">
        <v>2875</v>
      </c>
      <c r="P26" s="326"/>
      <c r="Q26" s="326"/>
      <c r="R26" s="326">
        <v>23950.456621004563</v>
      </c>
      <c r="S26" s="326">
        <v>2875</v>
      </c>
      <c r="T26" s="326"/>
      <c r="U26" s="326"/>
      <c r="V26" s="326">
        <v>26825.456621004563</v>
      </c>
      <c r="W26" s="326">
        <v>2970.833333333333</v>
      </c>
      <c r="X26" s="328"/>
      <c r="Y26" s="326"/>
      <c r="Z26" s="326">
        <v>29796.289954337895</v>
      </c>
      <c r="AA26" s="326">
        <v>2835.6164383561645</v>
      </c>
      <c r="AB26" s="328"/>
      <c r="AC26" s="326"/>
      <c r="AD26" s="326">
        <v>32631.906392694058</v>
      </c>
      <c r="AE26" s="329">
        <v>2363.0136986301368</v>
      </c>
      <c r="AF26" s="329">
        <v>-34500</v>
      </c>
      <c r="AG26" s="329">
        <v>-494.92</v>
      </c>
      <c r="AH26" s="329">
        <v>9.1324194784192514E-5</v>
      </c>
      <c r="AI26" s="334" t="s">
        <v>218</v>
      </c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</row>
    <row r="27" spans="1:103" x14ac:dyDescent="0.3">
      <c r="A27" s="337" t="s">
        <v>437</v>
      </c>
      <c r="B27" s="325" t="s">
        <v>106</v>
      </c>
      <c r="C27" s="325" t="s">
        <v>436</v>
      </c>
      <c r="D27" s="326" t="s">
        <v>435</v>
      </c>
      <c r="E27" s="326">
        <v>537381.16</v>
      </c>
      <c r="F27" s="327">
        <v>43659</v>
      </c>
      <c r="G27" s="327">
        <v>44025</v>
      </c>
      <c r="H27" s="326"/>
      <c r="I27" s="326">
        <v>5.9</v>
      </c>
      <c r="J27" s="326">
        <v>17768.585758916288</v>
      </c>
      <c r="K27" s="326">
        <v>2642.1240366666671</v>
      </c>
      <c r="L27" s="326"/>
      <c r="M27" s="326"/>
      <c r="N27" s="326">
        <v>20410.709795582956</v>
      </c>
      <c r="O27" s="326">
        <v>2642.1240366666671</v>
      </c>
      <c r="P27" s="326"/>
      <c r="Q27" s="326"/>
      <c r="R27" s="326">
        <v>23052.833832249624</v>
      </c>
      <c r="S27" s="326">
        <v>2642.1240366666671</v>
      </c>
      <c r="T27" s="326"/>
      <c r="U27" s="326"/>
      <c r="V27" s="326">
        <v>25694.957868916292</v>
      </c>
      <c r="W27" s="326">
        <v>2730.1948378888892</v>
      </c>
      <c r="X27" s="328"/>
      <c r="Y27" s="326"/>
      <c r="Z27" s="326">
        <v>28425.15270680518</v>
      </c>
      <c r="AA27" s="326">
        <v>2605.9305567123292</v>
      </c>
      <c r="AB27" s="328"/>
      <c r="AC27" s="326"/>
      <c r="AD27" s="326">
        <v>31031.08326351751</v>
      </c>
      <c r="AE27" s="329">
        <v>1129.2365745753427</v>
      </c>
      <c r="AF27" s="329">
        <v>-31413.02</v>
      </c>
      <c r="AG27" s="329">
        <v>-747.3</v>
      </c>
      <c r="AH27" s="329">
        <v>-1.6190714882213797E-4</v>
      </c>
      <c r="AI27" s="330" t="s">
        <v>218</v>
      </c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</row>
    <row r="28" spans="1:103" x14ac:dyDescent="0.3">
      <c r="A28" s="337" t="s">
        <v>419</v>
      </c>
      <c r="B28" s="325" t="s">
        <v>40</v>
      </c>
      <c r="C28" s="325" t="s">
        <v>434</v>
      </c>
      <c r="D28" s="326" t="s">
        <v>433</v>
      </c>
      <c r="E28" s="326">
        <v>1100000</v>
      </c>
      <c r="F28" s="327">
        <v>43658</v>
      </c>
      <c r="G28" s="327">
        <v>44024</v>
      </c>
      <c r="H28" s="326"/>
      <c r="I28" s="326">
        <v>6.4</v>
      </c>
      <c r="J28" s="326">
        <v>39646.879756468792</v>
      </c>
      <c r="K28" s="326">
        <v>5866.6666666666661</v>
      </c>
      <c r="L28" s="326"/>
      <c r="M28" s="326"/>
      <c r="N28" s="326">
        <v>45513.546423135456</v>
      </c>
      <c r="O28" s="326">
        <v>5866.6666666666661</v>
      </c>
      <c r="P28" s="326"/>
      <c r="Q28" s="326"/>
      <c r="R28" s="326">
        <v>51380.213089802121</v>
      </c>
      <c r="S28" s="326">
        <v>5866.6666666666661</v>
      </c>
      <c r="T28" s="326"/>
      <c r="U28" s="326"/>
      <c r="V28" s="326">
        <v>57246.879756468785</v>
      </c>
      <c r="W28" s="326">
        <v>6062.2222222222217</v>
      </c>
      <c r="X28" s="328"/>
      <c r="Y28" s="326"/>
      <c r="Z28" s="326">
        <v>63309.101978691004</v>
      </c>
      <c r="AA28" s="326">
        <v>5786.3013698630139</v>
      </c>
      <c r="AB28" s="328"/>
      <c r="AC28" s="326"/>
      <c r="AD28" s="326">
        <v>69095.403348554013</v>
      </c>
      <c r="AE28" s="329">
        <v>2314.5205479452056</v>
      </c>
      <c r="AF28" s="329">
        <v>-70400</v>
      </c>
      <c r="AG28" s="329">
        <v>-1009.92</v>
      </c>
      <c r="AH28" s="329">
        <v>3.8964992255614561E-3</v>
      </c>
      <c r="AI28" s="330" t="s">
        <v>218</v>
      </c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</row>
    <row r="29" spans="1:103" x14ac:dyDescent="0.3">
      <c r="A29" s="296" t="s">
        <v>432</v>
      </c>
      <c r="B29" s="275" t="s">
        <v>25</v>
      </c>
      <c r="C29" s="275" t="s">
        <v>431</v>
      </c>
      <c r="D29" s="275" t="s">
        <v>430</v>
      </c>
      <c r="E29" s="277">
        <v>100000</v>
      </c>
      <c r="F29" s="275" t="s">
        <v>426</v>
      </c>
      <c r="G29" s="275" t="s">
        <v>425</v>
      </c>
      <c r="H29" s="276"/>
      <c r="I29" s="276">
        <v>4.4000000000000004</v>
      </c>
      <c r="J29" s="276">
        <v>2248.8888888888887</v>
      </c>
      <c r="K29" s="276">
        <v>366.66666666666663</v>
      </c>
      <c r="L29" s="276"/>
      <c r="M29" s="276"/>
      <c r="N29" s="276">
        <v>2615.5555555555552</v>
      </c>
      <c r="O29" s="276">
        <v>366.66666666666663</v>
      </c>
      <c r="P29" s="276"/>
      <c r="Q29" s="276"/>
      <c r="R29" s="276">
        <v>2982.2222222222217</v>
      </c>
      <c r="S29" s="276">
        <v>366.66666666666663</v>
      </c>
      <c r="T29" s="276"/>
      <c r="U29" s="276"/>
      <c r="V29" s="276">
        <v>3348.8888888888882</v>
      </c>
      <c r="W29" s="276">
        <v>378.88888888888886</v>
      </c>
      <c r="X29" s="266"/>
      <c r="Y29" s="276"/>
      <c r="Z29" s="276">
        <v>3727.7777777777769</v>
      </c>
      <c r="AA29" s="276">
        <v>361.64383561643837</v>
      </c>
      <c r="AB29" s="266"/>
      <c r="AC29" s="276"/>
      <c r="AD29" s="276">
        <v>4089.4216133942155</v>
      </c>
      <c r="AE29" s="314">
        <v>373.69863013698631</v>
      </c>
      <c r="AF29" s="314"/>
      <c r="AG29" s="314"/>
      <c r="AH29" s="314">
        <v>4463.1202435312016</v>
      </c>
      <c r="AI29" s="319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</row>
    <row r="30" spans="1:103" x14ac:dyDescent="0.3">
      <c r="A30" s="296" t="s">
        <v>429</v>
      </c>
      <c r="B30" s="275" t="s">
        <v>71</v>
      </c>
      <c r="C30" s="275" t="s">
        <v>428</v>
      </c>
      <c r="D30" s="275" t="s">
        <v>427</v>
      </c>
      <c r="E30" s="277">
        <v>100000</v>
      </c>
      <c r="F30" s="275" t="s">
        <v>426</v>
      </c>
      <c r="G30" s="275" t="s">
        <v>425</v>
      </c>
      <c r="H30" s="276"/>
      <c r="I30" s="276">
        <v>7.4</v>
      </c>
      <c r="J30" s="276">
        <v>3782.2222222222226</v>
      </c>
      <c r="K30" s="276">
        <v>616.66666666666674</v>
      </c>
      <c r="L30" s="276"/>
      <c r="M30" s="276"/>
      <c r="N30" s="276">
        <v>4398.8888888888896</v>
      </c>
      <c r="O30" s="276">
        <v>616.66666666666674</v>
      </c>
      <c r="P30" s="276"/>
      <c r="Q30" s="276"/>
      <c r="R30" s="276">
        <v>5015.5555555555566</v>
      </c>
      <c r="S30" s="276">
        <v>616.66666666666674</v>
      </c>
      <c r="T30" s="276"/>
      <c r="U30" s="276"/>
      <c r="V30" s="276">
        <v>5632.2222222222235</v>
      </c>
      <c r="W30" s="276">
        <v>637.22222222222229</v>
      </c>
      <c r="X30" s="266"/>
      <c r="Y30" s="276"/>
      <c r="Z30" s="276">
        <v>6269.4444444444462</v>
      </c>
      <c r="AA30" s="276">
        <v>608.21917808219189</v>
      </c>
      <c r="AB30" s="266"/>
      <c r="AC30" s="276"/>
      <c r="AD30" s="276">
        <v>6877.6636225266384</v>
      </c>
      <c r="AE30" s="314">
        <v>628.49315068493161</v>
      </c>
      <c r="AF30" s="314"/>
      <c r="AG30" s="314"/>
      <c r="AH30" s="314">
        <v>7506.15677321157</v>
      </c>
      <c r="AI30" s="319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</row>
    <row r="31" spans="1:103" x14ac:dyDescent="0.3">
      <c r="A31" s="296" t="s">
        <v>424</v>
      </c>
      <c r="B31" s="275" t="s">
        <v>64</v>
      </c>
      <c r="C31" s="275" t="s">
        <v>423</v>
      </c>
      <c r="D31" s="275" t="s">
        <v>422</v>
      </c>
      <c r="E31" s="277">
        <v>250000</v>
      </c>
      <c r="F31" s="275" t="s">
        <v>421</v>
      </c>
      <c r="G31" s="275" t="s">
        <v>420</v>
      </c>
      <c r="H31" s="276"/>
      <c r="I31" s="276">
        <v>4.9000000000000004</v>
      </c>
      <c r="J31" s="276">
        <v>6261.1111111111113</v>
      </c>
      <c r="K31" s="276">
        <v>1020.8333333333334</v>
      </c>
      <c r="L31" s="276"/>
      <c r="M31" s="276"/>
      <c r="N31" s="276">
        <v>7281.9444444444443</v>
      </c>
      <c r="O31" s="276">
        <v>1020.8333333333334</v>
      </c>
      <c r="P31" s="276"/>
      <c r="Q31" s="276"/>
      <c r="R31" s="276">
        <v>8302.7777777777774</v>
      </c>
      <c r="S31" s="276">
        <v>1020.8333333333334</v>
      </c>
      <c r="T31" s="276"/>
      <c r="U31" s="276"/>
      <c r="V31" s="276">
        <v>9323.6111111111113</v>
      </c>
      <c r="W31" s="276">
        <v>1054.8611111111111</v>
      </c>
      <c r="X31" s="266"/>
      <c r="Y31" s="276"/>
      <c r="Z31" s="276">
        <v>10378.472222222223</v>
      </c>
      <c r="AA31" s="276">
        <v>1006.8493150684931</v>
      </c>
      <c r="AB31" s="266"/>
      <c r="AC31" s="276"/>
      <c r="AD31" s="276">
        <v>11385.321537290716</v>
      </c>
      <c r="AE31" s="314">
        <v>1040.4109589041095</v>
      </c>
      <c r="AF31" s="314"/>
      <c r="AG31" s="314"/>
      <c r="AH31" s="314">
        <v>12425.732496194825</v>
      </c>
      <c r="AI31" s="319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</row>
    <row r="32" spans="1:103" x14ac:dyDescent="0.3">
      <c r="A32" s="296" t="s">
        <v>419</v>
      </c>
      <c r="B32" s="275" t="s">
        <v>40</v>
      </c>
      <c r="C32" s="275" t="s">
        <v>418</v>
      </c>
      <c r="D32" s="275" t="s">
        <v>417</v>
      </c>
      <c r="E32" s="277">
        <v>2170000</v>
      </c>
      <c r="F32" s="275" t="s">
        <v>416</v>
      </c>
      <c r="G32" s="275" t="s">
        <v>415</v>
      </c>
      <c r="H32" s="276"/>
      <c r="I32" s="276">
        <v>6.4</v>
      </c>
      <c r="J32" s="276">
        <v>70983.111111111109</v>
      </c>
      <c r="K32" s="276">
        <v>11573.333333333334</v>
      </c>
      <c r="L32" s="276"/>
      <c r="M32" s="276"/>
      <c r="N32" s="276">
        <v>82556.444444444438</v>
      </c>
      <c r="O32" s="276">
        <v>11573.333333333334</v>
      </c>
      <c r="P32" s="276"/>
      <c r="Q32" s="276"/>
      <c r="R32" s="276">
        <v>94129.777777777766</v>
      </c>
      <c r="S32" s="276">
        <v>11573.333333333334</v>
      </c>
      <c r="T32" s="276"/>
      <c r="U32" s="276"/>
      <c r="V32" s="276">
        <v>105703.11111111109</v>
      </c>
      <c r="W32" s="276">
        <v>11959.111111111111</v>
      </c>
      <c r="X32" s="266"/>
      <c r="Y32" s="276"/>
      <c r="Z32" s="276">
        <v>117662.2222222222</v>
      </c>
      <c r="AA32" s="276">
        <v>11414.794520547945</v>
      </c>
      <c r="AB32" s="266"/>
      <c r="AC32" s="276"/>
      <c r="AD32" s="276">
        <v>129077.01674277015</v>
      </c>
      <c r="AE32" s="314">
        <v>11795.287671232876</v>
      </c>
      <c r="AF32" s="314"/>
      <c r="AG32" s="314"/>
      <c r="AH32" s="314">
        <v>140872.30441400304</v>
      </c>
      <c r="AI32" s="319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</row>
    <row r="33" spans="1:103" x14ac:dyDescent="0.3">
      <c r="A33" s="296" t="s">
        <v>414</v>
      </c>
      <c r="B33" s="275" t="s">
        <v>50</v>
      </c>
      <c r="C33" s="275" t="s">
        <v>413</v>
      </c>
      <c r="D33" s="275" t="s">
        <v>412</v>
      </c>
      <c r="E33" s="277">
        <v>150000</v>
      </c>
      <c r="F33" s="275" t="s">
        <v>411</v>
      </c>
      <c r="G33" s="275" t="s">
        <v>410</v>
      </c>
      <c r="H33" s="276"/>
      <c r="I33" s="276">
        <v>4.9000000000000004</v>
      </c>
      <c r="J33" s="276">
        <v>3756.666666666667</v>
      </c>
      <c r="K33" s="276">
        <v>612.5</v>
      </c>
      <c r="L33" s="276"/>
      <c r="M33" s="276"/>
      <c r="N33" s="276">
        <v>4369.166666666667</v>
      </c>
      <c r="O33" s="276">
        <v>612.5</v>
      </c>
      <c r="P33" s="276"/>
      <c r="Q33" s="276"/>
      <c r="R33" s="276">
        <v>4981.666666666667</v>
      </c>
      <c r="S33" s="276">
        <v>612.5</v>
      </c>
      <c r="T33" s="276"/>
      <c r="U33" s="276"/>
      <c r="V33" s="276">
        <v>5594.166666666667</v>
      </c>
      <c r="W33" s="276">
        <v>632.91666666666674</v>
      </c>
      <c r="X33" s="266"/>
      <c r="Y33" s="276"/>
      <c r="Z33" s="276">
        <v>6227.0833333333339</v>
      </c>
      <c r="AA33" s="276">
        <v>604.10958904109589</v>
      </c>
      <c r="AB33" s="266"/>
      <c r="AC33" s="276"/>
      <c r="AD33" s="276">
        <v>6831.1929223744301</v>
      </c>
      <c r="AE33" s="314">
        <v>624.24657534246569</v>
      </c>
      <c r="AF33" s="314"/>
      <c r="AG33" s="314"/>
      <c r="AH33" s="314">
        <v>7455.4394977168959</v>
      </c>
      <c r="AI33" s="319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</row>
    <row r="34" spans="1:103" x14ac:dyDescent="0.3">
      <c r="A34" s="296">
        <v>5055</v>
      </c>
      <c r="B34" s="275" t="s">
        <v>159</v>
      </c>
      <c r="C34" s="275" t="s">
        <v>409</v>
      </c>
      <c r="D34" s="275" t="s">
        <v>408</v>
      </c>
      <c r="E34" s="277">
        <v>200000</v>
      </c>
      <c r="F34" s="275" t="s">
        <v>404</v>
      </c>
      <c r="G34" s="275" t="s">
        <v>403</v>
      </c>
      <c r="H34" s="276"/>
      <c r="I34" s="276">
        <v>5.65</v>
      </c>
      <c r="J34" s="276">
        <v>5775.5555555555557</v>
      </c>
      <c r="K34" s="276">
        <v>941.66666666666663</v>
      </c>
      <c r="L34" s="276"/>
      <c r="M34" s="276"/>
      <c r="N34" s="276">
        <v>6717.2222222222226</v>
      </c>
      <c r="O34" s="276">
        <v>941.66666666666663</v>
      </c>
      <c r="P34" s="276"/>
      <c r="Q34" s="276"/>
      <c r="R34" s="276">
        <v>7658.8888888888896</v>
      </c>
      <c r="S34" s="276">
        <v>941.66666666666663</v>
      </c>
      <c r="T34" s="276"/>
      <c r="U34" s="276"/>
      <c r="V34" s="276">
        <v>8600.5555555555566</v>
      </c>
      <c r="W34" s="276">
        <v>973.05555555555554</v>
      </c>
      <c r="X34" s="266"/>
      <c r="Y34" s="276"/>
      <c r="Z34" s="276">
        <v>9573.6111111111113</v>
      </c>
      <c r="AA34" s="276">
        <v>928.76712328767121</v>
      </c>
      <c r="AB34" s="266"/>
      <c r="AC34" s="276"/>
      <c r="AD34" s="276">
        <v>10502.378234398782</v>
      </c>
      <c r="AE34" s="314">
        <v>959.72602739726028</v>
      </c>
      <c r="AF34" s="314"/>
      <c r="AG34" s="314"/>
      <c r="AH34" s="314">
        <v>11462.104261796043</v>
      </c>
      <c r="AI34" s="319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</row>
    <row r="35" spans="1:103" x14ac:dyDescent="0.3">
      <c r="A35" s="296" t="s">
        <v>407</v>
      </c>
      <c r="B35" s="275" t="s">
        <v>53</v>
      </c>
      <c r="C35" s="275" t="s">
        <v>406</v>
      </c>
      <c r="D35" s="275" t="s">
        <v>405</v>
      </c>
      <c r="E35" s="277">
        <v>200000</v>
      </c>
      <c r="F35" s="275" t="s">
        <v>404</v>
      </c>
      <c r="G35" s="275" t="s">
        <v>403</v>
      </c>
      <c r="H35" s="276"/>
      <c r="I35" s="276">
        <v>5.65</v>
      </c>
      <c r="J35" s="276">
        <v>5775.5555555555557</v>
      </c>
      <c r="K35" s="276">
        <v>941.66666666666663</v>
      </c>
      <c r="L35" s="276"/>
      <c r="M35" s="276"/>
      <c r="N35" s="276">
        <v>6717.2222222222226</v>
      </c>
      <c r="O35" s="276">
        <v>941.66666666666663</v>
      </c>
      <c r="P35" s="276"/>
      <c r="Q35" s="276"/>
      <c r="R35" s="276">
        <v>7658.8888888888896</v>
      </c>
      <c r="S35" s="276">
        <v>941.66666666666663</v>
      </c>
      <c r="T35" s="276"/>
      <c r="U35" s="276"/>
      <c r="V35" s="276">
        <v>8600.5555555555566</v>
      </c>
      <c r="W35" s="276">
        <v>973.05555555555554</v>
      </c>
      <c r="X35" s="266"/>
      <c r="Y35" s="276"/>
      <c r="Z35" s="276">
        <v>9573.6111111111113</v>
      </c>
      <c r="AA35" s="276">
        <v>928.76712328767121</v>
      </c>
      <c r="AB35" s="266"/>
      <c r="AC35" s="276"/>
      <c r="AD35" s="276">
        <v>10502.378234398782</v>
      </c>
      <c r="AE35" s="314">
        <v>959.72602739726028</v>
      </c>
      <c r="AF35" s="314"/>
      <c r="AG35" s="314"/>
      <c r="AH35" s="314">
        <v>11462.104261796043</v>
      </c>
      <c r="AI35" s="319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</row>
    <row r="36" spans="1:103" ht="57.6" x14ac:dyDescent="0.3">
      <c r="A36" s="297">
        <v>5031</v>
      </c>
      <c r="B36" s="289" t="s">
        <v>7</v>
      </c>
      <c r="C36" s="289" t="s">
        <v>402</v>
      </c>
      <c r="D36" s="289" t="s">
        <v>401</v>
      </c>
      <c r="E36" s="290">
        <v>300000</v>
      </c>
      <c r="F36" s="278">
        <v>43703</v>
      </c>
      <c r="G36" s="278">
        <v>44069</v>
      </c>
      <c r="H36" s="276"/>
      <c r="I36" s="276">
        <v>6.9</v>
      </c>
      <c r="J36" s="276">
        <v>9027.5</v>
      </c>
      <c r="K36" s="276">
        <v>1725</v>
      </c>
      <c r="L36" s="276"/>
      <c r="M36" s="276"/>
      <c r="N36" s="276">
        <v>10752.5</v>
      </c>
      <c r="O36" s="276">
        <v>1725</v>
      </c>
      <c r="P36" s="276"/>
      <c r="Q36" s="276"/>
      <c r="R36" s="276">
        <v>12477.5</v>
      </c>
      <c r="S36" s="276">
        <v>1725</v>
      </c>
      <c r="T36" s="276"/>
      <c r="U36" s="276"/>
      <c r="V36" s="276">
        <v>14202.5</v>
      </c>
      <c r="W36" s="276">
        <v>1782.5</v>
      </c>
      <c r="X36" s="266"/>
      <c r="Y36" s="276"/>
      <c r="Z36" s="276">
        <v>15985</v>
      </c>
      <c r="AA36" s="276">
        <v>1701.3698630136987</v>
      </c>
      <c r="AB36" s="266"/>
      <c r="AC36" s="276"/>
      <c r="AD36" s="276">
        <v>17686.369863013701</v>
      </c>
      <c r="AE36" s="314">
        <v>1758.0821917808219</v>
      </c>
      <c r="AF36" s="314"/>
      <c r="AG36" s="314"/>
      <c r="AH36" s="314">
        <v>19444.452054794521</v>
      </c>
      <c r="AI36" s="319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</row>
    <row r="37" spans="1:103" ht="57.6" x14ac:dyDescent="0.3">
      <c r="A37" s="297">
        <v>5040</v>
      </c>
      <c r="B37" s="289" t="s">
        <v>59</v>
      </c>
      <c r="C37" s="289" t="s">
        <v>400</v>
      </c>
      <c r="D37" s="289" t="s">
        <v>399</v>
      </c>
      <c r="E37" s="290">
        <v>385377.78</v>
      </c>
      <c r="F37" s="278">
        <v>43943</v>
      </c>
      <c r="G37" s="278">
        <v>44070</v>
      </c>
      <c r="H37" s="276"/>
      <c r="I37" s="276">
        <v>6.4</v>
      </c>
      <c r="J37" s="276"/>
      <c r="K37" s="276"/>
      <c r="L37" s="276"/>
      <c r="M37" s="276"/>
      <c r="N37" s="276"/>
      <c r="O37" s="276"/>
      <c r="P37" s="276"/>
      <c r="Q37" s="276"/>
      <c r="R37" s="279"/>
      <c r="S37" s="279">
        <v>548.09284266666668</v>
      </c>
      <c r="T37" s="277"/>
      <c r="U37" s="276"/>
      <c r="V37" s="276">
        <v>548.09284266666668</v>
      </c>
      <c r="W37" s="276">
        <v>2123.8597653333336</v>
      </c>
      <c r="X37" s="266"/>
      <c r="Y37" s="276"/>
      <c r="Z37" s="276">
        <v>2671.9526080000005</v>
      </c>
      <c r="AA37" s="276">
        <v>2027.1927057534247</v>
      </c>
      <c r="AB37" s="266"/>
      <c r="AC37" s="276"/>
      <c r="AD37" s="276">
        <v>4699.1453137534254</v>
      </c>
      <c r="AE37" s="314">
        <v>2094.7657959452054</v>
      </c>
      <c r="AF37" s="314"/>
      <c r="AG37" s="314"/>
      <c r="AH37" s="314">
        <v>6793.9111096986308</v>
      </c>
      <c r="AI37" s="319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</row>
    <row r="38" spans="1:103" ht="57.6" x14ac:dyDescent="0.3">
      <c r="A38" s="297">
        <v>5063</v>
      </c>
      <c r="B38" s="289" t="s">
        <v>25</v>
      </c>
      <c r="C38" s="289" t="s">
        <v>398</v>
      </c>
      <c r="D38" s="289" t="s">
        <v>397</v>
      </c>
      <c r="E38" s="290">
        <v>173000</v>
      </c>
      <c r="F38" s="278">
        <v>43709</v>
      </c>
      <c r="G38" s="278">
        <v>44075</v>
      </c>
      <c r="H38" s="276"/>
      <c r="I38" s="276">
        <v>4.4000000000000004</v>
      </c>
      <c r="J38" s="276">
        <v>3213.9555555555562</v>
      </c>
      <c r="K38" s="276">
        <v>634.33333333333337</v>
      </c>
      <c r="L38" s="276"/>
      <c r="M38" s="276"/>
      <c r="N38" s="276">
        <v>3848.2888888888897</v>
      </c>
      <c r="O38" s="276">
        <v>634.33333333333337</v>
      </c>
      <c r="P38" s="276"/>
      <c r="Q38" s="276"/>
      <c r="R38" s="276">
        <v>4482.6222222222232</v>
      </c>
      <c r="S38" s="276">
        <v>634.33333333333337</v>
      </c>
      <c r="T38" s="276"/>
      <c r="U38" s="276"/>
      <c r="V38" s="276">
        <v>5116.9555555555562</v>
      </c>
      <c r="W38" s="276">
        <v>655.47777777777787</v>
      </c>
      <c r="X38" s="266"/>
      <c r="Y38" s="276"/>
      <c r="Z38" s="276">
        <v>5772.4333333333343</v>
      </c>
      <c r="AA38" s="276">
        <v>625.64383561643842</v>
      </c>
      <c r="AB38" s="266"/>
      <c r="AC38" s="276"/>
      <c r="AD38" s="276">
        <v>6398.0771689497724</v>
      </c>
      <c r="AE38" s="314">
        <v>646.49863013698643</v>
      </c>
      <c r="AF38" s="314"/>
      <c r="AG38" s="314"/>
      <c r="AH38" s="314">
        <v>7044.5757990867587</v>
      </c>
      <c r="AI38" s="319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</row>
    <row r="39" spans="1:103" ht="57.6" x14ac:dyDescent="0.3">
      <c r="A39" s="297">
        <v>5050</v>
      </c>
      <c r="B39" s="289" t="s">
        <v>31</v>
      </c>
      <c r="C39" s="289" t="s">
        <v>396</v>
      </c>
      <c r="D39" s="289" t="s">
        <v>395</v>
      </c>
      <c r="E39" s="290">
        <v>220000</v>
      </c>
      <c r="F39" s="278">
        <v>43711</v>
      </c>
      <c r="G39" s="278">
        <v>44076</v>
      </c>
      <c r="H39" s="276"/>
      <c r="I39" s="276">
        <v>5.9</v>
      </c>
      <c r="J39" s="276">
        <v>5408.3333333333339</v>
      </c>
      <c r="K39" s="276">
        <v>1081.6666666666667</v>
      </c>
      <c r="L39" s="276"/>
      <c r="M39" s="276"/>
      <c r="N39" s="276">
        <v>6490.0000000000009</v>
      </c>
      <c r="O39" s="276">
        <v>1081.6666666666667</v>
      </c>
      <c r="P39" s="276"/>
      <c r="Q39" s="276"/>
      <c r="R39" s="276">
        <v>7571.6666666666679</v>
      </c>
      <c r="S39" s="276">
        <v>1081.6666666666667</v>
      </c>
      <c r="T39" s="276"/>
      <c r="U39" s="276"/>
      <c r="V39" s="276">
        <v>8653.3333333333339</v>
      </c>
      <c r="W39" s="276">
        <v>1117.7222222222222</v>
      </c>
      <c r="X39" s="266"/>
      <c r="Y39" s="276"/>
      <c r="Z39" s="276">
        <v>9771.0555555555566</v>
      </c>
      <c r="AA39" s="276">
        <v>1066.8493150684931</v>
      </c>
      <c r="AB39" s="266"/>
      <c r="AC39" s="276"/>
      <c r="AD39" s="276">
        <v>10837.90487062405</v>
      </c>
      <c r="AE39" s="314">
        <v>1102.4109589041095</v>
      </c>
      <c r="AF39" s="314"/>
      <c r="AG39" s="314"/>
      <c r="AH39" s="314">
        <v>11940.315829528159</v>
      </c>
      <c r="AI39" s="319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</row>
    <row r="40" spans="1:103" ht="57.6" x14ac:dyDescent="0.3">
      <c r="A40" s="297">
        <v>5050</v>
      </c>
      <c r="B40" s="289" t="s">
        <v>34</v>
      </c>
      <c r="C40" s="289" t="s">
        <v>394</v>
      </c>
      <c r="D40" s="289" t="s">
        <v>393</v>
      </c>
      <c r="E40" s="290">
        <v>300000</v>
      </c>
      <c r="F40" s="278">
        <v>43711</v>
      </c>
      <c r="G40" s="278">
        <v>44077</v>
      </c>
      <c r="H40" s="276"/>
      <c r="I40" s="276">
        <v>5.9</v>
      </c>
      <c r="J40" s="276">
        <v>7374.9999999999982</v>
      </c>
      <c r="K40" s="276">
        <v>1475</v>
      </c>
      <c r="L40" s="276"/>
      <c r="M40" s="276"/>
      <c r="N40" s="276">
        <v>8849.9999999999982</v>
      </c>
      <c r="O40" s="276">
        <v>1475</v>
      </c>
      <c r="P40" s="276"/>
      <c r="Q40" s="276"/>
      <c r="R40" s="276">
        <v>10324.999999999998</v>
      </c>
      <c r="S40" s="276">
        <v>1475</v>
      </c>
      <c r="T40" s="276"/>
      <c r="U40" s="276"/>
      <c r="V40" s="276">
        <v>11799.999999999998</v>
      </c>
      <c r="W40" s="276">
        <v>1524.1666666666665</v>
      </c>
      <c r="X40" s="266"/>
      <c r="Y40" s="276"/>
      <c r="Z40" s="276">
        <v>13324.166666666664</v>
      </c>
      <c r="AA40" s="276">
        <v>1454.7945205479452</v>
      </c>
      <c r="AB40" s="266"/>
      <c r="AC40" s="276"/>
      <c r="AD40" s="276">
        <v>14778.961187214609</v>
      </c>
      <c r="AE40" s="314">
        <v>1503.2876712328766</v>
      </c>
      <c r="AF40" s="314"/>
      <c r="AG40" s="314"/>
      <c r="AH40" s="314">
        <v>16282.248858447485</v>
      </c>
      <c r="AI40" s="319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</row>
    <row r="41" spans="1:103" ht="57.6" x14ac:dyDescent="0.3">
      <c r="A41" s="297">
        <v>5062</v>
      </c>
      <c r="B41" s="289" t="s">
        <v>390</v>
      </c>
      <c r="C41" s="289" t="s">
        <v>392</v>
      </c>
      <c r="D41" s="289" t="s">
        <v>391</v>
      </c>
      <c r="E41" s="290">
        <v>100000</v>
      </c>
      <c r="F41" s="278">
        <v>43709</v>
      </c>
      <c r="G41" s="278">
        <v>44078</v>
      </c>
      <c r="H41" s="276"/>
      <c r="I41" s="276">
        <v>5.9</v>
      </c>
      <c r="J41" s="276">
        <v>2491.1111111111113</v>
      </c>
      <c r="K41" s="276">
        <v>491.66666666666669</v>
      </c>
      <c r="L41" s="276"/>
      <c r="M41" s="276"/>
      <c r="N41" s="276">
        <v>2982.7777777777778</v>
      </c>
      <c r="O41" s="276">
        <v>491.66666666666669</v>
      </c>
      <c r="P41" s="276"/>
      <c r="Q41" s="276"/>
      <c r="R41" s="276">
        <v>3474.4444444444443</v>
      </c>
      <c r="S41" s="276">
        <v>491.66666666666669</v>
      </c>
      <c r="T41" s="276"/>
      <c r="U41" s="276"/>
      <c r="V41" s="276">
        <v>3966.1111111111109</v>
      </c>
      <c r="W41" s="276">
        <v>508.05555555555554</v>
      </c>
      <c r="X41" s="266"/>
      <c r="Y41" s="276"/>
      <c r="Z41" s="276">
        <v>4474.1666666666661</v>
      </c>
      <c r="AA41" s="276">
        <v>484.93150684931504</v>
      </c>
      <c r="AB41" s="266"/>
      <c r="AC41" s="276"/>
      <c r="AD41" s="276">
        <v>4959.0981735159812</v>
      </c>
      <c r="AE41" s="314">
        <v>501.09589041095887</v>
      </c>
      <c r="AF41" s="314"/>
      <c r="AG41" s="314"/>
      <c r="AH41" s="314">
        <v>5460.1940639269396</v>
      </c>
      <c r="AI41" s="319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1"/>
      <c r="BV41" s="311"/>
      <c r="BW41" s="311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11"/>
      <c r="CK41" s="311"/>
      <c r="CL41" s="311"/>
      <c r="CM41" s="311"/>
      <c r="CN41" s="311"/>
      <c r="CO41" s="311"/>
      <c r="CP41" s="311"/>
      <c r="CQ41" s="311"/>
      <c r="CR41" s="311"/>
      <c r="CS41" s="311"/>
      <c r="CT41" s="311"/>
      <c r="CU41" s="311"/>
      <c r="CV41" s="311"/>
      <c r="CW41" s="311"/>
      <c r="CX41" s="311"/>
      <c r="CY41" s="311"/>
    </row>
    <row r="42" spans="1:103" ht="57.6" x14ac:dyDescent="0.3">
      <c r="A42" s="297">
        <v>5062</v>
      </c>
      <c r="B42" s="289" t="s">
        <v>390</v>
      </c>
      <c r="C42" s="289" t="s">
        <v>389</v>
      </c>
      <c r="D42" s="289" t="s">
        <v>388</v>
      </c>
      <c r="E42" s="290">
        <v>950000</v>
      </c>
      <c r="F42" s="278">
        <v>43709</v>
      </c>
      <c r="G42" s="278">
        <v>44079</v>
      </c>
      <c r="H42" s="276"/>
      <c r="I42" s="276">
        <v>5.9</v>
      </c>
      <c r="J42" s="276">
        <v>23665.555555555558</v>
      </c>
      <c r="K42" s="276">
        <v>4670.8333333333339</v>
      </c>
      <c r="L42" s="276"/>
      <c r="M42" s="276"/>
      <c r="N42" s="276">
        <v>28336.388888888891</v>
      </c>
      <c r="O42" s="276">
        <v>4670.8333333333339</v>
      </c>
      <c r="P42" s="276"/>
      <c r="Q42" s="276"/>
      <c r="R42" s="276">
        <v>33007.222222222226</v>
      </c>
      <c r="S42" s="276">
        <v>4670.8333333333339</v>
      </c>
      <c r="T42" s="276"/>
      <c r="U42" s="276"/>
      <c r="V42" s="276">
        <v>37678.055555555562</v>
      </c>
      <c r="W42" s="276">
        <v>4826.5277777777783</v>
      </c>
      <c r="X42" s="266"/>
      <c r="Y42" s="276"/>
      <c r="Z42" s="276">
        <v>42504.583333333343</v>
      </c>
      <c r="AA42" s="276">
        <v>4606.8493150684935</v>
      </c>
      <c r="AB42" s="266"/>
      <c r="AC42" s="276"/>
      <c r="AD42" s="276">
        <v>47111.432648401838</v>
      </c>
      <c r="AE42" s="314">
        <v>4760.41095890411</v>
      </c>
      <c r="AF42" s="314"/>
      <c r="AG42" s="314"/>
      <c r="AH42" s="314">
        <v>51871.843607305949</v>
      </c>
      <c r="AI42" s="319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/>
      <c r="BU42" s="311"/>
      <c r="BV42" s="311"/>
      <c r="BW42" s="311"/>
      <c r="BX42" s="311"/>
      <c r="BY42" s="311"/>
      <c r="BZ42" s="311"/>
      <c r="CA42" s="311"/>
      <c r="CB42" s="311"/>
      <c r="CC42" s="311"/>
      <c r="CD42" s="311"/>
      <c r="CE42" s="311"/>
      <c r="CF42" s="311"/>
      <c r="CG42" s="311"/>
      <c r="CH42" s="311"/>
      <c r="CI42" s="311"/>
      <c r="CJ42" s="311"/>
      <c r="CK42" s="311"/>
      <c r="CL42" s="311"/>
      <c r="CM42" s="311"/>
      <c r="CN42" s="311"/>
      <c r="CO42" s="311"/>
      <c r="CP42" s="311"/>
      <c r="CQ42" s="311"/>
      <c r="CR42" s="311"/>
      <c r="CS42" s="311"/>
      <c r="CT42" s="311"/>
      <c r="CU42" s="311"/>
      <c r="CV42" s="311"/>
      <c r="CW42" s="311"/>
      <c r="CX42" s="311"/>
      <c r="CY42" s="311"/>
    </row>
    <row r="43" spans="1:103" ht="57.6" x14ac:dyDescent="0.3">
      <c r="A43" s="297">
        <v>5056</v>
      </c>
      <c r="B43" s="289" t="s">
        <v>47</v>
      </c>
      <c r="C43" s="289" t="s">
        <v>387</v>
      </c>
      <c r="D43" s="289" t="s">
        <v>386</v>
      </c>
      <c r="E43" s="290">
        <v>160000</v>
      </c>
      <c r="F43" s="278">
        <v>43709</v>
      </c>
      <c r="G43" s="278">
        <v>44080</v>
      </c>
      <c r="H43" s="276"/>
      <c r="I43" s="276">
        <v>6.4</v>
      </c>
      <c r="J43" s="276">
        <v>4323.5555555555557</v>
      </c>
      <c r="K43" s="276">
        <v>853.33333333333326</v>
      </c>
      <c r="L43" s="276"/>
      <c r="M43" s="276"/>
      <c r="N43" s="276">
        <v>5176.8888888888887</v>
      </c>
      <c r="O43" s="276">
        <v>853.33333333333326</v>
      </c>
      <c r="P43" s="276"/>
      <c r="Q43" s="276"/>
      <c r="R43" s="276">
        <v>6030.2222222222217</v>
      </c>
      <c r="S43" s="276">
        <v>853.33333333333326</v>
      </c>
      <c r="T43" s="276"/>
      <c r="U43" s="276"/>
      <c r="V43" s="276">
        <v>6883.5555555555547</v>
      </c>
      <c r="W43" s="276">
        <v>881.77777777777771</v>
      </c>
      <c r="X43" s="266"/>
      <c r="Y43" s="276"/>
      <c r="Z43" s="276">
        <v>7765.3333333333321</v>
      </c>
      <c r="AA43" s="276">
        <v>841.64383561643831</v>
      </c>
      <c r="AB43" s="266"/>
      <c r="AC43" s="276"/>
      <c r="AD43" s="276">
        <v>8606.9771689497702</v>
      </c>
      <c r="AE43" s="314">
        <v>869.69863013698625</v>
      </c>
      <c r="AF43" s="314"/>
      <c r="AG43" s="314"/>
      <c r="AH43" s="314">
        <v>9476.6757990867573</v>
      </c>
      <c r="AI43" s="319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1"/>
      <c r="BB43" s="311"/>
      <c r="BC43" s="311"/>
      <c r="BD43" s="311"/>
      <c r="BE43" s="311"/>
      <c r="BF43" s="311"/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/>
      <c r="BU43" s="311"/>
      <c r="BV43" s="311"/>
      <c r="BW43" s="311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11"/>
      <c r="CK43" s="311"/>
      <c r="CL43" s="311"/>
      <c r="CM43" s="311"/>
      <c r="CN43" s="311"/>
      <c r="CO43" s="311"/>
      <c r="CP43" s="311"/>
      <c r="CQ43" s="311"/>
      <c r="CR43" s="311"/>
      <c r="CS43" s="311"/>
      <c r="CT43" s="311"/>
      <c r="CU43" s="311"/>
      <c r="CV43" s="311"/>
      <c r="CW43" s="311"/>
      <c r="CX43" s="311"/>
      <c r="CY43" s="311"/>
    </row>
    <row r="44" spans="1:103" ht="57.6" x14ac:dyDescent="0.3">
      <c r="A44" s="340">
        <v>5063</v>
      </c>
      <c r="B44" s="341" t="s">
        <v>77</v>
      </c>
      <c r="C44" s="341" t="s">
        <v>385</v>
      </c>
      <c r="D44" s="341" t="s">
        <v>384</v>
      </c>
      <c r="E44" s="336">
        <v>240000</v>
      </c>
      <c r="F44" s="338">
        <v>43668</v>
      </c>
      <c r="G44" s="338">
        <v>44081</v>
      </c>
      <c r="H44" s="326"/>
      <c r="I44" s="326">
        <v>5.4</v>
      </c>
      <c r="J44" s="326">
        <v>6912.0000000000009</v>
      </c>
      <c r="K44" s="326">
        <v>1080.0000000000002</v>
      </c>
      <c r="L44" s="326"/>
      <c r="M44" s="326"/>
      <c r="N44" s="326">
        <v>7992.0000000000009</v>
      </c>
      <c r="O44" s="326">
        <v>1080.0000000000002</v>
      </c>
      <c r="P44" s="326"/>
      <c r="Q44" s="326"/>
      <c r="R44" s="326">
        <v>9072.0000000000018</v>
      </c>
      <c r="S44" s="326">
        <v>1080.0000000000002</v>
      </c>
      <c r="T44" s="326"/>
      <c r="U44" s="326"/>
      <c r="V44" s="326">
        <v>10152.000000000002</v>
      </c>
      <c r="W44" s="326">
        <v>1116.0000000000002</v>
      </c>
      <c r="X44" s="328"/>
      <c r="Y44" s="326"/>
      <c r="Z44" s="326">
        <v>11268.000000000002</v>
      </c>
      <c r="AA44" s="326">
        <v>1065.205479452055</v>
      </c>
      <c r="AB44" s="328"/>
      <c r="AC44" s="326"/>
      <c r="AD44" s="326">
        <v>12333.205479452057</v>
      </c>
      <c r="AE44" s="329">
        <v>1100.7123287671236</v>
      </c>
      <c r="AF44" s="329">
        <v>-12960</v>
      </c>
      <c r="AG44" s="329">
        <v>-473.92</v>
      </c>
      <c r="AH44" s="329">
        <v>-2.1917808189186871E-3</v>
      </c>
      <c r="AI44" s="330" t="s">
        <v>96</v>
      </c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/>
      <c r="AY44" s="311"/>
      <c r="AZ44" s="311"/>
      <c r="BA44" s="311"/>
      <c r="BB44" s="311"/>
      <c r="BC44" s="311"/>
      <c r="BD44" s="311"/>
      <c r="BE44" s="311"/>
      <c r="BF44" s="311"/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/>
      <c r="BU44" s="311"/>
      <c r="BV44" s="311"/>
      <c r="BW44" s="311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11"/>
      <c r="CK44" s="311"/>
      <c r="CL44" s="311"/>
      <c r="CM44" s="311"/>
      <c r="CN44" s="311"/>
      <c r="CO44" s="311"/>
      <c r="CP44" s="311"/>
      <c r="CQ44" s="311"/>
      <c r="CR44" s="311"/>
      <c r="CS44" s="311"/>
      <c r="CT44" s="311"/>
      <c r="CU44" s="311"/>
      <c r="CV44" s="311"/>
      <c r="CW44" s="311"/>
      <c r="CX44" s="311"/>
      <c r="CY44" s="311"/>
    </row>
    <row r="45" spans="1:103" ht="57.6" x14ac:dyDescent="0.3">
      <c r="A45" s="297">
        <v>5057</v>
      </c>
      <c r="B45" s="289" t="s">
        <v>22</v>
      </c>
      <c r="C45" s="289" t="s">
        <v>383</v>
      </c>
      <c r="D45" s="289" t="s">
        <v>382</v>
      </c>
      <c r="E45" s="290">
        <v>600000</v>
      </c>
      <c r="F45" s="278">
        <v>43728</v>
      </c>
      <c r="G45" s="278">
        <v>44082</v>
      </c>
      <c r="H45" s="276"/>
      <c r="I45" s="276">
        <v>6.6</v>
      </c>
      <c r="J45" s="276">
        <v>14630</v>
      </c>
      <c r="K45" s="276">
        <v>3300</v>
      </c>
      <c r="L45" s="276"/>
      <c r="M45" s="276"/>
      <c r="N45" s="276">
        <v>17930</v>
      </c>
      <c r="O45" s="276">
        <v>3300</v>
      </c>
      <c r="P45" s="276"/>
      <c r="Q45" s="276"/>
      <c r="R45" s="276">
        <v>21230</v>
      </c>
      <c r="S45" s="276">
        <v>3300</v>
      </c>
      <c r="T45" s="276"/>
      <c r="U45" s="276"/>
      <c r="V45" s="276">
        <v>24530</v>
      </c>
      <c r="W45" s="276">
        <v>3410</v>
      </c>
      <c r="X45" s="266"/>
      <c r="Y45" s="276"/>
      <c r="Z45" s="276">
        <v>27940</v>
      </c>
      <c r="AA45" s="276">
        <v>3254.794520547945</v>
      </c>
      <c r="AB45" s="266"/>
      <c r="AC45" s="276"/>
      <c r="AD45" s="276">
        <v>31194.794520547945</v>
      </c>
      <c r="AE45" s="314">
        <v>3363.2876712328766</v>
      </c>
      <c r="AF45" s="314"/>
      <c r="AG45" s="314"/>
      <c r="AH45" s="314">
        <v>34558.082191780821</v>
      </c>
      <c r="AI45" s="319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311"/>
      <c r="BN45" s="311"/>
      <c r="BO45" s="311"/>
      <c r="BP45" s="311"/>
      <c r="BQ45" s="311"/>
      <c r="BR45" s="311"/>
      <c r="BS45" s="311"/>
      <c r="BT45" s="311"/>
      <c r="BU45" s="311"/>
      <c r="BV45" s="311"/>
      <c r="BW45" s="311"/>
      <c r="BX45" s="311"/>
      <c r="BY45" s="311"/>
      <c r="BZ45" s="311"/>
      <c r="CA45" s="311"/>
      <c r="CB45" s="311"/>
      <c r="CC45" s="311"/>
      <c r="CD45" s="311"/>
      <c r="CE45" s="311"/>
      <c r="CF45" s="311"/>
      <c r="CG45" s="311"/>
      <c r="CH45" s="311"/>
      <c r="CI45" s="311"/>
      <c r="CJ45" s="311"/>
      <c r="CK45" s="311"/>
      <c r="CL45" s="311"/>
      <c r="CM45" s="311"/>
      <c r="CN45" s="311"/>
      <c r="CO45" s="311"/>
      <c r="CP45" s="311"/>
      <c r="CQ45" s="311"/>
      <c r="CR45" s="311"/>
      <c r="CS45" s="311"/>
      <c r="CT45" s="311"/>
      <c r="CU45" s="311"/>
      <c r="CV45" s="311"/>
      <c r="CW45" s="311"/>
      <c r="CX45" s="311"/>
      <c r="CY45" s="311"/>
    </row>
    <row r="46" spans="1:103" ht="57.6" x14ac:dyDescent="0.3">
      <c r="A46" s="297">
        <v>5060</v>
      </c>
      <c r="B46" s="289" t="s">
        <v>37</v>
      </c>
      <c r="C46" s="289" t="s">
        <v>381</v>
      </c>
      <c r="D46" s="289" t="s">
        <v>380</v>
      </c>
      <c r="E46" s="290">
        <v>650000</v>
      </c>
      <c r="F46" s="278">
        <v>43710</v>
      </c>
      <c r="G46" s="278">
        <v>44083</v>
      </c>
      <c r="H46" s="276"/>
      <c r="I46" s="276">
        <v>2.9</v>
      </c>
      <c r="J46" s="276">
        <v>7906.5277777777774</v>
      </c>
      <c r="K46" s="276">
        <v>1570.8333333333335</v>
      </c>
      <c r="L46" s="276"/>
      <c r="M46" s="276"/>
      <c r="N46" s="276">
        <v>9477.3611111111113</v>
      </c>
      <c r="O46" s="276">
        <v>1570.8333333333335</v>
      </c>
      <c r="P46" s="276"/>
      <c r="Q46" s="276"/>
      <c r="R46" s="276">
        <v>11048.194444444445</v>
      </c>
      <c r="S46" s="276">
        <v>1570.8333333333335</v>
      </c>
      <c r="T46" s="276"/>
      <c r="U46" s="276"/>
      <c r="V46" s="276">
        <v>12619.027777777779</v>
      </c>
      <c r="W46" s="276">
        <v>1623.1944444444446</v>
      </c>
      <c r="X46" s="266"/>
      <c r="Y46" s="276"/>
      <c r="Z46" s="276">
        <v>14242.222222222224</v>
      </c>
      <c r="AA46" s="276">
        <v>1549.3150684931509</v>
      </c>
      <c r="AB46" s="266"/>
      <c r="AC46" s="276"/>
      <c r="AD46" s="276">
        <v>15791.537290715376</v>
      </c>
      <c r="AE46" s="314">
        <v>1600.9589041095892</v>
      </c>
      <c r="AF46" s="314"/>
      <c r="AG46" s="314"/>
      <c r="AH46" s="314">
        <v>17392.496194824966</v>
      </c>
      <c r="AI46" s="319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311"/>
      <c r="BN46" s="311"/>
      <c r="BO46" s="311"/>
      <c r="BP46" s="311"/>
      <c r="BQ46" s="311"/>
      <c r="BR46" s="311"/>
      <c r="BS46" s="311"/>
      <c r="BT46" s="311"/>
      <c r="BU46" s="311"/>
      <c r="BV46" s="311"/>
      <c r="BW46" s="311"/>
      <c r="BX46" s="311"/>
      <c r="BY46" s="311"/>
      <c r="BZ46" s="311"/>
      <c r="CA46" s="311"/>
      <c r="CB46" s="311"/>
      <c r="CC46" s="311"/>
      <c r="CD46" s="311"/>
      <c r="CE46" s="311"/>
      <c r="CF46" s="311"/>
      <c r="CG46" s="311"/>
      <c r="CH46" s="311"/>
      <c r="CI46" s="311"/>
      <c r="CJ46" s="311"/>
      <c r="CK46" s="311"/>
      <c r="CL46" s="311"/>
      <c r="CM46" s="311"/>
      <c r="CN46" s="311"/>
      <c r="CO46" s="311"/>
      <c r="CP46" s="311"/>
      <c r="CQ46" s="311"/>
      <c r="CR46" s="311"/>
      <c r="CS46" s="311"/>
      <c r="CT46" s="311"/>
      <c r="CU46" s="311"/>
      <c r="CV46" s="311"/>
      <c r="CW46" s="311"/>
      <c r="CX46" s="311"/>
      <c r="CY46" s="311"/>
    </row>
    <row r="47" spans="1:103" ht="57.6" x14ac:dyDescent="0.3">
      <c r="A47" s="297">
        <v>5060</v>
      </c>
      <c r="B47" s="289" t="s">
        <v>19</v>
      </c>
      <c r="C47" s="289" t="s">
        <v>379</v>
      </c>
      <c r="D47" s="289" t="s">
        <v>378</v>
      </c>
      <c r="E47" s="290">
        <v>330000</v>
      </c>
      <c r="F47" s="278">
        <v>43732</v>
      </c>
      <c r="G47" s="278">
        <v>44084</v>
      </c>
      <c r="H47" s="276"/>
      <c r="I47" s="276">
        <v>1.9</v>
      </c>
      <c r="J47" s="276">
        <v>2246.75</v>
      </c>
      <c r="K47" s="276">
        <v>522.5</v>
      </c>
      <c r="L47" s="276"/>
      <c r="M47" s="276"/>
      <c r="N47" s="276">
        <v>2769.25</v>
      </c>
      <c r="O47" s="276">
        <v>522.5</v>
      </c>
      <c r="P47" s="276"/>
      <c r="Q47" s="276"/>
      <c r="R47" s="276">
        <v>3291.75</v>
      </c>
      <c r="S47" s="276">
        <v>522.5</v>
      </c>
      <c r="T47" s="276"/>
      <c r="U47" s="276"/>
      <c r="V47" s="276">
        <v>3814.25</v>
      </c>
      <c r="W47" s="276">
        <v>539.91666666666674</v>
      </c>
      <c r="X47" s="266"/>
      <c r="Y47" s="276"/>
      <c r="Z47" s="276">
        <v>4354.166666666667</v>
      </c>
      <c r="AA47" s="276">
        <v>515.34246575342456</v>
      </c>
      <c r="AB47" s="266"/>
      <c r="AC47" s="276"/>
      <c r="AD47" s="276">
        <v>4869.5091324200912</v>
      </c>
      <c r="AE47" s="314">
        <v>532.52054794520541</v>
      </c>
      <c r="AF47" s="314"/>
      <c r="AG47" s="314"/>
      <c r="AH47" s="314">
        <v>5402.0296803652964</v>
      </c>
      <c r="AI47" s="319"/>
      <c r="AJ47" s="311"/>
      <c r="AK47" s="311"/>
      <c r="AL47" s="311"/>
      <c r="AM47" s="311"/>
      <c r="AN47" s="311"/>
      <c r="AO47" s="311"/>
      <c r="AP47" s="311"/>
      <c r="AQ47" s="311"/>
      <c r="AR47" s="311"/>
      <c r="AS47" s="311"/>
      <c r="AT47" s="311"/>
      <c r="AU47" s="311"/>
      <c r="AV47" s="311"/>
      <c r="AW47" s="311"/>
      <c r="AX47" s="311"/>
      <c r="AY47" s="311"/>
      <c r="AZ47" s="311"/>
      <c r="BA47" s="311"/>
      <c r="BB47" s="311"/>
      <c r="BC47" s="311"/>
      <c r="BD47" s="311"/>
      <c r="BE47" s="311"/>
      <c r="BF47" s="311"/>
      <c r="BG47" s="311"/>
      <c r="BH47" s="311"/>
      <c r="BI47" s="311"/>
      <c r="BJ47" s="311"/>
      <c r="BK47" s="311"/>
      <c r="BL47" s="311"/>
      <c r="BM47" s="311"/>
      <c r="BN47" s="311"/>
      <c r="BO47" s="311"/>
      <c r="BP47" s="311"/>
      <c r="BQ47" s="311"/>
      <c r="BR47" s="311"/>
      <c r="BS47" s="311"/>
      <c r="BT47" s="311"/>
      <c r="BU47" s="311"/>
      <c r="BV47" s="311"/>
      <c r="BW47" s="311"/>
      <c r="BX47" s="311"/>
      <c r="BY47" s="311"/>
      <c r="BZ47" s="311"/>
      <c r="CA47" s="311"/>
      <c r="CB47" s="311"/>
      <c r="CC47" s="311"/>
      <c r="CD47" s="311"/>
      <c r="CE47" s="311"/>
      <c r="CF47" s="311"/>
      <c r="CG47" s="311"/>
      <c r="CH47" s="311"/>
      <c r="CI47" s="311"/>
      <c r="CJ47" s="311"/>
      <c r="CK47" s="311"/>
      <c r="CL47" s="311"/>
      <c r="CM47" s="311"/>
      <c r="CN47" s="311"/>
      <c r="CO47" s="311"/>
      <c r="CP47" s="311"/>
      <c r="CQ47" s="311"/>
      <c r="CR47" s="311"/>
      <c r="CS47" s="311"/>
      <c r="CT47" s="311"/>
      <c r="CU47" s="311"/>
      <c r="CV47" s="311"/>
      <c r="CW47" s="311"/>
      <c r="CX47" s="311"/>
      <c r="CY47" s="311"/>
    </row>
    <row r="48" spans="1:103" ht="43.2" x14ac:dyDescent="0.3">
      <c r="A48" s="297">
        <v>5063</v>
      </c>
      <c r="B48" s="289" t="s">
        <v>13</v>
      </c>
      <c r="C48" s="289" t="s">
        <v>377</v>
      </c>
      <c r="D48" s="289" t="s">
        <v>376</v>
      </c>
      <c r="E48" s="290">
        <v>50000</v>
      </c>
      <c r="F48" s="278">
        <v>43733</v>
      </c>
      <c r="G48" s="278">
        <v>44085</v>
      </c>
      <c r="H48" s="276"/>
      <c r="I48" s="276">
        <v>4.6500000000000004</v>
      </c>
      <c r="J48" s="276">
        <v>826.66666666666686</v>
      </c>
      <c r="K48" s="276">
        <v>193.75000000000006</v>
      </c>
      <c r="L48" s="276"/>
      <c r="M48" s="276"/>
      <c r="N48" s="276">
        <v>1020.416666666667</v>
      </c>
      <c r="O48" s="276">
        <v>193.75000000000006</v>
      </c>
      <c r="P48" s="276"/>
      <c r="Q48" s="276"/>
      <c r="R48" s="276">
        <v>1214.166666666667</v>
      </c>
      <c r="S48" s="276">
        <v>193.75000000000006</v>
      </c>
      <c r="T48" s="276"/>
      <c r="U48" s="276"/>
      <c r="V48" s="276">
        <v>1407.916666666667</v>
      </c>
      <c r="W48" s="276">
        <v>200.20833333333337</v>
      </c>
      <c r="X48" s="266"/>
      <c r="Y48" s="276"/>
      <c r="Z48" s="276">
        <v>1608.1250000000005</v>
      </c>
      <c r="AA48" s="276">
        <v>191.09589041095893</v>
      </c>
      <c r="AB48" s="266"/>
      <c r="AC48" s="276"/>
      <c r="AD48" s="276">
        <v>1799.2208904109593</v>
      </c>
      <c r="AE48" s="314">
        <v>197.46575342465758</v>
      </c>
      <c r="AF48" s="314"/>
      <c r="AG48" s="314"/>
      <c r="AH48" s="314">
        <v>1996.6866438356169</v>
      </c>
      <c r="AI48" s="319"/>
      <c r="AJ48" s="311"/>
      <c r="AK48" s="311"/>
      <c r="AL48" s="311"/>
      <c r="AM48" s="311"/>
      <c r="AN48" s="311"/>
      <c r="AO48" s="311"/>
      <c r="AP48" s="311"/>
      <c r="AQ48" s="311"/>
      <c r="AR48" s="311"/>
      <c r="AS48" s="311"/>
      <c r="AT48" s="311"/>
      <c r="AU48" s="311"/>
      <c r="AV48" s="311"/>
      <c r="AW48" s="311"/>
      <c r="AX48" s="311"/>
      <c r="AY48" s="311"/>
      <c r="AZ48" s="311"/>
      <c r="BA48" s="311"/>
      <c r="BB48" s="311"/>
      <c r="BC48" s="311"/>
      <c r="BD48" s="311"/>
      <c r="BE48" s="311"/>
      <c r="BF48" s="311"/>
      <c r="BG48" s="311"/>
      <c r="BH48" s="311"/>
      <c r="BI48" s="311"/>
      <c r="BJ48" s="311"/>
      <c r="BK48" s="311"/>
      <c r="BL48" s="311"/>
      <c r="BM48" s="311"/>
      <c r="BN48" s="311"/>
      <c r="BO48" s="311"/>
      <c r="BP48" s="311"/>
      <c r="BQ48" s="311"/>
      <c r="BR48" s="311"/>
      <c r="BS48" s="311"/>
      <c r="BT48" s="311"/>
      <c r="BU48" s="311"/>
      <c r="BV48" s="311"/>
      <c r="BW48" s="311"/>
      <c r="BX48" s="311"/>
      <c r="BY48" s="311"/>
      <c r="BZ48" s="311"/>
      <c r="CA48" s="311"/>
      <c r="CB48" s="311"/>
      <c r="CC48" s="311"/>
      <c r="CD48" s="311"/>
      <c r="CE48" s="311"/>
      <c r="CF48" s="311"/>
      <c r="CG48" s="311"/>
      <c r="CH48" s="311"/>
      <c r="CI48" s="311"/>
      <c r="CJ48" s="311"/>
      <c r="CK48" s="311"/>
      <c r="CL48" s="311"/>
      <c r="CM48" s="311"/>
      <c r="CN48" s="311"/>
      <c r="CO48" s="311"/>
      <c r="CP48" s="311"/>
      <c r="CQ48" s="311"/>
      <c r="CR48" s="311"/>
      <c r="CS48" s="311"/>
      <c r="CT48" s="311"/>
      <c r="CU48" s="311"/>
      <c r="CV48" s="311"/>
      <c r="CW48" s="311"/>
      <c r="CX48" s="311"/>
      <c r="CY48" s="311"/>
    </row>
    <row r="49" spans="1:103" ht="57.6" x14ac:dyDescent="0.3">
      <c r="A49" s="297">
        <v>5063</v>
      </c>
      <c r="B49" s="289" t="s">
        <v>13</v>
      </c>
      <c r="C49" s="289" t="s">
        <v>375</v>
      </c>
      <c r="D49" s="289" t="s">
        <v>374</v>
      </c>
      <c r="E49" s="290">
        <v>200000</v>
      </c>
      <c r="F49" s="278">
        <v>43735</v>
      </c>
      <c r="G49" s="278">
        <v>44086</v>
      </c>
      <c r="H49" s="276"/>
      <c r="I49" s="276">
        <v>8.9</v>
      </c>
      <c r="J49" s="276">
        <v>6230.0000000000018</v>
      </c>
      <c r="K49" s="276">
        <v>1483.3333333333337</v>
      </c>
      <c r="L49" s="276"/>
      <c r="M49" s="276"/>
      <c r="N49" s="276">
        <v>7713.3333333333358</v>
      </c>
      <c r="O49" s="276">
        <v>1483.3333333333337</v>
      </c>
      <c r="P49" s="276"/>
      <c r="Q49" s="276"/>
      <c r="R49" s="276">
        <v>9196.6666666666697</v>
      </c>
      <c r="S49" s="276">
        <v>1483.3333333333337</v>
      </c>
      <c r="T49" s="276"/>
      <c r="U49" s="276"/>
      <c r="V49" s="276">
        <v>10680.000000000004</v>
      </c>
      <c r="W49" s="276">
        <v>1532.7777777777783</v>
      </c>
      <c r="X49" s="266"/>
      <c r="Y49" s="276"/>
      <c r="Z49" s="276">
        <v>12212.777777777781</v>
      </c>
      <c r="AA49" s="276">
        <v>1463.0136986301372</v>
      </c>
      <c r="AB49" s="266"/>
      <c r="AC49" s="276"/>
      <c r="AD49" s="276">
        <v>13675.791476407918</v>
      </c>
      <c r="AE49" s="314">
        <v>1511.7808219178085</v>
      </c>
      <c r="AF49" s="314"/>
      <c r="AG49" s="314"/>
      <c r="AH49" s="314">
        <v>15187.572298325726</v>
      </c>
      <c r="AI49" s="319"/>
      <c r="AJ49" s="311"/>
      <c r="AK49" s="311"/>
      <c r="AL49" s="311"/>
      <c r="AM49" s="311"/>
      <c r="AN49" s="311"/>
      <c r="AO49" s="311"/>
      <c r="AP49" s="311"/>
      <c r="AQ49" s="311"/>
      <c r="AR49" s="311"/>
      <c r="AS49" s="311"/>
      <c r="AT49" s="311"/>
      <c r="AU49" s="311"/>
      <c r="AV49" s="311"/>
      <c r="AW49" s="311"/>
      <c r="AX49" s="311"/>
      <c r="AY49" s="311"/>
      <c r="AZ49" s="311"/>
      <c r="BA49" s="311"/>
      <c r="BB49" s="311"/>
      <c r="BC49" s="311"/>
      <c r="BD49" s="311"/>
      <c r="BE49" s="311"/>
      <c r="BF49" s="311"/>
      <c r="BG49" s="311"/>
      <c r="BH49" s="311"/>
      <c r="BI49" s="311"/>
      <c r="BJ49" s="311"/>
      <c r="BK49" s="311"/>
      <c r="BL49" s="311"/>
      <c r="BM49" s="311"/>
      <c r="BN49" s="311"/>
      <c r="BO49" s="311"/>
      <c r="BP49" s="311"/>
      <c r="BQ49" s="311"/>
      <c r="BR49" s="311"/>
      <c r="BS49" s="311"/>
      <c r="BT49" s="311"/>
      <c r="BU49" s="311"/>
      <c r="BV49" s="311"/>
      <c r="BW49" s="311"/>
      <c r="BX49" s="311"/>
      <c r="BY49" s="311"/>
      <c r="BZ49" s="311"/>
      <c r="CA49" s="311"/>
      <c r="CB49" s="311"/>
      <c r="CC49" s="311"/>
      <c r="CD49" s="311"/>
      <c r="CE49" s="311"/>
      <c r="CF49" s="311"/>
      <c r="CG49" s="311"/>
      <c r="CH49" s="311"/>
      <c r="CI49" s="311"/>
      <c r="CJ49" s="311"/>
      <c r="CK49" s="311"/>
      <c r="CL49" s="311"/>
      <c r="CM49" s="311"/>
      <c r="CN49" s="311"/>
      <c r="CO49" s="311"/>
      <c r="CP49" s="311"/>
      <c r="CQ49" s="311"/>
      <c r="CR49" s="311"/>
      <c r="CS49" s="311"/>
      <c r="CT49" s="311"/>
      <c r="CU49" s="311"/>
      <c r="CV49" s="311"/>
      <c r="CW49" s="311"/>
      <c r="CX49" s="311"/>
      <c r="CY49" s="311"/>
    </row>
    <row r="50" spans="1:103" ht="57.6" x14ac:dyDescent="0.3">
      <c r="A50" s="297">
        <v>5057</v>
      </c>
      <c r="B50" s="289" t="s">
        <v>74</v>
      </c>
      <c r="C50" s="289" t="s">
        <v>373</v>
      </c>
      <c r="D50" s="289" t="s">
        <v>372</v>
      </c>
      <c r="E50" s="290">
        <v>170000</v>
      </c>
      <c r="F50" s="278">
        <v>43739</v>
      </c>
      <c r="G50" s="278">
        <v>44105</v>
      </c>
      <c r="H50" s="276"/>
      <c r="I50" s="276">
        <v>3.4</v>
      </c>
      <c r="J50" s="276">
        <v>1958.7777777777778</v>
      </c>
      <c r="K50" s="276">
        <v>481.66666666666674</v>
      </c>
      <c r="L50" s="276"/>
      <c r="M50" s="276"/>
      <c r="N50" s="276">
        <v>2440.4444444444443</v>
      </c>
      <c r="O50" s="276">
        <v>481.66666666666674</v>
      </c>
      <c r="P50" s="276"/>
      <c r="Q50" s="276"/>
      <c r="R50" s="276">
        <v>2922.1111111111113</v>
      </c>
      <c r="S50" s="276">
        <v>481.66666666666674</v>
      </c>
      <c r="T50" s="276"/>
      <c r="U50" s="276"/>
      <c r="V50" s="276">
        <v>3403.7777777777783</v>
      </c>
      <c r="W50" s="276">
        <v>497.72222222222229</v>
      </c>
      <c r="X50" s="266"/>
      <c r="Y50" s="276"/>
      <c r="Z50" s="276">
        <v>3901.5000000000005</v>
      </c>
      <c r="AA50" s="276">
        <v>475.0684931506849</v>
      </c>
      <c r="AB50" s="266"/>
      <c r="AC50" s="276"/>
      <c r="AD50" s="276">
        <v>4376.5684931506858</v>
      </c>
      <c r="AE50" s="314">
        <v>490.90410958904107</v>
      </c>
      <c r="AF50" s="314"/>
      <c r="AG50" s="314"/>
      <c r="AH50" s="314">
        <v>4867.4726027397264</v>
      </c>
      <c r="AI50" s="319"/>
      <c r="AJ50" s="311"/>
      <c r="AK50" s="311"/>
      <c r="AL50" s="311"/>
      <c r="AM50" s="311"/>
      <c r="AN50" s="311"/>
      <c r="AO50" s="311"/>
      <c r="AP50" s="311"/>
      <c r="AQ50" s="311"/>
      <c r="AR50" s="311"/>
      <c r="AS50" s="311"/>
      <c r="AT50" s="311"/>
      <c r="AU50" s="311"/>
      <c r="AV50" s="311"/>
      <c r="AW50" s="311"/>
      <c r="AX50" s="311"/>
      <c r="AY50" s="311"/>
      <c r="AZ50" s="311"/>
      <c r="BA50" s="311"/>
      <c r="BB50" s="311"/>
      <c r="BC50" s="311"/>
      <c r="BD50" s="311"/>
      <c r="BE50" s="311"/>
      <c r="BF50" s="311"/>
      <c r="BG50" s="311"/>
      <c r="BH50" s="311"/>
      <c r="BI50" s="311"/>
      <c r="BJ50" s="311"/>
      <c r="BK50" s="311"/>
      <c r="BL50" s="311"/>
      <c r="BM50" s="311"/>
      <c r="BN50" s="311"/>
      <c r="BO50" s="311"/>
      <c r="BP50" s="311"/>
      <c r="BQ50" s="311"/>
      <c r="BR50" s="311"/>
      <c r="BS50" s="311"/>
      <c r="BT50" s="311"/>
      <c r="BU50" s="311"/>
      <c r="BV50" s="311"/>
      <c r="BW50" s="311"/>
      <c r="BX50" s="311"/>
      <c r="BY50" s="311"/>
      <c r="BZ50" s="311"/>
      <c r="CA50" s="311"/>
      <c r="CB50" s="311"/>
      <c r="CC50" s="311"/>
      <c r="CD50" s="311"/>
      <c r="CE50" s="311"/>
      <c r="CF50" s="311"/>
      <c r="CG50" s="311"/>
      <c r="CH50" s="311"/>
      <c r="CI50" s="311"/>
      <c r="CJ50" s="311"/>
      <c r="CK50" s="311"/>
      <c r="CL50" s="311"/>
      <c r="CM50" s="311"/>
      <c r="CN50" s="311"/>
      <c r="CO50" s="311"/>
      <c r="CP50" s="311"/>
      <c r="CQ50" s="311"/>
      <c r="CR50" s="311"/>
      <c r="CS50" s="311"/>
      <c r="CT50" s="311"/>
      <c r="CU50" s="311"/>
      <c r="CV50" s="311"/>
      <c r="CW50" s="311"/>
      <c r="CX50" s="311"/>
      <c r="CY50" s="311"/>
    </row>
    <row r="51" spans="1:103" ht="57.6" x14ac:dyDescent="0.3">
      <c r="A51" s="297">
        <v>5063</v>
      </c>
      <c r="B51" s="289" t="s">
        <v>25</v>
      </c>
      <c r="C51" s="289" t="s">
        <v>371</v>
      </c>
      <c r="D51" s="289" t="s">
        <v>370</v>
      </c>
      <c r="E51" s="290">
        <v>188000</v>
      </c>
      <c r="F51" s="278">
        <v>43739</v>
      </c>
      <c r="G51" s="278">
        <v>44105</v>
      </c>
      <c r="H51" s="276"/>
      <c r="I51" s="276">
        <v>4.4000000000000004</v>
      </c>
      <c r="J51" s="276">
        <v>2803.2888888888892</v>
      </c>
      <c r="K51" s="276">
        <v>689.33333333333337</v>
      </c>
      <c r="L51" s="276"/>
      <c r="M51" s="276"/>
      <c r="N51" s="276">
        <v>3492.6222222222227</v>
      </c>
      <c r="O51" s="276">
        <v>689.33333333333337</v>
      </c>
      <c r="P51" s="276"/>
      <c r="Q51" s="276"/>
      <c r="R51" s="276">
        <v>4181.9555555555562</v>
      </c>
      <c r="S51" s="276">
        <v>689.33333333333337</v>
      </c>
      <c r="T51" s="276"/>
      <c r="U51" s="276"/>
      <c r="V51" s="276">
        <v>4871.2888888888892</v>
      </c>
      <c r="W51" s="276">
        <v>712.31111111111113</v>
      </c>
      <c r="X51" s="266"/>
      <c r="Y51" s="276"/>
      <c r="Z51" s="276">
        <v>5583.6</v>
      </c>
      <c r="AA51" s="276">
        <v>679.89041095890411</v>
      </c>
      <c r="AB51" s="266"/>
      <c r="AC51" s="276"/>
      <c r="AD51" s="276">
        <v>6263.4904109589042</v>
      </c>
      <c r="AE51" s="314">
        <v>702.55342465753426</v>
      </c>
      <c r="AF51" s="314"/>
      <c r="AG51" s="314"/>
      <c r="AH51" s="314">
        <v>6966.0438356164386</v>
      </c>
      <c r="AI51" s="319"/>
      <c r="AJ51" s="311"/>
      <c r="AK51" s="311"/>
      <c r="AL51" s="311"/>
      <c r="AM51" s="311"/>
      <c r="AN51" s="311"/>
      <c r="AO51" s="311"/>
      <c r="AP51" s="311"/>
      <c r="AQ51" s="311"/>
      <c r="AR51" s="311"/>
      <c r="AS51" s="311"/>
      <c r="AT51" s="311"/>
      <c r="AU51" s="311"/>
      <c r="AV51" s="311"/>
      <c r="AW51" s="311"/>
      <c r="AX51" s="311"/>
      <c r="AY51" s="311"/>
      <c r="AZ51" s="311"/>
      <c r="BA51" s="311"/>
      <c r="BB51" s="311"/>
      <c r="BC51" s="311"/>
      <c r="BD51" s="311"/>
      <c r="BE51" s="311"/>
      <c r="BF51" s="311"/>
      <c r="BG51" s="311"/>
      <c r="BH51" s="311"/>
      <c r="BI51" s="311"/>
      <c r="BJ51" s="311"/>
      <c r="BK51" s="311"/>
      <c r="BL51" s="311"/>
      <c r="BM51" s="311"/>
      <c r="BN51" s="311"/>
      <c r="BO51" s="311"/>
      <c r="BP51" s="311"/>
      <c r="BQ51" s="311"/>
      <c r="BR51" s="311"/>
      <c r="BS51" s="311"/>
      <c r="BT51" s="311"/>
      <c r="BU51" s="311"/>
      <c r="BV51" s="311"/>
      <c r="BW51" s="311"/>
      <c r="BX51" s="311"/>
      <c r="BY51" s="311"/>
      <c r="BZ51" s="311"/>
      <c r="CA51" s="311"/>
      <c r="CB51" s="311"/>
      <c r="CC51" s="311"/>
      <c r="CD51" s="311"/>
      <c r="CE51" s="311"/>
      <c r="CF51" s="311"/>
      <c r="CG51" s="311"/>
      <c r="CH51" s="311"/>
      <c r="CI51" s="311"/>
      <c r="CJ51" s="311"/>
      <c r="CK51" s="311"/>
      <c r="CL51" s="311"/>
      <c r="CM51" s="311"/>
      <c r="CN51" s="311"/>
      <c r="CO51" s="311"/>
      <c r="CP51" s="311"/>
      <c r="CQ51" s="311"/>
      <c r="CR51" s="311"/>
      <c r="CS51" s="311"/>
      <c r="CT51" s="311"/>
      <c r="CU51" s="311"/>
      <c r="CV51" s="311"/>
      <c r="CW51" s="311"/>
      <c r="CX51" s="311"/>
      <c r="CY51" s="311"/>
    </row>
    <row r="52" spans="1:103" ht="57.6" x14ac:dyDescent="0.3">
      <c r="A52" s="297">
        <v>5005</v>
      </c>
      <c r="B52" s="289" t="s">
        <v>10</v>
      </c>
      <c r="C52" s="289" t="s">
        <v>369</v>
      </c>
      <c r="D52" s="289" t="s">
        <v>368</v>
      </c>
      <c r="E52" s="290">
        <v>300000</v>
      </c>
      <c r="F52" s="278">
        <v>43739</v>
      </c>
      <c r="G52" s="278">
        <v>44105</v>
      </c>
      <c r="H52" s="276"/>
      <c r="I52" s="276">
        <v>0.4</v>
      </c>
      <c r="J52" s="276">
        <v>406.66666666666674</v>
      </c>
      <c r="K52" s="276">
        <v>100</v>
      </c>
      <c r="L52" s="276"/>
      <c r="M52" s="276"/>
      <c r="N52" s="276">
        <v>506.66666666666674</v>
      </c>
      <c r="O52" s="276">
        <v>100</v>
      </c>
      <c r="P52" s="276"/>
      <c r="Q52" s="276"/>
      <c r="R52" s="276">
        <v>606.66666666666674</v>
      </c>
      <c r="S52" s="276">
        <v>100</v>
      </c>
      <c r="T52" s="276"/>
      <c r="U52" s="276"/>
      <c r="V52" s="276">
        <v>706.66666666666674</v>
      </c>
      <c r="W52" s="276">
        <v>103.33333333333334</v>
      </c>
      <c r="X52" s="266"/>
      <c r="Y52" s="276"/>
      <c r="Z52" s="276">
        <v>810.00000000000011</v>
      </c>
      <c r="AA52" s="276">
        <v>98.630136986301366</v>
      </c>
      <c r="AB52" s="266"/>
      <c r="AC52" s="276"/>
      <c r="AD52" s="276">
        <v>908.63013698630152</v>
      </c>
      <c r="AE52" s="314">
        <v>101.91780821917807</v>
      </c>
      <c r="AF52" s="314"/>
      <c r="AG52" s="314"/>
      <c r="AH52" s="314">
        <v>1010.5479452054796</v>
      </c>
      <c r="AI52" s="319"/>
      <c r="AJ52" s="311"/>
      <c r="AK52" s="311"/>
      <c r="AL52" s="311"/>
      <c r="AM52" s="311"/>
      <c r="AN52" s="311"/>
      <c r="AO52" s="311"/>
      <c r="AP52" s="311"/>
      <c r="AQ52" s="311"/>
      <c r="AR52" s="311"/>
      <c r="AS52" s="311"/>
      <c r="AT52" s="311"/>
      <c r="AU52" s="311"/>
      <c r="AV52" s="311"/>
      <c r="AW52" s="311"/>
      <c r="AX52" s="311"/>
      <c r="AY52" s="311"/>
      <c r="AZ52" s="311"/>
      <c r="BA52" s="311"/>
      <c r="BB52" s="311"/>
      <c r="BC52" s="311"/>
      <c r="BD52" s="311"/>
      <c r="BE52" s="311"/>
      <c r="BF52" s="311"/>
      <c r="BG52" s="311"/>
      <c r="BH52" s="311"/>
      <c r="BI52" s="311"/>
      <c r="BJ52" s="311"/>
      <c r="BK52" s="311"/>
      <c r="BL52" s="311"/>
      <c r="BM52" s="311"/>
      <c r="BN52" s="311"/>
      <c r="BO52" s="311"/>
      <c r="BP52" s="311"/>
      <c r="BQ52" s="311"/>
      <c r="BR52" s="311"/>
      <c r="BS52" s="311"/>
      <c r="BT52" s="311"/>
      <c r="BU52" s="311"/>
      <c r="BV52" s="311"/>
      <c r="BW52" s="311"/>
      <c r="BX52" s="311"/>
      <c r="BY52" s="311"/>
      <c r="BZ52" s="311"/>
      <c r="CA52" s="311"/>
      <c r="CB52" s="311"/>
      <c r="CC52" s="311"/>
      <c r="CD52" s="311"/>
      <c r="CE52" s="311"/>
      <c r="CF52" s="311"/>
      <c r="CG52" s="311"/>
      <c r="CH52" s="311"/>
      <c r="CI52" s="311"/>
      <c r="CJ52" s="311"/>
      <c r="CK52" s="311"/>
      <c r="CL52" s="311"/>
      <c r="CM52" s="311"/>
      <c r="CN52" s="311"/>
      <c r="CO52" s="311"/>
      <c r="CP52" s="311"/>
      <c r="CQ52" s="311"/>
      <c r="CR52" s="311"/>
      <c r="CS52" s="311"/>
      <c r="CT52" s="311"/>
      <c r="CU52" s="311"/>
      <c r="CV52" s="311"/>
      <c r="CW52" s="311"/>
      <c r="CX52" s="311"/>
      <c r="CY52" s="311"/>
    </row>
    <row r="53" spans="1:103" ht="57.6" x14ac:dyDescent="0.3">
      <c r="A53" s="297">
        <v>5063</v>
      </c>
      <c r="B53" s="289" t="s">
        <v>77</v>
      </c>
      <c r="C53" s="289" t="s">
        <v>367</v>
      </c>
      <c r="D53" s="289" t="s">
        <v>366</v>
      </c>
      <c r="E53" s="290">
        <v>50000</v>
      </c>
      <c r="F53" s="278">
        <v>43745</v>
      </c>
      <c r="G53" s="278">
        <v>44111</v>
      </c>
      <c r="H53" s="276"/>
      <c r="I53" s="276">
        <v>5.4</v>
      </c>
      <c r="J53" s="276">
        <v>915.00000000000011</v>
      </c>
      <c r="K53" s="276">
        <v>225.00000000000003</v>
      </c>
      <c r="L53" s="276"/>
      <c r="M53" s="276"/>
      <c r="N53" s="276">
        <v>1140.0000000000002</v>
      </c>
      <c r="O53" s="276">
        <v>225.00000000000003</v>
      </c>
      <c r="P53" s="276"/>
      <c r="Q53" s="276"/>
      <c r="R53" s="276">
        <v>1365.0000000000002</v>
      </c>
      <c r="S53" s="276">
        <v>225.00000000000003</v>
      </c>
      <c r="T53" s="276"/>
      <c r="U53" s="276"/>
      <c r="V53" s="276">
        <v>1590.0000000000002</v>
      </c>
      <c r="W53" s="276">
        <v>232.50000000000003</v>
      </c>
      <c r="X53" s="266"/>
      <c r="Y53" s="276"/>
      <c r="Z53" s="276">
        <v>1822.5000000000002</v>
      </c>
      <c r="AA53" s="276">
        <v>221.91780821917811</v>
      </c>
      <c r="AB53" s="266"/>
      <c r="AC53" s="276"/>
      <c r="AD53" s="276">
        <v>2044.4178082191784</v>
      </c>
      <c r="AE53" s="314">
        <v>229.31506849315073</v>
      </c>
      <c r="AF53" s="314"/>
      <c r="AG53" s="314"/>
      <c r="AH53" s="314">
        <v>2273.732876712329</v>
      </c>
      <c r="AI53" s="319"/>
      <c r="AJ53" s="311"/>
      <c r="AK53" s="311"/>
      <c r="AL53" s="311"/>
      <c r="AM53" s="311"/>
      <c r="AN53" s="311"/>
      <c r="AO53" s="311"/>
      <c r="AP53" s="311"/>
      <c r="AQ53" s="311"/>
      <c r="AR53" s="311"/>
      <c r="AS53" s="311"/>
      <c r="AT53" s="311"/>
      <c r="AU53" s="311"/>
      <c r="AV53" s="311"/>
      <c r="AW53" s="311"/>
      <c r="AX53" s="311"/>
      <c r="AY53" s="311"/>
      <c r="AZ53" s="311"/>
      <c r="BA53" s="311"/>
      <c r="BB53" s="311"/>
      <c r="BC53" s="311"/>
      <c r="BD53" s="311"/>
      <c r="BE53" s="311"/>
      <c r="BF53" s="311"/>
      <c r="BG53" s="311"/>
      <c r="BH53" s="311"/>
      <c r="BI53" s="311"/>
      <c r="BJ53" s="311"/>
      <c r="BK53" s="311"/>
      <c r="BL53" s="311"/>
      <c r="BM53" s="311"/>
      <c r="BN53" s="311"/>
      <c r="BO53" s="311"/>
      <c r="BP53" s="311"/>
      <c r="BQ53" s="311"/>
      <c r="BR53" s="311"/>
      <c r="BS53" s="311"/>
      <c r="BT53" s="311"/>
      <c r="BU53" s="311"/>
      <c r="BV53" s="311"/>
      <c r="BW53" s="311"/>
      <c r="BX53" s="311"/>
      <c r="BY53" s="311"/>
      <c r="BZ53" s="311"/>
      <c r="CA53" s="311"/>
      <c r="CB53" s="311"/>
      <c r="CC53" s="311"/>
      <c r="CD53" s="311"/>
      <c r="CE53" s="311"/>
      <c r="CF53" s="311"/>
      <c r="CG53" s="311"/>
      <c r="CH53" s="311"/>
      <c r="CI53" s="311"/>
      <c r="CJ53" s="311"/>
      <c r="CK53" s="311"/>
      <c r="CL53" s="311"/>
      <c r="CM53" s="311"/>
      <c r="CN53" s="311"/>
      <c r="CO53" s="311"/>
      <c r="CP53" s="311"/>
      <c r="CQ53" s="311"/>
      <c r="CR53" s="311"/>
      <c r="CS53" s="311"/>
      <c r="CT53" s="311"/>
      <c r="CU53" s="311"/>
      <c r="CV53" s="311"/>
      <c r="CW53" s="311"/>
      <c r="CX53" s="311"/>
      <c r="CY53" s="311"/>
    </row>
    <row r="54" spans="1:103" ht="57.6" x14ac:dyDescent="0.3">
      <c r="A54" s="297">
        <v>5060</v>
      </c>
      <c r="B54" s="289" t="s">
        <v>16</v>
      </c>
      <c r="C54" s="289" t="s">
        <v>365</v>
      </c>
      <c r="D54" s="289" t="s">
        <v>364</v>
      </c>
      <c r="E54" s="290">
        <v>25000</v>
      </c>
      <c r="F54" s="278">
        <v>43748</v>
      </c>
      <c r="G54" s="278">
        <v>44114</v>
      </c>
      <c r="H54" s="276"/>
      <c r="I54" s="276">
        <v>1.9</v>
      </c>
      <c r="J54" s="276">
        <v>149.09722222222223</v>
      </c>
      <c r="K54" s="276">
        <v>39.583333333333336</v>
      </c>
      <c r="L54" s="276"/>
      <c r="M54" s="276"/>
      <c r="N54" s="276">
        <v>188.68055555555557</v>
      </c>
      <c r="O54" s="276">
        <v>39.583333333333336</v>
      </c>
      <c r="P54" s="276"/>
      <c r="Q54" s="276"/>
      <c r="R54" s="276">
        <v>228.26388888888891</v>
      </c>
      <c r="S54" s="276">
        <v>39.583333333333336</v>
      </c>
      <c r="T54" s="276"/>
      <c r="U54" s="276"/>
      <c r="V54" s="276">
        <v>267.84722222222223</v>
      </c>
      <c r="W54" s="276">
        <v>40.902777777777779</v>
      </c>
      <c r="X54" s="266"/>
      <c r="Y54" s="276"/>
      <c r="Z54" s="276">
        <v>308.75</v>
      </c>
      <c r="AA54" s="276">
        <v>39.041095890410965</v>
      </c>
      <c r="AB54" s="266"/>
      <c r="AC54" s="276"/>
      <c r="AD54" s="276">
        <v>347.79109589041099</v>
      </c>
      <c r="AE54" s="314">
        <v>40.342465753424662</v>
      </c>
      <c r="AF54" s="314"/>
      <c r="AG54" s="314"/>
      <c r="AH54" s="314">
        <v>388.13356164383566</v>
      </c>
      <c r="AI54" s="319"/>
      <c r="AJ54" s="311"/>
      <c r="AK54" s="311"/>
      <c r="AL54" s="311"/>
      <c r="AM54" s="311"/>
      <c r="AN54" s="311"/>
      <c r="AO54" s="311"/>
      <c r="AP54" s="311"/>
      <c r="AQ54" s="311"/>
      <c r="AR54" s="311"/>
      <c r="AS54" s="311"/>
      <c r="AT54" s="311"/>
      <c r="AU54" s="311"/>
      <c r="AV54" s="311"/>
      <c r="AW54" s="311"/>
      <c r="AX54" s="311"/>
      <c r="AY54" s="311"/>
      <c r="AZ54" s="311"/>
      <c r="BA54" s="311"/>
      <c r="BB54" s="311"/>
      <c r="BC54" s="311"/>
      <c r="BD54" s="311"/>
      <c r="BE54" s="311"/>
      <c r="BF54" s="311"/>
      <c r="BG54" s="311"/>
      <c r="BH54" s="311"/>
      <c r="BI54" s="311"/>
      <c r="BJ54" s="311"/>
      <c r="BK54" s="311"/>
      <c r="BL54" s="311"/>
      <c r="BM54" s="311"/>
      <c r="BN54" s="311"/>
      <c r="BO54" s="311"/>
      <c r="BP54" s="311"/>
      <c r="BQ54" s="311"/>
      <c r="BR54" s="311"/>
      <c r="BS54" s="311"/>
      <c r="BT54" s="311"/>
      <c r="BU54" s="311"/>
      <c r="BV54" s="311"/>
      <c r="BW54" s="311"/>
      <c r="BX54" s="311"/>
      <c r="BY54" s="311"/>
      <c r="BZ54" s="311"/>
      <c r="CA54" s="311"/>
      <c r="CB54" s="311"/>
      <c r="CC54" s="311"/>
      <c r="CD54" s="311"/>
      <c r="CE54" s="311"/>
      <c r="CF54" s="311"/>
      <c r="CG54" s="311"/>
      <c r="CH54" s="311"/>
      <c r="CI54" s="311"/>
      <c r="CJ54" s="311"/>
      <c r="CK54" s="311"/>
      <c r="CL54" s="311"/>
      <c r="CM54" s="311"/>
      <c r="CN54" s="311"/>
      <c r="CO54" s="311"/>
      <c r="CP54" s="311"/>
      <c r="CQ54" s="311"/>
      <c r="CR54" s="311"/>
      <c r="CS54" s="311"/>
      <c r="CT54" s="311"/>
      <c r="CU54" s="311"/>
      <c r="CV54" s="311"/>
      <c r="CW54" s="311"/>
      <c r="CX54" s="311"/>
      <c r="CY54" s="311"/>
    </row>
    <row r="55" spans="1:103" ht="57.6" x14ac:dyDescent="0.3">
      <c r="A55" s="297">
        <v>5060</v>
      </c>
      <c r="B55" s="289" t="s">
        <v>19</v>
      </c>
      <c r="C55" s="289" t="s">
        <v>363</v>
      </c>
      <c r="D55" s="289" t="s">
        <v>362</v>
      </c>
      <c r="E55" s="290">
        <v>25000</v>
      </c>
      <c r="F55" s="278">
        <v>43748</v>
      </c>
      <c r="G55" s="278">
        <v>44114</v>
      </c>
      <c r="H55" s="276"/>
      <c r="I55" s="276">
        <v>1.9</v>
      </c>
      <c r="J55" s="276">
        <v>149.09722222222223</v>
      </c>
      <c r="K55" s="276">
        <v>39.583333333333336</v>
      </c>
      <c r="L55" s="276"/>
      <c r="M55" s="276"/>
      <c r="N55" s="276">
        <v>188.68055555555557</v>
      </c>
      <c r="O55" s="276">
        <v>39.583333333333336</v>
      </c>
      <c r="P55" s="276"/>
      <c r="Q55" s="276"/>
      <c r="R55" s="276">
        <v>228.26388888888891</v>
      </c>
      <c r="S55" s="276">
        <v>39.583333333333336</v>
      </c>
      <c r="T55" s="276"/>
      <c r="U55" s="276"/>
      <c r="V55" s="276">
        <v>267.84722222222223</v>
      </c>
      <c r="W55" s="276">
        <v>40.902777777777779</v>
      </c>
      <c r="X55" s="266"/>
      <c r="Y55" s="276"/>
      <c r="Z55" s="276">
        <v>308.75</v>
      </c>
      <c r="AA55" s="276">
        <v>39.041095890410965</v>
      </c>
      <c r="AB55" s="266"/>
      <c r="AC55" s="276"/>
      <c r="AD55" s="276">
        <v>347.79109589041099</v>
      </c>
      <c r="AE55" s="314">
        <v>40.342465753424662</v>
      </c>
      <c r="AF55" s="314"/>
      <c r="AG55" s="314"/>
      <c r="AH55" s="314">
        <v>388.13356164383566</v>
      </c>
      <c r="AI55" s="319"/>
      <c r="AJ55" s="311"/>
      <c r="AK55" s="311"/>
      <c r="AL55" s="311"/>
      <c r="AM55" s="311"/>
      <c r="AN55" s="311"/>
      <c r="AO55" s="311"/>
      <c r="AP55" s="311"/>
      <c r="AQ55" s="311"/>
      <c r="AR55" s="311"/>
      <c r="AS55" s="311"/>
      <c r="AT55" s="311"/>
      <c r="AU55" s="311"/>
      <c r="AV55" s="311"/>
      <c r="AW55" s="311"/>
      <c r="AX55" s="311"/>
      <c r="AY55" s="311"/>
      <c r="AZ55" s="311"/>
      <c r="BA55" s="311"/>
      <c r="BB55" s="311"/>
      <c r="BC55" s="311"/>
      <c r="BD55" s="311"/>
      <c r="BE55" s="311"/>
      <c r="BF55" s="311"/>
      <c r="BG55" s="311"/>
      <c r="BH55" s="311"/>
      <c r="BI55" s="311"/>
      <c r="BJ55" s="311"/>
      <c r="BK55" s="311"/>
      <c r="BL55" s="311"/>
      <c r="BM55" s="311"/>
      <c r="BN55" s="311"/>
      <c r="BO55" s="311"/>
      <c r="BP55" s="311"/>
      <c r="BQ55" s="311"/>
      <c r="BR55" s="311"/>
      <c r="BS55" s="311"/>
      <c r="BT55" s="311"/>
      <c r="BU55" s="311"/>
      <c r="BV55" s="311"/>
      <c r="BW55" s="311"/>
      <c r="BX55" s="311"/>
      <c r="BY55" s="311"/>
      <c r="BZ55" s="311"/>
      <c r="CA55" s="311"/>
      <c r="CB55" s="311"/>
      <c r="CC55" s="311"/>
      <c r="CD55" s="311"/>
      <c r="CE55" s="311"/>
      <c r="CF55" s="311"/>
      <c r="CG55" s="311"/>
      <c r="CH55" s="311"/>
      <c r="CI55" s="311"/>
      <c r="CJ55" s="311"/>
      <c r="CK55" s="311"/>
      <c r="CL55" s="311"/>
      <c r="CM55" s="311"/>
      <c r="CN55" s="311"/>
      <c r="CO55" s="311"/>
      <c r="CP55" s="311"/>
      <c r="CQ55" s="311"/>
      <c r="CR55" s="311"/>
      <c r="CS55" s="311"/>
      <c r="CT55" s="311"/>
      <c r="CU55" s="311"/>
      <c r="CV55" s="311"/>
      <c r="CW55" s="311"/>
      <c r="CX55" s="311"/>
      <c r="CY55" s="311"/>
    </row>
    <row r="56" spans="1:103" ht="57.6" x14ac:dyDescent="0.3">
      <c r="A56" s="297">
        <v>5031</v>
      </c>
      <c r="B56" s="289" t="s">
        <v>329</v>
      </c>
      <c r="C56" s="289" t="s">
        <v>361</v>
      </c>
      <c r="D56" s="289" t="s">
        <v>360</v>
      </c>
      <c r="E56" s="290"/>
      <c r="F56" s="278">
        <v>43748</v>
      </c>
      <c r="G56" s="278">
        <v>44114</v>
      </c>
      <c r="H56" s="276"/>
      <c r="I56" s="276">
        <v>5.5</v>
      </c>
      <c r="J56" s="276">
        <v>12947.916666666664</v>
      </c>
      <c r="K56" s="276">
        <v>3437.5</v>
      </c>
      <c r="L56" s="276"/>
      <c r="M56" s="276"/>
      <c r="N56" s="276">
        <v>16385.416666666664</v>
      </c>
      <c r="O56" s="276">
        <v>3437.5</v>
      </c>
      <c r="P56" s="276"/>
      <c r="Q56" s="276"/>
      <c r="R56" s="276">
        <v>19822.916666666664</v>
      </c>
      <c r="S56" s="276">
        <v>3437.5</v>
      </c>
      <c r="T56" s="276"/>
      <c r="U56" s="276"/>
      <c r="V56" s="276">
        <v>23260.416666666664</v>
      </c>
      <c r="W56" s="276">
        <v>3552.083333333333</v>
      </c>
      <c r="X56" s="266"/>
      <c r="Y56" s="276"/>
      <c r="Z56" s="276">
        <v>26812.499999999996</v>
      </c>
      <c r="AA56" s="276">
        <v>0</v>
      </c>
      <c r="AB56" s="266">
        <v>-26823.77</v>
      </c>
      <c r="AC56" s="276">
        <v>11.27</v>
      </c>
      <c r="AD56" s="276">
        <v>-4.0749625895841746E-12</v>
      </c>
      <c r="AE56" s="314">
        <v>0</v>
      </c>
      <c r="AF56" s="314"/>
      <c r="AG56" s="314"/>
      <c r="AH56" s="314">
        <v>-4.0749625895841746E-12</v>
      </c>
      <c r="AI56" s="319" t="s">
        <v>96</v>
      </c>
      <c r="AJ56" s="311"/>
      <c r="AK56" s="311"/>
      <c r="AL56" s="311"/>
      <c r="AM56" s="311"/>
      <c r="AN56" s="311"/>
      <c r="AO56" s="311"/>
      <c r="AP56" s="311"/>
      <c r="AQ56" s="311"/>
      <c r="AR56" s="311"/>
      <c r="AS56" s="311"/>
      <c r="AT56" s="311"/>
      <c r="AU56" s="311"/>
      <c r="AV56" s="311"/>
      <c r="AW56" s="311"/>
      <c r="AX56" s="311"/>
      <c r="AY56" s="311"/>
      <c r="AZ56" s="311"/>
      <c r="BA56" s="311"/>
      <c r="BB56" s="311"/>
      <c r="BC56" s="311"/>
      <c r="BD56" s="311"/>
      <c r="BE56" s="311"/>
      <c r="BF56" s="311"/>
      <c r="BG56" s="311"/>
      <c r="BH56" s="311"/>
      <c r="BI56" s="311"/>
      <c r="BJ56" s="311"/>
      <c r="BK56" s="311"/>
      <c r="BL56" s="311"/>
      <c r="BM56" s="311"/>
      <c r="BN56" s="311"/>
      <c r="BO56" s="311"/>
      <c r="BP56" s="311"/>
      <c r="BQ56" s="311"/>
      <c r="BR56" s="311"/>
      <c r="BS56" s="311"/>
      <c r="BT56" s="311"/>
      <c r="BU56" s="311"/>
      <c r="BV56" s="311"/>
      <c r="BW56" s="311"/>
      <c r="BX56" s="311"/>
      <c r="BY56" s="311"/>
      <c r="BZ56" s="311"/>
      <c r="CA56" s="311"/>
      <c r="CB56" s="311"/>
      <c r="CC56" s="311"/>
      <c r="CD56" s="311"/>
      <c r="CE56" s="311"/>
      <c r="CF56" s="311"/>
      <c r="CG56" s="311"/>
      <c r="CH56" s="311"/>
      <c r="CI56" s="311"/>
      <c r="CJ56" s="311"/>
      <c r="CK56" s="311"/>
      <c r="CL56" s="311"/>
      <c r="CM56" s="311"/>
      <c r="CN56" s="311"/>
      <c r="CO56" s="311"/>
      <c r="CP56" s="311"/>
      <c r="CQ56" s="311"/>
      <c r="CR56" s="311"/>
      <c r="CS56" s="311"/>
      <c r="CT56" s="311"/>
      <c r="CU56" s="311"/>
      <c r="CV56" s="311"/>
      <c r="CW56" s="311"/>
      <c r="CX56" s="311"/>
      <c r="CY56" s="311"/>
    </row>
    <row r="57" spans="1:103" ht="57.6" x14ac:dyDescent="0.3">
      <c r="A57" s="297">
        <v>5062</v>
      </c>
      <c r="B57" s="289" t="s">
        <v>359</v>
      </c>
      <c r="C57" s="289" t="s">
        <v>358</v>
      </c>
      <c r="D57" s="289" t="s">
        <v>357</v>
      </c>
      <c r="E57" s="290">
        <v>200000</v>
      </c>
      <c r="F57" s="278">
        <v>43750</v>
      </c>
      <c r="G57" s="278">
        <v>44116</v>
      </c>
      <c r="H57" s="276"/>
      <c r="I57" s="276">
        <v>6.4</v>
      </c>
      <c r="J57" s="276">
        <v>3946.6666666666665</v>
      </c>
      <c r="K57" s="276">
        <v>1066.6666666666667</v>
      </c>
      <c r="L57" s="276"/>
      <c r="M57" s="276"/>
      <c r="N57" s="276">
        <v>5013.333333333333</v>
      </c>
      <c r="O57" s="276">
        <v>1066.6666666666667</v>
      </c>
      <c r="P57" s="276"/>
      <c r="Q57" s="276"/>
      <c r="R57" s="276">
        <v>6080</v>
      </c>
      <c r="S57" s="276">
        <v>1066.6666666666667</v>
      </c>
      <c r="T57" s="276"/>
      <c r="U57" s="276"/>
      <c r="V57" s="276">
        <v>7146.666666666667</v>
      </c>
      <c r="W57" s="276">
        <v>1102.2222222222222</v>
      </c>
      <c r="X57" s="266"/>
      <c r="Y57" s="276"/>
      <c r="Z57" s="276">
        <v>8248.8888888888887</v>
      </c>
      <c r="AA57" s="276">
        <v>1052.0547945205478</v>
      </c>
      <c r="AB57" s="266"/>
      <c r="AC57" s="276"/>
      <c r="AD57" s="276">
        <v>9300.9436834094358</v>
      </c>
      <c r="AE57" s="314">
        <v>1087.1232876712329</v>
      </c>
      <c r="AF57" s="314"/>
      <c r="AG57" s="314"/>
      <c r="AH57" s="314">
        <v>10388.066971080669</v>
      </c>
      <c r="AI57" s="319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311"/>
      <c r="BN57" s="311"/>
      <c r="BO57" s="311"/>
      <c r="BP57" s="311"/>
      <c r="BQ57" s="311"/>
      <c r="BR57" s="311"/>
      <c r="BS57" s="311"/>
      <c r="BT57" s="311"/>
      <c r="BU57" s="311"/>
      <c r="BV57" s="311"/>
      <c r="BW57" s="311"/>
      <c r="BX57" s="311"/>
      <c r="BY57" s="311"/>
      <c r="BZ57" s="311"/>
      <c r="CA57" s="311"/>
      <c r="CB57" s="311"/>
      <c r="CC57" s="311"/>
      <c r="CD57" s="311"/>
      <c r="CE57" s="311"/>
      <c r="CF57" s="311"/>
      <c r="CG57" s="311"/>
      <c r="CH57" s="311"/>
      <c r="CI57" s="311"/>
      <c r="CJ57" s="311"/>
      <c r="CK57" s="311"/>
      <c r="CL57" s="311"/>
      <c r="CM57" s="311"/>
      <c r="CN57" s="311"/>
      <c r="CO57" s="311"/>
      <c r="CP57" s="311"/>
      <c r="CQ57" s="311"/>
      <c r="CR57" s="311"/>
      <c r="CS57" s="311"/>
      <c r="CT57" s="311"/>
      <c r="CU57" s="311"/>
      <c r="CV57" s="311"/>
      <c r="CW57" s="311"/>
      <c r="CX57" s="311"/>
      <c r="CY57" s="311"/>
    </row>
    <row r="58" spans="1:103" ht="57.6" x14ac:dyDescent="0.3">
      <c r="A58" s="297">
        <v>5057</v>
      </c>
      <c r="B58" s="289" t="s">
        <v>74</v>
      </c>
      <c r="C58" s="289" t="s">
        <v>356</v>
      </c>
      <c r="D58" s="289" t="s">
        <v>355</v>
      </c>
      <c r="E58" s="290"/>
      <c r="F58" s="278">
        <v>43763</v>
      </c>
      <c r="G58" s="278">
        <v>44129</v>
      </c>
      <c r="H58" s="276"/>
      <c r="I58" s="276">
        <v>3.4</v>
      </c>
      <c r="J58" s="276">
        <v>1240.2444444444445</v>
      </c>
      <c r="K58" s="276">
        <v>379.66666666666663</v>
      </c>
      <c r="L58" s="276"/>
      <c r="M58" s="276"/>
      <c r="N58" s="276">
        <v>1619.911111111111</v>
      </c>
      <c r="O58" s="276">
        <v>379.66666666666663</v>
      </c>
      <c r="P58" s="276"/>
      <c r="Q58" s="276"/>
      <c r="R58" s="276">
        <v>1999.5777777777776</v>
      </c>
      <c r="S58" s="276">
        <v>379.66666666666663</v>
      </c>
      <c r="T58" s="276"/>
      <c r="U58" s="276"/>
      <c r="V58" s="276">
        <v>2379.2444444444441</v>
      </c>
      <c r="W58" s="276">
        <v>392.32222222222219</v>
      </c>
      <c r="X58" s="266"/>
      <c r="Y58" s="276"/>
      <c r="Z58" s="276">
        <v>2771.5866666666661</v>
      </c>
      <c r="AA58" s="276">
        <v>0</v>
      </c>
      <c r="AB58" s="266">
        <v>-2912.85</v>
      </c>
      <c r="AC58" s="276">
        <v>141.28</v>
      </c>
      <c r="AD58" s="276">
        <v>1.6666666666225183E-2</v>
      </c>
      <c r="AE58" s="314">
        <v>0</v>
      </c>
      <c r="AF58" s="314"/>
      <c r="AG58" s="314"/>
      <c r="AH58" s="314">
        <v>1.6666666666225183E-2</v>
      </c>
      <c r="AI58" s="319" t="s">
        <v>96</v>
      </c>
      <c r="AJ58" s="311"/>
      <c r="AK58" s="311"/>
      <c r="AL58" s="311"/>
      <c r="AM58" s="311"/>
      <c r="AN58" s="311"/>
      <c r="AO58" s="311"/>
      <c r="AP58" s="311"/>
      <c r="AQ58" s="311"/>
      <c r="AR58" s="311"/>
      <c r="AS58" s="311"/>
      <c r="AT58" s="311"/>
      <c r="AU58" s="311"/>
      <c r="AV58" s="311"/>
      <c r="AW58" s="311"/>
      <c r="AX58" s="311"/>
      <c r="AY58" s="311"/>
      <c r="AZ58" s="311"/>
      <c r="BA58" s="311"/>
      <c r="BB58" s="311"/>
      <c r="BC58" s="311"/>
      <c r="BD58" s="311"/>
      <c r="BE58" s="311"/>
      <c r="BF58" s="311"/>
      <c r="BG58" s="311"/>
      <c r="BH58" s="311"/>
      <c r="BI58" s="311"/>
      <c r="BJ58" s="311"/>
      <c r="BK58" s="311"/>
      <c r="BL58" s="311"/>
      <c r="BM58" s="311"/>
      <c r="BN58" s="311"/>
      <c r="BO58" s="311"/>
      <c r="BP58" s="311"/>
      <c r="BQ58" s="311"/>
      <c r="BR58" s="311"/>
      <c r="BS58" s="311"/>
      <c r="BT58" s="311"/>
      <c r="BU58" s="311"/>
      <c r="BV58" s="311"/>
      <c r="BW58" s="311"/>
      <c r="BX58" s="311"/>
      <c r="BY58" s="311"/>
      <c r="BZ58" s="311"/>
      <c r="CA58" s="311"/>
      <c r="CB58" s="311"/>
      <c r="CC58" s="311"/>
      <c r="CD58" s="311"/>
      <c r="CE58" s="311"/>
      <c r="CF58" s="311"/>
      <c r="CG58" s="311"/>
      <c r="CH58" s="311"/>
      <c r="CI58" s="311"/>
      <c r="CJ58" s="311"/>
      <c r="CK58" s="311"/>
      <c r="CL58" s="311"/>
      <c r="CM58" s="311"/>
      <c r="CN58" s="311"/>
      <c r="CO58" s="311"/>
      <c r="CP58" s="311"/>
      <c r="CQ58" s="311"/>
      <c r="CR58" s="311"/>
      <c r="CS58" s="311"/>
      <c r="CT58" s="311"/>
      <c r="CU58" s="311"/>
      <c r="CV58" s="311"/>
      <c r="CW58" s="311"/>
      <c r="CX58" s="311"/>
      <c r="CY58" s="311"/>
    </row>
    <row r="59" spans="1:103" ht="57.6" x14ac:dyDescent="0.3">
      <c r="A59" s="297">
        <v>5057</v>
      </c>
      <c r="B59" s="289" t="s">
        <v>74</v>
      </c>
      <c r="C59" s="289" t="s">
        <v>354</v>
      </c>
      <c r="D59" s="289" t="s">
        <v>353</v>
      </c>
      <c r="E59" s="290">
        <v>118000</v>
      </c>
      <c r="F59" s="278">
        <v>43768</v>
      </c>
      <c r="G59" s="278">
        <v>44134</v>
      </c>
      <c r="H59" s="276"/>
      <c r="I59" s="276">
        <v>3.4</v>
      </c>
      <c r="J59" s="276">
        <v>1036.4333333333334</v>
      </c>
      <c r="K59" s="276">
        <v>334.33333333333337</v>
      </c>
      <c r="L59" s="276"/>
      <c r="M59" s="276"/>
      <c r="N59" s="276">
        <v>1370.7666666666669</v>
      </c>
      <c r="O59" s="276">
        <v>334.33333333333337</v>
      </c>
      <c r="P59" s="276"/>
      <c r="Q59" s="276"/>
      <c r="R59" s="276">
        <v>1705.1000000000004</v>
      </c>
      <c r="S59" s="276">
        <v>334.33333333333337</v>
      </c>
      <c r="T59" s="276"/>
      <c r="U59" s="276"/>
      <c r="V59" s="276">
        <v>2039.4333333333338</v>
      </c>
      <c r="W59" s="276">
        <v>345.47777777777782</v>
      </c>
      <c r="X59" s="266"/>
      <c r="Y59" s="276"/>
      <c r="Z59" s="276">
        <v>2384.9111111111115</v>
      </c>
      <c r="AA59" s="276">
        <v>329.75342465753425</v>
      </c>
      <c r="AB59" s="266"/>
      <c r="AC59" s="276"/>
      <c r="AD59" s="276">
        <v>2714.6645357686457</v>
      </c>
      <c r="AE59" s="314">
        <v>340.74520547945207</v>
      </c>
      <c r="AF59" s="314"/>
      <c r="AG59" s="314"/>
      <c r="AH59" s="314">
        <v>3055.4097412480978</v>
      </c>
      <c r="AI59" s="319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311"/>
      <c r="AW59" s="311"/>
      <c r="AX59" s="311"/>
      <c r="AY59" s="311"/>
      <c r="AZ59" s="311"/>
      <c r="BA59" s="311"/>
      <c r="BB59" s="311"/>
      <c r="BC59" s="311"/>
      <c r="BD59" s="311"/>
      <c r="BE59" s="311"/>
      <c r="BF59" s="311"/>
      <c r="BG59" s="311"/>
      <c r="BH59" s="311"/>
      <c r="BI59" s="311"/>
      <c r="BJ59" s="311"/>
      <c r="BK59" s="311"/>
      <c r="BL59" s="311"/>
      <c r="BM59" s="311"/>
      <c r="BN59" s="311"/>
      <c r="BO59" s="311"/>
      <c r="BP59" s="311"/>
      <c r="BQ59" s="311"/>
      <c r="BR59" s="311"/>
      <c r="BS59" s="311"/>
      <c r="BT59" s="311"/>
      <c r="BU59" s="311"/>
      <c r="BV59" s="311"/>
      <c r="BW59" s="311"/>
      <c r="BX59" s="311"/>
      <c r="BY59" s="311"/>
      <c r="BZ59" s="311"/>
      <c r="CA59" s="311"/>
      <c r="CB59" s="311"/>
      <c r="CC59" s="311"/>
      <c r="CD59" s="311"/>
      <c r="CE59" s="311"/>
      <c r="CF59" s="311"/>
      <c r="CG59" s="311"/>
      <c r="CH59" s="311"/>
      <c r="CI59" s="311"/>
      <c r="CJ59" s="311"/>
      <c r="CK59" s="311"/>
      <c r="CL59" s="311"/>
      <c r="CM59" s="311"/>
      <c r="CN59" s="311"/>
      <c r="CO59" s="311"/>
      <c r="CP59" s="311"/>
      <c r="CQ59" s="311"/>
      <c r="CR59" s="311"/>
      <c r="CS59" s="311"/>
      <c r="CT59" s="311"/>
      <c r="CU59" s="311"/>
      <c r="CV59" s="311"/>
      <c r="CW59" s="311"/>
      <c r="CX59" s="311"/>
      <c r="CY59" s="311"/>
    </row>
    <row r="60" spans="1:103" ht="57.6" x14ac:dyDescent="0.3">
      <c r="A60" s="297">
        <v>5063</v>
      </c>
      <c r="B60" s="289" t="s">
        <v>77</v>
      </c>
      <c r="C60" s="289" t="s">
        <v>352</v>
      </c>
      <c r="D60" s="289" t="s">
        <v>351</v>
      </c>
      <c r="E60" s="290">
        <v>120000</v>
      </c>
      <c r="F60" s="278">
        <v>43768</v>
      </c>
      <c r="G60" s="278">
        <v>44134</v>
      </c>
      <c r="H60" s="276"/>
      <c r="I60" s="276">
        <v>5.4</v>
      </c>
      <c r="J60" s="276">
        <v>1674.0000000000005</v>
      </c>
      <c r="K60" s="276">
        <v>540.00000000000011</v>
      </c>
      <c r="L60" s="276"/>
      <c r="M60" s="276"/>
      <c r="N60" s="276">
        <v>2214.0000000000005</v>
      </c>
      <c r="O60" s="276">
        <v>540.00000000000011</v>
      </c>
      <c r="P60" s="276"/>
      <c r="Q60" s="276"/>
      <c r="R60" s="276">
        <v>2754.0000000000005</v>
      </c>
      <c r="S60" s="276">
        <v>540.00000000000011</v>
      </c>
      <c r="T60" s="276"/>
      <c r="U60" s="276"/>
      <c r="V60" s="276">
        <v>3294.0000000000005</v>
      </c>
      <c r="W60" s="276">
        <v>558.00000000000011</v>
      </c>
      <c r="X60" s="266"/>
      <c r="Y60" s="276"/>
      <c r="Z60" s="276">
        <v>3852.0000000000005</v>
      </c>
      <c r="AA60" s="276">
        <v>532.60273972602749</v>
      </c>
      <c r="AB60" s="266"/>
      <c r="AC60" s="276"/>
      <c r="AD60" s="276">
        <v>4384.6027397260277</v>
      </c>
      <c r="AE60" s="314">
        <v>550.3561643835618</v>
      </c>
      <c r="AF60" s="314"/>
      <c r="AG60" s="314"/>
      <c r="AH60" s="314">
        <v>4934.9589041095896</v>
      </c>
      <c r="AI60" s="319"/>
      <c r="AJ60" s="311"/>
      <c r="AK60" s="311"/>
      <c r="AL60" s="311"/>
      <c r="AM60" s="311"/>
      <c r="AN60" s="311"/>
      <c r="AO60" s="311"/>
      <c r="AP60" s="311"/>
      <c r="AQ60" s="311"/>
      <c r="AR60" s="311"/>
      <c r="AS60" s="311"/>
      <c r="AT60" s="311"/>
      <c r="AU60" s="311"/>
      <c r="AV60" s="311"/>
      <c r="AW60" s="311"/>
      <c r="AX60" s="311"/>
      <c r="AY60" s="311"/>
      <c r="AZ60" s="311"/>
      <c r="BA60" s="311"/>
      <c r="BB60" s="311"/>
      <c r="BC60" s="311"/>
      <c r="BD60" s="311"/>
      <c r="BE60" s="311"/>
      <c r="BF60" s="311"/>
      <c r="BG60" s="311"/>
      <c r="BH60" s="311"/>
      <c r="BI60" s="311"/>
      <c r="BJ60" s="311"/>
      <c r="BK60" s="311"/>
      <c r="BL60" s="311"/>
      <c r="BM60" s="311"/>
      <c r="BN60" s="311"/>
      <c r="BO60" s="311"/>
      <c r="BP60" s="311"/>
      <c r="BQ60" s="311"/>
      <c r="BR60" s="311"/>
      <c r="BS60" s="311"/>
      <c r="BT60" s="311"/>
      <c r="BU60" s="311"/>
      <c r="BV60" s="311"/>
      <c r="BW60" s="311"/>
      <c r="BX60" s="311"/>
      <c r="BY60" s="311"/>
      <c r="BZ60" s="311"/>
      <c r="CA60" s="311"/>
      <c r="CB60" s="311"/>
      <c r="CC60" s="311"/>
      <c r="CD60" s="311"/>
      <c r="CE60" s="311"/>
      <c r="CF60" s="311"/>
      <c r="CG60" s="311"/>
      <c r="CH60" s="311"/>
      <c r="CI60" s="311"/>
      <c r="CJ60" s="311"/>
      <c r="CK60" s="311"/>
      <c r="CL60" s="311"/>
      <c r="CM60" s="311"/>
      <c r="CN60" s="311"/>
      <c r="CO60" s="311"/>
      <c r="CP60" s="311"/>
      <c r="CQ60" s="311"/>
      <c r="CR60" s="311"/>
      <c r="CS60" s="311"/>
      <c r="CT60" s="311"/>
      <c r="CU60" s="311"/>
      <c r="CV60" s="311"/>
      <c r="CW60" s="311"/>
      <c r="CX60" s="311"/>
      <c r="CY60" s="311"/>
    </row>
    <row r="61" spans="1:103" ht="57.6" x14ac:dyDescent="0.3">
      <c r="A61" s="297">
        <v>5005</v>
      </c>
      <c r="B61" s="289" t="s">
        <v>10</v>
      </c>
      <c r="C61" s="289" t="s">
        <v>350</v>
      </c>
      <c r="D61" s="289" t="s">
        <v>349</v>
      </c>
      <c r="E61" s="290">
        <v>1030000</v>
      </c>
      <c r="F61" s="278">
        <v>43775</v>
      </c>
      <c r="G61" s="278">
        <v>44099</v>
      </c>
      <c r="H61" s="276"/>
      <c r="I61" s="276">
        <v>0.4</v>
      </c>
      <c r="J61" s="276">
        <v>1464.8888888888889</v>
      </c>
      <c r="K61" s="276">
        <v>343.33333333333331</v>
      </c>
      <c r="L61" s="276"/>
      <c r="M61" s="276"/>
      <c r="N61" s="276">
        <v>1808.2222222222222</v>
      </c>
      <c r="O61" s="276">
        <v>343.33333333333331</v>
      </c>
      <c r="P61" s="276"/>
      <c r="Q61" s="276"/>
      <c r="R61" s="276">
        <v>2151.5555555555557</v>
      </c>
      <c r="S61" s="276">
        <v>343.33333333333331</v>
      </c>
      <c r="T61" s="276"/>
      <c r="U61" s="276"/>
      <c r="V61" s="276">
        <v>2494.8888888888891</v>
      </c>
      <c r="W61" s="276">
        <v>354.77777777777777</v>
      </c>
      <c r="X61" s="266"/>
      <c r="Y61" s="276"/>
      <c r="Z61" s="276">
        <v>2849.666666666667</v>
      </c>
      <c r="AA61" s="276">
        <v>338.63013698630141</v>
      </c>
      <c r="AB61" s="266"/>
      <c r="AC61" s="276"/>
      <c r="AD61" s="276">
        <v>3188.2968036529683</v>
      </c>
      <c r="AE61" s="314">
        <v>349.91780821917808</v>
      </c>
      <c r="AF61" s="314"/>
      <c r="AG61" s="314"/>
      <c r="AH61" s="314">
        <v>3538.2146118721462</v>
      </c>
      <c r="AI61" s="319"/>
      <c r="AJ61" s="311"/>
      <c r="AK61" s="311"/>
      <c r="AL61" s="311"/>
      <c r="AM61" s="311"/>
      <c r="AN61" s="311"/>
      <c r="AO61" s="311"/>
      <c r="AP61" s="311"/>
      <c r="AQ61" s="311"/>
      <c r="AR61" s="311"/>
      <c r="AS61" s="311"/>
      <c r="AT61" s="311"/>
      <c r="AU61" s="311"/>
      <c r="AV61" s="311"/>
      <c r="AW61" s="311"/>
      <c r="AX61" s="311"/>
      <c r="AY61" s="311"/>
      <c r="AZ61" s="311"/>
      <c r="BA61" s="311"/>
      <c r="BB61" s="311"/>
      <c r="BC61" s="311"/>
      <c r="BD61" s="311"/>
      <c r="BE61" s="311"/>
      <c r="BF61" s="311"/>
      <c r="BG61" s="311"/>
      <c r="BH61" s="311"/>
      <c r="BI61" s="311"/>
      <c r="BJ61" s="311"/>
      <c r="BK61" s="311"/>
      <c r="BL61" s="311"/>
      <c r="BM61" s="311"/>
      <c r="BN61" s="311"/>
      <c r="BO61" s="311"/>
      <c r="BP61" s="311"/>
      <c r="BQ61" s="311"/>
      <c r="BR61" s="311"/>
      <c r="BS61" s="311"/>
      <c r="BT61" s="311"/>
      <c r="BU61" s="311"/>
      <c r="BV61" s="311"/>
      <c r="BW61" s="311"/>
      <c r="BX61" s="311"/>
      <c r="BY61" s="311"/>
      <c r="BZ61" s="311"/>
      <c r="CA61" s="311"/>
      <c r="CB61" s="311"/>
      <c r="CC61" s="311"/>
      <c r="CD61" s="311"/>
      <c r="CE61" s="311"/>
      <c r="CF61" s="311"/>
      <c r="CG61" s="311"/>
      <c r="CH61" s="311"/>
      <c r="CI61" s="311"/>
      <c r="CJ61" s="311"/>
      <c r="CK61" s="311"/>
      <c r="CL61" s="311"/>
      <c r="CM61" s="311"/>
      <c r="CN61" s="311"/>
      <c r="CO61" s="311"/>
      <c r="CP61" s="311"/>
      <c r="CQ61" s="311"/>
      <c r="CR61" s="311"/>
      <c r="CS61" s="311"/>
      <c r="CT61" s="311"/>
      <c r="CU61" s="311"/>
      <c r="CV61" s="311"/>
      <c r="CW61" s="311"/>
      <c r="CX61" s="311"/>
      <c r="CY61" s="311"/>
    </row>
    <row r="62" spans="1:103" ht="57.6" x14ac:dyDescent="0.3">
      <c r="A62" s="297">
        <v>5004</v>
      </c>
      <c r="B62" s="289" t="s">
        <v>336</v>
      </c>
      <c r="C62" s="289" t="s">
        <v>348</v>
      </c>
      <c r="D62" s="289" t="s">
        <v>347</v>
      </c>
      <c r="E62" s="290">
        <v>38000</v>
      </c>
      <c r="F62" s="278">
        <v>43774</v>
      </c>
      <c r="G62" s="278">
        <v>44140</v>
      </c>
      <c r="H62" s="276"/>
      <c r="I62" s="276">
        <v>5.9</v>
      </c>
      <c r="J62" s="276">
        <v>541.81666666666672</v>
      </c>
      <c r="K62" s="276">
        <v>186.83333333333334</v>
      </c>
      <c r="L62" s="276"/>
      <c r="M62" s="276"/>
      <c r="N62" s="276">
        <v>728.65000000000009</v>
      </c>
      <c r="O62" s="276">
        <v>186.83333333333334</v>
      </c>
      <c r="P62" s="276"/>
      <c r="Q62" s="276"/>
      <c r="R62" s="276">
        <v>915.48333333333346</v>
      </c>
      <c r="S62" s="276">
        <v>186.83333333333334</v>
      </c>
      <c r="T62" s="276"/>
      <c r="U62" s="276"/>
      <c r="V62" s="276">
        <v>1102.3166666666668</v>
      </c>
      <c r="W62" s="276">
        <v>193.0611111111111</v>
      </c>
      <c r="X62" s="266"/>
      <c r="Y62" s="276"/>
      <c r="Z62" s="276">
        <v>1295.377777777778</v>
      </c>
      <c r="AA62" s="276">
        <v>184.27397260273972</v>
      </c>
      <c r="AB62" s="266"/>
      <c r="AC62" s="276"/>
      <c r="AD62" s="276">
        <v>1479.6517503805176</v>
      </c>
      <c r="AE62" s="314">
        <v>190.41643835616438</v>
      </c>
      <c r="AF62" s="314"/>
      <c r="AG62" s="314"/>
      <c r="AH62" s="314">
        <v>1670.068188736682</v>
      </c>
      <c r="AI62" s="319"/>
      <c r="AJ62" s="311"/>
      <c r="AK62" s="311"/>
      <c r="AL62" s="311"/>
      <c r="AM62" s="311"/>
      <c r="AN62" s="311"/>
      <c r="AO62" s="311"/>
      <c r="AP62" s="311"/>
      <c r="AQ62" s="311"/>
      <c r="AR62" s="311"/>
      <c r="AS62" s="311"/>
      <c r="AT62" s="311"/>
      <c r="AU62" s="311"/>
      <c r="AV62" s="311"/>
      <c r="AW62" s="311"/>
      <c r="AX62" s="311"/>
      <c r="AY62" s="311"/>
      <c r="AZ62" s="311"/>
      <c r="BA62" s="311"/>
      <c r="BB62" s="311"/>
      <c r="BC62" s="311"/>
      <c r="BD62" s="311"/>
      <c r="BE62" s="311"/>
      <c r="BF62" s="311"/>
      <c r="BG62" s="311"/>
      <c r="BH62" s="311"/>
      <c r="BI62" s="311"/>
      <c r="BJ62" s="311"/>
      <c r="BK62" s="311"/>
      <c r="BL62" s="311"/>
      <c r="BM62" s="311"/>
      <c r="BN62" s="311"/>
      <c r="BO62" s="311"/>
      <c r="BP62" s="311"/>
      <c r="BQ62" s="311"/>
      <c r="BR62" s="311"/>
      <c r="BS62" s="311"/>
      <c r="BT62" s="311"/>
      <c r="BU62" s="311"/>
      <c r="BV62" s="311"/>
      <c r="BW62" s="311"/>
      <c r="BX62" s="311"/>
      <c r="BY62" s="311"/>
      <c r="BZ62" s="311"/>
      <c r="CA62" s="311"/>
      <c r="CB62" s="311"/>
      <c r="CC62" s="311"/>
      <c r="CD62" s="311"/>
      <c r="CE62" s="311"/>
      <c r="CF62" s="311"/>
      <c r="CG62" s="311"/>
      <c r="CH62" s="311"/>
      <c r="CI62" s="311"/>
      <c r="CJ62" s="311"/>
      <c r="CK62" s="311"/>
      <c r="CL62" s="311"/>
      <c r="CM62" s="311"/>
      <c r="CN62" s="311"/>
      <c r="CO62" s="311"/>
      <c r="CP62" s="311"/>
      <c r="CQ62" s="311"/>
      <c r="CR62" s="311"/>
      <c r="CS62" s="311"/>
      <c r="CT62" s="311"/>
      <c r="CU62" s="311"/>
      <c r="CV62" s="311"/>
      <c r="CW62" s="311"/>
      <c r="CX62" s="311"/>
      <c r="CY62" s="311"/>
    </row>
    <row r="63" spans="1:103" ht="57.6" x14ac:dyDescent="0.3">
      <c r="A63" s="297">
        <v>5063</v>
      </c>
      <c r="B63" s="289" t="s">
        <v>77</v>
      </c>
      <c r="C63" s="289" t="s">
        <v>346</v>
      </c>
      <c r="D63" s="289" t="s">
        <v>345</v>
      </c>
      <c r="E63" s="290">
        <v>80000</v>
      </c>
      <c r="F63" s="278">
        <v>43772</v>
      </c>
      <c r="G63" s="278">
        <v>44138</v>
      </c>
      <c r="H63" s="276"/>
      <c r="I63" s="276">
        <v>5.4</v>
      </c>
      <c r="J63" s="276">
        <v>1068.0000000000002</v>
      </c>
      <c r="K63" s="276">
        <v>360.00000000000006</v>
      </c>
      <c r="L63" s="276"/>
      <c r="M63" s="276"/>
      <c r="N63" s="276">
        <v>1428.0000000000002</v>
      </c>
      <c r="O63" s="276">
        <v>360.00000000000006</v>
      </c>
      <c r="P63" s="276"/>
      <c r="Q63" s="276"/>
      <c r="R63" s="276">
        <v>1788.0000000000002</v>
      </c>
      <c r="S63" s="276">
        <v>360.00000000000006</v>
      </c>
      <c r="T63" s="276"/>
      <c r="U63" s="276"/>
      <c r="V63" s="276">
        <v>2148.0000000000005</v>
      </c>
      <c r="W63" s="276">
        <v>372.00000000000006</v>
      </c>
      <c r="X63" s="266"/>
      <c r="Y63" s="276"/>
      <c r="Z63" s="276">
        <v>2520.0000000000005</v>
      </c>
      <c r="AA63" s="276">
        <v>355.06849315068501</v>
      </c>
      <c r="AB63" s="266"/>
      <c r="AC63" s="276"/>
      <c r="AD63" s="276">
        <v>2875.0684931506853</v>
      </c>
      <c r="AE63" s="314">
        <v>366.90410958904118</v>
      </c>
      <c r="AF63" s="314"/>
      <c r="AG63" s="314"/>
      <c r="AH63" s="314">
        <v>3241.9726027397264</v>
      </c>
      <c r="AI63" s="319"/>
      <c r="AJ63" s="311"/>
      <c r="AK63" s="311"/>
      <c r="AL63" s="311"/>
      <c r="AM63" s="311"/>
      <c r="AN63" s="311"/>
      <c r="AO63" s="311"/>
      <c r="AP63" s="311"/>
      <c r="AQ63" s="311"/>
      <c r="AR63" s="311"/>
      <c r="AS63" s="311"/>
      <c r="AT63" s="311"/>
      <c r="AU63" s="311"/>
      <c r="AV63" s="311"/>
      <c r="AW63" s="311"/>
      <c r="AX63" s="311"/>
      <c r="AY63" s="311"/>
      <c r="AZ63" s="311"/>
      <c r="BA63" s="311"/>
      <c r="BB63" s="311"/>
      <c r="BC63" s="311"/>
      <c r="BD63" s="311"/>
      <c r="BE63" s="311"/>
      <c r="BF63" s="311"/>
      <c r="BG63" s="311"/>
      <c r="BH63" s="311"/>
      <c r="BI63" s="311"/>
      <c r="BJ63" s="311"/>
      <c r="BK63" s="311"/>
      <c r="BL63" s="311"/>
      <c r="BM63" s="311"/>
      <c r="BN63" s="311"/>
      <c r="BO63" s="311"/>
      <c r="BP63" s="311"/>
      <c r="BQ63" s="311"/>
      <c r="BR63" s="311"/>
      <c r="BS63" s="311"/>
      <c r="BT63" s="311"/>
      <c r="BU63" s="311"/>
      <c r="BV63" s="311"/>
      <c r="BW63" s="311"/>
      <c r="BX63" s="311"/>
      <c r="BY63" s="311"/>
      <c r="BZ63" s="311"/>
      <c r="CA63" s="311"/>
      <c r="CB63" s="311"/>
      <c r="CC63" s="311"/>
      <c r="CD63" s="311"/>
      <c r="CE63" s="311"/>
      <c r="CF63" s="311"/>
      <c r="CG63" s="311"/>
      <c r="CH63" s="311"/>
      <c r="CI63" s="311"/>
      <c r="CJ63" s="311"/>
      <c r="CK63" s="311"/>
      <c r="CL63" s="311"/>
      <c r="CM63" s="311"/>
      <c r="CN63" s="311"/>
      <c r="CO63" s="311"/>
      <c r="CP63" s="311"/>
      <c r="CQ63" s="311"/>
      <c r="CR63" s="311"/>
      <c r="CS63" s="311"/>
      <c r="CT63" s="311"/>
      <c r="CU63" s="311"/>
      <c r="CV63" s="311"/>
      <c r="CW63" s="311"/>
      <c r="CX63" s="311"/>
      <c r="CY63" s="311"/>
    </row>
    <row r="64" spans="1:103" ht="57.6" x14ac:dyDescent="0.3">
      <c r="A64" s="297">
        <v>5060</v>
      </c>
      <c r="B64" s="289" t="s">
        <v>19</v>
      </c>
      <c r="C64" s="289" t="s">
        <v>344</v>
      </c>
      <c r="D64" s="289" t="s">
        <v>343</v>
      </c>
      <c r="E64" s="290">
        <v>78000</v>
      </c>
      <c r="F64" s="278">
        <v>43771</v>
      </c>
      <c r="G64" s="278">
        <v>44137</v>
      </c>
      <c r="H64" s="276"/>
      <c r="I64" s="276">
        <v>1.9</v>
      </c>
      <c r="J64" s="276">
        <v>370.5</v>
      </c>
      <c r="K64" s="276">
        <v>123.49999999999999</v>
      </c>
      <c r="L64" s="276"/>
      <c r="M64" s="276"/>
      <c r="N64" s="276">
        <v>494</v>
      </c>
      <c r="O64" s="276">
        <v>123.49999999999999</v>
      </c>
      <c r="P64" s="276"/>
      <c r="Q64" s="276"/>
      <c r="R64" s="276">
        <v>617.5</v>
      </c>
      <c r="S64" s="276">
        <v>123.49999999999999</v>
      </c>
      <c r="T64" s="276"/>
      <c r="U64" s="276"/>
      <c r="V64" s="276">
        <v>741</v>
      </c>
      <c r="W64" s="276">
        <v>127.61666666666666</v>
      </c>
      <c r="X64" s="266"/>
      <c r="Y64" s="276"/>
      <c r="Z64" s="276">
        <v>868.61666666666667</v>
      </c>
      <c r="AA64" s="276">
        <v>121.8082191780822</v>
      </c>
      <c r="AB64" s="266"/>
      <c r="AC64" s="276"/>
      <c r="AD64" s="276">
        <v>990.42488584474881</v>
      </c>
      <c r="AE64" s="314">
        <v>125.86849315068494</v>
      </c>
      <c r="AF64" s="314"/>
      <c r="AG64" s="314"/>
      <c r="AH64" s="314">
        <v>1116.2933789954338</v>
      </c>
      <c r="AI64" s="319"/>
      <c r="AJ64" s="311"/>
      <c r="AK64" s="311"/>
      <c r="AL64" s="311"/>
      <c r="AM64" s="311"/>
      <c r="AN64" s="311"/>
      <c r="AO64" s="311"/>
      <c r="AP64" s="311"/>
      <c r="AQ64" s="311"/>
      <c r="AR64" s="311"/>
      <c r="AS64" s="311"/>
      <c r="AT64" s="311"/>
      <c r="AU64" s="311"/>
      <c r="AV64" s="311"/>
      <c r="AW64" s="311"/>
      <c r="AX64" s="311"/>
      <c r="AY64" s="311"/>
      <c r="AZ64" s="311"/>
      <c r="BA64" s="311"/>
      <c r="BB64" s="311"/>
      <c r="BC64" s="311"/>
      <c r="BD64" s="311"/>
      <c r="BE64" s="311"/>
      <c r="BF64" s="311"/>
      <c r="BG64" s="311"/>
      <c r="BH64" s="311"/>
      <c r="BI64" s="311"/>
      <c r="BJ64" s="311"/>
      <c r="BK64" s="311"/>
      <c r="BL64" s="311"/>
      <c r="BM64" s="311"/>
      <c r="BN64" s="311"/>
      <c r="BO64" s="311"/>
      <c r="BP64" s="311"/>
      <c r="BQ64" s="311"/>
      <c r="BR64" s="311"/>
      <c r="BS64" s="311"/>
      <c r="BT64" s="311"/>
      <c r="BU64" s="311"/>
      <c r="BV64" s="311"/>
      <c r="BW64" s="311"/>
      <c r="BX64" s="311"/>
      <c r="BY64" s="311"/>
      <c r="BZ64" s="311"/>
      <c r="CA64" s="311"/>
      <c r="CB64" s="311"/>
      <c r="CC64" s="311"/>
      <c r="CD64" s="311"/>
      <c r="CE64" s="311"/>
      <c r="CF64" s="311"/>
      <c r="CG64" s="311"/>
      <c r="CH64" s="311"/>
      <c r="CI64" s="311"/>
      <c r="CJ64" s="311"/>
      <c r="CK64" s="311"/>
      <c r="CL64" s="311"/>
      <c r="CM64" s="311"/>
      <c r="CN64" s="311"/>
      <c r="CO64" s="311"/>
      <c r="CP64" s="311"/>
      <c r="CQ64" s="311"/>
      <c r="CR64" s="311"/>
      <c r="CS64" s="311"/>
      <c r="CT64" s="311"/>
      <c r="CU64" s="311"/>
      <c r="CV64" s="311"/>
      <c r="CW64" s="311"/>
      <c r="CX64" s="311"/>
      <c r="CY64" s="311"/>
    </row>
    <row r="65" spans="1:103" ht="57.6" x14ac:dyDescent="0.3">
      <c r="A65" s="297">
        <v>5063</v>
      </c>
      <c r="B65" s="289" t="s">
        <v>25</v>
      </c>
      <c r="C65" s="289" t="s">
        <v>342</v>
      </c>
      <c r="D65" s="289" t="s">
        <v>341</v>
      </c>
      <c r="E65" s="290">
        <v>138000</v>
      </c>
      <c r="F65" s="278">
        <v>43770</v>
      </c>
      <c r="G65" s="278">
        <v>44136</v>
      </c>
      <c r="H65" s="276"/>
      <c r="I65" s="276">
        <v>4.4000000000000004</v>
      </c>
      <c r="J65" s="276">
        <v>1534.866666666667</v>
      </c>
      <c r="K65" s="276">
        <v>506.00000000000011</v>
      </c>
      <c r="L65" s="276"/>
      <c r="M65" s="276"/>
      <c r="N65" s="276">
        <v>2040.8666666666672</v>
      </c>
      <c r="O65" s="276">
        <v>506.00000000000011</v>
      </c>
      <c r="P65" s="276"/>
      <c r="Q65" s="276"/>
      <c r="R65" s="276">
        <v>2546.8666666666672</v>
      </c>
      <c r="S65" s="276">
        <v>506.00000000000011</v>
      </c>
      <c r="T65" s="276"/>
      <c r="U65" s="276"/>
      <c r="V65" s="276">
        <v>3052.8666666666672</v>
      </c>
      <c r="W65" s="276">
        <v>522.86666666666679</v>
      </c>
      <c r="X65" s="266"/>
      <c r="Y65" s="276"/>
      <c r="Z65" s="276">
        <v>3575.733333333334</v>
      </c>
      <c r="AA65" s="276">
        <v>499.06849315068496</v>
      </c>
      <c r="AB65" s="266"/>
      <c r="AC65" s="276"/>
      <c r="AD65" s="276">
        <v>4074.8018264840189</v>
      </c>
      <c r="AE65" s="314">
        <v>515.7041095890412</v>
      </c>
      <c r="AF65" s="314"/>
      <c r="AG65" s="314"/>
      <c r="AH65" s="314">
        <v>4590.5059360730602</v>
      </c>
      <c r="AI65" s="319"/>
      <c r="AJ65" s="311"/>
      <c r="AK65" s="311"/>
      <c r="AL65" s="311"/>
      <c r="AM65" s="311"/>
      <c r="AN65" s="311"/>
      <c r="AO65" s="311"/>
      <c r="AP65" s="311"/>
      <c r="AQ65" s="311"/>
      <c r="AR65" s="311"/>
      <c r="AS65" s="311"/>
      <c r="AT65" s="311"/>
      <c r="AU65" s="311"/>
      <c r="AV65" s="311"/>
      <c r="AW65" s="311"/>
      <c r="AX65" s="311"/>
      <c r="AY65" s="311"/>
      <c r="AZ65" s="311"/>
      <c r="BA65" s="311"/>
      <c r="BB65" s="311"/>
      <c r="BC65" s="311"/>
      <c r="BD65" s="311"/>
      <c r="BE65" s="311"/>
      <c r="BF65" s="311"/>
      <c r="BG65" s="311"/>
      <c r="BH65" s="311"/>
      <c r="BI65" s="311"/>
      <c r="BJ65" s="311"/>
      <c r="BK65" s="311"/>
      <c r="BL65" s="311"/>
      <c r="BM65" s="311"/>
      <c r="BN65" s="311"/>
      <c r="BO65" s="311"/>
      <c r="BP65" s="311"/>
      <c r="BQ65" s="311"/>
      <c r="BR65" s="311"/>
      <c r="BS65" s="311"/>
      <c r="BT65" s="311"/>
      <c r="BU65" s="311"/>
      <c r="BV65" s="311"/>
      <c r="BW65" s="311"/>
      <c r="BX65" s="311"/>
      <c r="BY65" s="311"/>
      <c r="BZ65" s="311"/>
      <c r="CA65" s="311"/>
      <c r="CB65" s="311"/>
      <c r="CC65" s="311"/>
      <c r="CD65" s="311"/>
      <c r="CE65" s="311"/>
      <c r="CF65" s="311"/>
      <c r="CG65" s="311"/>
      <c r="CH65" s="311"/>
      <c r="CI65" s="311"/>
      <c r="CJ65" s="311"/>
      <c r="CK65" s="311"/>
      <c r="CL65" s="311"/>
      <c r="CM65" s="311"/>
      <c r="CN65" s="311"/>
      <c r="CO65" s="311"/>
      <c r="CP65" s="311"/>
      <c r="CQ65" s="311"/>
      <c r="CR65" s="311"/>
      <c r="CS65" s="311"/>
      <c r="CT65" s="311"/>
      <c r="CU65" s="311"/>
      <c r="CV65" s="311"/>
      <c r="CW65" s="311"/>
      <c r="CX65" s="311"/>
      <c r="CY65" s="311"/>
    </row>
    <row r="66" spans="1:103" ht="57.6" x14ac:dyDescent="0.3">
      <c r="A66" s="297">
        <v>5060</v>
      </c>
      <c r="B66" s="289" t="s">
        <v>40</v>
      </c>
      <c r="C66" s="289" t="s">
        <v>340</v>
      </c>
      <c r="D66" s="289" t="s">
        <v>339</v>
      </c>
      <c r="E66" s="290">
        <v>727000</v>
      </c>
      <c r="F66" s="278">
        <v>43784</v>
      </c>
      <c r="G66" s="278">
        <v>44150</v>
      </c>
      <c r="H66" s="276"/>
      <c r="I66" s="276">
        <v>6.4</v>
      </c>
      <c r="J66" s="276">
        <v>9951.8222222222212</v>
      </c>
      <c r="K66" s="276">
        <v>3877.333333333333</v>
      </c>
      <c r="L66" s="276"/>
      <c r="M66" s="276"/>
      <c r="N66" s="276">
        <v>13829.155555555553</v>
      </c>
      <c r="O66" s="276">
        <v>3877.333333333333</v>
      </c>
      <c r="P66" s="276"/>
      <c r="Q66" s="276"/>
      <c r="R66" s="276">
        <v>17706.488888888885</v>
      </c>
      <c r="S66" s="276">
        <v>3877.333333333333</v>
      </c>
      <c r="T66" s="276"/>
      <c r="U66" s="276"/>
      <c r="V66" s="276">
        <v>21583.822222222218</v>
      </c>
      <c r="W66" s="276">
        <v>4006.5777777777776</v>
      </c>
      <c r="X66" s="266"/>
      <c r="Y66" s="276"/>
      <c r="Z66" s="276">
        <v>25590.399999999994</v>
      </c>
      <c r="AA66" s="276">
        <v>3824.2191780821918</v>
      </c>
      <c r="AB66" s="266"/>
      <c r="AC66" s="276"/>
      <c r="AD66" s="276">
        <v>29414.619178082186</v>
      </c>
      <c r="AE66" s="314">
        <v>3951.6931506849314</v>
      </c>
      <c r="AF66" s="314"/>
      <c r="AG66" s="314"/>
      <c r="AH66" s="314">
        <v>33366.312328767119</v>
      </c>
      <c r="AI66" s="319"/>
      <c r="AJ66" s="311"/>
      <c r="AK66" s="311"/>
      <c r="AL66" s="311"/>
      <c r="AM66" s="311"/>
      <c r="AN66" s="311"/>
      <c r="AO66" s="311"/>
      <c r="AP66" s="311"/>
      <c r="AQ66" s="311"/>
      <c r="AR66" s="311"/>
      <c r="AS66" s="311"/>
      <c r="AT66" s="311"/>
      <c r="AU66" s="311"/>
      <c r="AV66" s="311"/>
      <c r="AW66" s="311"/>
      <c r="AX66" s="311"/>
      <c r="AY66" s="311"/>
      <c r="AZ66" s="311"/>
      <c r="BA66" s="311"/>
      <c r="BB66" s="311"/>
      <c r="BC66" s="311"/>
      <c r="BD66" s="311"/>
      <c r="BE66" s="311"/>
      <c r="BF66" s="311"/>
      <c r="BG66" s="311"/>
      <c r="BH66" s="311"/>
      <c r="BI66" s="311"/>
      <c r="BJ66" s="311"/>
      <c r="BK66" s="311"/>
      <c r="BL66" s="311"/>
      <c r="BM66" s="311"/>
      <c r="BN66" s="311"/>
      <c r="BO66" s="311"/>
      <c r="BP66" s="311"/>
      <c r="BQ66" s="311"/>
      <c r="BR66" s="311"/>
      <c r="BS66" s="311"/>
      <c r="BT66" s="311"/>
      <c r="BU66" s="311"/>
      <c r="BV66" s="311"/>
      <c r="BW66" s="311"/>
      <c r="BX66" s="311"/>
      <c r="BY66" s="311"/>
      <c r="BZ66" s="311"/>
      <c r="CA66" s="311"/>
      <c r="CB66" s="311"/>
      <c r="CC66" s="311"/>
      <c r="CD66" s="311"/>
      <c r="CE66" s="311"/>
      <c r="CF66" s="311"/>
      <c r="CG66" s="311"/>
      <c r="CH66" s="311"/>
      <c r="CI66" s="311"/>
      <c r="CJ66" s="311"/>
      <c r="CK66" s="311"/>
      <c r="CL66" s="311"/>
      <c r="CM66" s="311"/>
      <c r="CN66" s="311"/>
      <c r="CO66" s="311"/>
      <c r="CP66" s="311"/>
      <c r="CQ66" s="311"/>
      <c r="CR66" s="311"/>
      <c r="CS66" s="311"/>
      <c r="CT66" s="311"/>
      <c r="CU66" s="311"/>
      <c r="CV66" s="311"/>
      <c r="CW66" s="311"/>
      <c r="CX66" s="311"/>
      <c r="CY66" s="311"/>
    </row>
    <row r="67" spans="1:103" ht="57.6" x14ac:dyDescent="0.3">
      <c r="A67" s="297">
        <v>5004</v>
      </c>
      <c r="B67" s="289" t="s">
        <v>336</v>
      </c>
      <c r="C67" s="289" t="s">
        <v>338</v>
      </c>
      <c r="D67" s="289" t="s">
        <v>337</v>
      </c>
      <c r="E67" s="290">
        <v>100000</v>
      </c>
      <c r="F67" s="278">
        <v>43792</v>
      </c>
      <c r="G67" s="278">
        <v>44158</v>
      </c>
      <c r="H67" s="276"/>
      <c r="I67" s="276">
        <v>5.9</v>
      </c>
      <c r="J67" s="276">
        <v>1294.7222222222222</v>
      </c>
      <c r="K67" s="276">
        <v>491.66666666666669</v>
      </c>
      <c r="L67" s="276"/>
      <c r="M67" s="276"/>
      <c r="N67" s="276">
        <v>1786.3888888888889</v>
      </c>
      <c r="O67" s="276">
        <v>491.66666666666669</v>
      </c>
      <c r="P67" s="276"/>
      <c r="Q67" s="276"/>
      <c r="R67" s="276">
        <v>2278.0555555555557</v>
      </c>
      <c r="S67" s="276">
        <v>491.66666666666669</v>
      </c>
      <c r="T67" s="276"/>
      <c r="U67" s="276"/>
      <c r="V67" s="276">
        <v>2769.7222222222222</v>
      </c>
      <c r="W67" s="276">
        <v>508.05555555555554</v>
      </c>
      <c r="X67" s="266"/>
      <c r="Y67" s="276"/>
      <c r="Z67" s="276">
        <v>3277.7777777777778</v>
      </c>
      <c r="AA67" s="276">
        <v>484.93150684931504</v>
      </c>
      <c r="AB67" s="266"/>
      <c r="AC67" s="276"/>
      <c r="AD67" s="276">
        <v>3762.709284627093</v>
      </c>
      <c r="AE67" s="314">
        <v>501.09589041095887</v>
      </c>
      <c r="AF67" s="314"/>
      <c r="AG67" s="314"/>
      <c r="AH67" s="314">
        <v>4263.8051750380519</v>
      </c>
      <c r="AI67" s="319"/>
      <c r="AJ67" s="311"/>
      <c r="AK67" s="311"/>
      <c r="AL67" s="311"/>
      <c r="AM67" s="311"/>
      <c r="AN67" s="311"/>
      <c r="AO67" s="311"/>
      <c r="AP67" s="311"/>
      <c r="AQ67" s="311"/>
      <c r="AR67" s="311"/>
      <c r="AS67" s="311"/>
      <c r="AT67" s="311"/>
      <c r="AU67" s="311"/>
      <c r="AV67" s="311"/>
      <c r="AW67" s="311"/>
      <c r="AX67" s="311"/>
      <c r="AY67" s="311"/>
      <c r="AZ67" s="311"/>
      <c r="BA67" s="311"/>
      <c r="BB67" s="311"/>
      <c r="BC67" s="311"/>
      <c r="BD67" s="311"/>
      <c r="BE67" s="311"/>
      <c r="BF67" s="311"/>
      <c r="BG67" s="311"/>
      <c r="BH67" s="311"/>
      <c r="BI67" s="311"/>
      <c r="BJ67" s="311"/>
      <c r="BK67" s="311"/>
      <c r="BL67" s="311"/>
      <c r="BM67" s="311"/>
      <c r="BN67" s="311"/>
      <c r="BO67" s="311"/>
      <c r="BP67" s="311"/>
      <c r="BQ67" s="311"/>
      <c r="BR67" s="311"/>
      <c r="BS67" s="311"/>
      <c r="BT67" s="311"/>
      <c r="BU67" s="311"/>
      <c r="BV67" s="311"/>
      <c r="BW67" s="311"/>
      <c r="BX67" s="311"/>
      <c r="BY67" s="311"/>
      <c r="BZ67" s="311"/>
      <c r="CA67" s="311"/>
      <c r="CB67" s="311"/>
      <c r="CC67" s="311"/>
      <c r="CD67" s="311"/>
      <c r="CE67" s="311"/>
      <c r="CF67" s="311"/>
      <c r="CG67" s="311"/>
      <c r="CH67" s="311"/>
      <c r="CI67" s="311"/>
      <c r="CJ67" s="311"/>
      <c r="CK67" s="311"/>
      <c r="CL67" s="311"/>
      <c r="CM67" s="311"/>
      <c r="CN67" s="311"/>
      <c r="CO67" s="311"/>
      <c r="CP67" s="311"/>
      <c r="CQ67" s="311"/>
      <c r="CR67" s="311"/>
      <c r="CS67" s="311"/>
      <c r="CT67" s="311"/>
      <c r="CU67" s="311"/>
      <c r="CV67" s="311"/>
      <c r="CW67" s="311"/>
      <c r="CX67" s="311"/>
      <c r="CY67" s="311"/>
    </row>
    <row r="68" spans="1:103" ht="57.6" x14ac:dyDescent="0.3">
      <c r="A68" s="297">
        <v>5004</v>
      </c>
      <c r="B68" s="289" t="s">
        <v>336</v>
      </c>
      <c r="C68" s="289" t="s">
        <v>335</v>
      </c>
      <c r="D68" s="289" t="s">
        <v>334</v>
      </c>
      <c r="E68" s="290">
        <v>94477.4</v>
      </c>
      <c r="F68" s="278">
        <v>43792</v>
      </c>
      <c r="G68" s="278">
        <v>44158</v>
      </c>
      <c r="H68" s="276"/>
      <c r="I68" s="276">
        <v>5.9</v>
      </c>
      <c r="J68" s="276">
        <v>1223.2198927777779</v>
      </c>
      <c r="K68" s="276">
        <v>464.51388333333341</v>
      </c>
      <c r="L68" s="276"/>
      <c r="M68" s="276"/>
      <c r="N68" s="276">
        <v>1687.7337761111112</v>
      </c>
      <c r="O68" s="276">
        <v>464.51388333333341</v>
      </c>
      <c r="P68" s="276"/>
      <c r="Q68" s="276"/>
      <c r="R68" s="276">
        <v>2152.2476594444447</v>
      </c>
      <c r="S68" s="276">
        <v>464.51388333333341</v>
      </c>
      <c r="T68" s="276"/>
      <c r="U68" s="276"/>
      <c r="V68" s="276">
        <v>2616.7615427777782</v>
      </c>
      <c r="W68" s="276">
        <v>479.99767944444449</v>
      </c>
      <c r="X68" s="266"/>
      <c r="Y68" s="276"/>
      <c r="Z68" s="276">
        <v>3096.7592222222229</v>
      </c>
      <c r="AA68" s="276">
        <v>458.15067945205482</v>
      </c>
      <c r="AB68" s="266"/>
      <c r="AC68" s="276"/>
      <c r="AD68" s="276">
        <v>3554.9099016742775</v>
      </c>
      <c r="AE68" s="314">
        <v>473.42236876712332</v>
      </c>
      <c r="AF68" s="314"/>
      <c r="AG68" s="314"/>
      <c r="AH68" s="314">
        <v>4028.3322704414009</v>
      </c>
      <c r="AI68" s="319"/>
      <c r="AJ68" s="311"/>
      <c r="AK68" s="311"/>
      <c r="AL68" s="311"/>
      <c r="AM68" s="311"/>
      <c r="AN68" s="311"/>
      <c r="AO68" s="311"/>
      <c r="AP68" s="311"/>
      <c r="AQ68" s="311"/>
      <c r="AR68" s="311"/>
      <c r="AS68" s="311"/>
      <c r="AT68" s="311"/>
      <c r="AU68" s="311"/>
      <c r="AV68" s="311"/>
      <c r="AW68" s="311"/>
      <c r="AX68" s="311"/>
      <c r="AY68" s="311"/>
      <c r="AZ68" s="311"/>
      <c r="BA68" s="311"/>
      <c r="BB68" s="311"/>
      <c r="BC68" s="311"/>
      <c r="BD68" s="311"/>
      <c r="BE68" s="311"/>
      <c r="BF68" s="311"/>
      <c r="BG68" s="311"/>
      <c r="BH68" s="311"/>
      <c r="BI68" s="311"/>
      <c r="BJ68" s="311"/>
      <c r="BK68" s="311"/>
      <c r="BL68" s="311"/>
      <c r="BM68" s="311"/>
      <c r="BN68" s="311"/>
      <c r="BO68" s="311"/>
      <c r="BP68" s="311"/>
      <c r="BQ68" s="311"/>
      <c r="BR68" s="311"/>
      <c r="BS68" s="311"/>
      <c r="BT68" s="311"/>
      <c r="BU68" s="311"/>
      <c r="BV68" s="311"/>
      <c r="BW68" s="311"/>
      <c r="BX68" s="311"/>
      <c r="BY68" s="311"/>
      <c r="BZ68" s="311"/>
      <c r="CA68" s="311"/>
      <c r="CB68" s="311"/>
      <c r="CC68" s="311"/>
      <c r="CD68" s="311"/>
      <c r="CE68" s="311"/>
      <c r="CF68" s="311"/>
      <c r="CG68" s="311"/>
      <c r="CH68" s="311"/>
      <c r="CI68" s="311"/>
      <c r="CJ68" s="311"/>
      <c r="CK68" s="311"/>
      <c r="CL68" s="311"/>
      <c r="CM68" s="311"/>
      <c r="CN68" s="311"/>
      <c r="CO68" s="311"/>
      <c r="CP68" s="311"/>
      <c r="CQ68" s="311"/>
      <c r="CR68" s="311"/>
      <c r="CS68" s="311"/>
      <c r="CT68" s="311"/>
      <c r="CU68" s="311"/>
      <c r="CV68" s="311"/>
      <c r="CW68" s="311"/>
      <c r="CX68" s="311"/>
      <c r="CY68" s="311"/>
    </row>
    <row r="69" spans="1:103" ht="57.6" x14ac:dyDescent="0.3">
      <c r="A69" s="297">
        <v>5004</v>
      </c>
      <c r="B69" s="289" t="s">
        <v>117</v>
      </c>
      <c r="C69" s="289" t="s">
        <v>333</v>
      </c>
      <c r="D69" s="289" t="s">
        <v>332</v>
      </c>
      <c r="E69" s="290">
        <v>100000</v>
      </c>
      <c r="F69" s="278">
        <v>43792</v>
      </c>
      <c r="G69" s="278">
        <v>44158</v>
      </c>
      <c r="H69" s="276"/>
      <c r="I69" s="276">
        <v>5.85</v>
      </c>
      <c r="J69" s="276">
        <v>1283.75</v>
      </c>
      <c r="K69" s="276">
        <v>487.5</v>
      </c>
      <c r="L69" s="276"/>
      <c r="M69" s="276"/>
      <c r="N69" s="276">
        <v>1771.25</v>
      </c>
      <c r="O69" s="276">
        <v>487.5</v>
      </c>
      <c r="P69" s="276"/>
      <c r="Q69" s="276"/>
      <c r="R69" s="276">
        <v>2258.75</v>
      </c>
      <c r="S69" s="276">
        <v>487.5</v>
      </c>
      <c r="T69" s="276"/>
      <c r="U69" s="276"/>
      <c r="V69" s="276">
        <v>2746.25</v>
      </c>
      <c r="W69" s="276">
        <v>503.75</v>
      </c>
      <c r="X69" s="266"/>
      <c r="Y69" s="276"/>
      <c r="Z69" s="276">
        <v>3250</v>
      </c>
      <c r="AA69" s="276">
        <v>480.82191780821915</v>
      </c>
      <c r="AB69" s="266"/>
      <c r="AC69" s="276"/>
      <c r="AD69" s="276">
        <v>3730.821917808219</v>
      </c>
      <c r="AE69" s="314">
        <v>496.84931506849313</v>
      </c>
      <c r="AF69" s="314"/>
      <c r="AG69" s="314"/>
      <c r="AH69" s="314">
        <v>4227.6712328767126</v>
      </c>
      <c r="AI69" s="319"/>
      <c r="AJ69" s="311"/>
      <c r="AK69" s="311"/>
      <c r="AL69" s="311"/>
      <c r="AM69" s="311"/>
      <c r="AN69" s="311"/>
      <c r="AO69" s="311"/>
      <c r="AP69" s="311"/>
      <c r="AQ69" s="311"/>
      <c r="AR69" s="311"/>
      <c r="AS69" s="311"/>
      <c r="AT69" s="311"/>
      <c r="AU69" s="311"/>
      <c r="AV69" s="311"/>
      <c r="AW69" s="311"/>
      <c r="AX69" s="311"/>
      <c r="AY69" s="311"/>
      <c r="AZ69" s="311"/>
      <c r="BA69" s="311"/>
      <c r="BB69" s="311"/>
      <c r="BC69" s="311"/>
      <c r="BD69" s="311"/>
      <c r="BE69" s="311"/>
      <c r="BF69" s="311"/>
      <c r="BG69" s="311"/>
      <c r="BH69" s="311"/>
      <c r="BI69" s="311"/>
      <c r="BJ69" s="311"/>
      <c r="BK69" s="311"/>
      <c r="BL69" s="311"/>
      <c r="BM69" s="311"/>
      <c r="BN69" s="311"/>
      <c r="BO69" s="311"/>
      <c r="BP69" s="311"/>
      <c r="BQ69" s="311"/>
      <c r="BR69" s="311"/>
      <c r="BS69" s="311"/>
      <c r="BT69" s="311"/>
      <c r="BU69" s="311"/>
      <c r="BV69" s="311"/>
      <c r="BW69" s="311"/>
      <c r="BX69" s="311"/>
      <c r="BY69" s="311"/>
      <c r="BZ69" s="311"/>
      <c r="CA69" s="311"/>
      <c r="CB69" s="311"/>
      <c r="CC69" s="311"/>
      <c r="CD69" s="311"/>
      <c r="CE69" s="311"/>
      <c r="CF69" s="311"/>
      <c r="CG69" s="311"/>
      <c r="CH69" s="311"/>
      <c r="CI69" s="311"/>
      <c r="CJ69" s="311"/>
      <c r="CK69" s="311"/>
      <c r="CL69" s="311"/>
      <c r="CM69" s="311"/>
      <c r="CN69" s="311"/>
      <c r="CO69" s="311"/>
      <c r="CP69" s="311"/>
      <c r="CQ69" s="311"/>
      <c r="CR69" s="311"/>
      <c r="CS69" s="311"/>
      <c r="CT69" s="311"/>
      <c r="CU69" s="311"/>
      <c r="CV69" s="311"/>
      <c r="CW69" s="311"/>
      <c r="CX69" s="311"/>
      <c r="CY69" s="311"/>
    </row>
    <row r="70" spans="1:103" ht="57.6" x14ac:dyDescent="0.3">
      <c r="A70" s="297">
        <v>5004</v>
      </c>
      <c r="B70" s="289" t="s">
        <v>117</v>
      </c>
      <c r="C70" s="289" t="s">
        <v>331</v>
      </c>
      <c r="D70" s="289" t="s">
        <v>330</v>
      </c>
      <c r="E70" s="290">
        <v>150000</v>
      </c>
      <c r="F70" s="278">
        <v>43793</v>
      </c>
      <c r="G70" s="278">
        <v>44159</v>
      </c>
      <c r="H70" s="276"/>
      <c r="I70" s="276">
        <v>5.85</v>
      </c>
      <c r="J70" s="276">
        <v>1901.25</v>
      </c>
      <c r="K70" s="276">
        <v>731.25</v>
      </c>
      <c r="L70" s="276"/>
      <c r="M70" s="276"/>
      <c r="N70" s="276">
        <v>2632.5</v>
      </c>
      <c r="O70" s="276">
        <v>731.25</v>
      </c>
      <c r="P70" s="276"/>
      <c r="Q70" s="276"/>
      <c r="R70" s="276">
        <v>3363.75</v>
      </c>
      <c r="S70" s="276">
        <v>731.25</v>
      </c>
      <c r="T70" s="276"/>
      <c r="U70" s="276"/>
      <c r="V70" s="276">
        <v>4095</v>
      </c>
      <c r="W70" s="276">
        <v>755.625</v>
      </c>
      <c r="X70" s="266"/>
      <c r="Y70" s="276"/>
      <c r="Z70" s="276">
        <v>4850.625</v>
      </c>
      <c r="AA70" s="276">
        <v>721.23287671232879</v>
      </c>
      <c r="AB70" s="266"/>
      <c r="AC70" s="276"/>
      <c r="AD70" s="276">
        <v>5571.857876712329</v>
      </c>
      <c r="AE70" s="314">
        <v>745.27397260273972</v>
      </c>
      <c r="AF70" s="314"/>
      <c r="AG70" s="314"/>
      <c r="AH70" s="314">
        <v>6317.1318493150684</v>
      </c>
      <c r="AI70" s="319"/>
      <c r="AJ70" s="311"/>
      <c r="AK70" s="311"/>
      <c r="AL70" s="311"/>
      <c r="AM70" s="311"/>
      <c r="AN70" s="311"/>
      <c r="AO70" s="311"/>
      <c r="AP70" s="311"/>
      <c r="AQ70" s="311"/>
      <c r="AR70" s="311"/>
      <c r="AS70" s="311"/>
      <c r="AT70" s="311"/>
      <c r="AU70" s="311"/>
      <c r="AV70" s="311"/>
      <c r="AW70" s="311"/>
      <c r="AX70" s="311"/>
      <c r="AY70" s="311"/>
      <c r="AZ70" s="311"/>
      <c r="BA70" s="311"/>
      <c r="BB70" s="311"/>
      <c r="BC70" s="311"/>
      <c r="BD70" s="311"/>
      <c r="BE70" s="311"/>
      <c r="BF70" s="311"/>
      <c r="BG70" s="311"/>
      <c r="BH70" s="311"/>
      <c r="BI70" s="311"/>
      <c r="BJ70" s="311"/>
      <c r="BK70" s="311"/>
      <c r="BL70" s="311"/>
      <c r="BM70" s="311"/>
      <c r="BN70" s="311"/>
      <c r="BO70" s="311"/>
      <c r="BP70" s="311"/>
      <c r="BQ70" s="311"/>
      <c r="BR70" s="311"/>
      <c r="BS70" s="311"/>
      <c r="BT70" s="311"/>
      <c r="BU70" s="311"/>
      <c r="BV70" s="311"/>
      <c r="BW70" s="311"/>
      <c r="BX70" s="311"/>
      <c r="BY70" s="311"/>
      <c r="BZ70" s="311"/>
      <c r="CA70" s="311"/>
      <c r="CB70" s="311"/>
      <c r="CC70" s="311"/>
      <c r="CD70" s="311"/>
      <c r="CE70" s="311"/>
      <c r="CF70" s="311"/>
      <c r="CG70" s="311"/>
      <c r="CH70" s="311"/>
      <c r="CI70" s="311"/>
      <c r="CJ70" s="311"/>
      <c r="CK70" s="311"/>
      <c r="CL70" s="311"/>
      <c r="CM70" s="311"/>
      <c r="CN70" s="311"/>
      <c r="CO70" s="311"/>
      <c r="CP70" s="311"/>
      <c r="CQ70" s="311"/>
      <c r="CR70" s="311"/>
      <c r="CS70" s="311"/>
      <c r="CT70" s="311"/>
      <c r="CU70" s="311"/>
      <c r="CV70" s="311"/>
      <c r="CW70" s="311"/>
      <c r="CX70" s="311"/>
      <c r="CY70" s="311"/>
    </row>
    <row r="71" spans="1:103" x14ac:dyDescent="0.3">
      <c r="A71" s="296">
        <v>5031</v>
      </c>
      <c r="B71" s="275" t="s">
        <v>329</v>
      </c>
      <c r="C71" s="275" t="s">
        <v>328</v>
      </c>
      <c r="D71" s="275" t="s">
        <v>327</v>
      </c>
      <c r="E71" s="266"/>
      <c r="F71" s="278">
        <v>43801</v>
      </c>
      <c r="G71" s="278">
        <v>44166</v>
      </c>
      <c r="H71" s="276"/>
      <c r="I71" s="276">
        <v>6.4</v>
      </c>
      <c r="J71" s="276">
        <v>1418.7401671111111</v>
      </c>
      <c r="K71" s="276">
        <v>1330.0689066666666</v>
      </c>
      <c r="L71" s="276"/>
      <c r="M71" s="276"/>
      <c r="N71" s="276">
        <v>2748.8090737777775</v>
      </c>
      <c r="O71" s="276">
        <v>1330.0689066666666</v>
      </c>
      <c r="P71" s="276"/>
      <c r="Q71" s="276"/>
      <c r="R71" s="276">
        <v>4078.8779804444439</v>
      </c>
      <c r="S71" s="276">
        <v>1330.0689066666666</v>
      </c>
      <c r="T71" s="276"/>
      <c r="U71" s="276"/>
      <c r="V71" s="276">
        <v>5408.9468871111103</v>
      </c>
      <c r="W71" s="276">
        <v>1374.4045368888887</v>
      </c>
      <c r="X71" s="266">
        <v>-7718.76</v>
      </c>
      <c r="Y71" s="276">
        <v>935.41</v>
      </c>
      <c r="Z71" s="276">
        <v>1.4239999983374219E-3</v>
      </c>
      <c r="AA71" s="276">
        <v>0</v>
      </c>
      <c r="AB71" s="266">
        <v>-211.08</v>
      </c>
      <c r="AC71" s="276">
        <v>211.08</v>
      </c>
      <c r="AD71" s="276">
        <v>1.4239999983374219E-3</v>
      </c>
      <c r="AE71" s="314">
        <v>0</v>
      </c>
      <c r="AF71" s="314"/>
      <c r="AG71" s="314"/>
      <c r="AH71" s="314">
        <v>1.4239999983374219E-3</v>
      </c>
      <c r="AI71" s="319" t="s">
        <v>96</v>
      </c>
      <c r="AJ71" s="311"/>
      <c r="AK71" s="311"/>
      <c r="AL71" s="311"/>
      <c r="AM71" s="311"/>
      <c r="AN71" s="311"/>
      <c r="AO71" s="311"/>
      <c r="AP71" s="311"/>
      <c r="AQ71" s="311"/>
      <c r="AR71" s="311"/>
      <c r="AS71" s="311"/>
      <c r="AT71" s="311"/>
      <c r="AU71" s="311"/>
      <c r="AV71" s="311"/>
      <c r="AW71" s="311"/>
      <c r="AX71" s="311"/>
      <c r="AY71" s="311"/>
      <c r="AZ71" s="311"/>
      <c r="BA71" s="311"/>
      <c r="BB71" s="311"/>
      <c r="BC71" s="311"/>
      <c r="BD71" s="311"/>
      <c r="BE71" s="311"/>
      <c r="BF71" s="311"/>
      <c r="BG71" s="311"/>
      <c r="BH71" s="311"/>
      <c r="BI71" s="311"/>
      <c r="BJ71" s="311"/>
      <c r="BK71" s="311"/>
      <c r="BL71" s="311"/>
      <c r="BM71" s="311"/>
      <c r="BN71" s="311"/>
      <c r="BO71" s="311"/>
      <c r="BP71" s="311"/>
      <c r="BQ71" s="311"/>
      <c r="BR71" s="311"/>
      <c r="BS71" s="311"/>
      <c r="BT71" s="311"/>
      <c r="BU71" s="311"/>
      <c r="BV71" s="311"/>
      <c r="BW71" s="311"/>
      <c r="BX71" s="311"/>
      <c r="BY71" s="311"/>
      <c r="BZ71" s="311"/>
      <c r="CA71" s="311"/>
      <c r="CB71" s="311"/>
      <c r="CC71" s="311"/>
      <c r="CD71" s="311"/>
      <c r="CE71" s="311"/>
      <c r="CF71" s="311"/>
      <c r="CG71" s="311"/>
      <c r="CH71" s="311"/>
      <c r="CI71" s="311"/>
      <c r="CJ71" s="311"/>
      <c r="CK71" s="311"/>
      <c r="CL71" s="311"/>
      <c r="CM71" s="311"/>
      <c r="CN71" s="311"/>
      <c r="CO71" s="311"/>
      <c r="CP71" s="311"/>
      <c r="CQ71" s="311"/>
      <c r="CR71" s="311"/>
      <c r="CS71" s="311"/>
      <c r="CT71" s="311"/>
      <c r="CU71" s="311"/>
      <c r="CV71" s="311"/>
      <c r="CW71" s="311"/>
      <c r="CX71" s="311"/>
      <c r="CY71" s="311"/>
    </row>
    <row r="72" spans="1:103" x14ac:dyDescent="0.3">
      <c r="A72" s="296">
        <v>5063</v>
      </c>
      <c r="B72" s="275" t="s">
        <v>25</v>
      </c>
      <c r="C72" s="275" t="s">
        <v>326</v>
      </c>
      <c r="D72" s="275" t="s">
        <v>325</v>
      </c>
      <c r="E72" s="266">
        <v>138000</v>
      </c>
      <c r="F72" s="278">
        <v>43800</v>
      </c>
      <c r="G72" s="278">
        <v>44166</v>
      </c>
      <c r="H72" s="276"/>
      <c r="I72" s="276">
        <v>4.4000000000000004</v>
      </c>
      <c r="J72" s="276">
        <v>539.73333333333346</v>
      </c>
      <c r="K72" s="276">
        <v>506.00000000000011</v>
      </c>
      <c r="L72" s="276"/>
      <c r="M72" s="276"/>
      <c r="N72" s="276">
        <v>1045.7333333333336</v>
      </c>
      <c r="O72" s="276">
        <v>506.00000000000011</v>
      </c>
      <c r="P72" s="276"/>
      <c r="Q72" s="276"/>
      <c r="R72" s="276">
        <v>1551.7333333333336</v>
      </c>
      <c r="S72" s="276">
        <v>506.00000000000011</v>
      </c>
      <c r="T72" s="276"/>
      <c r="U72" s="276"/>
      <c r="V72" s="276">
        <v>2057.7333333333336</v>
      </c>
      <c r="W72" s="276">
        <v>522.86666666666679</v>
      </c>
      <c r="X72" s="266"/>
      <c r="Y72" s="276"/>
      <c r="Z72" s="276">
        <v>2580.6000000000004</v>
      </c>
      <c r="AA72" s="276">
        <v>499.06849315068496</v>
      </c>
      <c r="AB72" s="266"/>
      <c r="AC72" s="276"/>
      <c r="AD72" s="276">
        <v>3079.6684931506852</v>
      </c>
      <c r="AE72" s="314">
        <v>515.7041095890412</v>
      </c>
      <c r="AF72" s="314"/>
      <c r="AG72" s="314"/>
      <c r="AH72" s="314">
        <v>3595.3726027397265</v>
      </c>
      <c r="AI72" s="319"/>
      <c r="AJ72" s="311"/>
      <c r="AK72" s="311"/>
      <c r="AL72" s="311"/>
      <c r="AM72" s="311"/>
      <c r="AN72" s="311"/>
      <c r="AO72" s="311"/>
      <c r="AP72" s="311"/>
      <c r="AQ72" s="311"/>
      <c r="AR72" s="311"/>
      <c r="AS72" s="311"/>
      <c r="AT72" s="311"/>
      <c r="AU72" s="311"/>
      <c r="AV72" s="311"/>
      <c r="AW72" s="311"/>
      <c r="AX72" s="311"/>
      <c r="AY72" s="311"/>
      <c r="AZ72" s="311"/>
      <c r="BA72" s="311"/>
      <c r="BB72" s="311"/>
      <c r="BC72" s="311"/>
      <c r="BD72" s="311"/>
      <c r="BE72" s="311"/>
      <c r="BF72" s="311"/>
      <c r="BG72" s="311"/>
      <c r="BH72" s="311"/>
      <c r="BI72" s="311"/>
      <c r="BJ72" s="311"/>
      <c r="BK72" s="311"/>
      <c r="BL72" s="311"/>
      <c r="BM72" s="311"/>
      <c r="BN72" s="311"/>
      <c r="BO72" s="311"/>
      <c r="BP72" s="311"/>
      <c r="BQ72" s="311"/>
      <c r="BR72" s="311"/>
      <c r="BS72" s="311"/>
      <c r="BT72" s="311"/>
      <c r="BU72" s="311"/>
      <c r="BV72" s="311"/>
      <c r="BW72" s="311"/>
      <c r="BX72" s="311"/>
      <c r="BY72" s="311"/>
      <c r="BZ72" s="311"/>
      <c r="CA72" s="311"/>
      <c r="CB72" s="311"/>
      <c r="CC72" s="311"/>
      <c r="CD72" s="311"/>
      <c r="CE72" s="311"/>
      <c r="CF72" s="311"/>
      <c r="CG72" s="311"/>
      <c r="CH72" s="311"/>
      <c r="CI72" s="311"/>
      <c r="CJ72" s="311"/>
      <c r="CK72" s="311"/>
      <c r="CL72" s="311"/>
      <c r="CM72" s="311"/>
      <c r="CN72" s="311"/>
      <c r="CO72" s="311"/>
      <c r="CP72" s="311"/>
      <c r="CQ72" s="311"/>
      <c r="CR72" s="311"/>
      <c r="CS72" s="311"/>
      <c r="CT72" s="311"/>
      <c r="CU72" s="311"/>
      <c r="CV72" s="311"/>
      <c r="CW72" s="311"/>
      <c r="CX72" s="311"/>
      <c r="CY72" s="311"/>
    </row>
    <row r="73" spans="1:103" x14ac:dyDescent="0.3">
      <c r="A73" s="296">
        <v>5005</v>
      </c>
      <c r="B73" s="275" t="s">
        <v>10</v>
      </c>
      <c r="C73" s="275" t="s">
        <v>324</v>
      </c>
      <c r="D73" s="275" t="s">
        <v>323</v>
      </c>
      <c r="E73" s="266">
        <v>1400000</v>
      </c>
      <c r="F73" s="278">
        <v>43803</v>
      </c>
      <c r="G73" s="278">
        <v>44169</v>
      </c>
      <c r="H73" s="276"/>
      <c r="I73" s="276">
        <v>0.4</v>
      </c>
      <c r="J73" s="276">
        <v>544.44444444444446</v>
      </c>
      <c r="K73" s="276">
        <v>466.66666666666669</v>
      </c>
      <c r="L73" s="276"/>
      <c r="M73" s="276"/>
      <c r="N73" s="276">
        <v>1011.1111111111111</v>
      </c>
      <c r="O73" s="276">
        <v>466.66666666666669</v>
      </c>
      <c r="P73" s="276"/>
      <c r="Q73" s="276"/>
      <c r="R73" s="276">
        <v>1477.7777777777778</v>
      </c>
      <c r="S73" s="276">
        <v>466.66666666666669</v>
      </c>
      <c r="T73" s="276"/>
      <c r="U73" s="276"/>
      <c r="V73" s="276">
        <v>1944.4444444444446</v>
      </c>
      <c r="W73" s="276">
        <v>482.22222222222223</v>
      </c>
      <c r="X73" s="266"/>
      <c r="Y73" s="276"/>
      <c r="Z73" s="276">
        <v>2426.666666666667</v>
      </c>
      <c r="AA73" s="276">
        <v>460.27397260273972</v>
      </c>
      <c r="AB73" s="266"/>
      <c r="AC73" s="276"/>
      <c r="AD73" s="276">
        <v>2886.9406392694068</v>
      </c>
      <c r="AE73" s="314">
        <v>475.61643835616434</v>
      </c>
      <c r="AF73" s="314"/>
      <c r="AG73" s="314"/>
      <c r="AH73" s="314">
        <v>3362.5570776255713</v>
      </c>
      <c r="AI73" s="319"/>
      <c r="AJ73" s="311"/>
      <c r="AK73" s="311"/>
      <c r="AL73" s="311"/>
      <c r="AM73" s="311"/>
      <c r="AN73" s="311"/>
      <c r="AO73" s="311"/>
      <c r="AP73" s="311"/>
      <c r="AQ73" s="311"/>
      <c r="AR73" s="311"/>
      <c r="AS73" s="311"/>
      <c r="AT73" s="311"/>
      <c r="AU73" s="311"/>
      <c r="AV73" s="311"/>
      <c r="AW73" s="311"/>
      <c r="AX73" s="311"/>
      <c r="AY73" s="311"/>
      <c r="AZ73" s="311"/>
      <c r="BA73" s="311"/>
      <c r="BB73" s="311"/>
      <c r="BC73" s="311"/>
      <c r="BD73" s="311"/>
      <c r="BE73" s="311"/>
      <c r="BF73" s="311"/>
      <c r="BG73" s="311"/>
      <c r="BH73" s="311"/>
      <c r="BI73" s="311"/>
      <c r="BJ73" s="311"/>
      <c r="BK73" s="311"/>
      <c r="BL73" s="311"/>
      <c r="BM73" s="311"/>
      <c r="BN73" s="311"/>
      <c r="BO73" s="311"/>
      <c r="BP73" s="311"/>
      <c r="BQ73" s="311"/>
      <c r="BR73" s="311"/>
      <c r="BS73" s="311"/>
      <c r="BT73" s="311"/>
      <c r="BU73" s="311"/>
      <c r="BV73" s="311"/>
      <c r="BW73" s="311"/>
      <c r="BX73" s="311"/>
      <c r="BY73" s="311"/>
      <c r="BZ73" s="311"/>
      <c r="CA73" s="311"/>
      <c r="CB73" s="311"/>
      <c r="CC73" s="311"/>
      <c r="CD73" s="311"/>
      <c r="CE73" s="311"/>
      <c r="CF73" s="311"/>
      <c r="CG73" s="311"/>
      <c r="CH73" s="311"/>
      <c r="CI73" s="311"/>
      <c r="CJ73" s="311"/>
      <c r="CK73" s="311"/>
      <c r="CL73" s="311"/>
      <c r="CM73" s="311"/>
      <c r="CN73" s="311"/>
      <c r="CO73" s="311"/>
      <c r="CP73" s="311"/>
      <c r="CQ73" s="311"/>
      <c r="CR73" s="311"/>
      <c r="CS73" s="311"/>
      <c r="CT73" s="311"/>
      <c r="CU73" s="311"/>
      <c r="CV73" s="311"/>
      <c r="CW73" s="311"/>
      <c r="CX73" s="311"/>
      <c r="CY73" s="311"/>
    </row>
    <row r="74" spans="1:103" x14ac:dyDescent="0.3">
      <c r="A74" s="296">
        <v>5056</v>
      </c>
      <c r="B74" s="275" t="s">
        <v>322</v>
      </c>
      <c r="C74" s="275" t="s">
        <v>321</v>
      </c>
      <c r="D74" s="275" t="s">
        <v>320</v>
      </c>
      <c r="E74" s="266">
        <v>33000</v>
      </c>
      <c r="F74" s="278">
        <v>43811</v>
      </c>
      <c r="G74" s="278">
        <v>44177</v>
      </c>
      <c r="H74" s="276"/>
      <c r="I74" s="276">
        <v>6.4</v>
      </c>
      <c r="J74" s="276">
        <v>252.26666666666665</v>
      </c>
      <c r="K74" s="276">
        <v>176</v>
      </c>
      <c r="L74" s="276"/>
      <c r="M74" s="276"/>
      <c r="N74" s="276">
        <v>428.26666666666665</v>
      </c>
      <c r="O74" s="276">
        <v>176</v>
      </c>
      <c r="P74" s="276"/>
      <c r="Q74" s="276"/>
      <c r="R74" s="276">
        <v>604.26666666666665</v>
      </c>
      <c r="S74" s="276">
        <v>176</v>
      </c>
      <c r="T74" s="276"/>
      <c r="U74" s="276"/>
      <c r="V74" s="276">
        <v>780.26666666666665</v>
      </c>
      <c r="W74" s="276">
        <v>181.86666666666665</v>
      </c>
      <c r="X74" s="266"/>
      <c r="Y74" s="276"/>
      <c r="Z74" s="276">
        <v>962.13333333333333</v>
      </c>
      <c r="AA74" s="276">
        <v>173.58904109589042</v>
      </c>
      <c r="AB74" s="266"/>
      <c r="AC74" s="276"/>
      <c r="AD74" s="276">
        <v>1135.7223744292237</v>
      </c>
      <c r="AE74" s="314">
        <v>179.37534246575342</v>
      </c>
      <c r="AF74" s="314"/>
      <c r="AG74" s="314"/>
      <c r="AH74" s="314">
        <v>1315.0977168949771</v>
      </c>
      <c r="AI74" s="319"/>
      <c r="AJ74" s="311"/>
      <c r="AK74" s="311"/>
      <c r="AL74" s="311"/>
      <c r="AM74" s="311"/>
      <c r="AN74" s="311"/>
      <c r="AO74" s="311"/>
      <c r="AP74" s="311"/>
      <c r="AQ74" s="311"/>
      <c r="AR74" s="311"/>
      <c r="AS74" s="311"/>
      <c r="AT74" s="311"/>
      <c r="AU74" s="311"/>
      <c r="AV74" s="311"/>
      <c r="AW74" s="311"/>
      <c r="AX74" s="311"/>
      <c r="AY74" s="311"/>
      <c r="AZ74" s="311"/>
      <c r="BA74" s="311"/>
      <c r="BB74" s="311"/>
      <c r="BC74" s="311"/>
      <c r="BD74" s="311"/>
      <c r="BE74" s="311"/>
      <c r="BF74" s="311"/>
      <c r="BG74" s="311"/>
      <c r="BH74" s="311"/>
      <c r="BI74" s="311"/>
      <c r="BJ74" s="311"/>
      <c r="BK74" s="311"/>
      <c r="BL74" s="311"/>
      <c r="BM74" s="311"/>
      <c r="BN74" s="311"/>
      <c r="BO74" s="311"/>
      <c r="BP74" s="311"/>
      <c r="BQ74" s="311"/>
      <c r="BR74" s="311"/>
      <c r="BS74" s="311"/>
      <c r="BT74" s="311"/>
      <c r="BU74" s="311"/>
      <c r="BV74" s="311"/>
      <c r="BW74" s="311"/>
      <c r="BX74" s="311"/>
      <c r="BY74" s="311"/>
      <c r="BZ74" s="311"/>
      <c r="CA74" s="311"/>
      <c r="CB74" s="311"/>
      <c r="CC74" s="311"/>
      <c r="CD74" s="311"/>
      <c r="CE74" s="311"/>
      <c r="CF74" s="311"/>
      <c r="CG74" s="311"/>
      <c r="CH74" s="311"/>
      <c r="CI74" s="311"/>
      <c r="CJ74" s="311"/>
      <c r="CK74" s="311"/>
      <c r="CL74" s="311"/>
      <c r="CM74" s="311"/>
      <c r="CN74" s="311"/>
      <c r="CO74" s="311"/>
      <c r="CP74" s="311"/>
      <c r="CQ74" s="311"/>
      <c r="CR74" s="311"/>
      <c r="CS74" s="311"/>
      <c r="CT74" s="311"/>
      <c r="CU74" s="311"/>
      <c r="CV74" s="311"/>
      <c r="CW74" s="311"/>
      <c r="CX74" s="311"/>
      <c r="CY74" s="311"/>
    </row>
    <row r="75" spans="1:103" x14ac:dyDescent="0.3">
      <c r="A75" s="296">
        <v>5005</v>
      </c>
      <c r="B75" s="275" t="s">
        <v>265</v>
      </c>
      <c r="C75" s="275" t="s">
        <v>319</v>
      </c>
      <c r="D75" s="275" t="s">
        <v>318</v>
      </c>
      <c r="E75" s="266">
        <v>30000</v>
      </c>
      <c r="F75" s="278">
        <v>43815</v>
      </c>
      <c r="G75" s="278">
        <v>44181</v>
      </c>
      <c r="H75" s="276"/>
      <c r="I75" s="276">
        <v>6.9</v>
      </c>
      <c r="J75" s="276">
        <v>270.25</v>
      </c>
      <c r="K75" s="276">
        <v>172.5</v>
      </c>
      <c r="L75" s="276"/>
      <c r="M75" s="276"/>
      <c r="N75" s="276">
        <v>442.75</v>
      </c>
      <c r="O75" s="276">
        <v>172.5</v>
      </c>
      <c r="P75" s="276"/>
      <c r="Q75" s="276"/>
      <c r="R75" s="276">
        <v>615.25</v>
      </c>
      <c r="S75" s="276">
        <v>172.5</v>
      </c>
      <c r="T75" s="276"/>
      <c r="U75" s="276"/>
      <c r="V75" s="276">
        <v>787.75</v>
      </c>
      <c r="W75" s="276">
        <v>178.25</v>
      </c>
      <c r="X75" s="266"/>
      <c r="Y75" s="276"/>
      <c r="Z75" s="276">
        <v>966</v>
      </c>
      <c r="AA75" s="276">
        <v>170.13698630136986</v>
      </c>
      <c r="AB75" s="266"/>
      <c r="AC75" s="276"/>
      <c r="AD75" s="276">
        <v>1136.1369863013699</v>
      </c>
      <c r="AE75" s="314">
        <v>175.80821917808217</v>
      </c>
      <c r="AF75" s="314"/>
      <c r="AG75" s="314"/>
      <c r="AH75" s="314">
        <v>1311.9452054794522</v>
      </c>
      <c r="AI75" s="319"/>
      <c r="AJ75" s="311"/>
      <c r="AK75" s="311"/>
      <c r="AL75" s="311"/>
      <c r="AM75" s="311"/>
      <c r="AN75" s="311"/>
      <c r="AO75" s="311"/>
      <c r="AP75" s="311"/>
      <c r="AQ75" s="311"/>
      <c r="AR75" s="311"/>
      <c r="AS75" s="311"/>
      <c r="AT75" s="311"/>
      <c r="AU75" s="311"/>
      <c r="AV75" s="311"/>
      <c r="AW75" s="311"/>
      <c r="AX75" s="311"/>
      <c r="AY75" s="311"/>
      <c r="AZ75" s="311"/>
      <c r="BA75" s="311"/>
      <c r="BB75" s="311"/>
      <c r="BC75" s="311"/>
      <c r="BD75" s="311"/>
      <c r="BE75" s="311"/>
      <c r="BF75" s="311"/>
      <c r="BG75" s="311"/>
      <c r="BH75" s="311"/>
      <c r="BI75" s="311"/>
      <c r="BJ75" s="311"/>
      <c r="BK75" s="311"/>
      <c r="BL75" s="311"/>
      <c r="BM75" s="311"/>
      <c r="BN75" s="311"/>
      <c r="BO75" s="311"/>
      <c r="BP75" s="311"/>
      <c r="BQ75" s="311"/>
      <c r="BR75" s="311"/>
      <c r="BS75" s="311"/>
      <c r="BT75" s="311"/>
      <c r="BU75" s="311"/>
      <c r="BV75" s="311"/>
      <c r="BW75" s="311"/>
      <c r="BX75" s="311"/>
      <c r="BY75" s="311"/>
      <c r="BZ75" s="311"/>
      <c r="CA75" s="311"/>
      <c r="CB75" s="311"/>
      <c r="CC75" s="311"/>
      <c r="CD75" s="311"/>
      <c r="CE75" s="311"/>
      <c r="CF75" s="311"/>
      <c r="CG75" s="311"/>
      <c r="CH75" s="311"/>
      <c r="CI75" s="311"/>
      <c r="CJ75" s="311"/>
      <c r="CK75" s="311"/>
      <c r="CL75" s="311"/>
      <c r="CM75" s="311"/>
      <c r="CN75" s="311"/>
      <c r="CO75" s="311"/>
      <c r="CP75" s="311"/>
      <c r="CQ75" s="311"/>
      <c r="CR75" s="311"/>
      <c r="CS75" s="311"/>
      <c r="CT75" s="311"/>
      <c r="CU75" s="311"/>
      <c r="CV75" s="311"/>
      <c r="CW75" s="311"/>
      <c r="CX75" s="311"/>
      <c r="CY75" s="311"/>
    </row>
    <row r="76" spans="1:103" x14ac:dyDescent="0.3">
      <c r="A76" s="296">
        <v>5061</v>
      </c>
      <c r="B76" s="275" t="s">
        <v>317</v>
      </c>
      <c r="C76" s="275" t="s">
        <v>316</v>
      </c>
      <c r="D76" s="275" t="s">
        <v>315</v>
      </c>
      <c r="E76" s="266">
        <v>200000</v>
      </c>
      <c r="F76" s="278">
        <v>43816</v>
      </c>
      <c r="G76" s="278">
        <v>44182</v>
      </c>
      <c r="H76" s="276"/>
      <c r="I76" s="276">
        <v>5.65</v>
      </c>
      <c r="J76" s="276">
        <v>1506.6666666666665</v>
      </c>
      <c r="K76" s="276">
        <v>941.66666666666663</v>
      </c>
      <c r="L76" s="276"/>
      <c r="M76" s="276"/>
      <c r="N76" s="276">
        <v>2448.333333333333</v>
      </c>
      <c r="O76" s="276">
        <v>941.66666666666663</v>
      </c>
      <c r="P76" s="276"/>
      <c r="Q76" s="276"/>
      <c r="R76" s="276">
        <v>3389.9999999999995</v>
      </c>
      <c r="S76" s="276">
        <v>941.66666666666663</v>
      </c>
      <c r="T76" s="276"/>
      <c r="U76" s="276"/>
      <c r="V76" s="276">
        <v>4331.6666666666661</v>
      </c>
      <c r="W76" s="276">
        <v>973.05555555555554</v>
      </c>
      <c r="X76" s="266"/>
      <c r="Y76" s="276"/>
      <c r="Z76" s="276">
        <v>5304.7222222222217</v>
      </c>
      <c r="AA76" s="276">
        <v>928.76712328767121</v>
      </c>
      <c r="AB76" s="266"/>
      <c r="AC76" s="276"/>
      <c r="AD76" s="276">
        <v>6233.4893455098927</v>
      </c>
      <c r="AE76" s="314">
        <v>959.72602739726028</v>
      </c>
      <c r="AF76" s="314"/>
      <c r="AG76" s="314"/>
      <c r="AH76" s="314">
        <v>7193.2153729071533</v>
      </c>
      <c r="AI76" s="319"/>
      <c r="AJ76" s="311"/>
      <c r="AK76" s="311"/>
      <c r="AL76" s="311"/>
      <c r="AM76" s="311"/>
      <c r="AN76" s="311"/>
      <c r="AO76" s="311"/>
      <c r="AP76" s="311"/>
      <c r="AQ76" s="311"/>
      <c r="AR76" s="311"/>
      <c r="AS76" s="311"/>
      <c r="AT76" s="311"/>
      <c r="AU76" s="311"/>
      <c r="AV76" s="311"/>
      <c r="AW76" s="311"/>
      <c r="AX76" s="311"/>
      <c r="AY76" s="311"/>
      <c r="AZ76" s="311"/>
      <c r="BA76" s="311"/>
      <c r="BB76" s="311"/>
      <c r="BC76" s="311"/>
      <c r="BD76" s="311"/>
      <c r="BE76" s="311"/>
      <c r="BF76" s="311"/>
      <c r="BG76" s="311"/>
      <c r="BH76" s="311"/>
      <c r="BI76" s="311"/>
      <c r="BJ76" s="311"/>
      <c r="BK76" s="311"/>
      <c r="BL76" s="311"/>
      <c r="BM76" s="311"/>
      <c r="BN76" s="311"/>
      <c r="BO76" s="311"/>
      <c r="BP76" s="311"/>
      <c r="BQ76" s="311"/>
      <c r="BR76" s="311"/>
      <c r="BS76" s="311"/>
      <c r="BT76" s="311"/>
      <c r="BU76" s="311"/>
      <c r="BV76" s="311"/>
      <c r="BW76" s="311"/>
      <c r="BX76" s="311"/>
      <c r="BY76" s="311"/>
      <c r="BZ76" s="311"/>
      <c r="CA76" s="311"/>
      <c r="CB76" s="311"/>
      <c r="CC76" s="311"/>
      <c r="CD76" s="311"/>
      <c r="CE76" s="311"/>
      <c r="CF76" s="311"/>
      <c r="CG76" s="311"/>
      <c r="CH76" s="311"/>
      <c r="CI76" s="311"/>
      <c r="CJ76" s="311"/>
      <c r="CK76" s="311"/>
      <c r="CL76" s="311"/>
      <c r="CM76" s="311"/>
      <c r="CN76" s="311"/>
      <c r="CO76" s="311"/>
      <c r="CP76" s="311"/>
      <c r="CQ76" s="311"/>
      <c r="CR76" s="311"/>
      <c r="CS76" s="311"/>
      <c r="CT76" s="311"/>
      <c r="CU76" s="311"/>
      <c r="CV76" s="311"/>
      <c r="CW76" s="311"/>
      <c r="CX76" s="311"/>
      <c r="CY76" s="311"/>
    </row>
    <row r="77" spans="1:103" x14ac:dyDescent="0.3">
      <c r="A77" s="296">
        <v>5060</v>
      </c>
      <c r="B77" s="275" t="s">
        <v>233</v>
      </c>
      <c r="C77" s="275" t="s">
        <v>314</v>
      </c>
      <c r="D77" s="275" t="s">
        <v>313</v>
      </c>
      <c r="E77" s="266">
        <v>170000</v>
      </c>
      <c r="F77" s="278">
        <v>43822</v>
      </c>
      <c r="G77" s="278">
        <v>44186</v>
      </c>
      <c r="H77" s="276"/>
      <c r="I77" s="276">
        <v>5.65</v>
      </c>
      <c r="J77" s="276">
        <v>1387.3888888888891</v>
      </c>
      <c r="K77" s="276">
        <v>800.41666666666674</v>
      </c>
      <c r="L77" s="276"/>
      <c r="M77" s="276"/>
      <c r="N77" s="276">
        <v>2187.8055555555557</v>
      </c>
      <c r="O77" s="276">
        <v>800.41666666666674</v>
      </c>
      <c r="P77" s="276"/>
      <c r="Q77" s="276"/>
      <c r="R77" s="276">
        <v>2988.2222222222226</v>
      </c>
      <c r="S77" s="276">
        <v>800.41666666666674</v>
      </c>
      <c r="T77" s="276"/>
      <c r="U77" s="276"/>
      <c r="V77" s="276">
        <v>3788.6388888888896</v>
      </c>
      <c r="W77" s="276">
        <v>827.09722222222229</v>
      </c>
      <c r="X77" s="266"/>
      <c r="Y77" s="276"/>
      <c r="Z77" s="276">
        <v>4615.7361111111122</v>
      </c>
      <c r="AA77" s="276">
        <v>789.45205479452056</v>
      </c>
      <c r="AB77" s="266"/>
      <c r="AC77" s="276"/>
      <c r="AD77" s="276">
        <v>5405.1881659056326</v>
      </c>
      <c r="AE77" s="314">
        <v>815.76712328767132</v>
      </c>
      <c r="AF77" s="314"/>
      <c r="AG77" s="314"/>
      <c r="AH77" s="314">
        <v>6220.9552891933035</v>
      </c>
      <c r="AI77" s="319"/>
      <c r="AJ77" s="311"/>
      <c r="AK77" s="311"/>
      <c r="AL77" s="311"/>
      <c r="AM77" s="311"/>
      <c r="AN77" s="311"/>
      <c r="AO77" s="311"/>
      <c r="AP77" s="311"/>
      <c r="AQ77" s="311"/>
      <c r="AR77" s="311"/>
      <c r="AS77" s="311"/>
      <c r="AT77" s="311"/>
      <c r="AU77" s="311"/>
      <c r="AV77" s="311"/>
      <c r="AW77" s="311"/>
      <c r="AX77" s="311"/>
      <c r="AY77" s="311"/>
      <c r="AZ77" s="311"/>
      <c r="BA77" s="311"/>
      <c r="BB77" s="311"/>
      <c r="BC77" s="311"/>
      <c r="BD77" s="311"/>
      <c r="BE77" s="311"/>
      <c r="BF77" s="311"/>
      <c r="BG77" s="311"/>
      <c r="BH77" s="311"/>
      <c r="BI77" s="311"/>
      <c r="BJ77" s="311"/>
      <c r="BK77" s="311"/>
      <c r="BL77" s="311"/>
      <c r="BM77" s="311"/>
      <c r="BN77" s="311"/>
      <c r="BO77" s="311"/>
      <c r="BP77" s="311"/>
      <c r="BQ77" s="311"/>
      <c r="BR77" s="311"/>
      <c r="BS77" s="311"/>
      <c r="BT77" s="311"/>
      <c r="BU77" s="311"/>
      <c r="BV77" s="311"/>
      <c r="BW77" s="311"/>
      <c r="BX77" s="311"/>
      <c r="BY77" s="311"/>
      <c r="BZ77" s="311"/>
      <c r="CA77" s="311"/>
      <c r="CB77" s="311"/>
      <c r="CC77" s="311"/>
      <c r="CD77" s="311"/>
      <c r="CE77" s="311"/>
      <c r="CF77" s="311"/>
      <c r="CG77" s="311"/>
      <c r="CH77" s="311"/>
      <c r="CI77" s="311"/>
      <c r="CJ77" s="311"/>
      <c r="CK77" s="311"/>
      <c r="CL77" s="311"/>
      <c r="CM77" s="311"/>
      <c r="CN77" s="311"/>
      <c r="CO77" s="311"/>
      <c r="CP77" s="311"/>
      <c r="CQ77" s="311"/>
      <c r="CR77" s="311"/>
      <c r="CS77" s="311"/>
      <c r="CT77" s="311"/>
      <c r="CU77" s="311"/>
      <c r="CV77" s="311"/>
      <c r="CW77" s="311"/>
      <c r="CX77" s="311"/>
      <c r="CY77" s="311"/>
    </row>
    <row r="78" spans="1:103" x14ac:dyDescent="0.3">
      <c r="A78" s="296">
        <v>5060</v>
      </c>
      <c r="B78" s="275" t="s">
        <v>233</v>
      </c>
      <c r="C78" s="275" t="s">
        <v>312</v>
      </c>
      <c r="D78" s="275" t="s">
        <v>311</v>
      </c>
      <c r="E78" s="266">
        <v>254800</v>
      </c>
      <c r="F78" s="278">
        <v>43822</v>
      </c>
      <c r="G78" s="278">
        <v>44186</v>
      </c>
      <c r="H78" s="276"/>
      <c r="I78" s="276">
        <v>5.65</v>
      </c>
      <c r="J78" s="276">
        <v>2079.451111111111</v>
      </c>
      <c r="K78" s="276">
        <v>1199.6833333333334</v>
      </c>
      <c r="L78" s="276"/>
      <c r="M78" s="276"/>
      <c r="N78" s="276">
        <v>3279.1344444444444</v>
      </c>
      <c r="O78" s="276">
        <v>1199.6833333333334</v>
      </c>
      <c r="P78" s="276"/>
      <c r="Q78" s="276"/>
      <c r="R78" s="276">
        <v>4478.8177777777782</v>
      </c>
      <c r="S78" s="276">
        <v>1199.6833333333334</v>
      </c>
      <c r="T78" s="276"/>
      <c r="U78" s="276"/>
      <c r="V78" s="276">
        <v>5678.5011111111116</v>
      </c>
      <c r="W78" s="276">
        <v>1239.6727777777778</v>
      </c>
      <c r="X78" s="266"/>
      <c r="Y78" s="276"/>
      <c r="Z78" s="276">
        <v>6918.1738888888895</v>
      </c>
      <c r="AA78" s="276">
        <v>1183.2493150684932</v>
      </c>
      <c r="AB78" s="266"/>
      <c r="AC78" s="276"/>
      <c r="AD78" s="276">
        <v>8101.4232039573826</v>
      </c>
      <c r="AE78" s="314">
        <v>1222.6909589041097</v>
      </c>
      <c r="AF78" s="314"/>
      <c r="AG78" s="314"/>
      <c r="AH78" s="314">
        <v>9324.1141628614932</v>
      </c>
      <c r="AI78" s="319"/>
      <c r="AJ78" s="311"/>
      <c r="AK78" s="311"/>
      <c r="AL78" s="311"/>
      <c r="AM78" s="311"/>
      <c r="AN78" s="311"/>
      <c r="AO78" s="311"/>
      <c r="AP78" s="311"/>
      <c r="AQ78" s="311"/>
      <c r="AR78" s="311"/>
      <c r="AS78" s="311"/>
      <c r="AT78" s="311"/>
      <c r="AU78" s="311"/>
      <c r="AV78" s="311"/>
      <c r="AW78" s="311"/>
      <c r="AX78" s="311"/>
      <c r="AY78" s="311"/>
      <c r="AZ78" s="311"/>
      <c r="BA78" s="311"/>
      <c r="BB78" s="311"/>
      <c r="BC78" s="311"/>
      <c r="BD78" s="311"/>
      <c r="BE78" s="311"/>
      <c r="BF78" s="311"/>
      <c r="BG78" s="311"/>
      <c r="BH78" s="311"/>
      <c r="BI78" s="311"/>
      <c r="BJ78" s="311"/>
      <c r="BK78" s="311"/>
      <c r="BL78" s="311"/>
      <c r="BM78" s="311"/>
      <c r="BN78" s="311"/>
      <c r="BO78" s="311"/>
      <c r="BP78" s="311"/>
      <c r="BQ78" s="311"/>
      <c r="BR78" s="311"/>
      <c r="BS78" s="311"/>
      <c r="BT78" s="311"/>
      <c r="BU78" s="311"/>
      <c r="BV78" s="311"/>
      <c r="BW78" s="311"/>
      <c r="BX78" s="311"/>
      <c r="BY78" s="311"/>
      <c r="BZ78" s="311"/>
      <c r="CA78" s="311"/>
      <c r="CB78" s="311"/>
      <c r="CC78" s="311"/>
      <c r="CD78" s="311"/>
      <c r="CE78" s="311"/>
      <c r="CF78" s="311"/>
      <c r="CG78" s="311"/>
      <c r="CH78" s="311"/>
      <c r="CI78" s="311"/>
      <c r="CJ78" s="311"/>
      <c r="CK78" s="311"/>
      <c r="CL78" s="311"/>
      <c r="CM78" s="311"/>
      <c r="CN78" s="311"/>
      <c r="CO78" s="311"/>
      <c r="CP78" s="311"/>
      <c r="CQ78" s="311"/>
      <c r="CR78" s="311"/>
      <c r="CS78" s="311"/>
      <c r="CT78" s="311"/>
      <c r="CU78" s="311"/>
      <c r="CV78" s="311"/>
      <c r="CW78" s="311"/>
      <c r="CX78" s="311"/>
      <c r="CY78" s="311"/>
    </row>
    <row r="79" spans="1:103" x14ac:dyDescent="0.3">
      <c r="A79" s="296">
        <v>5060</v>
      </c>
      <c r="B79" s="275" t="s">
        <v>233</v>
      </c>
      <c r="C79" s="275" t="s">
        <v>310</v>
      </c>
      <c r="D79" s="275" t="s">
        <v>309</v>
      </c>
      <c r="E79" s="266">
        <v>126000</v>
      </c>
      <c r="F79" s="278">
        <v>43822</v>
      </c>
      <c r="G79" s="278">
        <v>44186</v>
      </c>
      <c r="H79" s="276"/>
      <c r="I79" s="276">
        <v>5.65</v>
      </c>
      <c r="J79" s="276">
        <v>1028.3</v>
      </c>
      <c r="K79" s="276">
        <v>593.25</v>
      </c>
      <c r="L79" s="276"/>
      <c r="M79" s="276"/>
      <c r="N79" s="276">
        <v>1621.55</v>
      </c>
      <c r="O79" s="276">
        <v>593.25</v>
      </c>
      <c r="P79" s="276"/>
      <c r="Q79" s="276"/>
      <c r="R79" s="276">
        <v>2214.8000000000002</v>
      </c>
      <c r="S79" s="276">
        <v>593.25</v>
      </c>
      <c r="T79" s="276"/>
      <c r="U79" s="276"/>
      <c r="V79" s="276">
        <v>2808.05</v>
      </c>
      <c r="W79" s="276">
        <v>613.02499999999998</v>
      </c>
      <c r="X79" s="266"/>
      <c r="Y79" s="276"/>
      <c r="Z79" s="276">
        <v>3421.0750000000003</v>
      </c>
      <c r="AA79" s="276">
        <v>585.1232876712329</v>
      </c>
      <c r="AB79" s="266"/>
      <c r="AC79" s="276"/>
      <c r="AD79" s="276">
        <v>4006.1982876712332</v>
      </c>
      <c r="AE79" s="314">
        <v>604.62739726027394</v>
      </c>
      <c r="AF79" s="314"/>
      <c r="AG79" s="314"/>
      <c r="AH79" s="314">
        <v>4610.8256849315076</v>
      </c>
      <c r="AI79" s="319"/>
      <c r="AJ79" s="311"/>
      <c r="AK79" s="311"/>
      <c r="AL79" s="311"/>
      <c r="AM79" s="311"/>
      <c r="AN79" s="311"/>
      <c r="AO79" s="311"/>
      <c r="AP79" s="311"/>
      <c r="AQ79" s="311"/>
      <c r="AR79" s="311"/>
      <c r="AS79" s="311"/>
      <c r="AT79" s="311"/>
      <c r="AU79" s="311"/>
      <c r="AV79" s="311"/>
      <c r="AW79" s="311"/>
      <c r="AX79" s="311"/>
      <c r="AY79" s="311"/>
      <c r="AZ79" s="311"/>
      <c r="BA79" s="311"/>
      <c r="BB79" s="311"/>
      <c r="BC79" s="311"/>
      <c r="BD79" s="311"/>
      <c r="BE79" s="311"/>
      <c r="BF79" s="311"/>
      <c r="BG79" s="311"/>
      <c r="BH79" s="311"/>
      <c r="BI79" s="311"/>
      <c r="BJ79" s="311"/>
      <c r="BK79" s="311"/>
      <c r="BL79" s="311"/>
      <c r="BM79" s="311"/>
      <c r="BN79" s="311"/>
      <c r="BO79" s="311"/>
      <c r="BP79" s="311"/>
      <c r="BQ79" s="311"/>
      <c r="BR79" s="311"/>
      <c r="BS79" s="311"/>
      <c r="BT79" s="311"/>
      <c r="BU79" s="311"/>
      <c r="BV79" s="311"/>
      <c r="BW79" s="311"/>
      <c r="BX79" s="311"/>
      <c r="BY79" s="311"/>
      <c r="BZ79" s="311"/>
      <c r="CA79" s="311"/>
      <c r="CB79" s="311"/>
      <c r="CC79" s="311"/>
      <c r="CD79" s="311"/>
      <c r="CE79" s="311"/>
      <c r="CF79" s="311"/>
      <c r="CG79" s="311"/>
      <c r="CH79" s="311"/>
      <c r="CI79" s="311"/>
      <c r="CJ79" s="311"/>
      <c r="CK79" s="311"/>
      <c r="CL79" s="311"/>
      <c r="CM79" s="311"/>
      <c r="CN79" s="311"/>
      <c r="CO79" s="311"/>
      <c r="CP79" s="311"/>
      <c r="CQ79" s="311"/>
      <c r="CR79" s="311"/>
      <c r="CS79" s="311"/>
      <c r="CT79" s="311"/>
      <c r="CU79" s="311"/>
      <c r="CV79" s="311"/>
      <c r="CW79" s="311"/>
      <c r="CX79" s="311"/>
      <c r="CY79" s="311"/>
    </row>
    <row r="80" spans="1:103" x14ac:dyDescent="0.3">
      <c r="A80" s="296">
        <v>5060</v>
      </c>
      <c r="B80" s="275" t="s">
        <v>233</v>
      </c>
      <c r="C80" s="275" t="s">
        <v>308</v>
      </c>
      <c r="D80" s="275" t="s">
        <v>307</v>
      </c>
      <c r="E80" s="266">
        <v>275000</v>
      </c>
      <c r="F80" s="278">
        <v>43822</v>
      </c>
      <c r="G80" s="278">
        <v>44186</v>
      </c>
      <c r="H80" s="276"/>
      <c r="I80" s="276">
        <v>5.65</v>
      </c>
      <c r="J80" s="276">
        <v>2244.3055555555557</v>
      </c>
      <c r="K80" s="276">
        <v>1294.7916666666667</v>
      </c>
      <c r="L80" s="276"/>
      <c r="M80" s="276"/>
      <c r="N80" s="276">
        <v>3539.0972222222226</v>
      </c>
      <c r="O80" s="276">
        <v>1294.7916666666667</v>
      </c>
      <c r="P80" s="276"/>
      <c r="Q80" s="276"/>
      <c r="R80" s="276">
        <v>4833.8888888888896</v>
      </c>
      <c r="S80" s="276">
        <v>1294.7916666666667</v>
      </c>
      <c r="T80" s="276"/>
      <c r="U80" s="276"/>
      <c r="V80" s="276">
        <v>6128.6805555555566</v>
      </c>
      <c r="W80" s="276">
        <v>1337.9513888888889</v>
      </c>
      <c r="X80" s="266"/>
      <c r="Y80" s="276"/>
      <c r="Z80" s="276">
        <v>7466.6319444444453</v>
      </c>
      <c r="AA80" s="276">
        <v>1277.0547945205478</v>
      </c>
      <c r="AB80" s="266"/>
      <c r="AC80" s="276"/>
      <c r="AD80" s="276">
        <v>8743.6867389649924</v>
      </c>
      <c r="AE80" s="314">
        <v>1319.6232876712329</v>
      </c>
      <c r="AF80" s="314"/>
      <c r="AG80" s="314"/>
      <c r="AH80" s="314">
        <v>10063.310026636225</v>
      </c>
      <c r="AI80" s="319"/>
      <c r="AJ80" s="311"/>
      <c r="AK80" s="311"/>
      <c r="AL80" s="311"/>
      <c r="AM80" s="311"/>
      <c r="AN80" s="311"/>
      <c r="AO80" s="311"/>
      <c r="AP80" s="311"/>
      <c r="AQ80" s="311"/>
      <c r="AR80" s="311"/>
      <c r="AS80" s="311"/>
      <c r="AT80" s="311"/>
      <c r="AU80" s="311"/>
      <c r="AV80" s="311"/>
      <c r="AW80" s="311"/>
      <c r="AX80" s="311"/>
      <c r="AY80" s="311"/>
      <c r="AZ80" s="311"/>
      <c r="BA80" s="311"/>
      <c r="BB80" s="311"/>
      <c r="BC80" s="311"/>
      <c r="BD80" s="311"/>
      <c r="BE80" s="311"/>
      <c r="BF80" s="311"/>
      <c r="BG80" s="311"/>
      <c r="BH80" s="311"/>
      <c r="BI80" s="311"/>
      <c r="BJ80" s="311"/>
      <c r="BK80" s="311"/>
      <c r="BL80" s="311"/>
      <c r="BM80" s="311"/>
      <c r="BN80" s="311"/>
      <c r="BO80" s="311"/>
      <c r="BP80" s="311"/>
      <c r="BQ80" s="311"/>
      <c r="BR80" s="311"/>
      <c r="BS80" s="311"/>
      <c r="BT80" s="311"/>
      <c r="BU80" s="311"/>
      <c r="BV80" s="311"/>
      <c r="BW80" s="311"/>
      <c r="BX80" s="311"/>
      <c r="BY80" s="311"/>
      <c r="BZ80" s="311"/>
      <c r="CA80" s="311"/>
      <c r="CB80" s="311"/>
      <c r="CC80" s="311"/>
      <c r="CD80" s="311"/>
      <c r="CE80" s="311"/>
      <c r="CF80" s="311"/>
      <c r="CG80" s="311"/>
      <c r="CH80" s="311"/>
      <c r="CI80" s="311"/>
      <c r="CJ80" s="311"/>
      <c r="CK80" s="311"/>
      <c r="CL80" s="311"/>
      <c r="CM80" s="311"/>
      <c r="CN80" s="311"/>
      <c r="CO80" s="311"/>
      <c r="CP80" s="311"/>
      <c r="CQ80" s="311"/>
      <c r="CR80" s="311"/>
      <c r="CS80" s="311"/>
      <c r="CT80" s="311"/>
      <c r="CU80" s="311"/>
      <c r="CV80" s="311"/>
      <c r="CW80" s="311"/>
      <c r="CX80" s="311"/>
      <c r="CY80" s="311"/>
    </row>
    <row r="81" spans="1:103" x14ac:dyDescent="0.3">
      <c r="A81" s="296">
        <v>5060</v>
      </c>
      <c r="B81" s="275" t="s">
        <v>233</v>
      </c>
      <c r="C81" s="275" t="s">
        <v>306</v>
      </c>
      <c r="D81" s="275" t="s">
        <v>305</v>
      </c>
      <c r="E81" s="266">
        <v>206000</v>
      </c>
      <c r="F81" s="278">
        <v>43822</v>
      </c>
      <c r="G81" s="278">
        <v>44186</v>
      </c>
      <c r="H81" s="276"/>
      <c r="I81" s="276">
        <v>5.65</v>
      </c>
      <c r="J81" s="276">
        <v>1681.1888888888889</v>
      </c>
      <c r="K81" s="276">
        <v>969.91666666666663</v>
      </c>
      <c r="L81" s="276"/>
      <c r="M81" s="276"/>
      <c r="N81" s="276">
        <v>2651.1055555555554</v>
      </c>
      <c r="O81" s="276">
        <v>969.91666666666663</v>
      </c>
      <c r="P81" s="276"/>
      <c r="Q81" s="276"/>
      <c r="R81" s="276">
        <v>3621.0222222222219</v>
      </c>
      <c r="S81" s="276">
        <v>969.91666666666663</v>
      </c>
      <c r="T81" s="276"/>
      <c r="U81" s="276"/>
      <c r="V81" s="276">
        <v>4590.9388888888889</v>
      </c>
      <c r="W81" s="276">
        <v>1002.2472222222223</v>
      </c>
      <c r="X81" s="266"/>
      <c r="Y81" s="276"/>
      <c r="Z81" s="276">
        <v>5593.1861111111111</v>
      </c>
      <c r="AA81" s="276">
        <v>956.63013698630141</v>
      </c>
      <c r="AB81" s="266"/>
      <c r="AC81" s="276"/>
      <c r="AD81" s="276">
        <v>6549.8162480974124</v>
      </c>
      <c r="AE81" s="314">
        <v>988.51780821917805</v>
      </c>
      <c r="AF81" s="314"/>
      <c r="AG81" s="314"/>
      <c r="AH81" s="314">
        <v>7538.3340563165902</v>
      </c>
      <c r="AI81" s="319"/>
      <c r="AJ81" s="311"/>
      <c r="AK81" s="311"/>
      <c r="AL81" s="311"/>
      <c r="AM81" s="311"/>
      <c r="AN81" s="311"/>
      <c r="AO81" s="311"/>
      <c r="AP81" s="311"/>
      <c r="AQ81" s="311"/>
      <c r="AR81" s="311"/>
      <c r="AS81" s="311"/>
      <c r="AT81" s="311"/>
      <c r="AU81" s="311"/>
      <c r="AV81" s="311"/>
      <c r="AW81" s="311"/>
      <c r="AX81" s="311"/>
      <c r="AY81" s="311"/>
      <c r="AZ81" s="311"/>
      <c r="BA81" s="311"/>
      <c r="BB81" s="311"/>
      <c r="BC81" s="311"/>
      <c r="BD81" s="311"/>
      <c r="BE81" s="311"/>
      <c r="BF81" s="311"/>
      <c r="BG81" s="311"/>
      <c r="BH81" s="311"/>
      <c r="BI81" s="311"/>
      <c r="BJ81" s="311"/>
      <c r="BK81" s="311"/>
      <c r="BL81" s="311"/>
      <c r="BM81" s="311"/>
      <c r="BN81" s="311"/>
      <c r="BO81" s="311"/>
      <c r="BP81" s="311"/>
      <c r="BQ81" s="311"/>
      <c r="BR81" s="311"/>
      <c r="BS81" s="311"/>
      <c r="BT81" s="311"/>
      <c r="BU81" s="311"/>
      <c r="BV81" s="311"/>
      <c r="BW81" s="311"/>
      <c r="BX81" s="311"/>
      <c r="BY81" s="311"/>
      <c r="BZ81" s="311"/>
      <c r="CA81" s="311"/>
      <c r="CB81" s="311"/>
      <c r="CC81" s="311"/>
      <c r="CD81" s="311"/>
      <c r="CE81" s="311"/>
      <c r="CF81" s="311"/>
      <c r="CG81" s="311"/>
      <c r="CH81" s="311"/>
      <c r="CI81" s="311"/>
      <c r="CJ81" s="311"/>
      <c r="CK81" s="311"/>
      <c r="CL81" s="311"/>
      <c r="CM81" s="311"/>
      <c r="CN81" s="311"/>
      <c r="CO81" s="311"/>
      <c r="CP81" s="311"/>
      <c r="CQ81" s="311"/>
      <c r="CR81" s="311"/>
      <c r="CS81" s="311"/>
      <c r="CT81" s="311"/>
      <c r="CU81" s="311"/>
      <c r="CV81" s="311"/>
      <c r="CW81" s="311"/>
      <c r="CX81" s="311"/>
      <c r="CY81" s="311"/>
    </row>
    <row r="82" spans="1:103" x14ac:dyDescent="0.3">
      <c r="A82" s="296">
        <v>5060</v>
      </c>
      <c r="B82" s="275" t="s">
        <v>233</v>
      </c>
      <c r="C82" s="275" t="s">
        <v>304</v>
      </c>
      <c r="D82" s="275" t="s">
        <v>303</v>
      </c>
      <c r="E82" s="266">
        <v>130000</v>
      </c>
      <c r="F82" s="278">
        <v>43822</v>
      </c>
      <c r="G82" s="278">
        <v>44186</v>
      </c>
      <c r="H82" s="276"/>
      <c r="I82" s="276">
        <v>5.65</v>
      </c>
      <c r="J82" s="276">
        <v>1060.9444444444443</v>
      </c>
      <c r="K82" s="276">
        <v>612.08333333333337</v>
      </c>
      <c r="L82" s="276"/>
      <c r="M82" s="276"/>
      <c r="N82" s="276">
        <v>1673.0277777777778</v>
      </c>
      <c r="O82" s="276">
        <v>612.08333333333337</v>
      </c>
      <c r="P82" s="276"/>
      <c r="Q82" s="276"/>
      <c r="R82" s="276">
        <v>2285.1111111111113</v>
      </c>
      <c r="S82" s="276">
        <v>612.08333333333337</v>
      </c>
      <c r="T82" s="276"/>
      <c r="U82" s="276"/>
      <c r="V82" s="276">
        <v>2897.1944444444448</v>
      </c>
      <c r="W82" s="276">
        <v>632.48611111111109</v>
      </c>
      <c r="X82" s="266"/>
      <c r="Y82" s="276"/>
      <c r="Z82" s="276">
        <v>3529.6805555555557</v>
      </c>
      <c r="AA82" s="276">
        <v>603.69863013698625</v>
      </c>
      <c r="AB82" s="266"/>
      <c r="AC82" s="276"/>
      <c r="AD82" s="276">
        <v>4133.3791856925418</v>
      </c>
      <c r="AE82" s="314">
        <v>623.82191780821915</v>
      </c>
      <c r="AF82" s="314"/>
      <c r="AG82" s="314"/>
      <c r="AH82" s="314">
        <v>4757.2011035007608</v>
      </c>
      <c r="AI82" s="319"/>
      <c r="AJ82" s="311"/>
      <c r="AK82" s="311"/>
      <c r="AL82" s="311"/>
      <c r="AM82" s="311"/>
      <c r="AN82" s="311"/>
      <c r="AO82" s="311"/>
      <c r="AP82" s="311"/>
      <c r="AQ82" s="311"/>
      <c r="AR82" s="311"/>
      <c r="AS82" s="311"/>
      <c r="AT82" s="311"/>
      <c r="AU82" s="311"/>
      <c r="AV82" s="311"/>
      <c r="AW82" s="311"/>
      <c r="AX82" s="311"/>
      <c r="AY82" s="311"/>
      <c r="AZ82" s="311"/>
      <c r="BA82" s="311"/>
      <c r="BB82" s="311"/>
      <c r="BC82" s="311"/>
      <c r="BD82" s="311"/>
      <c r="BE82" s="311"/>
      <c r="BF82" s="311"/>
      <c r="BG82" s="311"/>
      <c r="BH82" s="311"/>
      <c r="BI82" s="311"/>
      <c r="BJ82" s="311"/>
      <c r="BK82" s="311"/>
      <c r="BL82" s="311"/>
      <c r="BM82" s="311"/>
      <c r="BN82" s="311"/>
      <c r="BO82" s="311"/>
      <c r="BP82" s="311"/>
      <c r="BQ82" s="311"/>
      <c r="BR82" s="311"/>
      <c r="BS82" s="311"/>
      <c r="BT82" s="311"/>
      <c r="BU82" s="311"/>
      <c r="BV82" s="311"/>
      <c r="BW82" s="311"/>
      <c r="BX82" s="311"/>
      <c r="BY82" s="311"/>
      <c r="BZ82" s="311"/>
      <c r="CA82" s="311"/>
      <c r="CB82" s="311"/>
      <c r="CC82" s="311"/>
      <c r="CD82" s="311"/>
      <c r="CE82" s="311"/>
      <c r="CF82" s="311"/>
      <c r="CG82" s="311"/>
      <c r="CH82" s="311"/>
      <c r="CI82" s="311"/>
      <c r="CJ82" s="311"/>
      <c r="CK82" s="311"/>
      <c r="CL82" s="311"/>
      <c r="CM82" s="311"/>
      <c r="CN82" s="311"/>
      <c r="CO82" s="311"/>
      <c r="CP82" s="311"/>
      <c r="CQ82" s="311"/>
      <c r="CR82" s="311"/>
      <c r="CS82" s="311"/>
      <c r="CT82" s="311"/>
      <c r="CU82" s="311"/>
      <c r="CV82" s="311"/>
      <c r="CW82" s="311"/>
      <c r="CX82" s="311"/>
      <c r="CY82" s="311"/>
    </row>
    <row r="83" spans="1:103" x14ac:dyDescent="0.3">
      <c r="A83" s="296">
        <v>5060</v>
      </c>
      <c r="B83" s="275" t="s">
        <v>233</v>
      </c>
      <c r="C83" s="275" t="s">
        <v>302</v>
      </c>
      <c r="D83" s="275" t="s">
        <v>301</v>
      </c>
      <c r="E83" s="266">
        <v>51138.69</v>
      </c>
      <c r="F83" s="278">
        <v>43822</v>
      </c>
      <c r="G83" s="278">
        <v>44186</v>
      </c>
      <c r="H83" s="276"/>
      <c r="I83" s="276">
        <v>5.65</v>
      </c>
      <c r="J83" s="276">
        <v>417.3485311666667</v>
      </c>
      <c r="K83" s="276">
        <v>240.77799875000005</v>
      </c>
      <c r="L83" s="276"/>
      <c r="M83" s="276"/>
      <c r="N83" s="276">
        <v>658.12652991666675</v>
      </c>
      <c r="O83" s="276">
        <v>240.77799875000005</v>
      </c>
      <c r="P83" s="276"/>
      <c r="Q83" s="276"/>
      <c r="R83" s="276">
        <v>898.90452866666681</v>
      </c>
      <c r="S83" s="276">
        <v>240.77799875000005</v>
      </c>
      <c r="T83" s="276"/>
      <c r="U83" s="276"/>
      <c r="V83" s="276">
        <v>1139.6825274166667</v>
      </c>
      <c r="W83" s="276">
        <v>248.80393204166671</v>
      </c>
      <c r="X83" s="266"/>
      <c r="Y83" s="276"/>
      <c r="Z83" s="276">
        <v>1388.4864594583335</v>
      </c>
      <c r="AA83" s="276">
        <v>237.47967000000003</v>
      </c>
      <c r="AB83" s="266"/>
      <c r="AC83" s="276"/>
      <c r="AD83" s="276">
        <v>1625.9661294583334</v>
      </c>
      <c r="AE83" s="314">
        <v>245.39565900000002</v>
      </c>
      <c r="AF83" s="314"/>
      <c r="AG83" s="314"/>
      <c r="AH83" s="314">
        <v>1871.3617884583334</v>
      </c>
      <c r="AI83" s="319"/>
      <c r="AJ83" s="311"/>
      <c r="AK83" s="311"/>
      <c r="AL83" s="311"/>
      <c r="AM83" s="311"/>
      <c r="AN83" s="311"/>
      <c r="AO83" s="311"/>
      <c r="AP83" s="311"/>
      <c r="AQ83" s="311"/>
      <c r="AR83" s="311"/>
      <c r="AS83" s="311"/>
      <c r="AT83" s="311"/>
      <c r="AU83" s="311"/>
      <c r="AV83" s="311"/>
      <c r="AW83" s="311"/>
      <c r="AX83" s="311"/>
      <c r="AY83" s="311"/>
      <c r="AZ83" s="311"/>
      <c r="BA83" s="311"/>
      <c r="BB83" s="311"/>
      <c r="BC83" s="311"/>
      <c r="BD83" s="311"/>
      <c r="BE83" s="311"/>
      <c r="BF83" s="311"/>
      <c r="BG83" s="311"/>
      <c r="BH83" s="311"/>
      <c r="BI83" s="311"/>
      <c r="BJ83" s="311"/>
      <c r="BK83" s="311"/>
      <c r="BL83" s="311"/>
      <c r="BM83" s="311"/>
      <c r="BN83" s="311"/>
      <c r="BO83" s="311"/>
      <c r="BP83" s="311"/>
      <c r="BQ83" s="311"/>
      <c r="BR83" s="311"/>
      <c r="BS83" s="311"/>
      <c r="BT83" s="311"/>
      <c r="BU83" s="311"/>
      <c r="BV83" s="311"/>
      <c r="BW83" s="311"/>
      <c r="BX83" s="311"/>
      <c r="BY83" s="311"/>
      <c r="BZ83" s="311"/>
      <c r="CA83" s="311"/>
      <c r="CB83" s="311"/>
      <c r="CC83" s="311"/>
      <c r="CD83" s="311"/>
      <c r="CE83" s="311"/>
      <c r="CF83" s="311"/>
      <c r="CG83" s="311"/>
      <c r="CH83" s="311"/>
      <c r="CI83" s="311"/>
      <c r="CJ83" s="311"/>
      <c r="CK83" s="311"/>
      <c r="CL83" s="311"/>
      <c r="CM83" s="311"/>
      <c r="CN83" s="311"/>
      <c r="CO83" s="311"/>
      <c r="CP83" s="311"/>
      <c r="CQ83" s="311"/>
      <c r="CR83" s="311"/>
      <c r="CS83" s="311"/>
      <c r="CT83" s="311"/>
      <c r="CU83" s="311"/>
      <c r="CV83" s="311"/>
      <c r="CW83" s="311"/>
      <c r="CX83" s="311"/>
      <c r="CY83" s="311"/>
    </row>
    <row r="84" spans="1:103" x14ac:dyDescent="0.3">
      <c r="A84" s="296">
        <v>5060</v>
      </c>
      <c r="B84" s="275" t="s">
        <v>233</v>
      </c>
      <c r="C84" s="275" t="s">
        <v>300</v>
      </c>
      <c r="D84" s="275" t="s">
        <v>299</v>
      </c>
      <c r="E84" s="266">
        <v>200000</v>
      </c>
      <c r="F84" s="278">
        <v>43822</v>
      </c>
      <c r="G84" s="278">
        <v>44186</v>
      </c>
      <c r="H84" s="276"/>
      <c r="I84" s="276">
        <v>5.65</v>
      </c>
      <c r="J84" s="276">
        <v>1632.2222222222222</v>
      </c>
      <c r="K84" s="276">
        <v>941.66666666666663</v>
      </c>
      <c r="L84" s="276"/>
      <c r="M84" s="276"/>
      <c r="N84" s="276">
        <v>2573.8888888888887</v>
      </c>
      <c r="O84" s="276">
        <v>941.66666666666663</v>
      </c>
      <c r="P84" s="276"/>
      <c r="Q84" s="276"/>
      <c r="R84" s="276">
        <v>3515.5555555555552</v>
      </c>
      <c r="S84" s="276">
        <v>941.66666666666663</v>
      </c>
      <c r="T84" s="276"/>
      <c r="U84" s="276"/>
      <c r="V84" s="276">
        <v>4457.2222222222217</v>
      </c>
      <c r="W84" s="276">
        <v>973.05555555555554</v>
      </c>
      <c r="X84" s="266"/>
      <c r="Y84" s="276"/>
      <c r="Z84" s="276">
        <v>5430.2777777777774</v>
      </c>
      <c r="AA84" s="276">
        <v>928.76712328767121</v>
      </c>
      <c r="AB84" s="266"/>
      <c r="AC84" s="276"/>
      <c r="AD84" s="276">
        <v>6359.0449010654484</v>
      </c>
      <c r="AE84" s="314">
        <v>959.72602739726028</v>
      </c>
      <c r="AF84" s="314"/>
      <c r="AG84" s="314"/>
      <c r="AH84" s="314">
        <v>7318.770928462709</v>
      </c>
      <c r="AI84" s="319"/>
      <c r="AJ84" s="311"/>
      <c r="AK84" s="311"/>
      <c r="AL84" s="311"/>
      <c r="AM84" s="311"/>
      <c r="AN84" s="311"/>
      <c r="AO84" s="311"/>
      <c r="AP84" s="311"/>
      <c r="AQ84" s="311"/>
      <c r="AR84" s="311"/>
      <c r="AS84" s="311"/>
      <c r="AT84" s="311"/>
      <c r="AU84" s="311"/>
      <c r="AV84" s="311"/>
      <c r="AW84" s="311"/>
      <c r="AX84" s="311"/>
      <c r="AY84" s="311"/>
      <c r="AZ84" s="311"/>
      <c r="BA84" s="311"/>
      <c r="BB84" s="311"/>
      <c r="BC84" s="311"/>
      <c r="BD84" s="311"/>
      <c r="BE84" s="311"/>
      <c r="BF84" s="311"/>
      <c r="BG84" s="311"/>
      <c r="BH84" s="311"/>
      <c r="BI84" s="311"/>
      <c r="BJ84" s="311"/>
      <c r="BK84" s="311"/>
      <c r="BL84" s="311"/>
      <c r="BM84" s="311"/>
      <c r="BN84" s="311"/>
      <c r="BO84" s="311"/>
      <c r="BP84" s="311"/>
      <c r="BQ84" s="311"/>
      <c r="BR84" s="311"/>
      <c r="BS84" s="311"/>
      <c r="BT84" s="311"/>
      <c r="BU84" s="311"/>
      <c r="BV84" s="311"/>
      <c r="BW84" s="311"/>
      <c r="BX84" s="311"/>
      <c r="BY84" s="311"/>
      <c r="BZ84" s="311"/>
      <c r="CA84" s="311"/>
      <c r="CB84" s="311"/>
      <c r="CC84" s="311"/>
      <c r="CD84" s="311"/>
      <c r="CE84" s="311"/>
      <c r="CF84" s="311"/>
      <c r="CG84" s="311"/>
      <c r="CH84" s="311"/>
      <c r="CI84" s="311"/>
      <c r="CJ84" s="311"/>
      <c r="CK84" s="311"/>
      <c r="CL84" s="311"/>
      <c r="CM84" s="311"/>
      <c r="CN84" s="311"/>
      <c r="CO84" s="311"/>
      <c r="CP84" s="311"/>
      <c r="CQ84" s="311"/>
      <c r="CR84" s="311"/>
      <c r="CS84" s="311"/>
      <c r="CT84" s="311"/>
      <c r="CU84" s="311"/>
      <c r="CV84" s="311"/>
      <c r="CW84" s="311"/>
      <c r="CX84" s="311"/>
      <c r="CY84" s="311"/>
    </row>
    <row r="85" spans="1:103" x14ac:dyDescent="0.3">
      <c r="A85" s="296">
        <v>5063</v>
      </c>
      <c r="B85" s="275" t="s">
        <v>25</v>
      </c>
      <c r="C85" s="275" t="s">
        <v>298</v>
      </c>
      <c r="D85" s="275" t="s">
        <v>297</v>
      </c>
      <c r="E85" s="266">
        <v>160000</v>
      </c>
      <c r="F85" s="278">
        <v>43832</v>
      </c>
      <c r="G85" s="278">
        <v>44198</v>
      </c>
      <c r="H85" s="276"/>
      <c r="I85" s="276">
        <v>4.4000000000000004</v>
      </c>
      <c r="J85" s="276">
        <v>567.1111111111112</v>
      </c>
      <c r="K85" s="276">
        <v>586.66666666666674</v>
      </c>
      <c r="L85" s="276"/>
      <c r="M85" s="276"/>
      <c r="N85" s="276">
        <v>1153.7777777777778</v>
      </c>
      <c r="O85" s="276">
        <v>586.66666666666674</v>
      </c>
      <c r="P85" s="276"/>
      <c r="Q85" s="276"/>
      <c r="R85" s="276">
        <v>1740.4444444444446</v>
      </c>
      <c r="S85" s="276">
        <v>586.66666666666674</v>
      </c>
      <c r="T85" s="276"/>
      <c r="U85" s="276"/>
      <c r="V85" s="276">
        <v>2327.1111111111113</v>
      </c>
      <c r="W85" s="276">
        <v>606.22222222222229</v>
      </c>
      <c r="X85" s="266"/>
      <c r="Y85" s="276"/>
      <c r="Z85" s="276">
        <v>2933.3333333333335</v>
      </c>
      <c r="AA85" s="276">
        <v>578.63013698630141</v>
      </c>
      <c r="AB85" s="266"/>
      <c r="AC85" s="276"/>
      <c r="AD85" s="276">
        <v>3511.9634703196348</v>
      </c>
      <c r="AE85" s="314">
        <v>597.91780821917814</v>
      </c>
      <c r="AF85" s="314"/>
      <c r="AG85" s="314"/>
      <c r="AH85" s="314">
        <v>4109.8812785388127</v>
      </c>
      <c r="AI85" s="319"/>
      <c r="AJ85" s="311"/>
      <c r="AK85" s="311"/>
      <c r="AL85" s="311"/>
      <c r="AM85" s="311"/>
      <c r="AN85" s="311"/>
      <c r="AO85" s="311"/>
      <c r="AP85" s="311"/>
      <c r="AQ85" s="311"/>
      <c r="AR85" s="311"/>
      <c r="AS85" s="311"/>
      <c r="AT85" s="311"/>
      <c r="AU85" s="311"/>
      <c r="AV85" s="311"/>
      <c r="AW85" s="311"/>
      <c r="AX85" s="311"/>
      <c r="AY85" s="311"/>
      <c r="AZ85" s="311"/>
      <c r="BA85" s="311"/>
      <c r="BB85" s="311"/>
      <c r="BC85" s="311"/>
      <c r="BD85" s="311"/>
      <c r="BE85" s="311"/>
      <c r="BF85" s="311"/>
      <c r="BG85" s="311"/>
      <c r="BH85" s="311"/>
      <c r="BI85" s="311"/>
      <c r="BJ85" s="311"/>
      <c r="BK85" s="311"/>
      <c r="BL85" s="311"/>
      <c r="BM85" s="311"/>
      <c r="BN85" s="311"/>
      <c r="BO85" s="311"/>
      <c r="BP85" s="311"/>
      <c r="BQ85" s="311"/>
      <c r="BR85" s="311"/>
      <c r="BS85" s="311"/>
      <c r="BT85" s="311"/>
      <c r="BU85" s="311"/>
      <c r="BV85" s="311"/>
      <c r="BW85" s="311"/>
      <c r="BX85" s="311"/>
      <c r="BY85" s="311"/>
      <c r="BZ85" s="311"/>
      <c r="CA85" s="311"/>
      <c r="CB85" s="311"/>
      <c r="CC85" s="311"/>
      <c r="CD85" s="311"/>
      <c r="CE85" s="311"/>
      <c r="CF85" s="311"/>
      <c r="CG85" s="311"/>
      <c r="CH85" s="311"/>
      <c r="CI85" s="311"/>
      <c r="CJ85" s="311"/>
      <c r="CK85" s="311"/>
      <c r="CL85" s="311"/>
      <c r="CM85" s="311"/>
      <c r="CN85" s="311"/>
      <c r="CO85" s="311"/>
      <c r="CP85" s="311"/>
      <c r="CQ85" s="311"/>
      <c r="CR85" s="311"/>
      <c r="CS85" s="311"/>
      <c r="CT85" s="311"/>
      <c r="CU85" s="311"/>
      <c r="CV85" s="311"/>
      <c r="CW85" s="311"/>
      <c r="CX85" s="311"/>
      <c r="CY85" s="311"/>
    </row>
    <row r="86" spans="1:103" x14ac:dyDescent="0.3">
      <c r="A86" s="296">
        <v>5060</v>
      </c>
      <c r="B86" s="275" t="s">
        <v>19</v>
      </c>
      <c r="C86" s="275" t="s">
        <v>296</v>
      </c>
      <c r="D86" s="275" t="s">
        <v>295</v>
      </c>
      <c r="E86" s="266">
        <v>60000</v>
      </c>
      <c r="F86" s="278">
        <v>43837</v>
      </c>
      <c r="G86" s="278">
        <v>44203</v>
      </c>
      <c r="H86" s="276"/>
      <c r="I86" s="276">
        <v>1.9</v>
      </c>
      <c r="J86" s="276">
        <v>76</v>
      </c>
      <c r="K86" s="276">
        <v>95</v>
      </c>
      <c r="L86" s="276"/>
      <c r="M86" s="276"/>
      <c r="N86" s="276">
        <v>171</v>
      </c>
      <c r="O86" s="276">
        <v>95</v>
      </c>
      <c r="P86" s="276"/>
      <c r="Q86" s="276"/>
      <c r="R86" s="276">
        <v>266</v>
      </c>
      <c r="S86" s="276">
        <v>95</v>
      </c>
      <c r="T86" s="276"/>
      <c r="U86" s="276"/>
      <c r="V86" s="276">
        <v>361</v>
      </c>
      <c r="W86" s="276">
        <v>98.166666666666657</v>
      </c>
      <c r="X86" s="266"/>
      <c r="Y86" s="276"/>
      <c r="Z86" s="276">
        <v>459.16666666666663</v>
      </c>
      <c r="AA86" s="276">
        <v>93.69863013698631</v>
      </c>
      <c r="AB86" s="266"/>
      <c r="AC86" s="276"/>
      <c r="AD86" s="276">
        <v>552.86529680365288</v>
      </c>
      <c r="AE86" s="314">
        <v>96.821917808219183</v>
      </c>
      <c r="AF86" s="314"/>
      <c r="AG86" s="314"/>
      <c r="AH86" s="314">
        <v>649.68721461187204</v>
      </c>
      <c r="AI86" s="319"/>
      <c r="AJ86" s="311"/>
      <c r="AK86" s="311"/>
      <c r="AL86" s="311"/>
      <c r="AM86" s="311"/>
      <c r="AN86" s="311"/>
      <c r="AO86" s="311"/>
      <c r="AP86" s="311"/>
      <c r="AQ86" s="311"/>
      <c r="AR86" s="311"/>
      <c r="AS86" s="311"/>
      <c r="AT86" s="311"/>
      <c r="AU86" s="311"/>
      <c r="AV86" s="311"/>
      <c r="AW86" s="311"/>
      <c r="AX86" s="311"/>
      <c r="AY86" s="311"/>
      <c r="AZ86" s="311"/>
      <c r="BA86" s="311"/>
      <c r="BB86" s="311"/>
      <c r="BC86" s="311"/>
      <c r="BD86" s="311"/>
      <c r="BE86" s="311"/>
      <c r="BF86" s="311"/>
      <c r="BG86" s="311"/>
      <c r="BH86" s="311"/>
      <c r="BI86" s="311"/>
      <c r="BJ86" s="311"/>
      <c r="BK86" s="311"/>
      <c r="BL86" s="311"/>
      <c r="BM86" s="311"/>
      <c r="BN86" s="311"/>
      <c r="BO86" s="311"/>
      <c r="BP86" s="311"/>
      <c r="BQ86" s="311"/>
      <c r="BR86" s="311"/>
      <c r="BS86" s="311"/>
      <c r="BT86" s="311"/>
      <c r="BU86" s="311"/>
      <c r="BV86" s="311"/>
      <c r="BW86" s="311"/>
      <c r="BX86" s="311"/>
      <c r="BY86" s="311"/>
      <c r="BZ86" s="311"/>
      <c r="CA86" s="311"/>
      <c r="CB86" s="311"/>
      <c r="CC86" s="311"/>
      <c r="CD86" s="311"/>
      <c r="CE86" s="311"/>
      <c r="CF86" s="311"/>
      <c r="CG86" s="311"/>
      <c r="CH86" s="311"/>
      <c r="CI86" s="311"/>
      <c r="CJ86" s="311"/>
      <c r="CK86" s="311"/>
      <c r="CL86" s="311"/>
      <c r="CM86" s="311"/>
      <c r="CN86" s="311"/>
      <c r="CO86" s="311"/>
      <c r="CP86" s="311"/>
      <c r="CQ86" s="311"/>
      <c r="CR86" s="311"/>
      <c r="CS86" s="311"/>
      <c r="CT86" s="311"/>
      <c r="CU86" s="311"/>
      <c r="CV86" s="311"/>
      <c r="CW86" s="311"/>
      <c r="CX86" s="311"/>
      <c r="CY86" s="311"/>
    </row>
    <row r="87" spans="1:103" x14ac:dyDescent="0.3">
      <c r="A87" s="296">
        <v>5060</v>
      </c>
      <c r="B87" s="275" t="s">
        <v>16</v>
      </c>
      <c r="C87" s="275" t="s">
        <v>294</v>
      </c>
      <c r="D87" s="275" t="s">
        <v>293</v>
      </c>
      <c r="E87" s="266">
        <v>60000</v>
      </c>
      <c r="F87" s="278">
        <v>43838</v>
      </c>
      <c r="G87" s="278">
        <v>44204</v>
      </c>
      <c r="H87" s="276"/>
      <c r="I87" s="276">
        <v>1.9</v>
      </c>
      <c r="J87" s="276">
        <v>72.833333333333329</v>
      </c>
      <c r="K87" s="276">
        <v>95</v>
      </c>
      <c r="L87" s="276"/>
      <c r="M87" s="276"/>
      <c r="N87" s="276">
        <v>167.83333333333331</v>
      </c>
      <c r="O87" s="276">
        <v>95</v>
      </c>
      <c r="P87" s="276"/>
      <c r="Q87" s="276"/>
      <c r="R87" s="276">
        <v>262.83333333333331</v>
      </c>
      <c r="S87" s="276">
        <v>95</v>
      </c>
      <c r="T87" s="276"/>
      <c r="U87" s="276"/>
      <c r="V87" s="276">
        <v>357.83333333333331</v>
      </c>
      <c r="W87" s="276">
        <v>98.166666666666657</v>
      </c>
      <c r="X87" s="266"/>
      <c r="Y87" s="276"/>
      <c r="Z87" s="276">
        <v>456</v>
      </c>
      <c r="AA87" s="276">
        <v>93.69863013698631</v>
      </c>
      <c r="AB87" s="266"/>
      <c r="AC87" s="276"/>
      <c r="AD87" s="276">
        <v>549.69863013698637</v>
      </c>
      <c r="AE87" s="314">
        <v>96.821917808219183</v>
      </c>
      <c r="AF87" s="314"/>
      <c r="AG87" s="314"/>
      <c r="AH87" s="314">
        <v>646.52054794520552</v>
      </c>
      <c r="AI87" s="319"/>
      <c r="AJ87" s="311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11"/>
      <c r="AZ87" s="311"/>
      <c r="BA87" s="311"/>
      <c r="BB87" s="311"/>
      <c r="BC87" s="311"/>
      <c r="BD87" s="311"/>
      <c r="BE87" s="311"/>
      <c r="BF87" s="311"/>
      <c r="BG87" s="311"/>
      <c r="BH87" s="311"/>
      <c r="BI87" s="311"/>
      <c r="BJ87" s="311"/>
      <c r="BK87" s="311"/>
      <c r="BL87" s="311"/>
      <c r="BM87" s="311"/>
      <c r="BN87" s="311"/>
      <c r="BO87" s="311"/>
      <c r="BP87" s="311"/>
      <c r="BQ87" s="311"/>
      <c r="BR87" s="311"/>
      <c r="BS87" s="311"/>
      <c r="BT87" s="311"/>
      <c r="BU87" s="311"/>
      <c r="BV87" s="311"/>
      <c r="BW87" s="311"/>
      <c r="BX87" s="311"/>
      <c r="BY87" s="311"/>
      <c r="BZ87" s="311"/>
      <c r="CA87" s="311"/>
      <c r="CB87" s="311"/>
      <c r="CC87" s="311"/>
      <c r="CD87" s="311"/>
      <c r="CE87" s="311"/>
      <c r="CF87" s="311"/>
      <c r="CG87" s="311"/>
      <c r="CH87" s="311"/>
      <c r="CI87" s="311"/>
      <c r="CJ87" s="311"/>
      <c r="CK87" s="311"/>
      <c r="CL87" s="311"/>
      <c r="CM87" s="311"/>
      <c r="CN87" s="311"/>
      <c r="CO87" s="311"/>
      <c r="CP87" s="311"/>
      <c r="CQ87" s="311"/>
      <c r="CR87" s="311"/>
      <c r="CS87" s="311"/>
      <c r="CT87" s="311"/>
      <c r="CU87" s="311"/>
      <c r="CV87" s="311"/>
      <c r="CW87" s="311"/>
      <c r="CX87" s="311"/>
      <c r="CY87" s="311"/>
    </row>
    <row r="88" spans="1:103" x14ac:dyDescent="0.3">
      <c r="A88" s="296">
        <v>5060</v>
      </c>
      <c r="B88" s="275" t="s">
        <v>233</v>
      </c>
      <c r="C88" s="275" t="s">
        <v>292</v>
      </c>
      <c r="D88" s="275" t="s">
        <v>291</v>
      </c>
      <c r="E88" s="266">
        <v>59000</v>
      </c>
      <c r="F88" s="278">
        <v>43846</v>
      </c>
      <c r="G88" s="278">
        <v>44212</v>
      </c>
      <c r="H88" s="276"/>
      <c r="I88" s="276">
        <v>5.65</v>
      </c>
      <c r="J88" s="276">
        <v>231.49305555555557</v>
      </c>
      <c r="K88" s="276">
        <v>277.79166666666669</v>
      </c>
      <c r="L88" s="276"/>
      <c r="M88" s="276"/>
      <c r="N88" s="276">
        <v>509.28472222222229</v>
      </c>
      <c r="O88" s="276">
        <v>277.79166666666669</v>
      </c>
      <c r="P88" s="276"/>
      <c r="Q88" s="276"/>
      <c r="R88" s="276">
        <v>787.07638888888891</v>
      </c>
      <c r="S88" s="276">
        <v>277.79166666666669</v>
      </c>
      <c r="T88" s="276"/>
      <c r="U88" s="276"/>
      <c r="V88" s="276">
        <v>1064.8680555555557</v>
      </c>
      <c r="W88" s="276">
        <v>287.05138888888894</v>
      </c>
      <c r="X88" s="266"/>
      <c r="Y88" s="276"/>
      <c r="Z88" s="276">
        <v>1351.9194444444447</v>
      </c>
      <c r="AA88" s="276">
        <v>273.98630136986304</v>
      </c>
      <c r="AB88" s="266"/>
      <c r="AC88" s="276"/>
      <c r="AD88" s="276">
        <v>1625.9057458143077</v>
      </c>
      <c r="AE88" s="314">
        <v>283.11917808219181</v>
      </c>
      <c r="AF88" s="314"/>
      <c r="AG88" s="314"/>
      <c r="AH88" s="314">
        <v>1909.0249238964996</v>
      </c>
      <c r="AI88" s="319"/>
      <c r="AJ88" s="311"/>
      <c r="AK88" s="311"/>
      <c r="AL88" s="311"/>
      <c r="AM88" s="311"/>
      <c r="AN88" s="311"/>
      <c r="AO88" s="311"/>
      <c r="AP88" s="311"/>
      <c r="AQ88" s="311"/>
      <c r="AR88" s="311"/>
      <c r="AS88" s="311"/>
      <c r="AT88" s="311"/>
      <c r="AU88" s="311"/>
      <c r="AV88" s="311"/>
      <c r="AW88" s="311"/>
      <c r="AX88" s="311"/>
      <c r="AY88" s="311"/>
      <c r="AZ88" s="311"/>
      <c r="BA88" s="311"/>
      <c r="BB88" s="311"/>
      <c r="BC88" s="311"/>
      <c r="BD88" s="311"/>
      <c r="BE88" s="311"/>
      <c r="BF88" s="311"/>
      <c r="BG88" s="311"/>
      <c r="BH88" s="311"/>
      <c r="BI88" s="311"/>
      <c r="BJ88" s="311"/>
      <c r="BK88" s="311"/>
      <c r="BL88" s="311"/>
      <c r="BM88" s="311"/>
      <c r="BN88" s="311"/>
      <c r="BO88" s="311"/>
      <c r="BP88" s="311"/>
      <c r="BQ88" s="311"/>
      <c r="BR88" s="311"/>
      <c r="BS88" s="311"/>
      <c r="BT88" s="311"/>
      <c r="BU88" s="311"/>
      <c r="BV88" s="311"/>
      <c r="BW88" s="311"/>
      <c r="BX88" s="311"/>
      <c r="BY88" s="311"/>
      <c r="BZ88" s="311"/>
      <c r="CA88" s="311"/>
      <c r="CB88" s="311"/>
      <c r="CC88" s="311"/>
      <c r="CD88" s="311"/>
      <c r="CE88" s="311"/>
      <c r="CF88" s="311"/>
      <c r="CG88" s="311"/>
      <c r="CH88" s="311"/>
      <c r="CI88" s="311"/>
      <c r="CJ88" s="311"/>
      <c r="CK88" s="311"/>
      <c r="CL88" s="311"/>
      <c r="CM88" s="311"/>
      <c r="CN88" s="311"/>
      <c r="CO88" s="311"/>
      <c r="CP88" s="311"/>
      <c r="CQ88" s="311"/>
      <c r="CR88" s="311"/>
      <c r="CS88" s="311"/>
      <c r="CT88" s="311"/>
      <c r="CU88" s="311"/>
      <c r="CV88" s="311"/>
      <c r="CW88" s="311"/>
      <c r="CX88" s="311"/>
      <c r="CY88" s="311"/>
    </row>
    <row r="89" spans="1:103" x14ac:dyDescent="0.3">
      <c r="A89" s="296">
        <v>5060</v>
      </c>
      <c r="B89" s="275" t="s">
        <v>19</v>
      </c>
      <c r="C89" s="275" t="s">
        <v>290</v>
      </c>
      <c r="D89" s="275" t="s">
        <v>289</v>
      </c>
      <c r="E89" s="266">
        <v>50000</v>
      </c>
      <c r="F89" s="278">
        <v>43846</v>
      </c>
      <c r="G89" s="278">
        <v>44212</v>
      </c>
      <c r="H89" s="276"/>
      <c r="I89" s="276">
        <v>1.9</v>
      </c>
      <c r="J89" s="276">
        <v>65.972222222222214</v>
      </c>
      <c r="K89" s="276">
        <v>79.166666666666671</v>
      </c>
      <c r="L89" s="276"/>
      <c r="M89" s="276"/>
      <c r="N89" s="276">
        <v>145.13888888888889</v>
      </c>
      <c r="O89" s="276">
        <v>79.166666666666671</v>
      </c>
      <c r="P89" s="276"/>
      <c r="Q89" s="276"/>
      <c r="R89" s="276">
        <v>224.30555555555554</v>
      </c>
      <c r="S89" s="276">
        <v>79.166666666666671</v>
      </c>
      <c r="T89" s="276"/>
      <c r="U89" s="276"/>
      <c r="V89" s="276">
        <v>303.47222222222223</v>
      </c>
      <c r="W89" s="276">
        <v>81.805555555555557</v>
      </c>
      <c r="X89" s="266"/>
      <c r="Y89" s="276"/>
      <c r="Z89" s="276">
        <v>385.27777777777777</v>
      </c>
      <c r="AA89" s="276">
        <v>78.08219178082193</v>
      </c>
      <c r="AB89" s="266"/>
      <c r="AC89" s="276"/>
      <c r="AD89" s="276">
        <v>463.35996955859969</v>
      </c>
      <c r="AE89" s="314">
        <v>80.684931506849324</v>
      </c>
      <c r="AF89" s="314"/>
      <c r="AG89" s="314"/>
      <c r="AH89" s="314">
        <v>544.04490106544904</v>
      </c>
      <c r="AI89" s="319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</row>
    <row r="90" spans="1:103" x14ac:dyDescent="0.3">
      <c r="A90" s="296">
        <v>5055</v>
      </c>
      <c r="B90" s="275" t="s">
        <v>159</v>
      </c>
      <c r="C90" s="275" t="s">
        <v>288</v>
      </c>
      <c r="D90" s="275" t="s">
        <v>287</v>
      </c>
      <c r="E90" s="266">
        <v>746000</v>
      </c>
      <c r="F90" s="278">
        <v>43851</v>
      </c>
      <c r="G90" s="278">
        <v>44206</v>
      </c>
      <c r="H90" s="276"/>
      <c r="I90" s="276">
        <v>7.55</v>
      </c>
      <c r="J90" s="276">
        <v>3285.5083333333332</v>
      </c>
      <c r="K90" s="276">
        <v>4693.5833333333339</v>
      </c>
      <c r="L90" s="276"/>
      <c r="M90" s="276"/>
      <c r="N90" s="276">
        <v>7979.0916666666672</v>
      </c>
      <c r="O90" s="276">
        <v>4693.5833333333339</v>
      </c>
      <c r="P90" s="276"/>
      <c r="Q90" s="276"/>
      <c r="R90" s="276">
        <v>12672.675000000001</v>
      </c>
      <c r="S90" s="276">
        <v>4693.5833333333339</v>
      </c>
      <c r="T90" s="276"/>
      <c r="U90" s="276"/>
      <c r="V90" s="276">
        <v>17366.258333333335</v>
      </c>
      <c r="W90" s="276">
        <v>4850.0361111111115</v>
      </c>
      <c r="X90" s="266"/>
      <c r="Y90" s="276"/>
      <c r="Z90" s="276">
        <v>22216.294444444447</v>
      </c>
      <c r="AA90" s="276">
        <v>4629.2876712328771</v>
      </c>
      <c r="AB90" s="266"/>
      <c r="AC90" s="276"/>
      <c r="AD90" s="276">
        <v>26845.582115677324</v>
      </c>
      <c r="AE90" s="314">
        <v>4783.597260273973</v>
      </c>
      <c r="AF90" s="314"/>
      <c r="AG90" s="314"/>
      <c r="AH90" s="314">
        <v>31629.179375951295</v>
      </c>
      <c r="AI90" s="319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</row>
    <row r="91" spans="1:103" x14ac:dyDescent="0.3">
      <c r="A91" s="296">
        <v>5055</v>
      </c>
      <c r="B91" s="275" t="s">
        <v>159</v>
      </c>
      <c r="C91" s="275" t="s">
        <v>286</v>
      </c>
      <c r="D91" s="275" t="s">
        <v>285</v>
      </c>
      <c r="E91" s="266">
        <v>50000</v>
      </c>
      <c r="F91" s="278">
        <v>43851</v>
      </c>
      <c r="G91" s="278">
        <v>44210</v>
      </c>
      <c r="H91" s="276"/>
      <c r="I91" s="276">
        <v>5.65</v>
      </c>
      <c r="J91" s="276">
        <v>133.40277777777777</v>
      </c>
      <c r="K91" s="276">
        <v>235.41666666666666</v>
      </c>
      <c r="L91" s="276"/>
      <c r="M91" s="276"/>
      <c r="N91" s="276">
        <v>368.81944444444446</v>
      </c>
      <c r="O91" s="276">
        <v>235.41666666666666</v>
      </c>
      <c r="P91" s="276"/>
      <c r="Q91" s="276"/>
      <c r="R91" s="276">
        <v>604.23611111111109</v>
      </c>
      <c r="S91" s="276">
        <v>235.41666666666666</v>
      </c>
      <c r="T91" s="276"/>
      <c r="U91" s="276"/>
      <c r="V91" s="276">
        <v>839.65277777777771</v>
      </c>
      <c r="W91" s="276">
        <v>243.26388888888889</v>
      </c>
      <c r="X91" s="266"/>
      <c r="Y91" s="276"/>
      <c r="Z91" s="276">
        <v>1082.9166666666665</v>
      </c>
      <c r="AA91" s="276">
        <v>232.1917808219178</v>
      </c>
      <c r="AB91" s="266"/>
      <c r="AC91" s="276"/>
      <c r="AD91" s="276">
        <v>1315.1084474885843</v>
      </c>
      <c r="AE91" s="314">
        <v>239.93150684931507</v>
      </c>
      <c r="AF91" s="314"/>
      <c r="AG91" s="314"/>
      <c r="AH91" s="314">
        <v>1555.0399543378994</v>
      </c>
      <c r="AI91" s="319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1"/>
      <c r="AY91" s="311"/>
      <c r="AZ91" s="311"/>
      <c r="BA91" s="311"/>
      <c r="BB91" s="311"/>
      <c r="BC91" s="311"/>
      <c r="BD91" s="311"/>
      <c r="BE91" s="311"/>
      <c r="BF91" s="311"/>
      <c r="BG91" s="311"/>
      <c r="BH91" s="311"/>
      <c r="BI91" s="311"/>
      <c r="BJ91" s="311"/>
      <c r="BK91" s="311"/>
      <c r="BL91" s="311"/>
      <c r="BM91" s="311"/>
      <c r="BN91" s="311"/>
      <c r="BO91" s="311"/>
      <c r="BP91" s="311"/>
      <c r="BQ91" s="311"/>
      <c r="BR91" s="311"/>
      <c r="BS91" s="311"/>
      <c r="BT91" s="311"/>
      <c r="BU91" s="311"/>
      <c r="BV91" s="311"/>
      <c r="BW91" s="311"/>
      <c r="BX91" s="311"/>
      <c r="BY91" s="311"/>
      <c r="BZ91" s="311"/>
      <c r="CA91" s="311"/>
      <c r="CB91" s="311"/>
      <c r="CC91" s="311"/>
      <c r="CD91" s="311"/>
      <c r="CE91" s="311"/>
      <c r="CF91" s="311"/>
      <c r="CG91" s="311"/>
      <c r="CH91" s="311"/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</row>
    <row r="92" spans="1:103" x14ac:dyDescent="0.3">
      <c r="A92" s="296">
        <v>5055</v>
      </c>
      <c r="B92" s="275" t="s">
        <v>159</v>
      </c>
      <c r="C92" s="275" t="s">
        <v>284</v>
      </c>
      <c r="D92" s="275" t="s">
        <v>283</v>
      </c>
      <c r="E92" s="266">
        <v>220000</v>
      </c>
      <c r="F92" s="278">
        <v>43852</v>
      </c>
      <c r="G92" s="278">
        <v>44218</v>
      </c>
      <c r="H92" s="276"/>
      <c r="I92" s="276">
        <v>5.65</v>
      </c>
      <c r="J92" s="276">
        <v>310.75</v>
      </c>
      <c r="K92" s="276">
        <v>1035.8333333333333</v>
      </c>
      <c r="L92" s="276"/>
      <c r="M92" s="276"/>
      <c r="N92" s="276">
        <v>1346.5833333333333</v>
      </c>
      <c r="O92" s="276">
        <v>1035.8333333333333</v>
      </c>
      <c r="P92" s="276"/>
      <c r="Q92" s="276"/>
      <c r="R92" s="276">
        <v>2382.4166666666665</v>
      </c>
      <c r="S92" s="276">
        <v>1035.8333333333333</v>
      </c>
      <c r="T92" s="276"/>
      <c r="U92" s="276"/>
      <c r="V92" s="276">
        <v>3418.25</v>
      </c>
      <c r="W92" s="276">
        <v>1070.3611111111111</v>
      </c>
      <c r="X92" s="266"/>
      <c r="Y92" s="276"/>
      <c r="Z92" s="276">
        <v>4488.6111111111113</v>
      </c>
      <c r="AA92" s="276">
        <v>1021.6438356164383</v>
      </c>
      <c r="AB92" s="266"/>
      <c r="AC92" s="276"/>
      <c r="AD92" s="276">
        <v>5510.2549467275494</v>
      </c>
      <c r="AE92" s="314">
        <v>1055.6986301369861</v>
      </c>
      <c r="AF92" s="314"/>
      <c r="AG92" s="314"/>
      <c r="AH92" s="314">
        <v>6565.9535768645355</v>
      </c>
      <c r="AI92" s="319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1"/>
      <c r="AY92" s="311"/>
      <c r="AZ92" s="311"/>
      <c r="BA92" s="311"/>
      <c r="BB92" s="311"/>
      <c r="BC92" s="311"/>
      <c r="BD92" s="311"/>
      <c r="BE92" s="311"/>
      <c r="BF92" s="311"/>
      <c r="BG92" s="311"/>
      <c r="BH92" s="311"/>
      <c r="BI92" s="311"/>
      <c r="BJ92" s="311"/>
      <c r="BK92" s="311"/>
      <c r="BL92" s="311"/>
      <c r="BM92" s="311"/>
      <c r="BN92" s="311"/>
      <c r="BO92" s="311"/>
      <c r="BP92" s="311"/>
      <c r="BQ92" s="311"/>
      <c r="BR92" s="311"/>
      <c r="BS92" s="311"/>
      <c r="BT92" s="311"/>
      <c r="BU92" s="311"/>
      <c r="BV92" s="311"/>
      <c r="BW92" s="311"/>
      <c r="BX92" s="311"/>
      <c r="BY92" s="311"/>
      <c r="BZ92" s="311"/>
      <c r="CA92" s="311"/>
      <c r="CB92" s="311"/>
      <c r="CC92" s="311"/>
      <c r="CD92" s="311"/>
      <c r="CE92" s="311"/>
      <c r="CF92" s="311"/>
      <c r="CG92" s="311"/>
      <c r="CH92" s="311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</row>
    <row r="93" spans="1:103" x14ac:dyDescent="0.3">
      <c r="A93" s="296">
        <v>5060</v>
      </c>
      <c r="B93" s="275" t="s">
        <v>16</v>
      </c>
      <c r="C93" s="275" t="s">
        <v>282</v>
      </c>
      <c r="D93" s="275" t="s">
        <v>281</v>
      </c>
      <c r="E93" s="266">
        <v>60000</v>
      </c>
      <c r="F93" s="278">
        <v>43852</v>
      </c>
      <c r="G93" s="278">
        <v>44218</v>
      </c>
      <c r="H93" s="276"/>
      <c r="I93" s="276">
        <v>1.9</v>
      </c>
      <c r="J93" s="276">
        <v>28.5</v>
      </c>
      <c r="K93" s="276">
        <v>95</v>
      </c>
      <c r="L93" s="276"/>
      <c r="M93" s="276"/>
      <c r="N93" s="276">
        <v>123.5</v>
      </c>
      <c r="O93" s="276">
        <v>95</v>
      </c>
      <c r="P93" s="276"/>
      <c r="Q93" s="276"/>
      <c r="R93" s="276">
        <v>218.5</v>
      </c>
      <c r="S93" s="276">
        <v>95</v>
      </c>
      <c r="T93" s="276"/>
      <c r="U93" s="276"/>
      <c r="V93" s="276">
        <v>313.5</v>
      </c>
      <c r="W93" s="276">
        <v>98.166666666666657</v>
      </c>
      <c r="X93" s="266"/>
      <c r="Y93" s="276"/>
      <c r="Z93" s="276">
        <v>411.66666666666663</v>
      </c>
      <c r="AA93" s="276">
        <v>93.69863013698631</v>
      </c>
      <c r="AB93" s="266"/>
      <c r="AC93" s="276"/>
      <c r="AD93" s="276">
        <v>505.36529680365294</v>
      </c>
      <c r="AE93" s="314">
        <v>96.821917808219183</v>
      </c>
      <c r="AF93" s="314"/>
      <c r="AG93" s="314"/>
      <c r="AH93" s="314">
        <v>602.18721461187215</v>
      </c>
      <c r="AI93" s="319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1"/>
      <c r="AZ93" s="311"/>
      <c r="BA93" s="311"/>
      <c r="BB93" s="311"/>
      <c r="BC93" s="311"/>
      <c r="BD93" s="311"/>
      <c r="BE93" s="311"/>
      <c r="BF93" s="311"/>
      <c r="BG93" s="311"/>
      <c r="BH93" s="311"/>
      <c r="BI93" s="311"/>
      <c r="BJ93" s="311"/>
      <c r="BK93" s="311"/>
      <c r="BL93" s="311"/>
      <c r="BM93" s="311"/>
      <c r="BN93" s="311"/>
      <c r="BO93" s="311"/>
      <c r="BP93" s="311"/>
      <c r="BQ93" s="311"/>
      <c r="BR93" s="311"/>
      <c r="BS93" s="311"/>
      <c r="BT93" s="311"/>
      <c r="BU93" s="311"/>
      <c r="BV93" s="311"/>
      <c r="BW93" s="311"/>
      <c r="BX93" s="311"/>
      <c r="BY93" s="311"/>
      <c r="BZ93" s="311"/>
      <c r="CA93" s="311"/>
      <c r="CB93" s="311"/>
      <c r="CC93" s="311"/>
      <c r="CD93" s="311"/>
      <c r="CE93" s="311"/>
      <c r="CF93" s="311"/>
      <c r="CG93" s="311"/>
      <c r="CH93" s="311"/>
      <c r="CI93" s="311"/>
      <c r="CJ93" s="311"/>
      <c r="CK93" s="311"/>
      <c r="CL93" s="311"/>
      <c r="CM93" s="311"/>
      <c r="CN93" s="311"/>
      <c r="CO93" s="311"/>
      <c r="CP93" s="311"/>
      <c r="CQ93" s="311"/>
      <c r="CR93" s="311"/>
      <c r="CS93" s="311"/>
      <c r="CT93" s="311"/>
      <c r="CU93" s="311"/>
      <c r="CV93" s="311"/>
      <c r="CW93" s="311"/>
      <c r="CX93" s="311"/>
      <c r="CY93" s="311"/>
    </row>
    <row r="94" spans="1:103" x14ac:dyDescent="0.3">
      <c r="A94" s="296">
        <v>5055</v>
      </c>
      <c r="B94" s="275" t="s">
        <v>159</v>
      </c>
      <c r="C94" s="275" t="s">
        <v>280</v>
      </c>
      <c r="D94" s="275" t="s">
        <v>279</v>
      </c>
      <c r="E94" s="266">
        <v>2200000</v>
      </c>
      <c r="F94" s="278">
        <v>43848</v>
      </c>
      <c r="G94" s="278">
        <v>44214</v>
      </c>
      <c r="H94" s="276"/>
      <c r="I94" s="276">
        <v>6.85</v>
      </c>
      <c r="J94" s="276">
        <v>5441.9444444444434</v>
      </c>
      <c r="K94" s="276">
        <v>12558.33333333333</v>
      </c>
      <c r="L94" s="276"/>
      <c r="M94" s="276"/>
      <c r="N94" s="276">
        <v>18000.277777777774</v>
      </c>
      <c r="O94" s="276">
        <v>12558.33333333333</v>
      </c>
      <c r="P94" s="276"/>
      <c r="Q94" s="276"/>
      <c r="R94" s="276">
        <v>30558.611111111102</v>
      </c>
      <c r="S94" s="276">
        <v>12558.33333333333</v>
      </c>
      <c r="T94" s="276"/>
      <c r="U94" s="276"/>
      <c r="V94" s="276">
        <v>43116.944444444431</v>
      </c>
      <c r="W94" s="276">
        <v>12976.944444444442</v>
      </c>
      <c r="X94" s="266"/>
      <c r="Y94" s="276"/>
      <c r="Z94" s="276">
        <v>56093.888888888876</v>
      </c>
      <c r="AA94" s="276">
        <v>12386.301369863011</v>
      </c>
      <c r="AB94" s="266"/>
      <c r="AC94" s="276"/>
      <c r="AD94" s="276">
        <v>68480.190258751885</v>
      </c>
      <c r="AE94" s="314">
        <v>12799.178082191778</v>
      </c>
      <c r="AF94" s="314"/>
      <c r="AG94" s="314"/>
      <c r="AH94" s="314">
        <v>81279.368340943663</v>
      </c>
      <c r="AI94" s="319"/>
      <c r="AJ94" s="311"/>
      <c r="AK94" s="311"/>
      <c r="AL94" s="311"/>
      <c r="AM94" s="311"/>
      <c r="AN94" s="311"/>
      <c r="AO94" s="311"/>
      <c r="AP94" s="311"/>
      <c r="AQ94" s="311"/>
      <c r="AR94" s="311"/>
      <c r="AS94" s="311"/>
      <c r="AT94" s="311"/>
      <c r="AU94" s="311"/>
      <c r="AV94" s="311"/>
      <c r="AW94" s="311"/>
      <c r="AX94" s="311"/>
      <c r="AY94" s="311"/>
      <c r="AZ94" s="311"/>
      <c r="BA94" s="311"/>
      <c r="BB94" s="311"/>
      <c r="BC94" s="311"/>
      <c r="BD94" s="311"/>
      <c r="BE94" s="311"/>
      <c r="BF94" s="311"/>
      <c r="BG94" s="311"/>
      <c r="BH94" s="311"/>
      <c r="BI94" s="311"/>
      <c r="BJ94" s="311"/>
      <c r="BK94" s="311"/>
      <c r="BL94" s="311"/>
      <c r="BM94" s="311"/>
      <c r="BN94" s="311"/>
      <c r="BO94" s="311"/>
      <c r="BP94" s="311"/>
      <c r="BQ94" s="311"/>
      <c r="BR94" s="311"/>
      <c r="BS94" s="311"/>
      <c r="BT94" s="311"/>
      <c r="BU94" s="311"/>
      <c r="BV94" s="311"/>
      <c r="BW94" s="311"/>
      <c r="BX94" s="311"/>
      <c r="BY94" s="311"/>
      <c r="BZ94" s="311"/>
      <c r="CA94" s="311"/>
      <c r="CB94" s="311"/>
      <c r="CC94" s="311"/>
      <c r="CD94" s="311"/>
      <c r="CE94" s="311"/>
      <c r="CF94" s="311"/>
      <c r="CG94" s="311"/>
      <c r="CH94" s="311"/>
      <c r="CI94" s="311"/>
      <c r="CJ94" s="311"/>
      <c r="CK94" s="311"/>
      <c r="CL94" s="311"/>
      <c r="CM94" s="311"/>
      <c r="CN94" s="311"/>
      <c r="CO94" s="311"/>
      <c r="CP94" s="311"/>
      <c r="CQ94" s="311"/>
      <c r="CR94" s="311"/>
      <c r="CS94" s="311"/>
      <c r="CT94" s="311"/>
      <c r="CU94" s="311"/>
      <c r="CV94" s="311"/>
      <c r="CW94" s="311"/>
      <c r="CX94" s="311"/>
      <c r="CY94" s="311"/>
    </row>
    <row r="95" spans="1:103" x14ac:dyDescent="0.3">
      <c r="A95" s="296">
        <v>5063</v>
      </c>
      <c r="B95" s="275" t="s">
        <v>25</v>
      </c>
      <c r="C95" s="275" t="s">
        <v>278</v>
      </c>
      <c r="D95" s="275" t="s">
        <v>277</v>
      </c>
      <c r="E95" s="229">
        <v>175000</v>
      </c>
      <c r="F95" s="278">
        <v>43862</v>
      </c>
      <c r="G95" s="278">
        <v>44228</v>
      </c>
      <c r="H95" s="276"/>
      <c r="I95" s="280">
        <v>4.4000000000000004</v>
      </c>
      <c r="J95" s="279"/>
      <c r="K95" s="276">
        <v>0</v>
      </c>
      <c r="L95" s="279"/>
      <c r="M95" s="279"/>
      <c r="N95" s="279"/>
      <c r="O95" s="276">
        <v>1283.3333333333335</v>
      </c>
      <c r="P95" s="279"/>
      <c r="Q95" s="279"/>
      <c r="R95" s="276">
        <v>1283.3333333333335</v>
      </c>
      <c r="S95" s="276">
        <v>641.66666666666697</v>
      </c>
      <c r="T95" s="276"/>
      <c r="U95" s="276"/>
      <c r="V95" s="276">
        <v>1925.0000000000005</v>
      </c>
      <c r="W95" s="276">
        <v>663.055555555556</v>
      </c>
      <c r="X95" s="266"/>
      <c r="Y95" s="276"/>
      <c r="Z95" s="276">
        <v>2588.0555555555566</v>
      </c>
      <c r="AA95" s="276">
        <v>632.8767123287671</v>
      </c>
      <c r="AB95" s="266"/>
      <c r="AC95" s="276"/>
      <c r="AD95" s="276">
        <v>3220.9322678843237</v>
      </c>
      <c r="AE95" s="314">
        <v>653.97260273972609</v>
      </c>
      <c r="AF95" s="314"/>
      <c r="AG95" s="314"/>
      <c r="AH95" s="314">
        <v>3874.9048706240496</v>
      </c>
      <c r="AI95" s="319"/>
      <c r="AJ95" s="311"/>
      <c r="AK95" s="311"/>
      <c r="AL95" s="311"/>
      <c r="AM95" s="311"/>
      <c r="AN95" s="311"/>
      <c r="AO95" s="311"/>
      <c r="AP95" s="311"/>
      <c r="AQ95" s="311"/>
      <c r="AR95" s="311"/>
      <c r="AS95" s="311"/>
      <c r="AT95" s="311"/>
      <c r="AU95" s="311"/>
      <c r="AV95" s="311"/>
      <c r="AW95" s="311"/>
      <c r="AX95" s="311"/>
      <c r="AY95" s="311"/>
      <c r="AZ95" s="311"/>
      <c r="BA95" s="311"/>
      <c r="BB95" s="311"/>
      <c r="BC95" s="311"/>
      <c r="BD95" s="311"/>
      <c r="BE95" s="311"/>
      <c r="BF95" s="311"/>
      <c r="BG95" s="311"/>
      <c r="BH95" s="311"/>
      <c r="BI95" s="311"/>
      <c r="BJ95" s="311"/>
      <c r="BK95" s="311"/>
      <c r="BL95" s="311"/>
      <c r="BM95" s="311"/>
      <c r="BN95" s="311"/>
      <c r="BO95" s="311"/>
      <c r="BP95" s="311"/>
      <c r="BQ95" s="311"/>
      <c r="BR95" s="311"/>
      <c r="BS95" s="311"/>
      <c r="BT95" s="311"/>
      <c r="BU95" s="311"/>
      <c r="BV95" s="311"/>
      <c r="BW95" s="311"/>
      <c r="BX95" s="311"/>
      <c r="BY95" s="311"/>
      <c r="BZ95" s="311"/>
      <c r="CA95" s="311"/>
      <c r="CB95" s="311"/>
      <c r="CC95" s="311"/>
      <c r="CD95" s="311"/>
      <c r="CE95" s="311"/>
      <c r="CF95" s="311"/>
      <c r="CG95" s="311"/>
      <c r="CH95" s="311"/>
      <c r="CI95" s="311"/>
      <c r="CJ95" s="311"/>
      <c r="CK95" s="311"/>
      <c r="CL95" s="311"/>
      <c r="CM95" s="311"/>
      <c r="CN95" s="311"/>
      <c r="CO95" s="311"/>
      <c r="CP95" s="311"/>
      <c r="CQ95" s="311"/>
      <c r="CR95" s="311"/>
      <c r="CS95" s="311"/>
      <c r="CT95" s="311"/>
      <c r="CU95" s="311"/>
      <c r="CV95" s="311"/>
      <c r="CW95" s="311"/>
      <c r="CX95" s="311"/>
      <c r="CY95" s="311"/>
    </row>
    <row r="96" spans="1:103" x14ac:dyDescent="0.3">
      <c r="A96" s="296">
        <v>5005</v>
      </c>
      <c r="B96" s="275" t="s">
        <v>265</v>
      </c>
      <c r="C96" s="275" t="s">
        <v>276</v>
      </c>
      <c r="D96" s="275" t="s">
        <v>275</v>
      </c>
      <c r="E96" s="229">
        <v>15300</v>
      </c>
      <c r="F96" s="278">
        <v>43865</v>
      </c>
      <c r="G96" s="278">
        <v>44231</v>
      </c>
      <c r="H96" s="276"/>
      <c r="I96" s="280">
        <v>6.9</v>
      </c>
      <c r="J96" s="279"/>
      <c r="K96" s="276">
        <v>0</v>
      </c>
      <c r="L96" s="279"/>
      <c r="M96" s="279"/>
      <c r="N96" s="279"/>
      <c r="O96" s="276">
        <v>164.22</v>
      </c>
      <c r="P96" s="279"/>
      <c r="Q96" s="279"/>
      <c r="R96" s="276">
        <v>164.22</v>
      </c>
      <c r="S96" s="276">
        <v>87.975000000000009</v>
      </c>
      <c r="T96" s="276"/>
      <c r="U96" s="276"/>
      <c r="V96" s="276">
        <v>252.19499999999999</v>
      </c>
      <c r="W96" s="276">
        <v>90.907499999999999</v>
      </c>
      <c r="X96" s="266"/>
      <c r="Y96" s="276"/>
      <c r="Z96" s="276">
        <v>343.10249999999996</v>
      </c>
      <c r="AA96" s="276">
        <v>86.76986301369864</v>
      </c>
      <c r="AB96" s="266"/>
      <c r="AC96" s="276"/>
      <c r="AD96" s="276">
        <v>429.87236301369859</v>
      </c>
      <c r="AE96" s="314">
        <v>89.662191780821928</v>
      </c>
      <c r="AF96" s="314"/>
      <c r="AG96" s="314"/>
      <c r="AH96" s="314">
        <v>519.53455479452055</v>
      </c>
      <c r="AI96" s="319"/>
      <c r="AJ96" s="311"/>
      <c r="AK96" s="311"/>
      <c r="AL96" s="311"/>
      <c r="AM96" s="311"/>
      <c r="AN96" s="311"/>
      <c r="AO96" s="311"/>
      <c r="AP96" s="311"/>
      <c r="AQ96" s="311"/>
      <c r="AR96" s="311"/>
      <c r="AS96" s="311"/>
      <c r="AT96" s="311"/>
      <c r="AU96" s="311"/>
      <c r="AV96" s="311"/>
      <c r="AW96" s="311"/>
      <c r="AX96" s="311"/>
      <c r="AY96" s="311"/>
      <c r="AZ96" s="311"/>
      <c r="BA96" s="311"/>
      <c r="BB96" s="311"/>
      <c r="BC96" s="311"/>
      <c r="BD96" s="311"/>
      <c r="BE96" s="311"/>
      <c r="BF96" s="311"/>
      <c r="BG96" s="311"/>
      <c r="BH96" s="311"/>
      <c r="BI96" s="311"/>
      <c r="BJ96" s="311"/>
      <c r="BK96" s="311"/>
      <c r="BL96" s="311"/>
      <c r="BM96" s="311"/>
      <c r="BN96" s="311"/>
      <c r="BO96" s="311"/>
      <c r="BP96" s="311"/>
      <c r="BQ96" s="311"/>
      <c r="BR96" s="311"/>
      <c r="BS96" s="311"/>
      <c r="BT96" s="311"/>
      <c r="BU96" s="311"/>
      <c r="BV96" s="311"/>
      <c r="BW96" s="311"/>
      <c r="BX96" s="311"/>
      <c r="BY96" s="311"/>
      <c r="BZ96" s="311"/>
      <c r="CA96" s="311"/>
      <c r="CB96" s="311"/>
      <c r="CC96" s="311"/>
      <c r="CD96" s="311"/>
      <c r="CE96" s="311"/>
      <c r="CF96" s="311"/>
      <c r="CG96" s="311"/>
      <c r="CH96" s="311"/>
      <c r="CI96" s="311"/>
      <c r="CJ96" s="311"/>
      <c r="CK96" s="311"/>
      <c r="CL96" s="311"/>
      <c r="CM96" s="311"/>
      <c r="CN96" s="311"/>
      <c r="CO96" s="311"/>
      <c r="CP96" s="311"/>
      <c r="CQ96" s="311"/>
      <c r="CR96" s="311"/>
      <c r="CS96" s="311"/>
      <c r="CT96" s="311"/>
      <c r="CU96" s="311"/>
      <c r="CV96" s="311"/>
      <c r="CW96" s="311"/>
      <c r="CX96" s="311"/>
      <c r="CY96" s="311"/>
    </row>
    <row r="97" spans="1:103" x14ac:dyDescent="0.3">
      <c r="A97" s="296">
        <v>5028</v>
      </c>
      <c r="B97" s="275" t="s">
        <v>274</v>
      </c>
      <c r="C97" s="275" t="s">
        <v>273</v>
      </c>
      <c r="D97" s="275" t="s">
        <v>272</v>
      </c>
      <c r="E97" s="229">
        <v>1400000</v>
      </c>
      <c r="F97" s="278">
        <v>43865</v>
      </c>
      <c r="G97" s="278">
        <v>44231</v>
      </c>
      <c r="H97" s="276"/>
      <c r="I97" s="280">
        <v>7.9</v>
      </c>
      <c r="J97" s="279"/>
      <c r="K97" s="276">
        <v>0</v>
      </c>
      <c r="L97" s="279"/>
      <c r="M97" s="279"/>
      <c r="N97" s="279"/>
      <c r="O97" s="276">
        <v>17204.444444444445</v>
      </c>
      <c r="P97" s="279"/>
      <c r="Q97" s="279"/>
      <c r="R97" s="276">
        <v>17204.444444444445</v>
      </c>
      <c r="S97" s="276">
        <v>9216.6666666666661</v>
      </c>
      <c r="T97" s="276"/>
      <c r="U97" s="276"/>
      <c r="V97" s="276">
        <v>26421.111111111109</v>
      </c>
      <c r="W97" s="276">
        <v>9523.8888888888887</v>
      </c>
      <c r="X97" s="266"/>
      <c r="Y97" s="276"/>
      <c r="Z97" s="276">
        <v>35945</v>
      </c>
      <c r="AA97" s="276">
        <v>9090.4109589041109</v>
      </c>
      <c r="AB97" s="266"/>
      <c r="AC97" s="276"/>
      <c r="AD97" s="276">
        <v>45035.410958904111</v>
      </c>
      <c r="AE97" s="314">
        <v>9393.4246575342477</v>
      </c>
      <c r="AF97" s="314"/>
      <c r="AG97" s="314"/>
      <c r="AH97" s="314">
        <v>54428.835616438359</v>
      </c>
      <c r="AI97" s="319"/>
      <c r="AJ97" s="311"/>
      <c r="AK97" s="311"/>
      <c r="AL97" s="311"/>
      <c r="AM97" s="311"/>
      <c r="AN97" s="311"/>
      <c r="AO97" s="311"/>
      <c r="AP97" s="311"/>
      <c r="AQ97" s="311"/>
      <c r="AR97" s="311"/>
      <c r="AS97" s="311"/>
      <c r="AT97" s="311"/>
      <c r="AU97" s="311"/>
      <c r="AV97" s="311"/>
      <c r="AW97" s="311"/>
      <c r="AX97" s="311"/>
      <c r="AY97" s="311"/>
      <c r="AZ97" s="311"/>
      <c r="BA97" s="311"/>
      <c r="BB97" s="311"/>
      <c r="BC97" s="311"/>
      <c r="BD97" s="311"/>
      <c r="BE97" s="311"/>
      <c r="BF97" s="311"/>
      <c r="BG97" s="311"/>
      <c r="BH97" s="311"/>
      <c r="BI97" s="311"/>
      <c r="BJ97" s="311"/>
      <c r="BK97" s="311"/>
      <c r="BL97" s="311"/>
      <c r="BM97" s="311"/>
      <c r="BN97" s="311"/>
      <c r="BO97" s="311"/>
      <c r="BP97" s="311"/>
      <c r="BQ97" s="311"/>
      <c r="BR97" s="311"/>
      <c r="BS97" s="311"/>
      <c r="BT97" s="311"/>
      <c r="BU97" s="311"/>
      <c r="BV97" s="311"/>
      <c r="BW97" s="311"/>
      <c r="BX97" s="311"/>
      <c r="BY97" s="311"/>
      <c r="BZ97" s="311"/>
      <c r="CA97" s="311"/>
      <c r="CB97" s="311"/>
      <c r="CC97" s="311"/>
      <c r="CD97" s="311"/>
      <c r="CE97" s="311"/>
      <c r="CF97" s="311"/>
      <c r="CG97" s="311"/>
      <c r="CH97" s="311"/>
      <c r="CI97" s="311"/>
      <c r="CJ97" s="311"/>
      <c r="CK97" s="311"/>
      <c r="CL97" s="311"/>
      <c r="CM97" s="311"/>
      <c r="CN97" s="311"/>
      <c r="CO97" s="311"/>
      <c r="CP97" s="311"/>
      <c r="CQ97" s="311"/>
      <c r="CR97" s="311"/>
      <c r="CS97" s="311"/>
      <c r="CT97" s="311"/>
      <c r="CU97" s="311"/>
      <c r="CV97" s="311"/>
      <c r="CW97" s="311"/>
      <c r="CX97" s="311"/>
      <c r="CY97" s="311"/>
    </row>
    <row r="98" spans="1:103" x14ac:dyDescent="0.3">
      <c r="A98" s="337">
        <v>5060</v>
      </c>
      <c r="B98" s="325" t="s">
        <v>37</v>
      </c>
      <c r="C98" s="325" t="s">
        <v>270</v>
      </c>
      <c r="D98" s="325" t="s">
        <v>271</v>
      </c>
      <c r="E98" s="342">
        <v>130000</v>
      </c>
      <c r="F98" s="338">
        <v>43866</v>
      </c>
      <c r="G98" s="338">
        <v>44018</v>
      </c>
      <c r="H98" s="326"/>
      <c r="I98" s="343">
        <v>2.9</v>
      </c>
      <c r="J98" s="279"/>
      <c r="K98" s="276">
        <v>0</v>
      </c>
      <c r="L98" s="279"/>
      <c r="M98" s="279"/>
      <c r="N98" s="279"/>
      <c r="O98" s="276">
        <v>575.97222222222217</v>
      </c>
      <c r="P98" s="279"/>
      <c r="Q98" s="279"/>
      <c r="R98" s="276">
        <v>575.97222222222217</v>
      </c>
      <c r="S98" s="276">
        <v>314.16666666666663</v>
      </c>
      <c r="T98" s="276"/>
      <c r="U98" s="276"/>
      <c r="V98" s="276">
        <v>890.1388888888888</v>
      </c>
      <c r="W98" s="276">
        <v>324.63888888888886</v>
      </c>
      <c r="X98" s="266"/>
      <c r="Y98" s="276"/>
      <c r="Z98" s="276">
        <v>1214.7777777777776</v>
      </c>
      <c r="AA98" s="326">
        <v>309.86301369863014</v>
      </c>
      <c r="AB98" s="328"/>
      <c r="AC98" s="326"/>
      <c r="AD98" s="326">
        <v>1524.6407914764077</v>
      </c>
      <c r="AE98" s="329">
        <v>0</v>
      </c>
      <c r="AF98" s="329">
        <v>-1569.97</v>
      </c>
      <c r="AG98" s="329">
        <v>45.33</v>
      </c>
      <c r="AH98" s="329">
        <v>7.9147640765597771E-4</v>
      </c>
      <c r="AI98" s="330" t="s">
        <v>198</v>
      </c>
      <c r="AJ98" s="311"/>
      <c r="AK98" s="311"/>
      <c r="AL98" s="311"/>
      <c r="AM98" s="311"/>
      <c r="AN98" s="311"/>
      <c r="AO98" s="311"/>
      <c r="AP98" s="311"/>
      <c r="AQ98" s="311"/>
      <c r="AR98" s="311"/>
      <c r="AS98" s="311"/>
      <c r="AT98" s="311"/>
      <c r="AU98" s="311"/>
      <c r="AV98" s="311"/>
      <c r="AW98" s="311"/>
      <c r="AX98" s="311"/>
      <c r="AY98" s="311"/>
      <c r="AZ98" s="311"/>
      <c r="BA98" s="311"/>
      <c r="BB98" s="311"/>
      <c r="BC98" s="311"/>
      <c r="BD98" s="311"/>
      <c r="BE98" s="311"/>
      <c r="BF98" s="311"/>
      <c r="BG98" s="311"/>
      <c r="BH98" s="311"/>
      <c r="BI98" s="311"/>
      <c r="BJ98" s="311"/>
      <c r="BK98" s="311"/>
      <c r="BL98" s="311"/>
      <c r="BM98" s="311"/>
      <c r="BN98" s="311"/>
      <c r="BO98" s="311"/>
      <c r="BP98" s="311"/>
      <c r="BQ98" s="311"/>
      <c r="BR98" s="311"/>
      <c r="BS98" s="311"/>
      <c r="BT98" s="311"/>
      <c r="BU98" s="311"/>
      <c r="BV98" s="311"/>
      <c r="BW98" s="311"/>
      <c r="BX98" s="311"/>
      <c r="BY98" s="311"/>
      <c r="BZ98" s="311"/>
      <c r="CA98" s="311"/>
      <c r="CB98" s="311"/>
      <c r="CC98" s="311"/>
      <c r="CD98" s="311"/>
      <c r="CE98" s="311"/>
      <c r="CF98" s="311"/>
      <c r="CG98" s="311"/>
      <c r="CH98" s="311"/>
      <c r="CI98" s="311"/>
      <c r="CJ98" s="311"/>
      <c r="CK98" s="311"/>
      <c r="CL98" s="311"/>
      <c r="CM98" s="311"/>
      <c r="CN98" s="311"/>
      <c r="CO98" s="311"/>
      <c r="CP98" s="311"/>
      <c r="CQ98" s="311"/>
      <c r="CR98" s="311"/>
      <c r="CS98" s="311"/>
      <c r="CT98" s="311"/>
      <c r="CU98" s="311"/>
      <c r="CV98" s="311"/>
      <c r="CW98" s="311"/>
      <c r="CX98" s="311"/>
      <c r="CY98" s="311"/>
    </row>
    <row r="99" spans="1:103" x14ac:dyDescent="0.3">
      <c r="A99" s="296">
        <v>5060</v>
      </c>
      <c r="B99" s="275" t="s">
        <v>37</v>
      </c>
      <c r="C99" s="275" t="s">
        <v>270</v>
      </c>
      <c r="D99" s="275" t="s">
        <v>269</v>
      </c>
      <c r="E99" s="229">
        <v>2035.56</v>
      </c>
      <c r="F99" s="278">
        <v>44018</v>
      </c>
      <c r="G99" s="278">
        <v>44232</v>
      </c>
      <c r="H99" s="276"/>
      <c r="I99" s="280">
        <v>2.9</v>
      </c>
      <c r="J99" s="279"/>
      <c r="K99" s="276"/>
      <c r="L99" s="279"/>
      <c r="M99" s="279"/>
      <c r="N99" s="279"/>
      <c r="O99" s="276"/>
      <c r="P99" s="279"/>
      <c r="Q99" s="279"/>
      <c r="R99" s="276"/>
      <c r="S99" s="276"/>
      <c r="T99" s="276"/>
      <c r="U99" s="276"/>
      <c r="V99" s="276"/>
      <c r="W99" s="276"/>
      <c r="X99" s="266"/>
      <c r="Y99" s="276"/>
      <c r="Z99" s="276"/>
      <c r="AA99" s="276"/>
      <c r="AB99" s="266"/>
      <c r="AC99" s="276"/>
      <c r="AD99" s="276"/>
      <c r="AE99" s="314">
        <v>4.0432356164383556</v>
      </c>
      <c r="AF99" s="314"/>
      <c r="AG99" s="314"/>
      <c r="AH99" s="314">
        <v>4.0432356164383556</v>
      </c>
      <c r="AI99" s="319"/>
      <c r="AJ99" s="311"/>
      <c r="AK99" s="311"/>
      <c r="AL99" s="311"/>
      <c r="AM99" s="311"/>
      <c r="AN99" s="311"/>
      <c r="AO99" s="311"/>
      <c r="AP99" s="311"/>
      <c r="AQ99" s="311"/>
      <c r="AR99" s="311"/>
      <c r="AS99" s="311"/>
      <c r="AT99" s="311"/>
      <c r="AU99" s="311"/>
      <c r="AV99" s="311"/>
      <c r="AW99" s="311"/>
      <c r="AX99" s="311"/>
      <c r="AY99" s="311"/>
      <c r="AZ99" s="311"/>
      <c r="BA99" s="311"/>
      <c r="BB99" s="311"/>
      <c r="BC99" s="311"/>
      <c r="BD99" s="311"/>
      <c r="BE99" s="311"/>
      <c r="BF99" s="311"/>
      <c r="BG99" s="311"/>
      <c r="BH99" s="311"/>
      <c r="BI99" s="311"/>
      <c r="BJ99" s="311"/>
      <c r="BK99" s="311"/>
      <c r="BL99" s="311"/>
      <c r="BM99" s="311"/>
      <c r="BN99" s="311"/>
      <c r="BO99" s="311"/>
      <c r="BP99" s="311"/>
      <c r="BQ99" s="311"/>
      <c r="BR99" s="311"/>
      <c r="BS99" s="311"/>
      <c r="BT99" s="311"/>
      <c r="BU99" s="311"/>
      <c r="BV99" s="311"/>
      <c r="BW99" s="311"/>
      <c r="BX99" s="311"/>
      <c r="BY99" s="311"/>
      <c r="BZ99" s="311"/>
      <c r="CA99" s="311"/>
      <c r="CB99" s="311"/>
      <c r="CC99" s="311"/>
      <c r="CD99" s="311"/>
      <c r="CE99" s="311"/>
      <c r="CF99" s="311"/>
      <c r="CG99" s="311"/>
      <c r="CH99" s="311"/>
      <c r="CI99" s="311"/>
      <c r="CJ99" s="311"/>
      <c r="CK99" s="311"/>
      <c r="CL99" s="311"/>
      <c r="CM99" s="311"/>
      <c r="CN99" s="311"/>
      <c r="CO99" s="311"/>
      <c r="CP99" s="311"/>
      <c r="CQ99" s="311"/>
      <c r="CR99" s="311"/>
      <c r="CS99" s="311"/>
      <c r="CT99" s="311"/>
      <c r="CU99" s="311"/>
      <c r="CV99" s="311"/>
      <c r="CW99" s="311"/>
      <c r="CX99" s="311"/>
      <c r="CY99" s="311"/>
    </row>
    <row r="100" spans="1:103" x14ac:dyDescent="0.3">
      <c r="A100" s="296">
        <v>5057</v>
      </c>
      <c r="B100" s="275" t="s">
        <v>268</v>
      </c>
      <c r="C100" s="275" t="s">
        <v>267</v>
      </c>
      <c r="D100" s="275" t="s">
        <v>266</v>
      </c>
      <c r="E100" s="229">
        <v>500000</v>
      </c>
      <c r="F100" s="278">
        <v>43866</v>
      </c>
      <c r="G100" s="278">
        <v>44232</v>
      </c>
      <c r="H100" s="276"/>
      <c r="I100" s="280">
        <v>3.4</v>
      </c>
      <c r="J100" s="279"/>
      <c r="K100" s="276">
        <v>0</v>
      </c>
      <c r="L100" s="279"/>
      <c r="M100" s="279"/>
      <c r="N100" s="279"/>
      <c r="O100" s="276">
        <v>2597.2222222222222</v>
      </c>
      <c r="P100" s="279"/>
      <c r="Q100" s="279"/>
      <c r="R100" s="276">
        <v>2597.2222222222222</v>
      </c>
      <c r="S100" s="276">
        <v>1416.6666666666667</v>
      </c>
      <c r="T100" s="276"/>
      <c r="U100" s="276"/>
      <c r="V100" s="276">
        <v>4013.8888888888887</v>
      </c>
      <c r="W100" s="276">
        <v>1463.8888888888889</v>
      </c>
      <c r="X100" s="266"/>
      <c r="Y100" s="276"/>
      <c r="Z100" s="276">
        <v>5477.7777777777774</v>
      </c>
      <c r="AA100" s="276">
        <v>1397.2602739726026</v>
      </c>
      <c r="AB100" s="266"/>
      <c r="AC100" s="276"/>
      <c r="AD100" s="276">
        <v>6875.03805175038</v>
      </c>
      <c r="AE100" s="314">
        <v>1443.8356164383561</v>
      </c>
      <c r="AF100" s="314"/>
      <c r="AG100" s="314"/>
      <c r="AH100" s="314">
        <v>8318.8736681887367</v>
      </c>
      <c r="AI100" s="319"/>
      <c r="AJ100" s="311"/>
      <c r="AK100" s="311"/>
      <c r="AL100" s="311"/>
      <c r="AM100" s="311"/>
      <c r="AN100" s="311"/>
      <c r="AO100" s="311"/>
      <c r="AP100" s="311"/>
      <c r="AQ100" s="311"/>
      <c r="AR100" s="311"/>
      <c r="AS100" s="311"/>
      <c r="AT100" s="311"/>
      <c r="AU100" s="311"/>
      <c r="AV100" s="311"/>
      <c r="AW100" s="311"/>
      <c r="AX100" s="311"/>
      <c r="AY100" s="311"/>
      <c r="AZ100" s="311"/>
      <c r="BA100" s="311"/>
      <c r="BB100" s="311"/>
      <c r="BC100" s="311"/>
      <c r="BD100" s="311"/>
      <c r="BE100" s="311"/>
      <c r="BF100" s="311"/>
      <c r="BG100" s="311"/>
      <c r="BH100" s="311"/>
      <c r="BI100" s="311"/>
      <c r="BJ100" s="311"/>
      <c r="BK100" s="311"/>
      <c r="BL100" s="311"/>
      <c r="BM100" s="311"/>
      <c r="BN100" s="311"/>
      <c r="BO100" s="311"/>
      <c r="BP100" s="311"/>
      <c r="BQ100" s="311"/>
      <c r="BR100" s="311"/>
      <c r="BS100" s="311"/>
      <c r="BT100" s="311"/>
      <c r="BU100" s="311"/>
      <c r="BV100" s="311"/>
      <c r="BW100" s="311"/>
      <c r="BX100" s="311"/>
      <c r="BY100" s="311"/>
      <c r="BZ100" s="311"/>
      <c r="CA100" s="311"/>
      <c r="CB100" s="311"/>
      <c r="CC100" s="311"/>
      <c r="CD100" s="311"/>
      <c r="CE100" s="311"/>
      <c r="CF100" s="311"/>
      <c r="CG100" s="311"/>
      <c r="CH100" s="311"/>
      <c r="CI100" s="311"/>
      <c r="CJ100" s="311"/>
      <c r="CK100" s="311"/>
      <c r="CL100" s="311"/>
      <c r="CM100" s="311"/>
      <c r="CN100" s="311"/>
      <c r="CO100" s="311"/>
      <c r="CP100" s="311"/>
      <c r="CQ100" s="311"/>
      <c r="CR100" s="311"/>
      <c r="CS100" s="311"/>
      <c r="CT100" s="311"/>
      <c r="CU100" s="311"/>
      <c r="CV100" s="311"/>
      <c r="CW100" s="311"/>
      <c r="CX100" s="311"/>
      <c r="CY100" s="311"/>
    </row>
    <row r="101" spans="1:103" x14ac:dyDescent="0.3">
      <c r="A101" s="296">
        <v>5005</v>
      </c>
      <c r="B101" s="275" t="s">
        <v>265</v>
      </c>
      <c r="C101" s="275" t="s">
        <v>264</v>
      </c>
      <c r="D101" s="275" t="s">
        <v>263</v>
      </c>
      <c r="E101" s="229">
        <v>188600</v>
      </c>
      <c r="F101" s="278">
        <v>43867</v>
      </c>
      <c r="G101" s="278">
        <v>44233</v>
      </c>
      <c r="H101" s="276"/>
      <c r="I101" s="280">
        <v>6.9</v>
      </c>
      <c r="J101" s="279"/>
      <c r="K101" s="276">
        <v>0</v>
      </c>
      <c r="L101" s="279"/>
      <c r="M101" s="279"/>
      <c r="N101" s="279"/>
      <c r="O101" s="276">
        <v>1952.0100000000004</v>
      </c>
      <c r="P101" s="279"/>
      <c r="Q101" s="279"/>
      <c r="R101" s="276">
        <v>1952.0100000000004</v>
      </c>
      <c r="S101" s="276">
        <v>1084.4500000000003</v>
      </c>
      <c r="T101" s="276"/>
      <c r="U101" s="276"/>
      <c r="V101" s="276">
        <v>3036.4600000000009</v>
      </c>
      <c r="W101" s="276">
        <v>1120.5983333333336</v>
      </c>
      <c r="X101" s="266"/>
      <c r="Y101" s="276"/>
      <c r="Z101" s="276">
        <v>4157.0583333333343</v>
      </c>
      <c r="AA101" s="276">
        <v>1069.5945205479454</v>
      </c>
      <c r="AB101" s="266"/>
      <c r="AC101" s="276"/>
      <c r="AD101" s="276">
        <v>5226.65285388128</v>
      </c>
      <c r="AE101" s="314">
        <v>1105.2476712328769</v>
      </c>
      <c r="AF101" s="314"/>
      <c r="AG101" s="314"/>
      <c r="AH101" s="314">
        <v>6331.9005251141571</v>
      </c>
      <c r="AI101" s="319"/>
      <c r="AJ101" s="311"/>
      <c r="AK101" s="311"/>
      <c r="AL101" s="311"/>
      <c r="AM101" s="311"/>
      <c r="AN101" s="311"/>
      <c r="AO101" s="311"/>
      <c r="AP101" s="311"/>
      <c r="AQ101" s="311"/>
      <c r="AR101" s="311"/>
      <c r="AS101" s="311"/>
      <c r="AT101" s="311"/>
      <c r="AU101" s="311"/>
      <c r="AV101" s="311"/>
      <c r="AW101" s="311"/>
      <c r="AX101" s="311"/>
      <c r="AY101" s="311"/>
      <c r="AZ101" s="311"/>
      <c r="BA101" s="311"/>
      <c r="BB101" s="311"/>
      <c r="BC101" s="311"/>
      <c r="BD101" s="311"/>
      <c r="BE101" s="311"/>
      <c r="BF101" s="311"/>
      <c r="BG101" s="311"/>
      <c r="BH101" s="311"/>
      <c r="BI101" s="311"/>
      <c r="BJ101" s="311"/>
      <c r="BK101" s="311"/>
      <c r="BL101" s="311"/>
      <c r="BM101" s="311"/>
      <c r="BN101" s="311"/>
      <c r="BO101" s="311"/>
      <c r="BP101" s="311"/>
      <c r="BQ101" s="311"/>
      <c r="BR101" s="311"/>
      <c r="BS101" s="311"/>
      <c r="BT101" s="311"/>
      <c r="BU101" s="311"/>
      <c r="BV101" s="311"/>
      <c r="BW101" s="311"/>
      <c r="BX101" s="311"/>
      <c r="BY101" s="311"/>
      <c r="BZ101" s="311"/>
      <c r="CA101" s="311"/>
      <c r="CB101" s="311"/>
      <c r="CC101" s="311"/>
      <c r="CD101" s="311"/>
      <c r="CE101" s="311"/>
      <c r="CF101" s="311"/>
      <c r="CG101" s="311"/>
      <c r="CH101" s="311"/>
      <c r="CI101" s="311"/>
      <c r="CJ101" s="311"/>
      <c r="CK101" s="311"/>
      <c r="CL101" s="311"/>
      <c r="CM101" s="311"/>
      <c r="CN101" s="311"/>
      <c r="CO101" s="311"/>
      <c r="CP101" s="311"/>
      <c r="CQ101" s="311"/>
      <c r="CR101" s="311"/>
      <c r="CS101" s="311"/>
      <c r="CT101" s="311"/>
      <c r="CU101" s="311"/>
      <c r="CV101" s="311"/>
      <c r="CW101" s="311"/>
      <c r="CX101" s="311"/>
      <c r="CY101" s="311"/>
    </row>
    <row r="102" spans="1:103" x14ac:dyDescent="0.3">
      <c r="A102" s="296">
        <v>5028</v>
      </c>
      <c r="B102" s="275" t="s">
        <v>262</v>
      </c>
      <c r="C102" s="275" t="s">
        <v>261</v>
      </c>
      <c r="D102" s="275" t="s">
        <v>260</v>
      </c>
      <c r="E102" s="229">
        <v>300000</v>
      </c>
      <c r="F102" s="278">
        <v>43865</v>
      </c>
      <c r="G102" s="278">
        <v>44231</v>
      </c>
      <c r="H102" s="276"/>
      <c r="I102" s="280">
        <v>7.9</v>
      </c>
      <c r="J102" s="279"/>
      <c r="K102" s="276">
        <v>0</v>
      </c>
      <c r="L102" s="279"/>
      <c r="M102" s="279"/>
      <c r="N102" s="279"/>
      <c r="O102" s="276">
        <v>3686.6666666666665</v>
      </c>
      <c r="P102" s="279"/>
      <c r="Q102" s="279"/>
      <c r="R102" s="276">
        <v>3686.6666666666665</v>
      </c>
      <c r="S102" s="276">
        <v>1974.9999999999998</v>
      </c>
      <c r="T102" s="276"/>
      <c r="U102" s="276"/>
      <c r="V102" s="276">
        <v>5661.6666666666661</v>
      </c>
      <c r="W102" s="276">
        <v>2040.8333333333333</v>
      </c>
      <c r="X102" s="266"/>
      <c r="Y102" s="276"/>
      <c r="Z102" s="276">
        <v>7702.4999999999991</v>
      </c>
      <c r="AA102" s="276">
        <v>1947.9452054794522</v>
      </c>
      <c r="AB102" s="266"/>
      <c r="AC102" s="276"/>
      <c r="AD102" s="276">
        <v>9650.445205479451</v>
      </c>
      <c r="AE102" s="314">
        <v>2012.8767123287671</v>
      </c>
      <c r="AF102" s="314"/>
      <c r="AG102" s="314"/>
      <c r="AH102" s="314">
        <v>11663.321917808218</v>
      </c>
      <c r="AI102" s="319"/>
      <c r="AJ102" s="311"/>
      <c r="AK102" s="311"/>
      <c r="AL102" s="311"/>
      <c r="AM102" s="311"/>
      <c r="AN102" s="311"/>
      <c r="AO102" s="311"/>
      <c r="AP102" s="311"/>
      <c r="AQ102" s="311"/>
      <c r="AR102" s="311"/>
      <c r="AS102" s="311"/>
      <c r="AT102" s="311"/>
      <c r="AU102" s="311"/>
      <c r="AV102" s="311"/>
      <c r="AW102" s="311"/>
      <c r="AX102" s="311"/>
      <c r="AY102" s="311"/>
      <c r="AZ102" s="311"/>
      <c r="BA102" s="311"/>
      <c r="BB102" s="311"/>
      <c r="BC102" s="311"/>
      <c r="BD102" s="311"/>
      <c r="BE102" s="311"/>
      <c r="BF102" s="311"/>
      <c r="BG102" s="311"/>
      <c r="BH102" s="311"/>
      <c r="BI102" s="311"/>
      <c r="BJ102" s="311"/>
      <c r="BK102" s="311"/>
      <c r="BL102" s="311"/>
      <c r="BM102" s="311"/>
      <c r="BN102" s="311"/>
      <c r="BO102" s="311"/>
      <c r="BP102" s="311"/>
      <c r="BQ102" s="311"/>
      <c r="BR102" s="311"/>
      <c r="BS102" s="311"/>
      <c r="BT102" s="311"/>
      <c r="BU102" s="311"/>
      <c r="BV102" s="311"/>
      <c r="BW102" s="311"/>
      <c r="BX102" s="311"/>
      <c r="BY102" s="311"/>
      <c r="BZ102" s="311"/>
      <c r="CA102" s="311"/>
      <c r="CB102" s="311"/>
      <c r="CC102" s="311"/>
      <c r="CD102" s="311"/>
      <c r="CE102" s="311"/>
      <c r="CF102" s="311"/>
      <c r="CG102" s="311"/>
      <c r="CH102" s="311"/>
      <c r="CI102" s="311"/>
      <c r="CJ102" s="311"/>
      <c r="CK102" s="311"/>
      <c r="CL102" s="311"/>
      <c r="CM102" s="311"/>
      <c r="CN102" s="311"/>
      <c r="CO102" s="311"/>
      <c r="CP102" s="311"/>
      <c r="CQ102" s="311"/>
      <c r="CR102" s="311"/>
      <c r="CS102" s="311"/>
      <c r="CT102" s="311"/>
      <c r="CU102" s="311"/>
      <c r="CV102" s="311"/>
      <c r="CW102" s="311"/>
      <c r="CX102" s="311"/>
      <c r="CY102" s="311"/>
    </row>
    <row r="103" spans="1:103" x14ac:dyDescent="0.3">
      <c r="A103" s="296">
        <v>5060</v>
      </c>
      <c r="B103" s="275" t="s">
        <v>19</v>
      </c>
      <c r="C103" s="275" t="s">
        <v>259</v>
      </c>
      <c r="D103" s="275" t="s">
        <v>258</v>
      </c>
      <c r="E103" s="229">
        <v>72500</v>
      </c>
      <c r="F103" s="278">
        <v>43864</v>
      </c>
      <c r="G103" s="278">
        <v>44230</v>
      </c>
      <c r="H103" s="276"/>
      <c r="I103" s="280">
        <v>1.9</v>
      </c>
      <c r="J103" s="279"/>
      <c r="K103" s="276">
        <v>0</v>
      </c>
      <c r="L103" s="279"/>
      <c r="M103" s="279"/>
      <c r="N103" s="279"/>
      <c r="O103" s="276">
        <v>218.10416666666666</v>
      </c>
      <c r="P103" s="279"/>
      <c r="Q103" s="279"/>
      <c r="R103" s="276">
        <v>218.10416666666666</v>
      </c>
      <c r="S103" s="276">
        <v>114.79166666666667</v>
      </c>
      <c r="T103" s="276"/>
      <c r="U103" s="276"/>
      <c r="V103" s="276">
        <v>332.89583333333331</v>
      </c>
      <c r="W103" s="276">
        <v>118.61805555555556</v>
      </c>
      <c r="X103" s="266"/>
      <c r="Y103" s="276"/>
      <c r="Z103" s="276">
        <v>451.51388888888886</v>
      </c>
      <c r="AA103" s="276">
        <v>113.21917808219179</v>
      </c>
      <c r="AB103" s="266"/>
      <c r="AC103" s="276"/>
      <c r="AD103" s="276">
        <v>564.73306697108069</v>
      </c>
      <c r="AE103" s="314">
        <v>116.99315068493151</v>
      </c>
      <c r="AF103" s="314"/>
      <c r="AG103" s="314"/>
      <c r="AH103" s="314">
        <v>681.72621765601218</v>
      </c>
      <c r="AI103" s="319"/>
      <c r="AJ103" s="311"/>
      <c r="AK103" s="311"/>
      <c r="AL103" s="311"/>
      <c r="AM103" s="311"/>
      <c r="AN103" s="311"/>
      <c r="AO103" s="311"/>
      <c r="AP103" s="311"/>
      <c r="AQ103" s="311"/>
      <c r="AR103" s="311"/>
      <c r="AS103" s="311"/>
      <c r="AT103" s="311"/>
      <c r="AU103" s="311"/>
      <c r="AV103" s="311"/>
      <c r="AW103" s="311"/>
      <c r="AX103" s="311"/>
      <c r="AY103" s="311"/>
      <c r="AZ103" s="311"/>
      <c r="BA103" s="311"/>
      <c r="BB103" s="311"/>
      <c r="BC103" s="311"/>
      <c r="BD103" s="311"/>
      <c r="BE103" s="311"/>
      <c r="BF103" s="311"/>
      <c r="BG103" s="311"/>
      <c r="BH103" s="311"/>
      <c r="BI103" s="311"/>
      <c r="BJ103" s="311"/>
      <c r="BK103" s="311"/>
      <c r="BL103" s="311"/>
      <c r="BM103" s="311"/>
      <c r="BN103" s="311"/>
      <c r="BO103" s="311"/>
      <c r="BP103" s="311"/>
      <c r="BQ103" s="311"/>
      <c r="BR103" s="311"/>
      <c r="BS103" s="311"/>
      <c r="BT103" s="311"/>
      <c r="BU103" s="311"/>
      <c r="BV103" s="311"/>
      <c r="BW103" s="311"/>
      <c r="BX103" s="311"/>
      <c r="BY103" s="311"/>
      <c r="BZ103" s="311"/>
      <c r="CA103" s="311"/>
      <c r="CB103" s="311"/>
      <c r="CC103" s="311"/>
      <c r="CD103" s="311"/>
      <c r="CE103" s="311"/>
      <c r="CF103" s="311"/>
      <c r="CG103" s="311"/>
      <c r="CH103" s="311"/>
      <c r="CI103" s="311"/>
      <c r="CJ103" s="311"/>
      <c r="CK103" s="311"/>
      <c r="CL103" s="311"/>
      <c r="CM103" s="311"/>
      <c r="CN103" s="311"/>
      <c r="CO103" s="311"/>
      <c r="CP103" s="311"/>
      <c r="CQ103" s="311"/>
      <c r="CR103" s="311"/>
      <c r="CS103" s="311"/>
      <c r="CT103" s="311"/>
      <c r="CU103" s="311"/>
      <c r="CV103" s="311"/>
      <c r="CW103" s="311"/>
      <c r="CX103" s="311"/>
      <c r="CY103" s="311"/>
    </row>
    <row r="104" spans="1:103" x14ac:dyDescent="0.3">
      <c r="A104" s="296">
        <v>5060</v>
      </c>
      <c r="B104" s="275" t="s">
        <v>19</v>
      </c>
      <c r="C104" s="275" t="s">
        <v>257</v>
      </c>
      <c r="D104" s="275" t="s">
        <v>256</v>
      </c>
      <c r="E104" s="229">
        <v>90000</v>
      </c>
      <c r="F104" s="278">
        <v>43864</v>
      </c>
      <c r="G104" s="278">
        <v>44230</v>
      </c>
      <c r="H104" s="276"/>
      <c r="I104" s="280">
        <v>1.9</v>
      </c>
      <c r="J104" s="279"/>
      <c r="K104" s="276">
        <v>0</v>
      </c>
      <c r="L104" s="279"/>
      <c r="M104" s="279"/>
      <c r="N104" s="279"/>
      <c r="O104" s="276">
        <v>270.75</v>
      </c>
      <c r="P104" s="279"/>
      <c r="Q104" s="279"/>
      <c r="R104" s="276">
        <v>270.75</v>
      </c>
      <c r="S104" s="276">
        <v>142.5</v>
      </c>
      <c r="T104" s="276"/>
      <c r="U104" s="276"/>
      <c r="V104" s="276">
        <v>413.25</v>
      </c>
      <c r="W104" s="276">
        <v>147.25</v>
      </c>
      <c r="X104" s="266"/>
      <c r="Y104" s="276"/>
      <c r="Z104" s="276">
        <v>560.5</v>
      </c>
      <c r="AA104" s="276">
        <v>140.54794520547946</v>
      </c>
      <c r="AB104" s="266"/>
      <c r="AC104" s="276"/>
      <c r="AD104" s="276">
        <v>701.04794520547944</v>
      </c>
      <c r="AE104" s="314">
        <v>145.23287671232876</v>
      </c>
      <c r="AF104" s="314"/>
      <c r="AG104" s="314"/>
      <c r="AH104" s="314">
        <v>846.28082191780823</v>
      </c>
      <c r="AI104" s="319"/>
      <c r="AJ104" s="311"/>
      <c r="AK104" s="311"/>
      <c r="AL104" s="311"/>
      <c r="AM104" s="311"/>
      <c r="AN104" s="311"/>
      <c r="AO104" s="311"/>
      <c r="AP104" s="311"/>
      <c r="AQ104" s="311"/>
      <c r="AR104" s="311"/>
      <c r="AS104" s="311"/>
      <c r="AT104" s="311"/>
      <c r="AU104" s="311"/>
      <c r="AV104" s="311"/>
      <c r="AW104" s="311"/>
      <c r="AX104" s="311"/>
      <c r="AY104" s="311"/>
      <c r="AZ104" s="311"/>
      <c r="BA104" s="311"/>
      <c r="BB104" s="311"/>
      <c r="BC104" s="311"/>
      <c r="BD104" s="311"/>
      <c r="BE104" s="311"/>
      <c r="BF104" s="311"/>
      <c r="BG104" s="311"/>
      <c r="BH104" s="311"/>
      <c r="BI104" s="311"/>
      <c r="BJ104" s="311"/>
      <c r="BK104" s="311"/>
      <c r="BL104" s="311"/>
      <c r="BM104" s="311"/>
      <c r="BN104" s="311"/>
      <c r="BO104" s="311"/>
      <c r="BP104" s="311"/>
      <c r="BQ104" s="311"/>
      <c r="BR104" s="311"/>
      <c r="BS104" s="311"/>
      <c r="BT104" s="311"/>
      <c r="BU104" s="311"/>
      <c r="BV104" s="311"/>
      <c r="BW104" s="311"/>
      <c r="BX104" s="311"/>
      <c r="BY104" s="311"/>
      <c r="BZ104" s="311"/>
      <c r="CA104" s="311"/>
      <c r="CB104" s="311"/>
      <c r="CC104" s="311"/>
      <c r="CD104" s="311"/>
      <c r="CE104" s="311"/>
      <c r="CF104" s="311"/>
      <c r="CG104" s="311"/>
      <c r="CH104" s="311"/>
      <c r="CI104" s="311"/>
      <c r="CJ104" s="311"/>
      <c r="CK104" s="311"/>
      <c r="CL104" s="311"/>
      <c r="CM104" s="311"/>
      <c r="CN104" s="311"/>
      <c r="CO104" s="311"/>
      <c r="CP104" s="311"/>
      <c r="CQ104" s="311"/>
      <c r="CR104" s="311"/>
      <c r="CS104" s="311"/>
      <c r="CT104" s="311"/>
      <c r="CU104" s="311"/>
      <c r="CV104" s="311"/>
      <c r="CW104" s="311"/>
      <c r="CX104" s="311"/>
      <c r="CY104" s="311"/>
    </row>
    <row r="105" spans="1:103" x14ac:dyDescent="0.3">
      <c r="A105" s="296">
        <v>5055</v>
      </c>
      <c r="B105" s="275" t="s">
        <v>56</v>
      </c>
      <c r="C105" s="275" t="s">
        <v>255</v>
      </c>
      <c r="D105" s="275" t="s">
        <v>254</v>
      </c>
      <c r="E105" s="229">
        <v>1000000</v>
      </c>
      <c r="F105" s="278">
        <v>43878</v>
      </c>
      <c r="G105" s="278">
        <v>44244</v>
      </c>
      <c r="H105" s="276"/>
      <c r="I105" s="280">
        <v>5.4</v>
      </c>
      <c r="J105" s="279"/>
      <c r="K105" s="276">
        <v>0</v>
      </c>
      <c r="L105" s="279"/>
      <c r="M105" s="279"/>
      <c r="N105" s="279"/>
      <c r="O105" s="276">
        <v>6450.0000000000009</v>
      </c>
      <c r="P105" s="279"/>
      <c r="Q105" s="279"/>
      <c r="R105" s="276">
        <v>6450.0000000000009</v>
      </c>
      <c r="S105" s="276">
        <v>4500.0000000000009</v>
      </c>
      <c r="T105" s="276"/>
      <c r="U105" s="276"/>
      <c r="V105" s="276">
        <v>10950.000000000002</v>
      </c>
      <c r="W105" s="276">
        <v>4650.0000000000009</v>
      </c>
      <c r="X105" s="266"/>
      <c r="Y105" s="276"/>
      <c r="Z105" s="276">
        <v>15600.000000000004</v>
      </c>
      <c r="AA105" s="276">
        <v>4438.3561643835628</v>
      </c>
      <c r="AB105" s="266"/>
      <c r="AC105" s="276"/>
      <c r="AD105" s="276">
        <v>20038.356164383567</v>
      </c>
      <c r="AE105" s="314">
        <v>4586.3013698630148</v>
      </c>
      <c r="AF105" s="314"/>
      <c r="AG105" s="314"/>
      <c r="AH105" s="314">
        <v>24624.65753424658</v>
      </c>
      <c r="AI105" s="319"/>
      <c r="AJ105" s="311"/>
      <c r="AK105" s="311"/>
      <c r="AL105" s="311"/>
      <c r="AM105" s="311"/>
      <c r="AN105" s="311"/>
      <c r="AO105" s="311"/>
      <c r="AP105" s="311"/>
      <c r="AQ105" s="311"/>
      <c r="AR105" s="311"/>
      <c r="AS105" s="311"/>
      <c r="AT105" s="311"/>
      <c r="AU105" s="311"/>
      <c r="AV105" s="311"/>
      <c r="AW105" s="311"/>
      <c r="AX105" s="311"/>
      <c r="AY105" s="311"/>
      <c r="AZ105" s="311"/>
      <c r="BA105" s="311"/>
      <c r="BB105" s="311"/>
      <c r="BC105" s="311"/>
      <c r="BD105" s="311"/>
      <c r="BE105" s="311"/>
      <c r="BF105" s="311"/>
      <c r="BG105" s="311"/>
      <c r="BH105" s="311"/>
      <c r="BI105" s="311"/>
      <c r="BJ105" s="311"/>
      <c r="BK105" s="311"/>
      <c r="BL105" s="311"/>
      <c r="BM105" s="311"/>
      <c r="BN105" s="311"/>
      <c r="BO105" s="311"/>
      <c r="BP105" s="311"/>
      <c r="BQ105" s="311"/>
      <c r="BR105" s="311"/>
      <c r="BS105" s="311"/>
      <c r="BT105" s="311"/>
      <c r="BU105" s="311"/>
      <c r="BV105" s="311"/>
      <c r="BW105" s="311"/>
      <c r="BX105" s="311"/>
      <c r="BY105" s="311"/>
      <c r="BZ105" s="311"/>
      <c r="CA105" s="311"/>
      <c r="CB105" s="311"/>
      <c r="CC105" s="311"/>
      <c r="CD105" s="311"/>
      <c r="CE105" s="311"/>
      <c r="CF105" s="311"/>
      <c r="CG105" s="311"/>
      <c r="CH105" s="311"/>
      <c r="CI105" s="311"/>
      <c r="CJ105" s="311"/>
      <c r="CK105" s="311"/>
      <c r="CL105" s="311"/>
      <c r="CM105" s="311"/>
      <c r="CN105" s="311"/>
      <c r="CO105" s="311"/>
      <c r="CP105" s="311"/>
      <c r="CQ105" s="311"/>
      <c r="CR105" s="311"/>
      <c r="CS105" s="311"/>
      <c r="CT105" s="311"/>
      <c r="CU105" s="311"/>
      <c r="CV105" s="311"/>
      <c r="CW105" s="311"/>
      <c r="CX105" s="311"/>
      <c r="CY105" s="311"/>
    </row>
    <row r="106" spans="1:103" x14ac:dyDescent="0.3">
      <c r="A106" s="296">
        <v>5055</v>
      </c>
      <c r="B106" s="275" t="s">
        <v>56</v>
      </c>
      <c r="C106" s="275" t="s">
        <v>253</v>
      </c>
      <c r="D106" s="275" t="s">
        <v>252</v>
      </c>
      <c r="E106" s="229">
        <v>1500000</v>
      </c>
      <c r="F106" s="278">
        <v>43879</v>
      </c>
      <c r="G106" s="278">
        <v>44245</v>
      </c>
      <c r="H106" s="276"/>
      <c r="I106" s="280">
        <v>6.9</v>
      </c>
      <c r="J106" s="279"/>
      <c r="K106" s="276">
        <v>0</v>
      </c>
      <c r="L106" s="279"/>
      <c r="M106" s="279"/>
      <c r="N106" s="279"/>
      <c r="O106" s="276">
        <v>12075.000000000002</v>
      </c>
      <c r="P106" s="279"/>
      <c r="Q106" s="279"/>
      <c r="R106" s="276">
        <v>12075.000000000002</v>
      </c>
      <c r="S106" s="276">
        <v>8625.0000000000018</v>
      </c>
      <c r="T106" s="276"/>
      <c r="U106" s="276"/>
      <c r="V106" s="276">
        <v>20700.000000000004</v>
      </c>
      <c r="W106" s="276">
        <v>8912.5000000000018</v>
      </c>
      <c r="X106" s="266"/>
      <c r="Y106" s="276"/>
      <c r="Z106" s="276">
        <v>29612.500000000007</v>
      </c>
      <c r="AA106" s="276">
        <v>8506.8493150684935</v>
      </c>
      <c r="AB106" s="266"/>
      <c r="AC106" s="276"/>
      <c r="AD106" s="276">
        <v>38119.349315068503</v>
      </c>
      <c r="AE106" s="314">
        <v>8790.4109589041109</v>
      </c>
      <c r="AF106" s="314"/>
      <c r="AG106" s="314"/>
      <c r="AH106" s="314">
        <v>46909.760273972614</v>
      </c>
      <c r="AI106" s="319"/>
      <c r="AJ106" s="311"/>
      <c r="AK106" s="311"/>
      <c r="AL106" s="311"/>
      <c r="AM106" s="311"/>
      <c r="AN106" s="311"/>
      <c r="AO106" s="311"/>
      <c r="AP106" s="311"/>
      <c r="AQ106" s="311"/>
      <c r="AR106" s="311"/>
      <c r="AS106" s="311"/>
      <c r="AT106" s="311"/>
      <c r="AU106" s="311"/>
      <c r="AV106" s="311"/>
      <c r="AW106" s="311"/>
      <c r="AX106" s="311"/>
      <c r="AY106" s="311"/>
      <c r="AZ106" s="311"/>
      <c r="BA106" s="311"/>
      <c r="BB106" s="311"/>
      <c r="BC106" s="311"/>
      <c r="BD106" s="311"/>
      <c r="BE106" s="311"/>
      <c r="BF106" s="311"/>
      <c r="BG106" s="311"/>
      <c r="BH106" s="311"/>
      <c r="BI106" s="311"/>
      <c r="BJ106" s="311"/>
      <c r="BK106" s="311"/>
      <c r="BL106" s="311"/>
      <c r="BM106" s="311"/>
      <c r="BN106" s="311"/>
      <c r="BO106" s="311"/>
      <c r="BP106" s="311"/>
      <c r="BQ106" s="311"/>
      <c r="BR106" s="311"/>
      <c r="BS106" s="311"/>
      <c r="BT106" s="311"/>
      <c r="BU106" s="311"/>
      <c r="BV106" s="311"/>
      <c r="BW106" s="311"/>
      <c r="BX106" s="311"/>
      <c r="BY106" s="311"/>
      <c r="BZ106" s="311"/>
      <c r="CA106" s="311"/>
      <c r="CB106" s="311"/>
      <c r="CC106" s="311"/>
      <c r="CD106" s="311"/>
      <c r="CE106" s="311"/>
      <c r="CF106" s="311"/>
      <c r="CG106" s="311"/>
      <c r="CH106" s="311"/>
      <c r="CI106" s="311"/>
      <c r="CJ106" s="311"/>
      <c r="CK106" s="311"/>
      <c r="CL106" s="311"/>
      <c r="CM106" s="311"/>
      <c r="CN106" s="311"/>
      <c r="CO106" s="311"/>
      <c r="CP106" s="311"/>
      <c r="CQ106" s="311"/>
      <c r="CR106" s="311"/>
      <c r="CS106" s="311"/>
      <c r="CT106" s="311"/>
      <c r="CU106" s="311"/>
      <c r="CV106" s="311"/>
      <c r="CW106" s="311"/>
      <c r="CX106" s="311"/>
      <c r="CY106" s="311"/>
    </row>
    <row r="107" spans="1:103" x14ac:dyDescent="0.3">
      <c r="A107" s="296">
        <v>5063</v>
      </c>
      <c r="B107" s="275" t="s">
        <v>77</v>
      </c>
      <c r="C107" s="275" t="s">
        <v>251</v>
      </c>
      <c r="D107" s="275" t="s">
        <v>250</v>
      </c>
      <c r="E107" s="229">
        <v>23000</v>
      </c>
      <c r="F107" s="278">
        <v>43880</v>
      </c>
      <c r="G107" s="278">
        <v>44246</v>
      </c>
      <c r="H107" s="276"/>
      <c r="I107" s="280">
        <v>5.4</v>
      </c>
      <c r="J107" s="279"/>
      <c r="K107" s="276">
        <v>0</v>
      </c>
      <c r="L107" s="279"/>
      <c r="M107" s="279"/>
      <c r="N107" s="279"/>
      <c r="O107" s="276">
        <v>144.90000000000003</v>
      </c>
      <c r="P107" s="279"/>
      <c r="Q107" s="279"/>
      <c r="R107" s="276">
        <v>144.90000000000003</v>
      </c>
      <c r="S107" s="276">
        <v>103.50000000000001</v>
      </c>
      <c r="T107" s="276"/>
      <c r="U107" s="276"/>
      <c r="V107" s="276">
        <v>248.40000000000003</v>
      </c>
      <c r="W107" s="276">
        <v>106.95000000000002</v>
      </c>
      <c r="X107" s="266"/>
      <c r="Y107" s="276"/>
      <c r="Z107" s="276">
        <v>355.35</v>
      </c>
      <c r="AA107" s="276">
        <v>102.08219178082193</v>
      </c>
      <c r="AB107" s="266"/>
      <c r="AC107" s="276"/>
      <c r="AD107" s="276">
        <v>457.43219178082194</v>
      </c>
      <c r="AE107" s="314">
        <v>105.48493150684934</v>
      </c>
      <c r="AF107" s="314"/>
      <c r="AG107" s="314"/>
      <c r="AH107" s="314">
        <v>562.9171232876713</v>
      </c>
      <c r="AI107" s="319"/>
      <c r="AJ107" s="311"/>
      <c r="AK107" s="311"/>
      <c r="AL107" s="311"/>
      <c r="AM107" s="311"/>
      <c r="AN107" s="311"/>
      <c r="AO107" s="311"/>
      <c r="AP107" s="311"/>
      <c r="AQ107" s="311"/>
      <c r="AR107" s="311"/>
      <c r="AS107" s="311"/>
      <c r="AT107" s="311"/>
      <c r="AU107" s="311"/>
      <c r="AV107" s="311"/>
      <c r="AW107" s="311"/>
      <c r="AX107" s="311"/>
      <c r="AY107" s="311"/>
      <c r="AZ107" s="311"/>
      <c r="BA107" s="311"/>
      <c r="BB107" s="311"/>
      <c r="BC107" s="311"/>
      <c r="BD107" s="311"/>
      <c r="BE107" s="311"/>
      <c r="BF107" s="311"/>
      <c r="BG107" s="311"/>
      <c r="BH107" s="311"/>
      <c r="BI107" s="311"/>
      <c r="BJ107" s="311"/>
      <c r="BK107" s="311"/>
      <c r="BL107" s="311"/>
      <c r="BM107" s="311"/>
      <c r="BN107" s="311"/>
      <c r="BO107" s="311"/>
      <c r="BP107" s="311"/>
      <c r="BQ107" s="311"/>
      <c r="BR107" s="311"/>
      <c r="BS107" s="311"/>
      <c r="BT107" s="311"/>
      <c r="BU107" s="311"/>
      <c r="BV107" s="311"/>
      <c r="BW107" s="311"/>
      <c r="BX107" s="311"/>
      <c r="BY107" s="311"/>
      <c r="BZ107" s="311"/>
      <c r="CA107" s="311"/>
      <c r="CB107" s="311"/>
      <c r="CC107" s="311"/>
      <c r="CD107" s="311"/>
      <c r="CE107" s="311"/>
      <c r="CF107" s="311"/>
      <c r="CG107" s="311"/>
      <c r="CH107" s="311"/>
      <c r="CI107" s="311"/>
      <c r="CJ107" s="311"/>
      <c r="CK107" s="311"/>
      <c r="CL107" s="311"/>
      <c r="CM107" s="311"/>
      <c r="CN107" s="311"/>
      <c r="CO107" s="311"/>
      <c r="CP107" s="311"/>
      <c r="CQ107" s="311"/>
      <c r="CR107" s="311"/>
      <c r="CS107" s="311"/>
      <c r="CT107" s="311"/>
      <c r="CU107" s="311"/>
      <c r="CV107" s="311"/>
      <c r="CW107" s="311"/>
      <c r="CX107" s="311"/>
      <c r="CY107" s="311"/>
    </row>
    <row r="108" spans="1:103" x14ac:dyDescent="0.3">
      <c r="A108" s="296">
        <v>5060</v>
      </c>
      <c r="B108" s="275" t="s">
        <v>16</v>
      </c>
      <c r="C108" s="275" t="s">
        <v>249</v>
      </c>
      <c r="D108" s="275" t="s">
        <v>248</v>
      </c>
      <c r="E108" s="229">
        <v>87500</v>
      </c>
      <c r="F108" s="278">
        <v>43880</v>
      </c>
      <c r="G108" s="278">
        <v>44246</v>
      </c>
      <c r="H108" s="276"/>
      <c r="I108" s="280">
        <v>1.9</v>
      </c>
      <c r="J108" s="279"/>
      <c r="K108" s="276">
        <v>0</v>
      </c>
      <c r="L108" s="279"/>
      <c r="M108" s="279"/>
      <c r="N108" s="279"/>
      <c r="O108" s="276">
        <v>189.34027777777777</v>
      </c>
      <c r="P108" s="279"/>
      <c r="Q108" s="279"/>
      <c r="R108" s="276">
        <v>189.34027777777777</v>
      </c>
      <c r="S108" s="276">
        <v>138.54166666666666</v>
      </c>
      <c r="T108" s="276"/>
      <c r="U108" s="276"/>
      <c r="V108" s="276">
        <v>327.88194444444446</v>
      </c>
      <c r="W108" s="276">
        <v>143.15972222222223</v>
      </c>
      <c r="X108" s="266"/>
      <c r="Y108" s="276"/>
      <c r="Z108" s="276">
        <v>471.04166666666669</v>
      </c>
      <c r="AA108" s="276">
        <v>136.64383561643837</v>
      </c>
      <c r="AB108" s="266"/>
      <c r="AC108" s="276"/>
      <c r="AD108" s="276">
        <v>607.68550228310505</v>
      </c>
      <c r="AE108" s="314">
        <v>141.19863013698631</v>
      </c>
      <c r="AF108" s="314"/>
      <c r="AG108" s="314"/>
      <c r="AH108" s="314">
        <v>748.88413242009142</v>
      </c>
      <c r="AI108" s="319"/>
      <c r="AJ108" s="311"/>
      <c r="AK108" s="311"/>
      <c r="AL108" s="311"/>
      <c r="AM108" s="311"/>
      <c r="AN108" s="311"/>
      <c r="AO108" s="311"/>
      <c r="AP108" s="311"/>
      <c r="AQ108" s="311"/>
      <c r="AR108" s="311"/>
      <c r="AS108" s="311"/>
      <c r="AT108" s="311"/>
      <c r="AU108" s="311"/>
      <c r="AV108" s="311"/>
      <c r="AW108" s="311"/>
      <c r="AX108" s="311"/>
      <c r="AY108" s="311"/>
      <c r="AZ108" s="311"/>
      <c r="BA108" s="311"/>
      <c r="BB108" s="311"/>
      <c r="BC108" s="311"/>
      <c r="BD108" s="311"/>
      <c r="BE108" s="311"/>
      <c r="BF108" s="311"/>
      <c r="BG108" s="311"/>
      <c r="BH108" s="311"/>
      <c r="BI108" s="311"/>
      <c r="BJ108" s="311"/>
      <c r="BK108" s="311"/>
      <c r="BL108" s="311"/>
      <c r="BM108" s="311"/>
      <c r="BN108" s="311"/>
      <c r="BO108" s="311"/>
      <c r="BP108" s="311"/>
      <c r="BQ108" s="311"/>
      <c r="BR108" s="311"/>
      <c r="BS108" s="311"/>
      <c r="BT108" s="311"/>
      <c r="BU108" s="311"/>
      <c r="BV108" s="311"/>
      <c r="BW108" s="311"/>
      <c r="BX108" s="311"/>
      <c r="BY108" s="311"/>
      <c r="BZ108" s="311"/>
      <c r="CA108" s="311"/>
      <c r="CB108" s="311"/>
      <c r="CC108" s="311"/>
      <c r="CD108" s="311"/>
      <c r="CE108" s="311"/>
      <c r="CF108" s="311"/>
      <c r="CG108" s="311"/>
      <c r="CH108" s="311"/>
      <c r="CI108" s="311"/>
      <c r="CJ108" s="311"/>
      <c r="CK108" s="311"/>
      <c r="CL108" s="311"/>
      <c r="CM108" s="311"/>
      <c r="CN108" s="311"/>
      <c r="CO108" s="311"/>
      <c r="CP108" s="311"/>
      <c r="CQ108" s="311"/>
      <c r="CR108" s="311"/>
      <c r="CS108" s="311"/>
      <c r="CT108" s="311"/>
      <c r="CU108" s="311"/>
      <c r="CV108" s="311"/>
      <c r="CW108" s="311"/>
      <c r="CX108" s="311"/>
      <c r="CY108" s="311"/>
    </row>
    <row r="109" spans="1:103" x14ac:dyDescent="0.3">
      <c r="A109" s="296">
        <v>5060</v>
      </c>
      <c r="B109" s="275" t="s">
        <v>19</v>
      </c>
      <c r="C109" s="275" t="s">
        <v>247</v>
      </c>
      <c r="D109" s="275" t="s">
        <v>246</v>
      </c>
      <c r="E109" s="229">
        <v>87500</v>
      </c>
      <c r="F109" s="278">
        <v>43880</v>
      </c>
      <c r="G109" s="278">
        <v>44246</v>
      </c>
      <c r="H109" s="276"/>
      <c r="I109" s="280">
        <v>1.9</v>
      </c>
      <c r="J109" s="279"/>
      <c r="K109" s="276">
        <v>0</v>
      </c>
      <c r="L109" s="279"/>
      <c r="M109" s="279"/>
      <c r="N109" s="279"/>
      <c r="O109" s="276">
        <v>189.34027777777777</v>
      </c>
      <c r="P109" s="279"/>
      <c r="Q109" s="279"/>
      <c r="R109" s="276">
        <v>189.34027777777777</v>
      </c>
      <c r="S109" s="276">
        <v>138.54166666666666</v>
      </c>
      <c r="T109" s="276"/>
      <c r="U109" s="276"/>
      <c r="V109" s="276">
        <v>327.88194444444446</v>
      </c>
      <c r="W109" s="276">
        <v>143.15972222222223</v>
      </c>
      <c r="X109" s="266"/>
      <c r="Y109" s="276"/>
      <c r="Z109" s="276">
        <v>471.04166666666669</v>
      </c>
      <c r="AA109" s="276">
        <v>136.64383561643837</v>
      </c>
      <c r="AB109" s="266"/>
      <c r="AC109" s="276"/>
      <c r="AD109" s="276">
        <v>607.68550228310505</v>
      </c>
      <c r="AE109" s="314">
        <v>141.19863013698631</v>
      </c>
      <c r="AF109" s="314"/>
      <c r="AG109" s="314"/>
      <c r="AH109" s="314">
        <v>748.88413242009142</v>
      </c>
      <c r="AI109" s="319"/>
      <c r="AJ109" s="311"/>
      <c r="AK109" s="311"/>
      <c r="AL109" s="311"/>
      <c r="AM109" s="311"/>
      <c r="AN109" s="311"/>
      <c r="AO109" s="311"/>
      <c r="AP109" s="311"/>
      <c r="AQ109" s="311"/>
      <c r="AR109" s="311"/>
      <c r="AS109" s="311"/>
      <c r="AT109" s="311"/>
      <c r="AU109" s="311"/>
      <c r="AV109" s="311"/>
      <c r="AW109" s="311"/>
      <c r="AX109" s="311"/>
      <c r="AY109" s="311"/>
      <c r="AZ109" s="311"/>
      <c r="BA109" s="311"/>
      <c r="BB109" s="311"/>
      <c r="BC109" s="311"/>
      <c r="BD109" s="311"/>
      <c r="BE109" s="311"/>
      <c r="BF109" s="311"/>
      <c r="BG109" s="311"/>
      <c r="BH109" s="311"/>
      <c r="BI109" s="311"/>
      <c r="BJ109" s="311"/>
      <c r="BK109" s="311"/>
      <c r="BL109" s="311"/>
      <c r="BM109" s="311"/>
      <c r="BN109" s="311"/>
      <c r="BO109" s="311"/>
      <c r="BP109" s="311"/>
      <c r="BQ109" s="311"/>
      <c r="BR109" s="311"/>
      <c r="BS109" s="311"/>
      <c r="BT109" s="311"/>
      <c r="BU109" s="311"/>
      <c r="BV109" s="311"/>
      <c r="BW109" s="311"/>
      <c r="BX109" s="311"/>
      <c r="BY109" s="311"/>
      <c r="BZ109" s="311"/>
      <c r="CA109" s="311"/>
      <c r="CB109" s="311"/>
      <c r="CC109" s="311"/>
      <c r="CD109" s="311"/>
      <c r="CE109" s="311"/>
      <c r="CF109" s="311"/>
      <c r="CG109" s="311"/>
      <c r="CH109" s="311"/>
      <c r="CI109" s="311"/>
      <c r="CJ109" s="311"/>
      <c r="CK109" s="311"/>
      <c r="CL109" s="311"/>
      <c r="CM109" s="311"/>
      <c r="CN109" s="311"/>
      <c r="CO109" s="311"/>
      <c r="CP109" s="311"/>
      <c r="CQ109" s="311"/>
      <c r="CR109" s="311"/>
      <c r="CS109" s="311"/>
      <c r="CT109" s="311"/>
      <c r="CU109" s="311"/>
      <c r="CV109" s="311"/>
      <c r="CW109" s="311"/>
      <c r="CX109" s="311"/>
      <c r="CY109" s="311"/>
    </row>
    <row r="110" spans="1:103" x14ac:dyDescent="0.3">
      <c r="A110" s="298">
        <v>5063</v>
      </c>
      <c r="B110" s="281" t="s">
        <v>13</v>
      </c>
      <c r="C110" s="281" t="s">
        <v>245</v>
      </c>
      <c r="D110" s="281" t="s">
        <v>244</v>
      </c>
      <c r="E110" s="229">
        <v>100000</v>
      </c>
      <c r="F110" s="282">
        <v>43881</v>
      </c>
      <c r="G110" s="282">
        <v>44247</v>
      </c>
      <c r="H110" s="283"/>
      <c r="I110" s="302">
        <v>8.9</v>
      </c>
      <c r="J110" s="284"/>
      <c r="K110" s="283">
        <v>0</v>
      </c>
      <c r="L110" s="284"/>
      <c r="M110" s="284"/>
      <c r="N110" s="284"/>
      <c r="O110" s="283">
        <v>988.88888888888914</v>
      </c>
      <c r="P110" s="284"/>
      <c r="Q110" s="284"/>
      <c r="R110" s="283">
        <v>988.88888888888914</v>
      </c>
      <c r="S110" s="283">
        <v>741.66666666666686</v>
      </c>
      <c r="T110" s="283"/>
      <c r="U110" s="283"/>
      <c r="V110" s="283">
        <v>1730.5555555555561</v>
      </c>
      <c r="W110" s="283">
        <v>766.38888888888914</v>
      </c>
      <c r="X110" s="274"/>
      <c r="Y110" s="283"/>
      <c r="Z110" s="283">
        <v>2496.9444444444453</v>
      </c>
      <c r="AA110" s="283">
        <v>731.50684931506862</v>
      </c>
      <c r="AB110" s="274"/>
      <c r="AC110" s="283"/>
      <c r="AD110" s="283">
        <v>3228.4512937595136</v>
      </c>
      <c r="AE110" s="314">
        <v>755.89041095890423</v>
      </c>
      <c r="AF110" s="314"/>
      <c r="AG110" s="314"/>
      <c r="AH110" s="314">
        <v>3984.341704718418</v>
      </c>
      <c r="AI110" s="320"/>
      <c r="AJ110" s="311"/>
      <c r="AK110" s="311"/>
      <c r="AL110" s="311"/>
      <c r="AM110" s="311"/>
      <c r="AN110" s="311"/>
      <c r="AO110" s="311"/>
      <c r="AP110" s="311"/>
      <c r="AQ110" s="311"/>
      <c r="AR110" s="311"/>
      <c r="AS110" s="311"/>
      <c r="AT110" s="311"/>
      <c r="AU110" s="311"/>
      <c r="AV110" s="311"/>
      <c r="AW110" s="311"/>
      <c r="AX110" s="311"/>
      <c r="AY110" s="311"/>
      <c r="AZ110" s="311"/>
      <c r="BA110" s="311"/>
      <c r="BB110" s="311"/>
      <c r="BC110" s="311"/>
      <c r="BD110" s="311"/>
      <c r="BE110" s="311"/>
      <c r="BF110" s="311"/>
      <c r="BG110" s="311"/>
      <c r="BH110" s="311"/>
      <c r="BI110" s="311"/>
      <c r="BJ110" s="311"/>
      <c r="BK110" s="311"/>
      <c r="BL110" s="311"/>
      <c r="BM110" s="311"/>
      <c r="BN110" s="311"/>
      <c r="BO110" s="311"/>
      <c r="BP110" s="311"/>
      <c r="BQ110" s="311"/>
      <c r="BR110" s="311"/>
      <c r="BS110" s="311"/>
      <c r="BT110" s="311"/>
      <c r="BU110" s="311"/>
      <c r="BV110" s="311"/>
      <c r="BW110" s="311"/>
      <c r="BX110" s="311"/>
      <c r="BY110" s="311"/>
      <c r="BZ110" s="311"/>
      <c r="CA110" s="311"/>
      <c r="CB110" s="311"/>
      <c r="CC110" s="311"/>
      <c r="CD110" s="311"/>
      <c r="CE110" s="311"/>
      <c r="CF110" s="311"/>
      <c r="CG110" s="311"/>
      <c r="CH110" s="311"/>
      <c r="CI110" s="311"/>
      <c r="CJ110" s="311"/>
      <c r="CK110" s="311"/>
      <c r="CL110" s="311"/>
      <c r="CM110" s="311"/>
      <c r="CN110" s="311"/>
      <c r="CO110" s="311"/>
      <c r="CP110" s="311"/>
      <c r="CQ110" s="311"/>
      <c r="CR110" s="311"/>
      <c r="CS110" s="311"/>
      <c r="CT110" s="311"/>
      <c r="CU110" s="311"/>
      <c r="CV110" s="311"/>
      <c r="CW110" s="311"/>
      <c r="CX110" s="311"/>
      <c r="CY110" s="311"/>
    </row>
    <row r="111" spans="1:103" x14ac:dyDescent="0.3">
      <c r="A111" s="296">
        <v>5063</v>
      </c>
      <c r="B111" s="275" t="s">
        <v>25</v>
      </c>
      <c r="C111" s="275" t="s">
        <v>243</v>
      </c>
      <c r="D111" s="275" t="s">
        <v>242</v>
      </c>
      <c r="E111" s="266">
        <v>122500</v>
      </c>
      <c r="F111" s="278">
        <v>43891</v>
      </c>
      <c r="G111" s="278">
        <v>44256</v>
      </c>
      <c r="H111" s="276"/>
      <c r="I111" s="276">
        <v>4.4000000000000004</v>
      </c>
      <c r="J111" s="276"/>
      <c r="K111" s="276"/>
      <c r="L111" s="276"/>
      <c r="M111" s="276"/>
      <c r="N111" s="276"/>
      <c r="O111" s="276">
        <v>434.19444444444451</v>
      </c>
      <c r="P111" s="276"/>
      <c r="Q111" s="276"/>
      <c r="R111" s="276">
        <v>434.19444444444451</v>
      </c>
      <c r="S111" s="276">
        <v>449.16666666666674</v>
      </c>
      <c r="T111" s="276"/>
      <c r="U111" s="276"/>
      <c r="V111" s="276">
        <v>883.36111111111131</v>
      </c>
      <c r="W111" s="276">
        <v>464.13888888888897</v>
      </c>
      <c r="X111" s="266"/>
      <c r="Y111" s="276"/>
      <c r="Z111" s="276">
        <v>1347.5000000000002</v>
      </c>
      <c r="AA111" s="276">
        <v>443.01369863013707</v>
      </c>
      <c r="AB111" s="266"/>
      <c r="AC111" s="276"/>
      <c r="AD111" s="276">
        <v>1790.5136986301372</v>
      </c>
      <c r="AE111" s="314">
        <v>457.78082191780834</v>
      </c>
      <c r="AF111" s="314"/>
      <c r="AG111" s="314"/>
      <c r="AH111" s="314">
        <v>2248.2945205479455</v>
      </c>
      <c r="AI111" s="319"/>
      <c r="AJ111" s="311"/>
      <c r="AK111" s="311"/>
      <c r="AL111" s="311"/>
      <c r="AM111" s="311"/>
      <c r="AN111" s="311"/>
      <c r="AO111" s="311"/>
      <c r="AP111" s="311"/>
      <c r="AQ111" s="311"/>
      <c r="AR111" s="311"/>
      <c r="AS111" s="311"/>
      <c r="AT111" s="311"/>
      <c r="AU111" s="311"/>
      <c r="AV111" s="311"/>
      <c r="AW111" s="311"/>
      <c r="AX111" s="311"/>
      <c r="AY111" s="311"/>
      <c r="AZ111" s="311"/>
      <c r="BA111" s="311"/>
      <c r="BB111" s="311"/>
      <c r="BC111" s="311"/>
      <c r="BD111" s="311"/>
      <c r="BE111" s="311"/>
      <c r="BF111" s="311"/>
      <c r="BG111" s="311"/>
      <c r="BH111" s="311"/>
      <c r="BI111" s="311"/>
      <c r="BJ111" s="311"/>
      <c r="BK111" s="311"/>
      <c r="BL111" s="311"/>
      <c r="BM111" s="311"/>
      <c r="BN111" s="311"/>
      <c r="BO111" s="311"/>
      <c r="BP111" s="311"/>
      <c r="BQ111" s="311"/>
      <c r="BR111" s="311"/>
      <c r="BS111" s="311"/>
      <c r="BT111" s="311"/>
      <c r="BU111" s="311"/>
      <c r="BV111" s="311"/>
      <c r="BW111" s="311"/>
      <c r="BX111" s="311"/>
      <c r="BY111" s="311"/>
      <c r="BZ111" s="311"/>
      <c r="CA111" s="311"/>
      <c r="CB111" s="311"/>
      <c r="CC111" s="311"/>
      <c r="CD111" s="311"/>
      <c r="CE111" s="311"/>
      <c r="CF111" s="311"/>
      <c r="CG111" s="311"/>
      <c r="CH111" s="311"/>
      <c r="CI111" s="311"/>
      <c r="CJ111" s="311"/>
      <c r="CK111" s="311"/>
      <c r="CL111" s="311"/>
      <c r="CM111" s="311"/>
      <c r="CN111" s="311"/>
      <c r="CO111" s="311"/>
      <c r="CP111" s="311"/>
      <c r="CQ111" s="311"/>
      <c r="CR111" s="311"/>
      <c r="CS111" s="311"/>
      <c r="CT111" s="311"/>
      <c r="CU111" s="311"/>
      <c r="CV111" s="311"/>
      <c r="CW111" s="311"/>
      <c r="CX111" s="311"/>
      <c r="CY111" s="311"/>
    </row>
    <row r="112" spans="1:103" x14ac:dyDescent="0.3">
      <c r="A112" s="296">
        <v>5056</v>
      </c>
      <c r="B112" s="275" t="s">
        <v>124</v>
      </c>
      <c r="C112" s="275" t="s">
        <v>241</v>
      </c>
      <c r="D112" s="275" t="s">
        <v>240</v>
      </c>
      <c r="E112" s="266">
        <v>200000</v>
      </c>
      <c r="F112" s="278">
        <v>43892</v>
      </c>
      <c r="G112" s="278">
        <v>44257</v>
      </c>
      <c r="H112" s="276"/>
      <c r="I112" s="276">
        <v>5.9</v>
      </c>
      <c r="J112" s="276"/>
      <c r="K112" s="276"/>
      <c r="L112" s="276"/>
      <c r="M112" s="276"/>
      <c r="N112" s="276"/>
      <c r="O112" s="276">
        <v>917.77777777777783</v>
      </c>
      <c r="P112" s="276"/>
      <c r="Q112" s="276"/>
      <c r="R112" s="276">
        <v>917.77777777777783</v>
      </c>
      <c r="S112" s="276">
        <v>983.33333333333337</v>
      </c>
      <c r="T112" s="276"/>
      <c r="U112" s="276"/>
      <c r="V112" s="276">
        <v>1901.1111111111113</v>
      </c>
      <c r="W112" s="276">
        <v>1016.1111111111111</v>
      </c>
      <c r="X112" s="266"/>
      <c r="Y112" s="276"/>
      <c r="Z112" s="276">
        <v>2917.2222222222226</v>
      </c>
      <c r="AA112" s="276">
        <v>969.86301369863008</v>
      </c>
      <c r="AB112" s="266"/>
      <c r="AC112" s="276"/>
      <c r="AD112" s="276">
        <v>3887.0852359208529</v>
      </c>
      <c r="AE112" s="314">
        <v>1002.1917808219177</v>
      </c>
      <c r="AF112" s="314"/>
      <c r="AG112" s="314"/>
      <c r="AH112" s="314">
        <v>4889.2770167427707</v>
      </c>
      <c r="AI112" s="319"/>
      <c r="AJ112" s="311"/>
      <c r="AK112" s="311"/>
      <c r="AL112" s="311"/>
      <c r="AM112" s="311"/>
      <c r="AN112" s="311"/>
      <c r="AO112" s="311"/>
      <c r="AP112" s="311"/>
      <c r="AQ112" s="311"/>
      <c r="AR112" s="311"/>
      <c r="AS112" s="311"/>
      <c r="AT112" s="311"/>
      <c r="AU112" s="311"/>
      <c r="AV112" s="311"/>
      <c r="AW112" s="311"/>
      <c r="AX112" s="311"/>
      <c r="AY112" s="311"/>
      <c r="AZ112" s="311"/>
      <c r="BA112" s="311"/>
      <c r="BB112" s="311"/>
      <c r="BC112" s="311"/>
      <c r="BD112" s="311"/>
      <c r="BE112" s="311"/>
      <c r="BF112" s="311"/>
      <c r="BG112" s="311"/>
      <c r="BH112" s="311"/>
      <c r="BI112" s="311"/>
      <c r="BJ112" s="311"/>
      <c r="BK112" s="311"/>
      <c r="BL112" s="311"/>
      <c r="BM112" s="311"/>
      <c r="BN112" s="311"/>
      <c r="BO112" s="311"/>
      <c r="BP112" s="311"/>
      <c r="BQ112" s="311"/>
      <c r="BR112" s="311"/>
      <c r="BS112" s="311"/>
      <c r="BT112" s="311"/>
      <c r="BU112" s="311"/>
      <c r="BV112" s="311"/>
      <c r="BW112" s="311"/>
      <c r="BX112" s="311"/>
      <c r="BY112" s="311"/>
      <c r="BZ112" s="311"/>
      <c r="CA112" s="311"/>
      <c r="CB112" s="311"/>
      <c r="CC112" s="311"/>
      <c r="CD112" s="311"/>
      <c r="CE112" s="311"/>
      <c r="CF112" s="311"/>
      <c r="CG112" s="311"/>
      <c r="CH112" s="311"/>
      <c r="CI112" s="311"/>
      <c r="CJ112" s="311"/>
      <c r="CK112" s="311"/>
      <c r="CL112" s="311"/>
      <c r="CM112" s="311"/>
      <c r="CN112" s="311"/>
      <c r="CO112" s="311"/>
      <c r="CP112" s="311"/>
      <c r="CQ112" s="311"/>
      <c r="CR112" s="311"/>
      <c r="CS112" s="311"/>
      <c r="CT112" s="311"/>
      <c r="CU112" s="311"/>
      <c r="CV112" s="311"/>
      <c r="CW112" s="311"/>
      <c r="CX112" s="311"/>
      <c r="CY112" s="311"/>
    </row>
    <row r="113" spans="1:103" x14ac:dyDescent="0.3">
      <c r="A113" s="296">
        <v>5040</v>
      </c>
      <c r="B113" s="275" t="s">
        <v>82</v>
      </c>
      <c r="C113" s="275" t="s">
        <v>239</v>
      </c>
      <c r="D113" s="275" t="s">
        <v>238</v>
      </c>
      <c r="E113" s="266">
        <v>22652.99</v>
      </c>
      <c r="F113" s="278">
        <v>43894</v>
      </c>
      <c r="G113" s="278">
        <v>44259</v>
      </c>
      <c r="H113" s="276"/>
      <c r="I113" s="276">
        <v>6.15</v>
      </c>
      <c r="J113" s="276"/>
      <c r="K113" s="276"/>
      <c r="L113" s="276"/>
      <c r="M113" s="276"/>
      <c r="N113" s="276"/>
      <c r="O113" s="276">
        <v>100.61703058333335</v>
      </c>
      <c r="P113" s="276"/>
      <c r="Q113" s="276"/>
      <c r="R113" s="276">
        <v>100.61703058333335</v>
      </c>
      <c r="S113" s="276">
        <v>116.09657375000002</v>
      </c>
      <c r="T113" s="276"/>
      <c r="U113" s="276"/>
      <c r="V113" s="276">
        <v>216.71360433333336</v>
      </c>
      <c r="W113" s="276">
        <v>119.96645954166669</v>
      </c>
      <c r="X113" s="266"/>
      <c r="Y113" s="276"/>
      <c r="Z113" s="276">
        <v>336.68006387500009</v>
      </c>
      <c r="AA113" s="276">
        <v>114.50620972602742</v>
      </c>
      <c r="AB113" s="266"/>
      <c r="AC113" s="276"/>
      <c r="AD113" s="276">
        <v>451.18627360102749</v>
      </c>
      <c r="AE113" s="314">
        <v>118.32308338356167</v>
      </c>
      <c r="AF113" s="314"/>
      <c r="AG113" s="314"/>
      <c r="AH113" s="314">
        <v>569.5093569845892</v>
      </c>
      <c r="AI113" s="319"/>
      <c r="AJ113" s="311"/>
      <c r="AK113" s="311"/>
      <c r="AL113" s="311"/>
      <c r="AM113" s="311"/>
      <c r="AN113" s="311"/>
      <c r="AO113" s="311"/>
      <c r="AP113" s="311"/>
      <c r="AQ113" s="311"/>
      <c r="AR113" s="311"/>
      <c r="AS113" s="311"/>
      <c r="AT113" s="311"/>
      <c r="AU113" s="311"/>
      <c r="AV113" s="311"/>
      <c r="AW113" s="311"/>
      <c r="AX113" s="311"/>
      <c r="AY113" s="311"/>
      <c r="AZ113" s="311"/>
      <c r="BA113" s="311"/>
      <c r="BB113" s="311"/>
      <c r="BC113" s="311"/>
      <c r="BD113" s="311"/>
      <c r="BE113" s="311"/>
      <c r="BF113" s="311"/>
      <c r="BG113" s="311"/>
      <c r="BH113" s="311"/>
      <c r="BI113" s="311"/>
      <c r="BJ113" s="311"/>
      <c r="BK113" s="311"/>
      <c r="BL113" s="311"/>
      <c r="BM113" s="311"/>
      <c r="BN113" s="311"/>
      <c r="BO113" s="311"/>
      <c r="BP113" s="311"/>
      <c r="BQ113" s="311"/>
      <c r="BR113" s="311"/>
      <c r="BS113" s="311"/>
      <c r="BT113" s="311"/>
      <c r="BU113" s="311"/>
      <c r="BV113" s="311"/>
      <c r="BW113" s="311"/>
      <c r="BX113" s="311"/>
      <c r="BY113" s="311"/>
      <c r="BZ113" s="311"/>
      <c r="CA113" s="311"/>
      <c r="CB113" s="311"/>
      <c r="CC113" s="311"/>
      <c r="CD113" s="311"/>
      <c r="CE113" s="311"/>
      <c r="CF113" s="311"/>
      <c r="CG113" s="311"/>
      <c r="CH113" s="311"/>
      <c r="CI113" s="311"/>
      <c r="CJ113" s="311"/>
      <c r="CK113" s="311"/>
      <c r="CL113" s="311"/>
      <c r="CM113" s="311"/>
      <c r="CN113" s="311"/>
      <c r="CO113" s="311"/>
      <c r="CP113" s="311"/>
      <c r="CQ113" s="311"/>
      <c r="CR113" s="311"/>
      <c r="CS113" s="311"/>
      <c r="CT113" s="311"/>
      <c r="CU113" s="311"/>
      <c r="CV113" s="311"/>
      <c r="CW113" s="311"/>
      <c r="CX113" s="311"/>
      <c r="CY113" s="311"/>
    </row>
    <row r="114" spans="1:103" x14ac:dyDescent="0.3">
      <c r="A114" s="296">
        <v>5056</v>
      </c>
      <c r="B114" s="275" t="s">
        <v>124</v>
      </c>
      <c r="C114" s="275" t="s">
        <v>237</v>
      </c>
      <c r="D114" s="275" t="s">
        <v>236</v>
      </c>
      <c r="E114" s="266">
        <v>50000</v>
      </c>
      <c r="F114" s="278">
        <v>43902</v>
      </c>
      <c r="G114" s="278">
        <v>44267</v>
      </c>
      <c r="H114" s="276"/>
      <c r="I114" s="276">
        <v>4.9000000000000004</v>
      </c>
      <c r="J114" s="276"/>
      <c r="K114" s="276"/>
      <c r="L114" s="276"/>
      <c r="M114" s="276"/>
      <c r="N114" s="276"/>
      <c r="O114" s="276">
        <v>122.5</v>
      </c>
      <c r="P114" s="276"/>
      <c r="Q114" s="276"/>
      <c r="R114" s="276">
        <v>122.5</v>
      </c>
      <c r="S114" s="276">
        <v>204.16666666666666</v>
      </c>
      <c r="T114" s="276"/>
      <c r="U114" s="276"/>
      <c r="V114" s="276">
        <v>326.66666666666663</v>
      </c>
      <c r="W114" s="276">
        <v>210.97222222222223</v>
      </c>
      <c r="X114" s="266"/>
      <c r="Y114" s="276"/>
      <c r="Z114" s="276">
        <v>537.63888888888891</v>
      </c>
      <c r="AA114" s="276">
        <v>201.36986301369865</v>
      </c>
      <c r="AB114" s="266"/>
      <c r="AC114" s="276"/>
      <c r="AD114" s="276">
        <v>739.00875190258762</v>
      </c>
      <c r="AE114" s="314">
        <v>208.08219178082192</v>
      </c>
      <c r="AF114" s="314"/>
      <c r="AG114" s="314"/>
      <c r="AH114" s="314">
        <v>947.09094368340948</v>
      </c>
      <c r="AI114" s="319"/>
      <c r="AJ114" s="311"/>
      <c r="AK114" s="311"/>
      <c r="AL114" s="311"/>
      <c r="AM114" s="311"/>
      <c r="AN114" s="311"/>
      <c r="AO114" s="311"/>
      <c r="AP114" s="311"/>
      <c r="AQ114" s="311"/>
      <c r="AR114" s="311"/>
      <c r="AS114" s="311"/>
      <c r="AT114" s="311"/>
      <c r="AU114" s="311"/>
      <c r="AV114" s="311"/>
      <c r="AW114" s="311"/>
      <c r="AX114" s="311"/>
      <c r="AY114" s="311"/>
      <c r="AZ114" s="311"/>
      <c r="BA114" s="311"/>
      <c r="BB114" s="311"/>
      <c r="BC114" s="311"/>
      <c r="BD114" s="311"/>
      <c r="BE114" s="311"/>
      <c r="BF114" s="311"/>
      <c r="BG114" s="311"/>
      <c r="BH114" s="311"/>
      <c r="BI114" s="311"/>
      <c r="BJ114" s="311"/>
      <c r="BK114" s="311"/>
      <c r="BL114" s="311"/>
      <c r="BM114" s="311"/>
      <c r="BN114" s="311"/>
      <c r="BO114" s="311"/>
      <c r="BP114" s="311"/>
      <c r="BQ114" s="311"/>
      <c r="BR114" s="311"/>
      <c r="BS114" s="311"/>
      <c r="BT114" s="311"/>
      <c r="BU114" s="311"/>
      <c r="BV114" s="311"/>
      <c r="BW114" s="311"/>
      <c r="BX114" s="311"/>
      <c r="BY114" s="311"/>
      <c r="BZ114" s="311"/>
      <c r="CA114" s="311"/>
      <c r="CB114" s="311"/>
      <c r="CC114" s="311"/>
      <c r="CD114" s="311"/>
      <c r="CE114" s="311"/>
      <c r="CF114" s="311"/>
      <c r="CG114" s="311"/>
      <c r="CH114" s="311"/>
      <c r="CI114" s="311"/>
      <c r="CJ114" s="311"/>
      <c r="CK114" s="311"/>
      <c r="CL114" s="311"/>
      <c r="CM114" s="311"/>
      <c r="CN114" s="311"/>
      <c r="CO114" s="311"/>
      <c r="CP114" s="311"/>
      <c r="CQ114" s="311"/>
      <c r="CR114" s="311"/>
      <c r="CS114" s="311"/>
      <c r="CT114" s="311"/>
      <c r="CU114" s="311"/>
      <c r="CV114" s="311"/>
      <c r="CW114" s="311"/>
      <c r="CX114" s="311"/>
      <c r="CY114" s="311"/>
    </row>
    <row r="115" spans="1:103" x14ac:dyDescent="0.3">
      <c r="A115" s="296">
        <v>5060</v>
      </c>
      <c r="B115" s="275" t="s">
        <v>16</v>
      </c>
      <c r="C115" s="275" t="s">
        <v>235</v>
      </c>
      <c r="D115" s="275" t="s">
        <v>234</v>
      </c>
      <c r="E115" s="266">
        <v>72500</v>
      </c>
      <c r="F115" s="278">
        <v>43903</v>
      </c>
      <c r="G115" s="278">
        <v>44268</v>
      </c>
      <c r="H115" s="276"/>
      <c r="I115" s="276">
        <v>1.9</v>
      </c>
      <c r="J115" s="276"/>
      <c r="K115" s="276"/>
      <c r="L115" s="276"/>
      <c r="M115" s="276"/>
      <c r="N115" s="276"/>
      <c r="O115" s="276">
        <v>65.048611111111114</v>
      </c>
      <c r="P115" s="276"/>
      <c r="Q115" s="276"/>
      <c r="R115" s="276">
        <v>65.048611111111114</v>
      </c>
      <c r="S115" s="276">
        <v>114.79166666666667</v>
      </c>
      <c r="T115" s="276"/>
      <c r="U115" s="276"/>
      <c r="V115" s="276">
        <v>179.84027777777777</v>
      </c>
      <c r="W115" s="276">
        <v>118.61805555555556</v>
      </c>
      <c r="X115" s="266"/>
      <c r="Y115" s="276"/>
      <c r="Z115" s="276">
        <v>298.45833333333331</v>
      </c>
      <c r="AA115" s="276">
        <v>113.21917808219179</v>
      </c>
      <c r="AB115" s="266"/>
      <c r="AC115" s="276"/>
      <c r="AD115" s="276">
        <v>411.67751141552509</v>
      </c>
      <c r="AE115" s="314">
        <v>116.99315068493151</v>
      </c>
      <c r="AF115" s="314"/>
      <c r="AG115" s="314"/>
      <c r="AH115" s="314">
        <v>528.67066210045664</v>
      </c>
      <c r="AI115" s="319"/>
      <c r="AJ115" s="311"/>
      <c r="AK115" s="311"/>
      <c r="AL115" s="311"/>
      <c r="AM115" s="311"/>
      <c r="AN115" s="311"/>
      <c r="AO115" s="311"/>
      <c r="AP115" s="311"/>
      <c r="AQ115" s="311"/>
      <c r="AR115" s="311"/>
      <c r="AS115" s="311"/>
      <c r="AT115" s="311"/>
      <c r="AU115" s="311"/>
      <c r="AV115" s="311"/>
      <c r="AW115" s="311"/>
      <c r="AX115" s="311"/>
      <c r="AY115" s="311"/>
      <c r="AZ115" s="311"/>
      <c r="BA115" s="311"/>
      <c r="BB115" s="311"/>
      <c r="BC115" s="311"/>
      <c r="BD115" s="311"/>
      <c r="BE115" s="311"/>
      <c r="BF115" s="311"/>
      <c r="BG115" s="311"/>
      <c r="BH115" s="311"/>
      <c r="BI115" s="311"/>
      <c r="BJ115" s="311"/>
      <c r="BK115" s="311"/>
      <c r="BL115" s="311"/>
      <c r="BM115" s="311"/>
      <c r="BN115" s="311"/>
      <c r="BO115" s="311"/>
      <c r="BP115" s="311"/>
      <c r="BQ115" s="311"/>
      <c r="BR115" s="311"/>
      <c r="BS115" s="311"/>
      <c r="BT115" s="311"/>
      <c r="BU115" s="311"/>
      <c r="BV115" s="311"/>
      <c r="BW115" s="311"/>
      <c r="BX115" s="311"/>
      <c r="BY115" s="311"/>
      <c r="BZ115" s="311"/>
      <c r="CA115" s="311"/>
      <c r="CB115" s="311"/>
      <c r="CC115" s="311"/>
      <c r="CD115" s="311"/>
      <c r="CE115" s="311"/>
      <c r="CF115" s="311"/>
      <c r="CG115" s="311"/>
      <c r="CH115" s="311"/>
      <c r="CI115" s="311"/>
      <c r="CJ115" s="311"/>
      <c r="CK115" s="311"/>
      <c r="CL115" s="311"/>
      <c r="CM115" s="311"/>
      <c r="CN115" s="311"/>
      <c r="CO115" s="311"/>
      <c r="CP115" s="311"/>
      <c r="CQ115" s="311"/>
      <c r="CR115" s="311"/>
      <c r="CS115" s="311"/>
      <c r="CT115" s="311"/>
      <c r="CU115" s="311"/>
      <c r="CV115" s="311"/>
      <c r="CW115" s="311"/>
      <c r="CX115" s="311"/>
      <c r="CY115" s="311"/>
    </row>
    <row r="116" spans="1:103" x14ac:dyDescent="0.3">
      <c r="A116" s="296">
        <v>5060</v>
      </c>
      <c r="B116" s="275" t="s">
        <v>233</v>
      </c>
      <c r="C116" s="275" t="s">
        <v>232</v>
      </c>
      <c r="D116" s="275" t="s">
        <v>231</v>
      </c>
      <c r="E116" s="266">
        <v>80000</v>
      </c>
      <c r="F116" s="278">
        <v>43903</v>
      </c>
      <c r="G116" s="278">
        <v>44268</v>
      </c>
      <c r="H116" s="276"/>
      <c r="I116" s="276">
        <v>5.65</v>
      </c>
      <c r="J116" s="276"/>
      <c r="K116" s="276"/>
      <c r="L116" s="276"/>
      <c r="M116" s="276"/>
      <c r="N116" s="276"/>
      <c r="O116" s="276">
        <v>213.44444444444443</v>
      </c>
      <c r="P116" s="276"/>
      <c r="Q116" s="276"/>
      <c r="R116" s="276">
        <v>213.44444444444443</v>
      </c>
      <c r="S116" s="276">
        <v>376.66666666666669</v>
      </c>
      <c r="T116" s="276"/>
      <c r="U116" s="276"/>
      <c r="V116" s="276">
        <v>590.11111111111109</v>
      </c>
      <c r="W116" s="276">
        <v>389.22222222222223</v>
      </c>
      <c r="X116" s="266"/>
      <c r="Y116" s="276"/>
      <c r="Z116" s="276">
        <v>979.33333333333326</v>
      </c>
      <c r="AA116" s="276">
        <v>371.50684931506851</v>
      </c>
      <c r="AB116" s="266"/>
      <c r="AC116" s="276"/>
      <c r="AD116" s="276">
        <v>1350.8401826484019</v>
      </c>
      <c r="AE116" s="314">
        <v>383.89041095890411</v>
      </c>
      <c r="AF116" s="314"/>
      <c r="AG116" s="314"/>
      <c r="AH116" s="314">
        <v>1734.730593607306</v>
      </c>
      <c r="AI116" s="319"/>
      <c r="AJ116" s="311"/>
      <c r="AK116" s="311"/>
      <c r="AL116" s="311"/>
      <c r="AM116" s="311"/>
      <c r="AN116" s="311"/>
      <c r="AO116" s="311"/>
      <c r="AP116" s="311"/>
      <c r="AQ116" s="311"/>
      <c r="AR116" s="311"/>
      <c r="AS116" s="311"/>
      <c r="AT116" s="311"/>
      <c r="AU116" s="311"/>
      <c r="AV116" s="311"/>
      <c r="AW116" s="311"/>
      <c r="AX116" s="311"/>
      <c r="AY116" s="311"/>
      <c r="AZ116" s="311"/>
      <c r="BA116" s="311"/>
      <c r="BB116" s="311"/>
      <c r="BC116" s="311"/>
      <c r="BD116" s="311"/>
      <c r="BE116" s="311"/>
      <c r="BF116" s="311"/>
      <c r="BG116" s="311"/>
      <c r="BH116" s="311"/>
      <c r="BI116" s="311"/>
      <c r="BJ116" s="311"/>
      <c r="BK116" s="311"/>
      <c r="BL116" s="311"/>
      <c r="BM116" s="311"/>
      <c r="BN116" s="311"/>
      <c r="BO116" s="311"/>
      <c r="BP116" s="311"/>
      <c r="BQ116" s="311"/>
      <c r="BR116" s="311"/>
      <c r="BS116" s="311"/>
      <c r="BT116" s="311"/>
      <c r="BU116" s="311"/>
      <c r="BV116" s="311"/>
      <c r="BW116" s="311"/>
      <c r="BX116" s="311"/>
      <c r="BY116" s="311"/>
      <c r="BZ116" s="311"/>
      <c r="CA116" s="311"/>
      <c r="CB116" s="311"/>
      <c r="CC116" s="311"/>
      <c r="CD116" s="311"/>
      <c r="CE116" s="311"/>
      <c r="CF116" s="311"/>
      <c r="CG116" s="311"/>
      <c r="CH116" s="311"/>
      <c r="CI116" s="311"/>
      <c r="CJ116" s="311"/>
      <c r="CK116" s="311"/>
      <c r="CL116" s="311"/>
      <c r="CM116" s="311"/>
      <c r="CN116" s="311"/>
      <c r="CO116" s="311"/>
      <c r="CP116" s="311"/>
      <c r="CQ116" s="311"/>
      <c r="CR116" s="311"/>
      <c r="CS116" s="311"/>
      <c r="CT116" s="311"/>
      <c r="CU116" s="311"/>
      <c r="CV116" s="311"/>
      <c r="CW116" s="311"/>
      <c r="CX116" s="311"/>
      <c r="CY116" s="311"/>
    </row>
    <row r="117" spans="1:103" x14ac:dyDescent="0.3">
      <c r="A117" s="296">
        <v>5063</v>
      </c>
      <c r="B117" s="275" t="s">
        <v>13</v>
      </c>
      <c r="C117" s="275" t="s">
        <v>230</v>
      </c>
      <c r="D117" s="275" t="s">
        <v>229</v>
      </c>
      <c r="E117" s="266">
        <v>100000</v>
      </c>
      <c r="F117" s="278">
        <v>43904</v>
      </c>
      <c r="G117" s="278">
        <v>44269</v>
      </c>
      <c r="H117" s="276"/>
      <c r="I117" s="276">
        <v>4.6500000000000004</v>
      </c>
      <c r="J117" s="276"/>
      <c r="K117" s="276"/>
      <c r="L117" s="276"/>
      <c r="M117" s="276"/>
      <c r="N117" s="276"/>
      <c r="O117" s="276">
        <v>206.66666666666671</v>
      </c>
      <c r="P117" s="276"/>
      <c r="Q117" s="276"/>
      <c r="R117" s="276">
        <v>206.66666666666671</v>
      </c>
      <c r="S117" s="276">
        <v>387.50000000000011</v>
      </c>
      <c r="T117" s="276"/>
      <c r="U117" s="276"/>
      <c r="V117" s="276">
        <v>594.16666666666686</v>
      </c>
      <c r="W117" s="276">
        <v>400.41666666666674</v>
      </c>
      <c r="X117" s="266"/>
      <c r="Y117" s="276"/>
      <c r="Z117" s="276">
        <v>994.5833333333336</v>
      </c>
      <c r="AA117" s="276">
        <v>382.19178082191786</v>
      </c>
      <c r="AB117" s="266"/>
      <c r="AC117" s="276"/>
      <c r="AD117" s="276">
        <v>1376.7751141552515</v>
      </c>
      <c r="AE117" s="314">
        <v>394.93150684931516</v>
      </c>
      <c r="AF117" s="314"/>
      <c r="AG117" s="314"/>
      <c r="AH117" s="314">
        <v>1771.7066210045666</v>
      </c>
      <c r="AI117" s="319"/>
      <c r="AJ117" s="311"/>
      <c r="AK117" s="311"/>
      <c r="AL117" s="311"/>
      <c r="AM117" s="311"/>
      <c r="AN117" s="311"/>
      <c r="AO117" s="311"/>
      <c r="AP117" s="311"/>
      <c r="AQ117" s="311"/>
      <c r="AR117" s="311"/>
      <c r="AS117" s="311"/>
      <c r="AT117" s="311"/>
      <c r="AU117" s="311"/>
      <c r="AV117" s="311"/>
      <c r="AW117" s="311"/>
      <c r="AX117" s="311"/>
      <c r="AY117" s="311"/>
      <c r="AZ117" s="311"/>
      <c r="BA117" s="311"/>
      <c r="BB117" s="311"/>
      <c r="BC117" s="311"/>
      <c r="BD117" s="311"/>
      <c r="BE117" s="311"/>
      <c r="BF117" s="311"/>
      <c r="BG117" s="311"/>
      <c r="BH117" s="311"/>
      <c r="BI117" s="311"/>
      <c r="BJ117" s="311"/>
      <c r="BK117" s="311"/>
      <c r="BL117" s="311"/>
      <c r="BM117" s="311"/>
      <c r="BN117" s="311"/>
      <c r="BO117" s="311"/>
      <c r="BP117" s="311"/>
      <c r="BQ117" s="311"/>
      <c r="BR117" s="311"/>
      <c r="BS117" s="311"/>
      <c r="BT117" s="311"/>
      <c r="BU117" s="311"/>
      <c r="BV117" s="311"/>
      <c r="BW117" s="311"/>
      <c r="BX117" s="311"/>
      <c r="BY117" s="311"/>
      <c r="BZ117" s="311"/>
      <c r="CA117" s="311"/>
      <c r="CB117" s="311"/>
      <c r="CC117" s="311"/>
      <c r="CD117" s="311"/>
      <c r="CE117" s="311"/>
      <c r="CF117" s="311"/>
      <c r="CG117" s="311"/>
      <c r="CH117" s="311"/>
      <c r="CI117" s="311"/>
      <c r="CJ117" s="311"/>
      <c r="CK117" s="311"/>
      <c r="CL117" s="311"/>
      <c r="CM117" s="311"/>
      <c r="CN117" s="311"/>
      <c r="CO117" s="311"/>
      <c r="CP117" s="311"/>
      <c r="CQ117" s="311"/>
      <c r="CR117" s="311"/>
      <c r="CS117" s="311"/>
      <c r="CT117" s="311"/>
      <c r="CU117" s="311"/>
      <c r="CV117" s="311"/>
      <c r="CW117" s="311"/>
      <c r="CX117" s="311"/>
      <c r="CY117" s="311"/>
    </row>
    <row r="118" spans="1:103" x14ac:dyDescent="0.3">
      <c r="A118" s="296">
        <v>5057</v>
      </c>
      <c r="B118" s="275" t="s">
        <v>74</v>
      </c>
      <c r="C118" s="275" t="s">
        <v>228</v>
      </c>
      <c r="D118" s="275" t="s">
        <v>227</v>
      </c>
      <c r="E118" s="266">
        <v>100000</v>
      </c>
      <c r="F118" s="278">
        <v>43910</v>
      </c>
      <c r="G118" s="278">
        <v>44275</v>
      </c>
      <c r="H118" s="276"/>
      <c r="I118" s="276">
        <v>3.4</v>
      </c>
      <c r="J118" s="276"/>
      <c r="K118" s="276"/>
      <c r="L118" s="276"/>
      <c r="M118" s="276"/>
      <c r="N118" s="276"/>
      <c r="O118" s="276">
        <v>94.444444444444457</v>
      </c>
      <c r="P118" s="276"/>
      <c r="Q118" s="276"/>
      <c r="R118" s="276">
        <v>94.444444444444457</v>
      </c>
      <c r="S118" s="276">
        <v>283.33333333333337</v>
      </c>
      <c r="T118" s="276"/>
      <c r="U118" s="276"/>
      <c r="V118" s="276">
        <v>377.77777777777783</v>
      </c>
      <c r="W118" s="276">
        <v>292.77777777777783</v>
      </c>
      <c r="X118" s="266"/>
      <c r="Y118" s="276"/>
      <c r="Z118" s="276">
        <v>670.55555555555566</v>
      </c>
      <c r="AA118" s="276">
        <v>279.45205479452062</v>
      </c>
      <c r="AB118" s="266"/>
      <c r="AC118" s="276"/>
      <c r="AD118" s="276">
        <v>950.00761035007622</v>
      </c>
      <c r="AE118" s="314">
        <v>288.76712328767127</v>
      </c>
      <c r="AF118" s="314"/>
      <c r="AG118" s="314"/>
      <c r="AH118" s="314">
        <v>1238.7747336377474</v>
      </c>
      <c r="AI118" s="319"/>
      <c r="AJ118" s="311"/>
      <c r="AK118" s="311"/>
      <c r="AL118" s="311"/>
      <c r="AM118" s="311"/>
      <c r="AN118" s="311"/>
      <c r="AO118" s="311"/>
      <c r="AP118" s="311"/>
      <c r="AQ118" s="311"/>
      <c r="AR118" s="311"/>
      <c r="AS118" s="311"/>
      <c r="AT118" s="311"/>
      <c r="AU118" s="311"/>
      <c r="AV118" s="311"/>
      <c r="AW118" s="311"/>
      <c r="AX118" s="311"/>
      <c r="AY118" s="311"/>
      <c r="AZ118" s="311"/>
      <c r="BA118" s="311"/>
      <c r="BB118" s="311"/>
      <c r="BC118" s="311"/>
      <c r="BD118" s="311"/>
      <c r="BE118" s="311"/>
      <c r="BF118" s="311"/>
      <c r="BG118" s="311"/>
      <c r="BH118" s="311"/>
      <c r="BI118" s="311"/>
      <c r="BJ118" s="311"/>
      <c r="BK118" s="311"/>
      <c r="BL118" s="311"/>
      <c r="BM118" s="311"/>
      <c r="BN118" s="311"/>
      <c r="BO118" s="311"/>
      <c r="BP118" s="311"/>
      <c r="BQ118" s="311"/>
      <c r="BR118" s="311"/>
      <c r="BS118" s="311"/>
      <c r="BT118" s="311"/>
      <c r="BU118" s="311"/>
      <c r="BV118" s="311"/>
      <c r="BW118" s="311"/>
      <c r="BX118" s="311"/>
      <c r="BY118" s="311"/>
      <c r="BZ118" s="311"/>
      <c r="CA118" s="311"/>
      <c r="CB118" s="311"/>
      <c r="CC118" s="311"/>
      <c r="CD118" s="311"/>
      <c r="CE118" s="311"/>
      <c r="CF118" s="311"/>
      <c r="CG118" s="311"/>
      <c r="CH118" s="311"/>
      <c r="CI118" s="311"/>
      <c r="CJ118" s="311"/>
      <c r="CK118" s="311"/>
      <c r="CL118" s="311"/>
      <c r="CM118" s="311"/>
      <c r="CN118" s="311"/>
      <c r="CO118" s="311"/>
      <c r="CP118" s="311"/>
      <c r="CQ118" s="311"/>
      <c r="CR118" s="311"/>
      <c r="CS118" s="311"/>
      <c r="CT118" s="311"/>
      <c r="CU118" s="311"/>
      <c r="CV118" s="311"/>
      <c r="CW118" s="311"/>
      <c r="CX118" s="311"/>
      <c r="CY118" s="311"/>
    </row>
    <row r="119" spans="1:103" x14ac:dyDescent="0.3">
      <c r="A119" s="296">
        <v>5062</v>
      </c>
      <c r="B119" s="275" t="s">
        <v>85</v>
      </c>
      <c r="C119" s="275" t="s">
        <v>226</v>
      </c>
      <c r="D119" s="275" t="s">
        <v>225</v>
      </c>
      <c r="E119" s="266"/>
      <c r="F119" s="278">
        <v>43795</v>
      </c>
      <c r="G119" s="278">
        <v>44044</v>
      </c>
      <c r="H119" s="276"/>
      <c r="I119" s="266">
        <v>7.4</v>
      </c>
      <c r="J119" s="276"/>
      <c r="K119" s="276"/>
      <c r="L119" s="276"/>
      <c r="M119" s="276"/>
      <c r="N119" s="276"/>
      <c r="O119" s="275">
        <v>0</v>
      </c>
      <c r="P119" s="276"/>
      <c r="Q119" s="276">
        <v>8186.8209923499999</v>
      </c>
      <c r="R119" s="276">
        <v>8186.8209923499999</v>
      </c>
      <c r="S119" s="276">
        <v>1949.2430934166669</v>
      </c>
      <c r="T119" s="276"/>
      <c r="U119" s="276"/>
      <c r="V119" s="276">
        <v>10136.064085766666</v>
      </c>
      <c r="W119" s="276">
        <v>2008.7</v>
      </c>
      <c r="X119" s="266">
        <v>-17958.61</v>
      </c>
      <c r="Y119" s="276"/>
      <c r="Z119" s="276">
        <v>-5813.845914233334</v>
      </c>
      <c r="AA119" s="276">
        <v>0</v>
      </c>
      <c r="AB119" s="266"/>
      <c r="AC119" s="276"/>
      <c r="AD119" s="276">
        <v>-5813.845914233334</v>
      </c>
      <c r="AE119" s="314">
        <v>0</v>
      </c>
      <c r="AF119" s="314"/>
      <c r="AG119" s="314">
        <v>5813.85</v>
      </c>
      <c r="AH119" s="314">
        <v>4.0857666663214331E-3</v>
      </c>
      <c r="AI119" s="319"/>
      <c r="AJ119" s="311"/>
      <c r="AK119" s="311"/>
      <c r="AL119" s="311"/>
      <c r="AM119" s="311"/>
      <c r="AN119" s="311"/>
      <c r="AO119" s="311"/>
      <c r="AP119" s="311"/>
      <c r="AQ119" s="311"/>
      <c r="AR119" s="311"/>
      <c r="AS119" s="311"/>
      <c r="AT119" s="311"/>
      <c r="AU119" s="311"/>
      <c r="AV119" s="311"/>
      <c r="AW119" s="311"/>
      <c r="AX119" s="311"/>
      <c r="AY119" s="311"/>
      <c r="AZ119" s="311"/>
      <c r="BA119" s="311"/>
      <c r="BB119" s="311"/>
      <c r="BC119" s="311"/>
      <c r="BD119" s="311"/>
      <c r="BE119" s="311"/>
      <c r="BF119" s="311"/>
      <c r="BG119" s="311"/>
      <c r="BH119" s="311"/>
      <c r="BI119" s="311"/>
      <c r="BJ119" s="311"/>
      <c r="BK119" s="311"/>
      <c r="BL119" s="311"/>
      <c r="BM119" s="311"/>
      <c r="BN119" s="311"/>
      <c r="BO119" s="311"/>
      <c r="BP119" s="311"/>
      <c r="BQ119" s="311"/>
      <c r="BR119" s="311"/>
      <c r="BS119" s="311"/>
      <c r="BT119" s="311"/>
      <c r="BU119" s="311"/>
      <c r="BV119" s="311"/>
      <c r="BW119" s="311"/>
      <c r="BX119" s="311"/>
      <c r="BY119" s="311"/>
      <c r="BZ119" s="311"/>
      <c r="CA119" s="311"/>
      <c r="CB119" s="311"/>
      <c r="CC119" s="311"/>
      <c r="CD119" s="311"/>
      <c r="CE119" s="311"/>
      <c r="CF119" s="311"/>
      <c r="CG119" s="311"/>
      <c r="CH119" s="311"/>
      <c r="CI119" s="311"/>
      <c r="CJ119" s="311"/>
      <c r="CK119" s="311"/>
      <c r="CL119" s="311"/>
      <c r="CM119" s="311"/>
      <c r="CN119" s="311"/>
      <c r="CO119" s="311"/>
      <c r="CP119" s="311"/>
      <c r="CQ119" s="311"/>
      <c r="CR119" s="311"/>
      <c r="CS119" s="311"/>
      <c r="CT119" s="311"/>
      <c r="CU119" s="311"/>
      <c r="CV119" s="311"/>
      <c r="CW119" s="311"/>
      <c r="CX119" s="311"/>
      <c r="CY119" s="311"/>
    </row>
    <row r="120" spans="1:103" x14ac:dyDescent="0.3">
      <c r="A120" s="296">
        <v>5060</v>
      </c>
      <c r="B120" s="275" t="s">
        <v>16</v>
      </c>
      <c r="C120" s="275" t="s">
        <v>224</v>
      </c>
      <c r="D120" s="275" t="s">
        <v>223</v>
      </c>
      <c r="E120" s="266">
        <v>330000</v>
      </c>
      <c r="F120" s="278">
        <v>43733</v>
      </c>
      <c r="G120" s="278">
        <v>44099</v>
      </c>
      <c r="H120" s="276"/>
      <c r="I120" s="266">
        <v>1.9</v>
      </c>
      <c r="J120" s="276"/>
      <c r="K120" s="276"/>
      <c r="L120" s="276"/>
      <c r="M120" s="276"/>
      <c r="N120" s="276"/>
      <c r="O120" s="275">
        <v>0</v>
      </c>
      <c r="P120" s="276"/>
      <c r="Q120" s="276">
        <v>3274.3333333333335</v>
      </c>
      <c r="R120" s="276">
        <v>3274.3333333333335</v>
      </c>
      <c r="S120" s="276">
        <v>522.5</v>
      </c>
      <c r="T120" s="276"/>
      <c r="U120" s="276"/>
      <c r="V120" s="276">
        <v>3796.8333333333335</v>
      </c>
      <c r="W120" s="276">
        <v>539.91666666666674</v>
      </c>
      <c r="X120" s="266"/>
      <c r="Y120" s="276"/>
      <c r="Z120" s="276">
        <v>4336.75</v>
      </c>
      <c r="AA120" s="276">
        <v>515.34246575342456</v>
      </c>
      <c r="AB120" s="266"/>
      <c r="AC120" s="276"/>
      <c r="AD120" s="276">
        <v>4852.0924657534242</v>
      </c>
      <c r="AE120" s="314">
        <v>532.52054794520541</v>
      </c>
      <c r="AF120" s="314"/>
      <c r="AG120" s="314"/>
      <c r="AH120" s="314">
        <v>5384.6130136986294</v>
      </c>
      <c r="AI120" s="319"/>
      <c r="AJ120" s="311"/>
      <c r="AK120" s="311"/>
      <c r="AL120" s="311"/>
      <c r="AM120" s="311"/>
      <c r="AN120" s="311"/>
      <c r="AO120" s="311"/>
      <c r="AP120" s="311"/>
      <c r="AQ120" s="311"/>
      <c r="AR120" s="311"/>
      <c r="AS120" s="311"/>
      <c r="AT120" s="311"/>
      <c r="AU120" s="311"/>
      <c r="AV120" s="311"/>
      <c r="AW120" s="311"/>
      <c r="AX120" s="311"/>
      <c r="AY120" s="311"/>
      <c r="AZ120" s="311"/>
      <c r="BA120" s="311"/>
      <c r="BB120" s="311"/>
      <c r="BC120" s="311"/>
      <c r="BD120" s="311"/>
      <c r="BE120" s="311"/>
      <c r="BF120" s="311"/>
      <c r="BG120" s="311"/>
      <c r="BH120" s="311"/>
      <c r="BI120" s="311"/>
      <c r="BJ120" s="311"/>
      <c r="BK120" s="311"/>
      <c r="BL120" s="311"/>
      <c r="BM120" s="311"/>
      <c r="BN120" s="311"/>
      <c r="BO120" s="311"/>
      <c r="BP120" s="311"/>
      <c r="BQ120" s="311"/>
      <c r="BR120" s="311"/>
      <c r="BS120" s="311"/>
      <c r="BT120" s="311"/>
      <c r="BU120" s="311"/>
      <c r="BV120" s="311"/>
      <c r="BW120" s="311"/>
      <c r="BX120" s="311"/>
      <c r="BY120" s="311"/>
      <c r="BZ120" s="311"/>
      <c r="CA120" s="311"/>
      <c r="CB120" s="311"/>
      <c r="CC120" s="311"/>
      <c r="CD120" s="311"/>
      <c r="CE120" s="311"/>
      <c r="CF120" s="311"/>
      <c r="CG120" s="311"/>
      <c r="CH120" s="311"/>
      <c r="CI120" s="311"/>
      <c r="CJ120" s="311"/>
      <c r="CK120" s="311"/>
      <c r="CL120" s="311"/>
      <c r="CM120" s="311"/>
      <c r="CN120" s="311"/>
      <c r="CO120" s="311"/>
      <c r="CP120" s="311"/>
      <c r="CQ120" s="311"/>
      <c r="CR120" s="311"/>
      <c r="CS120" s="311"/>
      <c r="CT120" s="311"/>
      <c r="CU120" s="311"/>
      <c r="CV120" s="311"/>
      <c r="CW120" s="311"/>
      <c r="CX120" s="311"/>
      <c r="CY120" s="311"/>
    </row>
    <row r="121" spans="1:103" x14ac:dyDescent="0.3">
      <c r="A121" s="337">
        <v>5060</v>
      </c>
      <c r="B121" s="325" t="s">
        <v>40</v>
      </c>
      <c r="C121" s="325" t="s">
        <v>222</v>
      </c>
      <c r="D121" s="325" t="s">
        <v>221</v>
      </c>
      <c r="E121" s="328">
        <v>1100000</v>
      </c>
      <c r="F121" s="338">
        <v>43665</v>
      </c>
      <c r="G121" s="338">
        <v>44031</v>
      </c>
      <c r="H121" s="326"/>
      <c r="I121" s="328">
        <v>6.4</v>
      </c>
      <c r="J121" s="276"/>
      <c r="K121" s="276"/>
      <c r="L121" s="276"/>
      <c r="M121" s="276"/>
      <c r="N121" s="276"/>
      <c r="O121" s="275">
        <v>0</v>
      </c>
      <c r="P121" s="276"/>
      <c r="Q121" s="276">
        <v>50062.222222222219</v>
      </c>
      <c r="R121" s="276">
        <v>50062.222222222219</v>
      </c>
      <c r="S121" s="276">
        <v>5866.6666666666661</v>
      </c>
      <c r="T121" s="276"/>
      <c r="U121" s="276"/>
      <c r="V121" s="276">
        <v>55928.888888888883</v>
      </c>
      <c r="W121" s="276">
        <v>6062.2222222222217</v>
      </c>
      <c r="X121" s="266"/>
      <c r="Y121" s="276"/>
      <c r="Z121" s="276">
        <v>61991.111111111102</v>
      </c>
      <c r="AA121" s="326">
        <v>5786.3013698630139</v>
      </c>
      <c r="AB121" s="328"/>
      <c r="AC121" s="326"/>
      <c r="AD121" s="326">
        <v>67777.412480974119</v>
      </c>
      <c r="AE121" s="329">
        <v>3664.6575342465753</v>
      </c>
      <c r="AF121" s="329">
        <v>-70400</v>
      </c>
      <c r="AG121" s="329">
        <v>-1042.07</v>
      </c>
      <c r="AH121" s="329">
        <v>1.5220699197016074E-5</v>
      </c>
      <c r="AI121" s="330" t="s">
        <v>218</v>
      </c>
      <c r="AJ121" s="311"/>
      <c r="AK121" s="311"/>
      <c r="AL121" s="311"/>
      <c r="AM121" s="311"/>
      <c r="AN121" s="311"/>
      <c r="AO121" s="311"/>
      <c r="AP121" s="311"/>
      <c r="AQ121" s="311"/>
      <c r="AR121" s="311"/>
      <c r="AS121" s="311"/>
      <c r="AT121" s="311"/>
      <c r="AU121" s="311"/>
      <c r="AV121" s="311"/>
      <c r="AW121" s="311"/>
      <c r="AX121" s="311"/>
      <c r="AY121" s="311"/>
      <c r="AZ121" s="311"/>
      <c r="BA121" s="311"/>
      <c r="BB121" s="311"/>
      <c r="BC121" s="311"/>
      <c r="BD121" s="311"/>
      <c r="BE121" s="311"/>
      <c r="BF121" s="311"/>
      <c r="BG121" s="311"/>
      <c r="BH121" s="311"/>
      <c r="BI121" s="311"/>
      <c r="BJ121" s="311"/>
      <c r="BK121" s="311"/>
      <c r="BL121" s="311"/>
      <c r="BM121" s="311"/>
      <c r="BN121" s="311"/>
      <c r="BO121" s="311"/>
      <c r="BP121" s="311"/>
      <c r="BQ121" s="311"/>
      <c r="BR121" s="311"/>
      <c r="BS121" s="311"/>
      <c r="BT121" s="311"/>
      <c r="BU121" s="311"/>
      <c r="BV121" s="311"/>
      <c r="BW121" s="311"/>
      <c r="BX121" s="311"/>
      <c r="BY121" s="311"/>
      <c r="BZ121" s="311"/>
      <c r="CA121" s="311"/>
      <c r="CB121" s="311"/>
      <c r="CC121" s="311"/>
      <c r="CD121" s="311"/>
      <c r="CE121" s="311"/>
      <c r="CF121" s="311"/>
      <c r="CG121" s="311"/>
      <c r="CH121" s="311"/>
      <c r="CI121" s="311"/>
      <c r="CJ121" s="311"/>
      <c r="CK121" s="311"/>
      <c r="CL121" s="311"/>
      <c r="CM121" s="311"/>
      <c r="CN121" s="311"/>
      <c r="CO121" s="311"/>
      <c r="CP121" s="311"/>
      <c r="CQ121" s="311"/>
      <c r="CR121" s="311"/>
      <c r="CS121" s="311"/>
      <c r="CT121" s="311"/>
      <c r="CU121" s="311"/>
      <c r="CV121" s="311"/>
      <c r="CW121" s="311"/>
      <c r="CX121" s="311"/>
      <c r="CY121" s="311"/>
    </row>
    <row r="122" spans="1:103" x14ac:dyDescent="0.3">
      <c r="A122" s="296">
        <v>5031</v>
      </c>
      <c r="B122" s="275" t="s">
        <v>7</v>
      </c>
      <c r="C122" s="275" t="s">
        <v>220</v>
      </c>
      <c r="D122" s="275" t="s">
        <v>219</v>
      </c>
      <c r="E122" s="266">
        <v>465000</v>
      </c>
      <c r="F122" s="278">
        <v>43733</v>
      </c>
      <c r="G122" s="278">
        <v>44099</v>
      </c>
      <c r="H122" s="276"/>
      <c r="I122" s="266">
        <v>6.4</v>
      </c>
      <c r="J122" s="276"/>
      <c r="K122" s="276"/>
      <c r="L122" s="276"/>
      <c r="M122" s="276"/>
      <c r="N122" s="276"/>
      <c r="O122" s="275">
        <v>0</v>
      </c>
      <c r="P122" s="276"/>
      <c r="Q122" s="276">
        <v>15541.333333333334</v>
      </c>
      <c r="R122" s="276">
        <v>15541.333333333334</v>
      </c>
      <c r="S122" s="276">
        <v>2480</v>
      </c>
      <c r="T122" s="276"/>
      <c r="U122" s="276"/>
      <c r="V122" s="276">
        <v>18021.333333333336</v>
      </c>
      <c r="W122" s="276">
        <v>2562.666666666667</v>
      </c>
      <c r="X122" s="266"/>
      <c r="Y122" s="276"/>
      <c r="Z122" s="276">
        <v>20584.000000000004</v>
      </c>
      <c r="AA122" s="276">
        <v>2446.027397260274</v>
      </c>
      <c r="AB122" s="266"/>
      <c r="AC122" s="276"/>
      <c r="AD122" s="276">
        <v>23030.027397260277</v>
      </c>
      <c r="AE122" s="314">
        <v>2527.5616438356165</v>
      </c>
      <c r="AF122" s="314"/>
      <c r="AG122" s="314"/>
      <c r="AH122" s="314">
        <v>25557.589041095893</v>
      </c>
      <c r="AI122" s="319"/>
      <c r="AJ122" s="311"/>
      <c r="AK122" s="311"/>
      <c r="AL122" s="311"/>
      <c r="AM122" s="311"/>
      <c r="AN122" s="311"/>
      <c r="AO122" s="311"/>
      <c r="AP122" s="311"/>
      <c r="AQ122" s="311"/>
      <c r="AR122" s="311"/>
      <c r="AS122" s="311"/>
      <c r="AT122" s="311"/>
      <c r="AU122" s="311"/>
      <c r="AV122" s="311"/>
      <c r="AW122" s="311"/>
      <c r="AX122" s="311"/>
      <c r="AY122" s="311"/>
      <c r="AZ122" s="311"/>
      <c r="BA122" s="311"/>
      <c r="BB122" s="311"/>
      <c r="BC122" s="311"/>
      <c r="BD122" s="311"/>
      <c r="BE122" s="311"/>
      <c r="BF122" s="311"/>
      <c r="BG122" s="311"/>
      <c r="BH122" s="311"/>
      <c r="BI122" s="311"/>
      <c r="BJ122" s="311"/>
      <c r="BK122" s="311"/>
      <c r="BL122" s="311"/>
      <c r="BM122" s="311"/>
      <c r="BN122" s="311"/>
      <c r="BO122" s="311"/>
      <c r="BP122" s="311"/>
      <c r="BQ122" s="311"/>
      <c r="BR122" s="311"/>
      <c r="BS122" s="311"/>
      <c r="BT122" s="311"/>
      <c r="BU122" s="311"/>
      <c r="BV122" s="311"/>
      <c r="BW122" s="311"/>
      <c r="BX122" s="311"/>
      <c r="BY122" s="311"/>
      <c r="BZ122" s="311"/>
      <c r="CA122" s="311"/>
      <c r="CB122" s="311"/>
      <c r="CC122" s="311"/>
      <c r="CD122" s="311"/>
      <c r="CE122" s="311"/>
      <c r="CF122" s="311"/>
      <c r="CG122" s="311"/>
      <c r="CH122" s="311"/>
      <c r="CI122" s="311"/>
      <c r="CJ122" s="311"/>
      <c r="CK122" s="311"/>
      <c r="CL122" s="311"/>
      <c r="CM122" s="311"/>
      <c r="CN122" s="311"/>
      <c r="CO122" s="311"/>
      <c r="CP122" s="311"/>
      <c r="CQ122" s="311"/>
      <c r="CR122" s="311"/>
      <c r="CS122" s="311"/>
      <c r="CT122" s="311"/>
      <c r="CU122" s="311"/>
      <c r="CV122" s="311"/>
      <c r="CW122" s="311"/>
      <c r="CX122" s="311"/>
      <c r="CY122" s="311"/>
    </row>
    <row r="123" spans="1:103" x14ac:dyDescent="0.3">
      <c r="A123" s="296">
        <v>5055</v>
      </c>
      <c r="B123" s="275" t="s">
        <v>53</v>
      </c>
      <c r="C123" s="275" t="s">
        <v>217</v>
      </c>
      <c r="D123" s="275" t="s">
        <v>216</v>
      </c>
      <c r="E123" s="266">
        <v>800000</v>
      </c>
      <c r="F123" s="278">
        <v>43829</v>
      </c>
      <c r="G123" s="278">
        <v>44195</v>
      </c>
      <c r="H123" s="276"/>
      <c r="I123" s="266">
        <v>6.85</v>
      </c>
      <c r="J123" s="276"/>
      <c r="K123" s="276"/>
      <c r="L123" s="276"/>
      <c r="M123" s="276"/>
      <c r="N123" s="276"/>
      <c r="O123" s="275">
        <v>0</v>
      </c>
      <c r="P123" s="276"/>
      <c r="Q123" s="276">
        <v>14004.444444444442</v>
      </c>
      <c r="R123" s="276">
        <v>14004.444444444442</v>
      </c>
      <c r="S123" s="276">
        <v>4566.6666666666661</v>
      </c>
      <c r="T123" s="276"/>
      <c r="U123" s="276"/>
      <c r="V123" s="276">
        <v>18571.111111111109</v>
      </c>
      <c r="W123" s="276">
        <v>4718.8888888888878</v>
      </c>
      <c r="X123" s="266"/>
      <c r="Y123" s="276"/>
      <c r="Z123" s="276">
        <v>23289.999999999996</v>
      </c>
      <c r="AA123" s="276">
        <v>4504.1095890410952</v>
      </c>
      <c r="AB123" s="266"/>
      <c r="AC123" s="276"/>
      <c r="AD123" s="276">
        <v>27794.109589041091</v>
      </c>
      <c r="AE123" s="314">
        <v>4654.2465753424649</v>
      </c>
      <c r="AF123" s="314"/>
      <c r="AG123" s="314"/>
      <c r="AH123" s="314">
        <v>32448.356164383556</v>
      </c>
      <c r="AI123" s="319"/>
      <c r="AJ123" s="311"/>
      <c r="AK123" s="311"/>
      <c r="AL123" s="311"/>
      <c r="AM123" s="311"/>
      <c r="AN123" s="311"/>
      <c r="AO123" s="311"/>
      <c r="AP123" s="311"/>
      <c r="AQ123" s="311"/>
      <c r="AR123" s="311"/>
      <c r="AS123" s="311"/>
      <c r="AT123" s="311"/>
      <c r="AU123" s="311"/>
      <c r="AV123" s="311"/>
      <c r="AW123" s="311"/>
      <c r="AX123" s="311"/>
      <c r="AY123" s="311"/>
      <c r="AZ123" s="311"/>
      <c r="BA123" s="311"/>
      <c r="BB123" s="311"/>
      <c r="BC123" s="311"/>
      <c r="BD123" s="311"/>
      <c r="BE123" s="311"/>
      <c r="BF123" s="311"/>
      <c r="BG123" s="311"/>
      <c r="BH123" s="311"/>
      <c r="BI123" s="311"/>
      <c r="BJ123" s="311"/>
      <c r="BK123" s="311"/>
      <c r="BL123" s="311"/>
      <c r="BM123" s="311"/>
      <c r="BN123" s="311"/>
      <c r="BO123" s="311"/>
      <c r="BP123" s="311"/>
      <c r="BQ123" s="311"/>
      <c r="BR123" s="311"/>
      <c r="BS123" s="311"/>
      <c r="BT123" s="311"/>
      <c r="BU123" s="311"/>
      <c r="BV123" s="311"/>
      <c r="BW123" s="311"/>
      <c r="BX123" s="311"/>
      <c r="BY123" s="311"/>
      <c r="BZ123" s="311"/>
      <c r="CA123" s="311"/>
      <c r="CB123" s="311"/>
      <c r="CC123" s="311"/>
      <c r="CD123" s="311"/>
      <c r="CE123" s="311"/>
      <c r="CF123" s="311"/>
      <c r="CG123" s="311"/>
      <c r="CH123" s="311"/>
      <c r="CI123" s="311"/>
      <c r="CJ123" s="311"/>
      <c r="CK123" s="311"/>
      <c r="CL123" s="311"/>
      <c r="CM123" s="311"/>
      <c r="CN123" s="311"/>
      <c r="CO123" s="311"/>
      <c r="CP123" s="311"/>
      <c r="CQ123" s="311"/>
      <c r="CR123" s="311"/>
      <c r="CS123" s="311"/>
      <c r="CT123" s="311"/>
      <c r="CU123" s="311"/>
      <c r="CV123" s="311"/>
      <c r="CW123" s="311"/>
      <c r="CX123" s="311"/>
      <c r="CY123" s="311"/>
    </row>
    <row r="124" spans="1:103" ht="57.6" x14ac:dyDescent="0.3">
      <c r="A124" s="297">
        <v>5063</v>
      </c>
      <c r="B124" s="289" t="s">
        <v>25</v>
      </c>
      <c r="C124" s="289" t="s">
        <v>215</v>
      </c>
      <c r="D124" s="289" t="s">
        <v>214</v>
      </c>
      <c r="E124" s="290">
        <v>122500</v>
      </c>
      <c r="F124" s="278">
        <v>43922</v>
      </c>
      <c r="G124" s="278">
        <v>44287</v>
      </c>
      <c r="H124" s="276"/>
      <c r="I124" s="266">
        <v>4.4000000000000004</v>
      </c>
      <c r="J124" s="276"/>
      <c r="K124" s="276"/>
      <c r="L124" s="276"/>
      <c r="M124" s="276"/>
      <c r="N124" s="276"/>
      <c r="O124" s="275"/>
      <c r="P124" s="276"/>
      <c r="Q124" s="276"/>
      <c r="R124" s="276"/>
      <c r="S124" s="276">
        <v>434.19444444444451</v>
      </c>
      <c r="T124" s="276"/>
      <c r="U124" s="276"/>
      <c r="V124" s="276">
        <v>434.19444444444451</v>
      </c>
      <c r="W124" s="276">
        <v>464.13888888888897</v>
      </c>
      <c r="X124" s="266"/>
      <c r="Y124" s="276"/>
      <c r="Z124" s="276">
        <v>898.33333333333348</v>
      </c>
      <c r="AA124" s="276">
        <v>443.01369863013707</v>
      </c>
      <c r="AB124" s="266"/>
      <c r="AC124" s="276"/>
      <c r="AD124" s="276">
        <v>1341.3470319634705</v>
      </c>
      <c r="AE124" s="314">
        <v>457.78082191780834</v>
      </c>
      <c r="AF124" s="314"/>
      <c r="AG124" s="314"/>
      <c r="AH124" s="314">
        <v>1799.127853881279</v>
      </c>
      <c r="AI124" s="319"/>
      <c r="AJ124" s="311"/>
      <c r="AK124" s="311"/>
      <c r="AL124" s="311"/>
      <c r="AM124" s="311"/>
      <c r="AN124" s="311"/>
      <c r="AO124" s="311"/>
      <c r="AP124" s="311"/>
      <c r="AQ124" s="311"/>
      <c r="AR124" s="311"/>
      <c r="AS124" s="311"/>
      <c r="AT124" s="311"/>
      <c r="AU124" s="311"/>
      <c r="AV124" s="311"/>
      <c r="AW124" s="311"/>
      <c r="AX124" s="311"/>
      <c r="AY124" s="311"/>
      <c r="AZ124" s="311"/>
      <c r="BA124" s="311"/>
      <c r="BB124" s="311"/>
      <c r="BC124" s="311"/>
      <c r="BD124" s="311"/>
      <c r="BE124" s="311"/>
      <c r="BF124" s="311"/>
      <c r="BG124" s="311"/>
      <c r="BH124" s="311"/>
      <c r="BI124" s="311"/>
      <c r="BJ124" s="311"/>
      <c r="BK124" s="311"/>
      <c r="BL124" s="311"/>
      <c r="BM124" s="311"/>
      <c r="BN124" s="311"/>
      <c r="BO124" s="311"/>
      <c r="BP124" s="311"/>
      <c r="BQ124" s="311"/>
      <c r="BR124" s="311"/>
      <c r="BS124" s="311"/>
      <c r="BT124" s="311"/>
      <c r="BU124" s="311"/>
      <c r="BV124" s="311"/>
      <c r="BW124" s="311"/>
      <c r="BX124" s="311"/>
      <c r="BY124" s="311"/>
      <c r="BZ124" s="311"/>
      <c r="CA124" s="311"/>
      <c r="CB124" s="311"/>
      <c r="CC124" s="311"/>
      <c r="CD124" s="311"/>
      <c r="CE124" s="311"/>
      <c r="CF124" s="311"/>
      <c r="CG124" s="311"/>
      <c r="CH124" s="311"/>
      <c r="CI124" s="311"/>
      <c r="CJ124" s="311"/>
      <c r="CK124" s="311"/>
      <c r="CL124" s="311"/>
      <c r="CM124" s="311"/>
      <c r="CN124" s="311"/>
      <c r="CO124" s="311"/>
      <c r="CP124" s="311"/>
      <c r="CQ124" s="311"/>
      <c r="CR124" s="311"/>
      <c r="CS124" s="311"/>
      <c r="CT124" s="311"/>
      <c r="CU124" s="311"/>
      <c r="CV124" s="311"/>
      <c r="CW124" s="311"/>
      <c r="CX124" s="311"/>
      <c r="CY124" s="311"/>
    </row>
    <row r="125" spans="1:103" ht="43.2" x14ac:dyDescent="0.3">
      <c r="A125" s="297">
        <v>5060</v>
      </c>
      <c r="B125" s="289" t="s">
        <v>16</v>
      </c>
      <c r="C125" s="289" t="s">
        <v>213</v>
      </c>
      <c r="D125" s="289" t="s">
        <v>212</v>
      </c>
      <c r="E125" s="290">
        <v>90000</v>
      </c>
      <c r="F125" s="278">
        <v>43925</v>
      </c>
      <c r="G125" s="278">
        <v>44290</v>
      </c>
      <c r="H125" s="276"/>
      <c r="I125" s="266">
        <v>1.9</v>
      </c>
      <c r="J125" s="276"/>
      <c r="K125" s="276"/>
      <c r="L125" s="276"/>
      <c r="M125" s="276"/>
      <c r="N125" s="276"/>
      <c r="O125" s="275"/>
      <c r="P125" s="276"/>
      <c r="Q125" s="276"/>
      <c r="R125" s="276"/>
      <c r="S125" s="276">
        <v>137.75</v>
      </c>
      <c r="T125" s="276"/>
      <c r="U125" s="276"/>
      <c r="V125" s="276">
        <v>137.75</v>
      </c>
      <c r="W125" s="276">
        <v>147.25</v>
      </c>
      <c r="X125" s="266"/>
      <c r="Y125" s="276"/>
      <c r="Z125" s="276">
        <v>285</v>
      </c>
      <c r="AA125" s="276">
        <v>140.54794520547946</v>
      </c>
      <c r="AB125" s="266"/>
      <c r="AC125" s="276"/>
      <c r="AD125" s="276">
        <v>425.54794520547944</v>
      </c>
      <c r="AE125" s="314">
        <v>145.23287671232876</v>
      </c>
      <c r="AF125" s="314"/>
      <c r="AG125" s="314"/>
      <c r="AH125" s="314">
        <v>570.78082191780823</v>
      </c>
      <c r="AI125" s="319"/>
      <c r="AJ125" s="311"/>
      <c r="AK125" s="311"/>
      <c r="AL125" s="311"/>
      <c r="AM125" s="311"/>
      <c r="AN125" s="311"/>
      <c r="AO125" s="311"/>
      <c r="AP125" s="311"/>
      <c r="AQ125" s="311"/>
      <c r="AR125" s="311"/>
      <c r="AS125" s="311"/>
      <c r="AT125" s="311"/>
      <c r="AU125" s="311"/>
      <c r="AV125" s="311"/>
      <c r="AW125" s="311"/>
      <c r="AX125" s="311"/>
      <c r="AY125" s="311"/>
      <c r="AZ125" s="311"/>
      <c r="BA125" s="311"/>
      <c r="BB125" s="311"/>
      <c r="BC125" s="311"/>
      <c r="BD125" s="311"/>
      <c r="BE125" s="311"/>
      <c r="BF125" s="311"/>
      <c r="BG125" s="311"/>
      <c r="BH125" s="311"/>
      <c r="BI125" s="311"/>
      <c r="BJ125" s="311"/>
      <c r="BK125" s="311"/>
      <c r="BL125" s="311"/>
      <c r="BM125" s="311"/>
      <c r="BN125" s="311"/>
      <c r="BO125" s="311"/>
      <c r="BP125" s="311"/>
      <c r="BQ125" s="311"/>
      <c r="BR125" s="311"/>
      <c r="BS125" s="311"/>
      <c r="BT125" s="311"/>
      <c r="BU125" s="311"/>
      <c r="BV125" s="311"/>
      <c r="BW125" s="311"/>
      <c r="BX125" s="311"/>
      <c r="BY125" s="311"/>
      <c r="BZ125" s="311"/>
      <c r="CA125" s="311"/>
      <c r="CB125" s="311"/>
      <c r="CC125" s="311"/>
      <c r="CD125" s="311"/>
      <c r="CE125" s="311"/>
      <c r="CF125" s="311"/>
      <c r="CG125" s="311"/>
      <c r="CH125" s="311"/>
      <c r="CI125" s="311"/>
      <c r="CJ125" s="311"/>
      <c r="CK125" s="311"/>
      <c r="CL125" s="311"/>
      <c r="CM125" s="311"/>
      <c r="CN125" s="311"/>
      <c r="CO125" s="311"/>
      <c r="CP125" s="311"/>
      <c r="CQ125" s="311"/>
      <c r="CR125" s="311"/>
      <c r="CS125" s="311"/>
      <c r="CT125" s="311"/>
      <c r="CU125" s="311"/>
      <c r="CV125" s="311"/>
      <c r="CW125" s="311"/>
      <c r="CX125" s="311"/>
      <c r="CY125" s="311"/>
    </row>
    <row r="126" spans="1:103" ht="57.6" x14ac:dyDescent="0.3">
      <c r="A126" s="297">
        <v>5005</v>
      </c>
      <c r="B126" s="289" t="s">
        <v>211</v>
      </c>
      <c r="C126" s="289" t="s">
        <v>210</v>
      </c>
      <c r="D126" s="289" t="s">
        <v>209</v>
      </c>
      <c r="E126" s="290">
        <v>1100000</v>
      </c>
      <c r="F126" s="278">
        <v>43927</v>
      </c>
      <c r="G126" s="278">
        <v>44292</v>
      </c>
      <c r="H126" s="276"/>
      <c r="I126" s="266">
        <v>5.92</v>
      </c>
      <c r="J126" s="276"/>
      <c r="K126" s="276"/>
      <c r="L126" s="276"/>
      <c r="M126" s="276"/>
      <c r="N126" s="276"/>
      <c r="O126" s="275"/>
      <c r="P126" s="276"/>
      <c r="Q126" s="276"/>
      <c r="R126" s="276"/>
      <c r="S126" s="276">
        <v>4341.333333333333</v>
      </c>
      <c r="T126" s="276"/>
      <c r="U126" s="276"/>
      <c r="V126" s="276">
        <v>4341.333333333333</v>
      </c>
      <c r="W126" s="276">
        <v>5607.5555555555557</v>
      </c>
      <c r="X126" s="266"/>
      <c r="Y126" s="276"/>
      <c r="Z126" s="276">
        <v>9948.8888888888887</v>
      </c>
      <c r="AA126" s="276">
        <v>5352.3287671232874</v>
      </c>
      <c r="AB126" s="266"/>
      <c r="AC126" s="276"/>
      <c r="AD126" s="276">
        <v>15301.217656012177</v>
      </c>
      <c r="AE126" s="314">
        <v>5530.7397260273965</v>
      </c>
      <c r="AF126" s="314"/>
      <c r="AG126" s="314"/>
      <c r="AH126" s="314">
        <v>20831.957382039574</v>
      </c>
      <c r="AI126" s="319"/>
      <c r="AJ126" s="311"/>
      <c r="AK126" s="311"/>
      <c r="AL126" s="311"/>
      <c r="AM126" s="311"/>
      <c r="AN126" s="311"/>
      <c r="AO126" s="311"/>
      <c r="AP126" s="311"/>
      <c r="AQ126" s="311"/>
      <c r="AR126" s="311"/>
      <c r="AS126" s="311"/>
      <c r="AT126" s="311"/>
      <c r="AU126" s="311"/>
      <c r="AV126" s="311"/>
      <c r="AW126" s="311"/>
      <c r="AX126" s="311"/>
      <c r="AY126" s="311"/>
      <c r="AZ126" s="311"/>
      <c r="BA126" s="311"/>
      <c r="BB126" s="311"/>
      <c r="BC126" s="311"/>
      <c r="BD126" s="311"/>
      <c r="BE126" s="311"/>
      <c r="BF126" s="311"/>
      <c r="BG126" s="311"/>
      <c r="BH126" s="311"/>
      <c r="BI126" s="311"/>
      <c r="BJ126" s="311"/>
      <c r="BK126" s="311"/>
      <c r="BL126" s="311"/>
      <c r="BM126" s="311"/>
      <c r="BN126" s="311"/>
      <c r="BO126" s="311"/>
      <c r="BP126" s="311"/>
      <c r="BQ126" s="311"/>
      <c r="BR126" s="311"/>
      <c r="BS126" s="311"/>
      <c r="BT126" s="311"/>
      <c r="BU126" s="311"/>
      <c r="BV126" s="311"/>
      <c r="BW126" s="311"/>
      <c r="BX126" s="311"/>
      <c r="BY126" s="311"/>
      <c r="BZ126" s="311"/>
      <c r="CA126" s="311"/>
      <c r="CB126" s="311"/>
      <c r="CC126" s="311"/>
      <c r="CD126" s="311"/>
      <c r="CE126" s="311"/>
      <c r="CF126" s="311"/>
      <c r="CG126" s="311"/>
      <c r="CH126" s="311"/>
      <c r="CI126" s="311"/>
      <c r="CJ126" s="311"/>
      <c r="CK126" s="311"/>
      <c r="CL126" s="311"/>
      <c r="CM126" s="311"/>
      <c r="CN126" s="311"/>
      <c r="CO126" s="311"/>
      <c r="CP126" s="311"/>
      <c r="CQ126" s="311"/>
      <c r="CR126" s="311"/>
      <c r="CS126" s="311"/>
      <c r="CT126" s="311"/>
      <c r="CU126" s="311"/>
      <c r="CV126" s="311"/>
      <c r="CW126" s="311"/>
      <c r="CX126" s="311"/>
      <c r="CY126" s="311"/>
    </row>
    <row r="127" spans="1:103" ht="57.6" x14ac:dyDescent="0.3">
      <c r="A127" s="297">
        <v>5057</v>
      </c>
      <c r="B127" s="289" t="s">
        <v>74</v>
      </c>
      <c r="C127" s="289" t="s">
        <v>208</v>
      </c>
      <c r="D127" s="289" t="s">
        <v>207</v>
      </c>
      <c r="E127" s="290">
        <v>120000</v>
      </c>
      <c r="F127" s="278">
        <v>43930</v>
      </c>
      <c r="G127" s="278">
        <v>44295</v>
      </c>
      <c r="H127" s="276"/>
      <c r="I127" s="266">
        <v>3.4</v>
      </c>
      <c r="J127" s="276"/>
      <c r="K127" s="276"/>
      <c r="L127" s="276"/>
      <c r="M127" s="276"/>
      <c r="N127" s="276"/>
      <c r="O127" s="275"/>
      <c r="P127" s="276"/>
      <c r="Q127" s="276"/>
      <c r="R127" s="276"/>
      <c r="S127" s="276">
        <v>238</v>
      </c>
      <c r="T127" s="276"/>
      <c r="U127" s="276"/>
      <c r="V127" s="276">
        <v>238</v>
      </c>
      <c r="W127" s="276">
        <v>351.33333333333337</v>
      </c>
      <c r="X127" s="266"/>
      <c r="Y127" s="276"/>
      <c r="Z127" s="276">
        <v>589.33333333333337</v>
      </c>
      <c r="AA127" s="276">
        <v>335.34246575342473</v>
      </c>
      <c r="AB127" s="266"/>
      <c r="AC127" s="276"/>
      <c r="AD127" s="276">
        <v>924.67579908675816</v>
      </c>
      <c r="AE127" s="314">
        <v>346.52054794520552</v>
      </c>
      <c r="AF127" s="314"/>
      <c r="AG127" s="314"/>
      <c r="AH127" s="314">
        <v>1271.1963470319638</v>
      </c>
      <c r="AI127" s="319"/>
      <c r="AJ127" s="311"/>
      <c r="AK127" s="311"/>
      <c r="AL127" s="311"/>
      <c r="AM127" s="311"/>
      <c r="AN127" s="311"/>
      <c r="AO127" s="311"/>
      <c r="AP127" s="311"/>
      <c r="AQ127" s="311"/>
      <c r="AR127" s="311"/>
      <c r="AS127" s="311"/>
      <c r="AT127" s="311"/>
      <c r="AU127" s="311"/>
      <c r="AV127" s="311"/>
      <c r="AW127" s="311"/>
      <c r="AX127" s="311"/>
      <c r="AY127" s="311"/>
      <c r="AZ127" s="311"/>
      <c r="BA127" s="311"/>
      <c r="BB127" s="311"/>
      <c r="BC127" s="311"/>
      <c r="BD127" s="311"/>
      <c r="BE127" s="311"/>
      <c r="BF127" s="311"/>
      <c r="BG127" s="311"/>
      <c r="BH127" s="311"/>
      <c r="BI127" s="311"/>
      <c r="BJ127" s="311"/>
      <c r="BK127" s="311"/>
      <c r="BL127" s="311"/>
      <c r="BM127" s="311"/>
      <c r="BN127" s="311"/>
      <c r="BO127" s="311"/>
      <c r="BP127" s="311"/>
      <c r="BQ127" s="311"/>
      <c r="BR127" s="311"/>
      <c r="BS127" s="311"/>
      <c r="BT127" s="311"/>
      <c r="BU127" s="311"/>
      <c r="BV127" s="311"/>
      <c r="BW127" s="311"/>
      <c r="BX127" s="311"/>
      <c r="BY127" s="311"/>
      <c r="BZ127" s="311"/>
      <c r="CA127" s="311"/>
      <c r="CB127" s="311"/>
      <c r="CC127" s="311"/>
      <c r="CD127" s="311"/>
      <c r="CE127" s="311"/>
      <c r="CF127" s="311"/>
      <c r="CG127" s="311"/>
      <c r="CH127" s="311"/>
      <c r="CI127" s="311"/>
      <c r="CJ127" s="311"/>
      <c r="CK127" s="311"/>
      <c r="CL127" s="311"/>
      <c r="CM127" s="311"/>
      <c r="CN127" s="311"/>
      <c r="CO127" s="311"/>
      <c r="CP127" s="311"/>
      <c r="CQ127" s="311"/>
      <c r="CR127" s="311"/>
      <c r="CS127" s="311"/>
      <c r="CT127" s="311"/>
      <c r="CU127" s="311"/>
      <c r="CV127" s="311"/>
      <c r="CW127" s="311"/>
      <c r="CX127" s="311"/>
      <c r="CY127" s="311"/>
    </row>
    <row r="128" spans="1:103" ht="57.6" x14ac:dyDescent="0.3">
      <c r="A128" s="297">
        <v>5004</v>
      </c>
      <c r="B128" s="289" t="s">
        <v>174</v>
      </c>
      <c r="C128" s="289" t="s">
        <v>206</v>
      </c>
      <c r="D128" s="289" t="s">
        <v>205</v>
      </c>
      <c r="E128" s="290">
        <v>810000</v>
      </c>
      <c r="F128" s="278">
        <v>43936</v>
      </c>
      <c r="G128" s="278">
        <v>44301</v>
      </c>
      <c r="H128" s="276"/>
      <c r="I128" s="266">
        <v>5.65</v>
      </c>
      <c r="J128" s="276"/>
      <c r="K128" s="276"/>
      <c r="L128" s="276"/>
      <c r="M128" s="276"/>
      <c r="N128" s="276"/>
      <c r="O128" s="275"/>
      <c r="P128" s="276"/>
      <c r="Q128" s="276"/>
      <c r="R128" s="276"/>
      <c r="S128" s="276">
        <v>1906.875</v>
      </c>
      <c r="T128" s="276"/>
      <c r="U128" s="276"/>
      <c r="V128" s="276">
        <v>1906.875</v>
      </c>
      <c r="W128" s="276">
        <v>3940.875</v>
      </c>
      <c r="X128" s="266"/>
      <c r="Y128" s="276"/>
      <c r="Z128" s="276">
        <v>5847.75</v>
      </c>
      <c r="AA128" s="276">
        <v>3761.5068493150684</v>
      </c>
      <c r="AB128" s="266"/>
      <c r="AC128" s="276"/>
      <c r="AD128" s="276">
        <v>9609.2568493150684</v>
      </c>
      <c r="AE128" s="314">
        <v>3886.8904109589043</v>
      </c>
      <c r="AF128" s="314"/>
      <c r="AG128" s="314"/>
      <c r="AH128" s="314">
        <v>13496.147260273972</v>
      </c>
      <c r="AI128" s="319"/>
      <c r="AJ128" s="311"/>
      <c r="AK128" s="311"/>
      <c r="AL128" s="311"/>
      <c r="AM128" s="311"/>
      <c r="AN128" s="311"/>
      <c r="AO128" s="311"/>
      <c r="AP128" s="311"/>
      <c r="AQ128" s="311"/>
      <c r="AR128" s="311"/>
      <c r="AS128" s="311"/>
      <c r="AT128" s="311"/>
      <c r="AU128" s="311"/>
      <c r="AV128" s="311"/>
      <c r="AW128" s="311"/>
      <c r="AX128" s="311"/>
      <c r="AY128" s="311"/>
      <c r="AZ128" s="311"/>
      <c r="BA128" s="311"/>
      <c r="BB128" s="311"/>
      <c r="BC128" s="311"/>
      <c r="BD128" s="311"/>
      <c r="BE128" s="311"/>
      <c r="BF128" s="311"/>
      <c r="BG128" s="311"/>
      <c r="BH128" s="311"/>
      <c r="BI128" s="311"/>
      <c r="BJ128" s="311"/>
      <c r="BK128" s="311"/>
      <c r="BL128" s="311"/>
      <c r="BM128" s="311"/>
      <c r="BN128" s="311"/>
      <c r="BO128" s="311"/>
      <c r="BP128" s="311"/>
      <c r="BQ128" s="311"/>
      <c r="BR128" s="311"/>
      <c r="BS128" s="311"/>
      <c r="BT128" s="311"/>
      <c r="BU128" s="311"/>
      <c r="BV128" s="311"/>
      <c r="BW128" s="311"/>
      <c r="BX128" s="311"/>
      <c r="BY128" s="311"/>
      <c r="BZ128" s="311"/>
      <c r="CA128" s="311"/>
      <c r="CB128" s="311"/>
      <c r="CC128" s="311"/>
      <c r="CD128" s="311"/>
      <c r="CE128" s="311"/>
      <c r="CF128" s="311"/>
      <c r="CG128" s="311"/>
      <c r="CH128" s="311"/>
      <c r="CI128" s="311"/>
      <c r="CJ128" s="311"/>
      <c r="CK128" s="311"/>
      <c r="CL128" s="311"/>
      <c r="CM128" s="311"/>
      <c r="CN128" s="311"/>
      <c r="CO128" s="311"/>
      <c r="CP128" s="311"/>
      <c r="CQ128" s="311"/>
      <c r="CR128" s="311"/>
      <c r="CS128" s="311"/>
      <c r="CT128" s="311"/>
      <c r="CU128" s="311"/>
      <c r="CV128" s="311"/>
      <c r="CW128" s="311"/>
      <c r="CX128" s="311"/>
      <c r="CY128" s="311"/>
    </row>
    <row r="129" spans="1:103" ht="57.6" x14ac:dyDescent="0.3">
      <c r="A129" s="297">
        <v>5031</v>
      </c>
      <c r="B129" s="289" t="s">
        <v>204</v>
      </c>
      <c r="C129" s="289" t="s">
        <v>203</v>
      </c>
      <c r="D129" s="289" t="s">
        <v>202</v>
      </c>
      <c r="E129" s="290">
        <v>330000</v>
      </c>
      <c r="F129" s="278">
        <v>43937</v>
      </c>
      <c r="G129" s="278">
        <v>44302</v>
      </c>
      <c r="H129" s="276"/>
      <c r="I129" s="266">
        <v>4.9000000000000004</v>
      </c>
      <c r="J129" s="276"/>
      <c r="K129" s="276"/>
      <c r="L129" s="276"/>
      <c r="M129" s="276"/>
      <c r="N129" s="276"/>
      <c r="O129" s="275"/>
      <c r="P129" s="276"/>
      <c r="Q129" s="276"/>
      <c r="R129" s="276"/>
      <c r="S129" s="276">
        <v>628.83333333333326</v>
      </c>
      <c r="T129" s="276"/>
      <c r="U129" s="276"/>
      <c r="V129" s="276">
        <v>628.83333333333326</v>
      </c>
      <c r="W129" s="276">
        <v>1392.4166666666665</v>
      </c>
      <c r="X129" s="266"/>
      <c r="Y129" s="276"/>
      <c r="Z129" s="276">
        <v>2021.2499999999998</v>
      </c>
      <c r="AA129" s="276">
        <v>1329.0410958904108</v>
      </c>
      <c r="AB129" s="266"/>
      <c r="AC129" s="276"/>
      <c r="AD129" s="276">
        <v>3350.2910958904104</v>
      </c>
      <c r="AE129" s="314">
        <v>1373.3424657534247</v>
      </c>
      <c r="AF129" s="314"/>
      <c r="AG129" s="314"/>
      <c r="AH129" s="314">
        <v>4723.6335616438355</v>
      </c>
      <c r="AI129" s="319"/>
      <c r="AJ129" s="311"/>
      <c r="AK129" s="311"/>
      <c r="AL129" s="311"/>
      <c r="AM129" s="311"/>
      <c r="AN129" s="311"/>
      <c r="AO129" s="311"/>
      <c r="AP129" s="311"/>
      <c r="AQ129" s="311"/>
      <c r="AR129" s="311"/>
      <c r="AS129" s="311"/>
      <c r="AT129" s="311"/>
      <c r="AU129" s="311"/>
      <c r="AV129" s="311"/>
      <c r="AW129" s="311"/>
      <c r="AX129" s="311"/>
      <c r="AY129" s="311"/>
      <c r="AZ129" s="311"/>
      <c r="BA129" s="311"/>
      <c r="BB129" s="311"/>
      <c r="BC129" s="311"/>
      <c r="BD129" s="311"/>
      <c r="BE129" s="311"/>
      <c r="BF129" s="311"/>
      <c r="BG129" s="311"/>
      <c r="BH129" s="311"/>
      <c r="BI129" s="311"/>
      <c r="BJ129" s="311"/>
      <c r="BK129" s="311"/>
      <c r="BL129" s="311"/>
      <c r="BM129" s="311"/>
      <c r="BN129" s="311"/>
      <c r="BO129" s="311"/>
      <c r="BP129" s="311"/>
      <c r="BQ129" s="311"/>
      <c r="BR129" s="311"/>
      <c r="BS129" s="311"/>
      <c r="BT129" s="311"/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  <c r="CJ129" s="311"/>
      <c r="CK129" s="311"/>
      <c r="CL129" s="311"/>
      <c r="CM129" s="311"/>
      <c r="CN129" s="311"/>
      <c r="CO129" s="311"/>
      <c r="CP129" s="311"/>
      <c r="CQ129" s="311"/>
      <c r="CR129" s="311"/>
      <c r="CS129" s="311"/>
      <c r="CT129" s="311"/>
      <c r="CU129" s="311"/>
      <c r="CV129" s="311"/>
      <c r="CW129" s="311"/>
      <c r="CX129" s="311"/>
      <c r="CY129" s="311"/>
    </row>
    <row r="130" spans="1:103" ht="57.6" x14ac:dyDescent="0.3">
      <c r="A130" s="297">
        <v>5060</v>
      </c>
      <c r="B130" s="289" t="s">
        <v>177</v>
      </c>
      <c r="C130" s="289" t="s">
        <v>201</v>
      </c>
      <c r="D130" s="289" t="s">
        <v>200</v>
      </c>
      <c r="E130" s="290">
        <v>33000</v>
      </c>
      <c r="F130" s="278">
        <v>43942</v>
      </c>
      <c r="G130" s="278">
        <v>44307</v>
      </c>
      <c r="H130" s="276"/>
      <c r="I130" s="266">
        <v>6.4</v>
      </c>
      <c r="J130" s="276"/>
      <c r="K130" s="276"/>
      <c r="L130" s="276"/>
      <c r="M130" s="276"/>
      <c r="N130" s="276"/>
      <c r="O130" s="275"/>
      <c r="P130" s="276"/>
      <c r="Q130" s="276"/>
      <c r="R130" s="276"/>
      <c r="S130" s="276">
        <v>52.8</v>
      </c>
      <c r="T130" s="276"/>
      <c r="U130" s="276"/>
      <c r="V130" s="276">
        <v>52.8</v>
      </c>
      <c r="W130" s="276">
        <v>181.86666666666665</v>
      </c>
      <c r="X130" s="266"/>
      <c r="Y130" s="276"/>
      <c r="Z130" s="276">
        <v>234.66666666666663</v>
      </c>
      <c r="AA130" s="276">
        <v>173.58904109589042</v>
      </c>
      <c r="AB130" s="266"/>
      <c r="AC130" s="276"/>
      <c r="AD130" s="276">
        <v>408.25570776255705</v>
      </c>
      <c r="AE130" s="314">
        <v>179.37534246575342</v>
      </c>
      <c r="AF130" s="314"/>
      <c r="AG130" s="314"/>
      <c r="AH130" s="314">
        <v>587.63105022831041</v>
      </c>
      <c r="AI130" s="319"/>
      <c r="AJ130" s="311"/>
      <c r="AK130" s="311"/>
      <c r="AL130" s="311"/>
      <c r="AM130" s="311"/>
      <c r="AN130" s="311"/>
      <c r="AO130" s="311"/>
      <c r="AP130" s="311"/>
      <c r="AQ130" s="311"/>
      <c r="AR130" s="311"/>
      <c r="AS130" s="311"/>
      <c r="AT130" s="311"/>
      <c r="AU130" s="311"/>
      <c r="AV130" s="311"/>
      <c r="AW130" s="311"/>
      <c r="AX130" s="311"/>
      <c r="AY130" s="311"/>
      <c r="AZ130" s="311"/>
      <c r="BA130" s="311"/>
      <c r="BB130" s="311"/>
      <c r="BC130" s="311"/>
      <c r="BD130" s="311"/>
      <c r="BE130" s="311"/>
      <c r="BF130" s="311"/>
      <c r="BG130" s="311"/>
      <c r="BH130" s="311"/>
      <c r="BI130" s="311"/>
      <c r="BJ130" s="311"/>
      <c r="BK130" s="311"/>
      <c r="BL130" s="311"/>
      <c r="BM130" s="311"/>
      <c r="BN130" s="311"/>
      <c r="BO130" s="311"/>
      <c r="BP130" s="311"/>
      <c r="BQ130" s="311"/>
      <c r="BR130" s="311"/>
      <c r="BS130" s="311"/>
      <c r="BT130" s="311"/>
      <c r="BU130" s="311"/>
      <c r="BV130" s="311"/>
      <c r="BW130" s="311"/>
      <c r="BX130" s="311"/>
      <c r="BY130" s="311"/>
      <c r="BZ130" s="311"/>
      <c r="CA130" s="311"/>
      <c r="CB130" s="311"/>
      <c r="CC130" s="311"/>
      <c r="CD130" s="311"/>
      <c r="CE130" s="311"/>
      <c r="CF130" s="311"/>
      <c r="CG130" s="311"/>
      <c r="CH130" s="311"/>
      <c r="CI130" s="311"/>
      <c r="CJ130" s="311"/>
      <c r="CK130" s="311"/>
      <c r="CL130" s="311"/>
      <c r="CM130" s="311"/>
      <c r="CN130" s="311"/>
      <c r="CO130" s="311"/>
      <c r="CP130" s="311"/>
      <c r="CQ130" s="311"/>
      <c r="CR130" s="311"/>
      <c r="CS130" s="311"/>
      <c r="CT130" s="311"/>
      <c r="CU130" s="311"/>
      <c r="CV130" s="311"/>
      <c r="CW130" s="311"/>
      <c r="CX130" s="311"/>
      <c r="CY130" s="311"/>
    </row>
    <row r="131" spans="1:103" ht="57.6" x14ac:dyDescent="0.3">
      <c r="A131" s="297">
        <v>5004</v>
      </c>
      <c r="B131" s="289" t="s">
        <v>174</v>
      </c>
      <c r="C131" s="289" t="s">
        <v>197</v>
      </c>
      <c r="D131" s="289" t="s">
        <v>199</v>
      </c>
      <c r="E131" s="290">
        <v>1050000</v>
      </c>
      <c r="F131" s="278">
        <v>43943</v>
      </c>
      <c r="G131" s="278">
        <v>44308</v>
      </c>
      <c r="H131" s="276"/>
      <c r="I131" s="266">
        <v>5.65</v>
      </c>
      <c r="J131" s="276"/>
      <c r="K131" s="276"/>
      <c r="L131" s="276"/>
      <c r="M131" s="276"/>
      <c r="N131" s="276"/>
      <c r="O131" s="275"/>
      <c r="P131" s="276"/>
      <c r="Q131" s="276"/>
      <c r="R131" s="276"/>
      <c r="S131" s="276">
        <v>1318.3333333333333</v>
      </c>
      <c r="T131" s="276"/>
      <c r="U131" s="276"/>
      <c r="V131" s="276">
        <v>1318.3333333333333</v>
      </c>
      <c r="W131" s="276">
        <v>5108.5416666666661</v>
      </c>
      <c r="X131" s="266"/>
      <c r="Y131" s="276"/>
      <c r="Z131" s="276">
        <v>6426.8749999999991</v>
      </c>
      <c r="AA131" s="276">
        <v>4876.0273972602745</v>
      </c>
      <c r="AB131" s="266"/>
      <c r="AC131" s="276"/>
      <c r="AD131" s="276">
        <v>11302.902397260274</v>
      </c>
      <c r="AE131" s="314">
        <v>5038.5616438356165</v>
      </c>
      <c r="AF131" s="314"/>
      <c r="AG131" s="314"/>
      <c r="AH131" s="314">
        <v>16341.464041095889</v>
      </c>
      <c r="AI131" s="319"/>
      <c r="AJ131" s="311"/>
      <c r="AK131" s="311"/>
      <c r="AL131" s="311"/>
      <c r="AM131" s="311"/>
      <c r="AN131" s="311"/>
      <c r="AO131" s="311"/>
      <c r="AP131" s="311"/>
      <c r="AQ131" s="311"/>
      <c r="AR131" s="311"/>
      <c r="AS131" s="311"/>
      <c r="AT131" s="311"/>
      <c r="AU131" s="311"/>
      <c r="AV131" s="311"/>
      <c r="AW131" s="311"/>
      <c r="AX131" s="311"/>
      <c r="AY131" s="311"/>
      <c r="AZ131" s="311"/>
      <c r="BA131" s="311"/>
      <c r="BB131" s="311"/>
      <c r="BC131" s="311"/>
      <c r="BD131" s="311"/>
      <c r="BE131" s="311"/>
      <c r="BF131" s="311"/>
      <c r="BG131" s="311"/>
      <c r="BH131" s="311"/>
      <c r="BI131" s="311"/>
      <c r="BJ131" s="311"/>
      <c r="BK131" s="311"/>
      <c r="BL131" s="311"/>
      <c r="BM131" s="311"/>
      <c r="BN131" s="311"/>
      <c r="BO131" s="311"/>
      <c r="BP131" s="311"/>
      <c r="BQ131" s="311"/>
      <c r="BR131" s="311"/>
      <c r="BS131" s="311"/>
      <c r="BT131" s="311"/>
      <c r="BU131" s="311"/>
      <c r="BV131" s="311"/>
      <c r="BW131" s="311"/>
      <c r="BX131" s="311"/>
      <c r="BY131" s="311"/>
      <c r="BZ131" s="311"/>
      <c r="CA131" s="311"/>
      <c r="CB131" s="311"/>
      <c r="CC131" s="311"/>
      <c r="CD131" s="311"/>
      <c r="CE131" s="311"/>
      <c r="CF131" s="311"/>
      <c r="CG131" s="311"/>
      <c r="CH131" s="311"/>
      <c r="CI131" s="311"/>
      <c r="CJ131" s="311"/>
      <c r="CK131" s="311"/>
      <c r="CL131" s="311"/>
      <c r="CM131" s="311"/>
      <c r="CN131" s="311"/>
      <c r="CO131" s="311"/>
      <c r="CP131" s="311"/>
      <c r="CQ131" s="311"/>
      <c r="CR131" s="311"/>
      <c r="CS131" s="311"/>
      <c r="CT131" s="311"/>
      <c r="CU131" s="311"/>
      <c r="CV131" s="311"/>
      <c r="CW131" s="311"/>
      <c r="CX131" s="311"/>
      <c r="CY131" s="311"/>
    </row>
    <row r="132" spans="1:103" ht="57.6" x14ac:dyDescent="0.3">
      <c r="A132" s="297">
        <v>5057</v>
      </c>
      <c r="B132" s="289" t="s">
        <v>74</v>
      </c>
      <c r="C132" s="289" t="s">
        <v>195</v>
      </c>
      <c r="D132" s="289" t="s">
        <v>194</v>
      </c>
      <c r="E132" s="290">
        <v>100000</v>
      </c>
      <c r="F132" s="278">
        <v>43946</v>
      </c>
      <c r="G132" s="278">
        <v>44311</v>
      </c>
      <c r="H132" s="276"/>
      <c r="I132" s="266">
        <v>3.4</v>
      </c>
      <c r="J132" s="276"/>
      <c r="K132" s="276"/>
      <c r="L132" s="276"/>
      <c r="M132" s="276"/>
      <c r="N132" s="276"/>
      <c r="O132" s="275"/>
      <c r="P132" s="276"/>
      <c r="Q132" s="276"/>
      <c r="R132" s="276"/>
      <c r="S132" s="276">
        <v>47.222222222222229</v>
      </c>
      <c r="T132" s="276"/>
      <c r="U132" s="276"/>
      <c r="V132" s="276">
        <v>47.222222222222229</v>
      </c>
      <c r="W132" s="276">
        <v>292.77777777777783</v>
      </c>
      <c r="X132" s="266"/>
      <c r="Y132" s="276"/>
      <c r="Z132" s="276">
        <v>340.00000000000006</v>
      </c>
      <c r="AA132" s="276">
        <v>279.45205479452062</v>
      </c>
      <c r="AB132" s="266"/>
      <c r="AC132" s="276"/>
      <c r="AD132" s="276">
        <v>619.45205479452068</v>
      </c>
      <c r="AE132" s="314">
        <v>288.76712328767127</v>
      </c>
      <c r="AF132" s="314"/>
      <c r="AG132" s="314"/>
      <c r="AH132" s="314">
        <v>908.219178082192</v>
      </c>
      <c r="AI132" s="319"/>
      <c r="AJ132" s="311"/>
      <c r="AK132" s="311"/>
      <c r="AL132" s="311"/>
      <c r="AM132" s="311"/>
      <c r="AN132" s="311"/>
      <c r="AO132" s="311"/>
      <c r="AP132" s="311"/>
      <c r="AQ132" s="311"/>
      <c r="AR132" s="311"/>
      <c r="AS132" s="311"/>
      <c r="AT132" s="311"/>
      <c r="AU132" s="311"/>
      <c r="AV132" s="311"/>
      <c r="AW132" s="311"/>
      <c r="AX132" s="311"/>
      <c r="AY132" s="311"/>
      <c r="AZ132" s="311"/>
      <c r="BA132" s="311"/>
      <c r="BB132" s="311"/>
      <c r="BC132" s="311"/>
      <c r="BD132" s="311"/>
      <c r="BE132" s="311"/>
      <c r="BF132" s="311"/>
      <c r="BG132" s="311"/>
      <c r="BH132" s="311"/>
      <c r="BI132" s="311"/>
      <c r="BJ132" s="311"/>
      <c r="BK132" s="311"/>
      <c r="BL132" s="311"/>
      <c r="BM132" s="311"/>
      <c r="BN132" s="311"/>
      <c r="BO132" s="311"/>
      <c r="BP132" s="311"/>
      <c r="BQ132" s="311"/>
      <c r="BR132" s="311"/>
      <c r="BS132" s="311"/>
      <c r="BT132" s="311"/>
      <c r="BU132" s="311"/>
      <c r="BV132" s="311"/>
      <c r="BW132" s="311"/>
      <c r="BX132" s="311"/>
      <c r="BY132" s="311"/>
      <c r="BZ132" s="311"/>
      <c r="CA132" s="311"/>
      <c r="CB132" s="311"/>
      <c r="CC132" s="311"/>
      <c r="CD132" s="311"/>
      <c r="CE132" s="311"/>
      <c r="CF132" s="311"/>
      <c r="CG132" s="311"/>
      <c r="CH132" s="311"/>
      <c r="CI132" s="311"/>
      <c r="CJ132" s="311"/>
      <c r="CK132" s="311"/>
      <c r="CL132" s="311"/>
      <c r="CM132" s="311"/>
      <c r="CN132" s="311"/>
      <c r="CO132" s="311"/>
      <c r="CP132" s="311"/>
      <c r="CQ132" s="311"/>
      <c r="CR132" s="311"/>
      <c r="CS132" s="311"/>
      <c r="CT132" s="311"/>
      <c r="CU132" s="311"/>
      <c r="CV132" s="311"/>
      <c r="CW132" s="311"/>
      <c r="CX132" s="311"/>
      <c r="CY132" s="311"/>
    </row>
    <row r="133" spans="1:103" ht="57.6" x14ac:dyDescent="0.3">
      <c r="A133" s="297">
        <v>5063</v>
      </c>
      <c r="B133" s="289" t="s">
        <v>77</v>
      </c>
      <c r="C133" s="289" t="s">
        <v>193</v>
      </c>
      <c r="D133" s="289" t="s">
        <v>192</v>
      </c>
      <c r="E133" s="290">
        <v>191200</v>
      </c>
      <c r="F133" s="278">
        <v>43948</v>
      </c>
      <c r="G133" s="278">
        <v>44312</v>
      </c>
      <c r="H133" s="276"/>
      <c r="I133" s="266">
        <v>5.4</v>
      </c>
      <c r="J133" s="276"/>
      <c r="K133" s="276"/>
      <c r="L133" s="276"/>
      <c r="M133" s="276"/>
      <c r="N133" s="276"/>
      <c r="O133" s="275"/>
      <c r="P133" s="276"/>
      <c r="Q133" s="276"/>
      <c r="R133" s="276"/>
      <c r="S133" s="276">
        <v>86.04</v>
      </c>
      <c r="T133" s="276"/>
      <c r="U133" s="276"/>
      <c r="V133" s="276">
        <v>86.04</v>
      </c>
      <c r="W133" s="276">
        <v>889.08000000000015</v>
      </c>
      <c r="X133" s="266"/>
      <c r="Y133" s="276"/>
      <c r="Z133" s="276">
        <v>975.12000000000012</v>
      </c>
      <c r="AA133" s="276">
        <v>848.61369863013704</v>
      </c>
      <c r="AB133" s="266"/>
      <c r="AC133" s="276"/>
      <c r="AD133" s="276">
        <v>1823.733698630137</v>
      </c>
      <c r="AE133" s="314">
        <v>876.90082191780834</v>
      </c>
      <c r="AF133" s="314"/>
      <c r="AG133" s="314"/>
      <c r="AH133" s="314">
        <v>2700.6345205479456</v>
      </c>
      <c r="AI133" s="319"/>
      <c r="AJ133" s="311"/>
      <c r="AK133" s="311"/>
      <c r="AL133" s="311"/>
      <c r="AM133" s="311"/>
      <c r="AN133" s="311"/>
      <c r="AO133" s="311"/>
      <c r="AP133" s="311"/>
      <c r="AQ133" s="311"/>
      <c r="AR133" s="311"/>
      <c r="AS133" s="311"/>
      <c r="AT133" s="311"/>
      <c r="AU133" s="311"/>
      <c r="AV133" s="311"/>
      <c r="AW133" s="311"/>
      <c r="AX133" s="311"/>
      <c r="AY133" s="311"/>
      <c r="AZ133" s="311"/>
      <c r="BA133" s="311"/>
      <c r="BB133" s="311"/>
      <c r="BC133" s="311"/>
      <c r="BD133" s="311"/>
      <c r="BE133" s="311"/>
      <c r="BF133" s="311"/>
      <c r="BG133" s="311"/>
      <c r="BH133" s="311"/>
      <c r="BI133" s="311"/>
      <c r="BJ133" s="311"/>
      <c r="BK133" s="311"/>
      <c r="BL133" s="311"/>
      <c r="BM133" s="311"/>
      <c r="BN133" s="311"/>
      <c r="BO133" s="311"/>
      <c r="BP133" s="311"/>
      <c r="BQ133" s="311"/>
      <c r="BR133" s="311"/>
      <c r="BS133" s="311"/>
      <c r="BT133" s="311"/>
      <c r="BU133" s="311"/>
      <c r="BV133" s="311"/>
      <c r="BW133" s="311"/>
      <c r="BX133" s="311"/>
      <c r="BY133" s="311"/>
      <c r="BZ133" s="311"/>
      <c r="CA133" s="311"/>
      <c r="CB133" s="311"/>
      <c r="CC133" s="311"/>
      <c r="CD133" s="311"/>
      <c r="CE133" s="311"/>
      <c r="CF133" s="311"/>
      <c r="CG133" s="311"/>
      <c r="CH133" s="311"/>
      <c r="CI133" s="311"/>
      <c r="CJ133" s="311"/>
      <c r="CK133" s="311"/>
      <c r="CL133" s="311"/>
      <c r="CM133" s="311"/>
      <c r="CN133" s="311"/>
      <c r="CO133" s="311"/>
      <c r="CP133" s="311"/>
      <c r="CQ133" s="311"/>
      <c r="CR133" s="311"/>
      <c r="CS133" s="311"/>
      <c r="CT133" s="311"/>
      <c r="CU133" s="311"/>
      <c r="CV133" s="311"/>
      <c r="CW133" s="311"/>
      <c r="CX133" s="311"/>
      <c r="CY133" s="311"/>
    </row>
    <row r="134" spans="1:103" ht="57.6" x14ac:dyDescent="0.3">
      <c r="A134" s="297">
        <v>5060</v>
      </c>
      <c r="B134" s="289" t="s">
        <v>177</v>
      </c>
      <c r="C134" s="289" t="s">
        <v>191</v>
      </c>
      <c r="D134" s="289" t="s">
        <v>190</v>
      </c>
      <c r="E134" s="290">
        <v>20000</v>
      </c>
      <c r="F134" s="278">
        <v>43946</v>
      </c>
      <c r="G134" s="278">
        <v>44311</v>
      </c>
      <c r="H134" s="276"/>
      <c r="I134" s="266">
        <v>6</v>
      </c>
      <c r="J134" s="276"/>
      <c r="K134" s="276"/>
      <c r="L134" s="276"/>
      <c r="M134" s="276"/>
      <c r="N134" s="276"/>
      <c r="O134" s="275"/>
      <c r="P134" s="276"/>
      <c r="Q134" s="276"/>
      <c r="R134" s="276"/>
      <c r="S134" s="276">
        <v>16.666666666666668</v>
      </c>
      <c r="T134" s="276"/>
      <c r="U134" s="276"/>
      <c r="V134" s="276">
        <v>16.666666666666668</v>
      </c>
      <c r="W134" s="276">
        <v>103.33333333333334</v>
      </c>
      <c r="X134" s="266"/>
      <c r="Y134" s="276"/>
      <c r="Z134" s="276">
        <v>120.00000000000001</v>
      </c>
      <c r="AA134" s="276">
        <v>98.630136986301366</v>
      </c>
      <c r="AB134" s="266"/>
      <c r="AC134" s="276"/>
      <c r="AD134" s="276">
        <v>218.63013698630138</v>
      </c>
      <c r="AE134" s="314">
        <v>101.91780821917807</v>
      </c>
      <c r="AF134" s="314"/>
      <c r="AG134" s="314"/>
      <c r="AH134" s="314">
        <v>320.54794520547944</v>
      </c>
      <c r="AI134" s="319"/>
      <c r="AJ134" s="311"/>
      <c r="AK134" s="311"/>
      <c r="AL134" s="311"/>
      <c r="AM134" s="311"/>
      <c r="AN134" s="311"/>
      <c r="AO134" s="311"/>
      <c r="AP134" s="311"/>
      <c r="AQ134" s="311"/>
      <c r="AR134" s="311"/>
      <c r="AS134" s="311"/>
      <c r="AT134" s="311"/>
      <c r="AU134" s="311"/>
      <c r="AV134" s="311"/>
      <c r="AW134" s="311"/>
      <c r="AX134" s="311"/>
      <c r="AY134" s="311"/>
      <c r="AZ134" s="311"/>
      <c r="BA134" s="311"/>
      <c r="BB134" s="311"/>
      <c r="BC134" s="311"/>
      <c r="BD134" s="311"/>
      <c r="BE134" s="311"/>
      <c r="BF134" s="311"/>
      <c r="BG134" s="311"/>
      <c r="BH134" s="311"/>
      <c r="BI134" s="311"/>
      <c r="BJ134" s="311"/>
      <c r="BK134" s="311"/>
      <c r="BL134" s="311"/>
      <c r="BM134" s="311"/>
      <c r="BN134" s="311"/>
      <c r="BO134" s="311"/>
      <c r="BP134" s="311"/>
      <c r="BQ134" s="311"/>
      <c r="BR134" s="311"/>
      <c r="BS134" s="311"/>
      <c r="BT134" s="311"/>
      <c r="BU134" s="311"/>
      <c r="BV134" s="311"/>
      <c r="BW134" s="311"/>
      <c r="BX134" s="311"/>
      <c r="BY134" s="311"/>
      <c r="BZ134" s="311"/>
      <c r="CA134" s="311"/>
      <c r="CB134" s="311"/>
      <c r="CC134" s="311"/>
      <c r="CD134" s="311"/>
      <c r="CE134" s="311"/>
      <c r="CF134" s="311"/>
      <c r="CG134" s="311"/>
      <c r="CH134" s="311"/>
      <c r="CI134" s="311"/>
      <c r="CJ134" s="311"/>
      <c r="CK134" s="311"/>
      <c r="CL134" s="311"/>
      <c r="CM134" s="311"/>
      <c r="CN134" s="311"/>
      <c r="CO134" s="311"/>
      <c r="CP134" s="311"/>
      <c r="CQ134" s="311"/>
      <c r="CR134" s="311"/>
      <c r="CS134" s="311"/>
      <c r="CT134" s="311"/>
      <c r="CU134" s="311"/>
      <c r="CV134" s="311"/>
      <c r="CW134" s="311"/>
      <c r="CX134" s="311"/>
      <c r="CY134" s="311"/>
    </row>
    <row r="135" spans="1:103" ht="57.6" x14ac:dyDescent="0.3">
      <c r="A135" s="299">
        <v>5060</v>
      </c>
      <c r="B135" s="291" t="s">
        <v>177</v>
      </c>
      <c r="C135" s="291" t="s">
        <v>189</v>
      </c>
      <c r="D135" s="291" t="s">
        <v>188</v>
      </c>
      <c r="E135" s="292">
        <v>60000</v>
      </c>
      <c r="F135" s="278">
        <v>43946</v>
      </c>
      <c r="G135" s="278">
        <v>44311</v>
      </c>
      <c r="H135" s="276"/>
      <c r="I135" s="266">
        <v>6</v>
      </c>
      <c r="J135" s="276"/>
      <c r="K135" s="276"/>
      <c r="L135" s="276"/>
      <c r="M135" s="276"/>
      <c r="N135" s="276"/>
      <c r="O135" s="275"/>
      <c r="P135" s="276"/>
      <c r="Q135" s="276"/>
      <c r="R135" s="276"/>
      <c r="S135" s="276">
        <v>50</v>
      </c>
      <c r="T135" s="276"/>
      <c r="U135" s="276"/>
      <c r="V135" s="276">
        <v>50</v>
      </c>
      <c r="W135" s="276">
        <v>310</v>
      </c>
      <c r="X135" s="266"/>
      <c r="Y135" s="276"/>
      <c r="Z135" s="276">
        <v>360</v>
      </c>
      <c r="AA135" s="276">
        <v>295.89041095890411</v>
      </c>
      <c r="AB135" s="266"/>
      <c r="AC135" s="276"/>
      <c r="AD135" s="276">
        <v>655.89041095890411</v>
      </c>
      <c r="AE135" s="314">
        <v>305.75342465753425</v>
      </c>
      <c r="AF135" s="314"/>
      <c r="AG135" s="314"/>
      <c r="AH135" s="314">
        <v>961.64383561643831</v>
      </c>
      <c r="AI135" s="319"/>
      <c r="AJ135" s="311"/>
      <c r="AK135" s="311"/>
      <c r="AL135" s="311"/>
      <c r="AM135" s="311"/>
      <c r="AN135" s="311"/>
      <c r="AO135" s="311"/>
      <c r="AP135" s="311"/>
      <c r="AQ135" s="311"/>
      <c r="AR135" s="311"/>
      <c r="AS135" s="311"/>
      <c r="AT135" s="311"/>
      <c r="AU135" s="311"/>
      <c r="AV135" s="311"/>
      <c r="AW135" s="311"/>
      <c r="AX135" s="311"/>
      <c r="AY135" s="311"/>
      <c r="AZ135" s="311"/>
      <c r="BA135" s="311"/>
      <c r="BB135" s="311"/>
      <c r="BC135" s="311"/>
      <c r="BD135" s="311"/>
      <c r="BE135" s="311"/>
      <c r="BF135" s="311"/>
      <c r="BG135" s="311"/>
      <c r="BH135" s="311"/>
      <c r="BI135" s="311"/>
      <c r="BJ135" s="311"/>
      <c r="BK135" s="311"/>
      <c r="BL135" s="311"/>
      <c r="BM135" s="311"/>
      <c r="BN135" s="311"/>
      <c r="BO135" s="311"/>
      <c r="BP135" s="311"/>
      <c r="BQ135" s="311"/>
      <c r="BR135" s="311"/>
      <c r="BS135" s="311"/>
      <c r="BT135" s="311"/>
      <c r="BU135" s="311"/>
      <c r="BV135" s="311"/>
      <c r="BW135" s="311"/>
      <c r="BX135" s="311"/>
      <c r="BY135" s="311"/>
      <c r="BZ135" s="311"/>
      <c r="CA135" s="311"/>
      <c r="CB135" s="311"/>
      <c r="CC135" s="311"/>
      <c r="CD135" s="311"/>
      <c r="CE135" s="311"/>
      <c r="CF135" s="311"/>
      <c r="CG135" s="311"/>
      <c r="CH135" s="311"/>
      <c r="CI135" s="311"/>
      <c r="CJ135" s="311"/>
      <c r="CK135" s="311"/>
      <c r="CL135" s="311"/>
      <c r="CM135" s="311"/>
      <c r="CN135" s="311"/>
      <c r="CO135" s="311"/>
      <c r="CP135" s="311"/>
      <c r="CQ135" s="311"/>
      <c r="CR135" s="311"/>
      <c r="CS135" s="311"/>
      <c r="CT135" s="311"/>
      <c r="CU135" s="311"/>
      <c r="CV135" s="311"/>
      <c r="CW135" s="311"/>
      <c r="CX135" s="311"/>
      <c r="CY135" s="311"/>
    </row>
    <row r="136" spans="1:103" ht="57.6" x14ac:dyDescent="0.3">
      <c r="A136" s="299">
        <v>5060</v>
      </c>
      <c r="B136" s="291" t="s">
        <v>177</v>
      </c>
      <c r="C136" s="291" t="s">
        <v>187</v>
      </c>
      <c r="D136" s="291" t="s">
        <v>186</v>
      </c>
      <c r="E136" s="292">
        <v>87995</v>
      </c>
      <c r="F136" s="278">
        <v>43946</v>
      </c>
      <c r="G136" s="278">
        <v>44311</v>
      </c>
      <c r="H136" s="276"/>
      <c r="I136" s="266">
        <v>6</v>
      </c>
      <c r="J136" s="276"/>
      <c r="K136" s="276"/>
      <c r="L136" s="276"/>
      <c r="M136" s="276"/>
      <c r="N136" s="276"/>
      <c r="O136" s="275"/>
      <c r="P136" s="276"/>
      <c r="Q136" s="276"/>
      <c r="R136" s="276"/>
      <c r="S136" s="276">
        <v>73.329166666666666</v>
      </c>
      <c r="T136" s="276"/>
      <c r="U136" s="276"/>
      <c r="V136" s="276">
        <v>73.329166666666666</v>
      </c>
      <c r="W136" s="276">
        <v>454.64083333333332</v>
      </c>
      <c r="X136" s="266"/>
      <c r="Y136" s="276"/>
      <c r="Z136" s="276">
        <v>527.97</v>
      </c>
      <c r="AA136" s="276">
        <v>433.94794520547941</v>
      </c>
      <c r="AB136" s="266"/>
      <c r="AC136" s="276"/>
      <c r="AD136" s="276">
        <v>961.91794520547944</v>
      </c>
      <c r="AE136" s="314">
        <v>448.41287671232874</v>
      </c>
      <c r="AF136" s="314"/>
      <c r="AG136" s="314"/>
      <c r="AH136" s="314">
        <v>1410.3308219178082</v>
      </c>
      <c r="AI136" s="319"/>
      <c r="AJ136" s="311"/>
      <c r="AK136" s="311"/>
      <c r="AL136" s="311"/>
      <c r="AM136" s="311"/>
      <c r="AN136" s="311"/>
      <c r="AO136" s="311"/>
      <c r="AP136" s="311"/>
      <c r="AQ136" s="311"/>
      <c r="AR136" s="311"/>
      <c r="AS136" s="311"/>
      <c r="AT136" s="311"/>
      <c r="AU136" s="311"/>
      <c r="AV136" s="311"/>
      <c r="AW136" s="311"/>
      <c r="AX136" s="311"/>
      <c r="AY136" s="311"/>
      <c r="AZ136" s="311"/>
      <c r="BA136" s="311"/>
      <c r="BB136" s="311"/>
      <c r="BC136" s="311"/>
      <c r="BD136" s="311"/>
      <c r="BE136" s="311"/>
      <c r="BF136" s="311"/>
      <c r="BG136" s="311"/>
      <c r="BH136" s="311"/>
      <c r="BI136" s="311"/>
      <c r="BJ136" s="311"/>
      <c r="BK136" s="311"/>
      <c r="BL136" s="311"/>
      <c r="BM136" s="311"/>
      <c r="BN136" s="311"/>
      <c r="BO136" s="311"/>
      <c r="BP136" s="311"/>
      <c r="BQ136" s="311"/>
      <c r="BR136" s="311"/>
      <c r="BS136" s="311"/>
      <c r="BT136" s="311"/>
      <c r="BU136" s="311"/>
      <c r="BV136" s="311"/>
      <c r="BW136" s="311"/>
      <c r="BX136" s="311"/>
      <c r="BY136" s="311"/>
      <c r="BZ136" s="311"/>
      <c r="CA136" s="311"/>
      <c r="CB136" s="311"/>
      <c r="CC136" s="311"/>
      <c r="CD136" s="311"/>
      <c r="CE136" s="311"/>
      <c r="CF136" s="311"/>
      <c r="CG136" s="311"/>
      <c r="CH136" s="311"/>
      <c r="CI136" s="311"/>
      <c r="CJ136" s="311"/>
      <c r="CK136" s="311"/>
      <c r="CL136" s="311"/>
      <c r="CM136" s="311"/>
      <c r="CN136" s="311"/>
      <c r="CO136" s="311"/>
      <c r="CP136" s="311"/>
      <c r="CQ136" s="311"/>
      <c r="CR136" s="311"/>
      <c r="CS136" s="311"/>
      <c r="CT136" s="311"/>
      <c r="CU136" s="311"/>
      <c r="CV136" s="311"/>
      <c r="CW136" s="311"/>
      <c r="CX136" s="311"/>
      <c r="CY136" s="311"/>
    </row>
    <row r="137" spans="1:103" ht="57.6" x14ac:dyDescent="0.3">
      <c r="A137" s="299">
        <v>5060</v>
      </c>
      <c r="B137" s="291" t="s">
        <v>177</v>
      </c>
      <c r="C137" s="291" t="s">
        <v>185</v>
      </c>
      <c r="D137" s="291" t="s">
        <v>184</v>
      </c>
      <c r="E137" s="292">
        <v>17500</v>
      </c>
      <c r="F137" s="278">
        <v>43946</v>
      </c>
      <c r="G137" s="278">
        <v>44311</v>
      </c>
      <c r="H137" s="276"/>
      <c r="I137" s="266">
        <v>6</v>
      </c>
      <c r="J137" s="276"/>
      <c r="K137" s="276"/>
      <c r="L137" s="276"/>
      <c r="M137" s="276"/>
      <c r="N137" s="276"/>
      <c r="O137" s="275"/>
      <c r="P137" s="276"/>
      <c r="Q137" s="276"/>
      <c r="R137" s="276"/>
      <c r="S137" s="276">
        <v>14.583333333333332</v>
      </c>
      <c r="T137" s="276"/>
      <c r="U137" s="276"/>
      <c r="V137" s="276">
        <v>14.583333333333332</v>
      </c>
      <c r="W137" s="276">
        <v>90.416666666666657</v>
      </c>
      <c r="X137" s="266"/>
      <c r="Y137" s="276"/>
      <c r="Z137" s="276">
        <v>104.99999999999999</v>
      </c>
      <c r="AA137" s="276">
        <v>86.30136986301369</v>
      </c>
      <c r="AB137" s="266"/>
      <c r="AC137" s="276"/>
      <c r="AD137" s="276">
        <v>191.30136986301369</v>
      </c>
      <c r="AE137" s="314">
        <v>89.178082191780817</v>
      </c>
      <c r="AF137" s="314"/>
      <c r="AG137" s="314"/>
      <c r="AH137" s="314">
        <v>280.47945205479448</v>
      </c>
      <c r="AI137" s="319"/>
      <c r="AJ137" s="311"/>
      <c r="AK137" s="311"/>
      <c r="AL137" s="311"/>
      <c r="AM137" s="311"/>
      <c r="AN137" s="311"/>
      <c r="AO137" s="311"/>
      <c r="AP137" s="311"/>
      <c r="AQ137" s="311"/>
      <c r="AR137" s="311"/>
      <c r="AS137" s="311"/>
      <c r="AT137" s="311"/>
      <c r="AU137" s="311"/>
      <c r="AV137" s="311"/>
      <c r="AW137" s="311"/>
      <c r="AX137" s="311"/>
      <c r="AY137" s="311"/>
      <c r="AZ137" s="311"/>
      <c r="BA137" s="311"/>
      <c r="BB137" s="311"/>
      <c r="BC137" s="311"/>
      <c r="BD137" s="311"/>
      <c r="BE137" s="311"/>
      <c r="BF137" s="311"/>
      <c r="BG137" s="311"/>
      <c r="BH137" s="311"/>
      <c r="BI137" s="311"/>
      <c r="BJ137" s="311"/>
      <c r="BK137" s="311"/>
      <c r="BL137" s="311"/>
      <c r="BM137" s="311"/>
      <c r="BN137" s="311"/>
      <c r="BO137" s="311"/>
      <c r="BP137" s="311"/>
      <c r="BQ137" s="311"/>
      <c r="BR137" s="311"/>
      <c r="BS137" s="311"/>
      <c r="BT137" s="311"/>
      <c r="BU137" s="311"/>
      <c r="BV137" s="311"/>
      <c r="BW137" s="311"/>
      <c r="BX137" s="311"/>
      <c r="BY137" s="311"/>
      <c r="BZ137" s="311"/>
      <c r="CA137" s="311"/>
      <c r="CB137" s="311"/>
      <c r="CC137" s="311"/>
      <c r="CD137" s="311"/>
      <c r="CE137" s="311"/>
      <c r="CF137" s="311"/>
      <c r="CG137" s="311"/>
      <c r="CH137" s="311"/>
      <c r="CI137" s="311"/>
      <c r="CJ137" s="311"/>
      <c r="CK137" s="311"/>
      <c r="CL137" s="311"/>
      <c r="CM137" s="311"/>
      <c r="CN137" s="311"/>
      <c r="CO137" s="311"/>
      <c r="CP137" s="311"/>
      <c r="CQ137" s="311"/>
      <c r="CR137" s="311"/>
      <c r="CS137" s="311"/>
      <c r="CT137" s="311"/>
      <c r="CU137" s="311"/>
      <c r="CV137" s="311"/>
      <c r="CW137" s="311"/>
      <c r="CX137" s="311"/>
      <c r="CY137" s="311"/>
    </row>
    <row r="138" spans="1:103" ht="57.6" x14ac:dyDescent="0.3">
      <c r="A138" s="299">
        <v>5060</v>
      </c>
      <c r="B138" s="291" t="s">
        <v>177</v>
      </c>
      <c r="C138" s="291" t="s">
        <v>183</v>
      </c>
      <c r="D138" s="291" t="s">
        <v>182</v>
      </c>
      <c r="E138" s="292">
        <v>48500</v>
      </c>
      <c r="F138" s="278">
        <v>43946</v>
      </c>
      <c r="G138" s="278">
        <v>44311</v>
      </c>
      <c r="H138" s="276"/>
      <c r="I138" s="266">
        <v>6</v>
      </c>
      <c r="J138" s="276"/>
      <c r="K138" s="276"/>
      <c r="L138" s="276"/>
      <c r="M138" s="276"/>
      <c r="N138" s="276"/>
      <c r="O138" s="275"/>
      <c r="P138" s="276"/>
      <c r="Q138" s="276"/>
      <c r="R138" s="276"/>
      <c r="S138" s="276">
        <v>40.416666666666671</v>
      </c>
      <c r="T138" s="276"/>
      <c r="U138" s="276"/>
      <c r="V138" s="276">
        <v>40.416666666666671</v>
      </c>
      <c r="W138" s="276">
        <v>250.58333333333334</v>
      </c>
      <c r="X138" s="266"/>
      <c r="Y138" s="276"/>
      <c r="Z138" s="276">
        <v>291</v>
      </c>
      <c r="AA138" s="276">
        <v>239.17808219178082</v>
      </c>
      <c r="AB138" s="266"/>
      <c r="AC138" s="276"/>
      <c r="AD138" s="276">
        <v>530.17808219178085</v>
      </c>
      <c r="AE138" s="314">
        <v>247.15068493150685</v>
      </c>
      <c r="AF138" s="314"/>
      <c r="AG138" s="314"/>
      <c r="AH138" s="314">
        <v>777.32876712328766</v>
      </c>
      <c r="AI138" s="319"/>
      <c r="AJ138" s="311"/>
      <c r="AK138" s="311"/>
      <c r="AL138" s="311"/>
      <c r="AM138" s="311"/>
      <c r="AN138" s="311"/>
      <c r="AO138" s="311"/>
      <c r="AP138" s="311"/>
      <c r="AQ138" s="311"/>
      <c r="AR138" s="311"/>
      <c r="AS138" s="311"/>
      <c r="AT138" s="311"/>
      <c r="AU138" s="311"/>
      <c r="AV138" s="311"/>
      <c r="AW138" s="311"/>
      <c r="AX138" s="311"/>
      <c r="AY138" s="311"/>
      <c r="AZ138" s="311"/>
      <c r="BA138" s="311"/>
      <c r="BB138" s="311"/>
      <c r="BC138" s="311"/>
      <c r="BD138" s="311"/>
      <c r="BE138" s="311"/>
      <c r="BF138" s="311"/>
      <c r="BG138" s="311"/>
      <c r="BH138" s="311"/>
      <c r="BI138" s="311"/>
      <c r="BJ138" s="311"/>
      <c r="BK138" s="311"/>
      <c r="BL138" s="311"/>
      <c r="BM138" s="311"/>
      <c r="BN138" s="311"/>
      <c r="BO138" s="311"/>
      <c r="BP138" s="311"/>
      <c r="BQ138" s="311"/>
      <c r="BR138" s="311"/>
      <c r="BS138" s="311"/>
      <c r="BT138" s="311"/>
      <c r="BU138" s="311"/>
      <c r="BV138" s="311"/>
      <c r="BW138" s="311"/>
      <c r="BX138" s="311"/>
      <c r="BY138" s="311"/>
      <c r="BZ138" s="311"/>
      <c r="CA138" s="311"/>
      <c r="CB138" s="311"/>
      <c r="CC138" s="311"/>
      <c r="CD138" s="311"/>
      <c r="CE138" s="311"/>
      <c r="CF138" s="311"/>
      <c r="CG138" s="311"/>
      <c r="CH138" s="311"/>
      <c r="CI138" s="311"/>
      <c r="CJ138" s="311"/>
      <c r="CK138" s="311"/>
      <c r="CL138" s="311"/>
      <c r="CM138" s="311"/>
      <c r="CN138" s="311"/>
      <c r="CO138" s="311"/>
      <c r="CP138" s="311"/>
      <c r="CQ138" s="311"/>
      <c r="CR138" s="311"/>
      <c r="CS138" s="311"/>
      <c r="CT138" s="311"/>
      <c r="CU138" s="311"/>
      <c r="CV138" s="311"/>
      <c r="CW138" s="311"/>
      <c r="CX138" s="311"/>
      <c r="CY138" s="311"/>
    </row>
    <row r="139" spans="1:103" ht="57.6" x14ac:dyDescent="0.3">
      <c r="A139" s="299">
        <v>5060</v>
      </c>
      <c r="B139" s="291" t="s">
        <v>177</v>
      </c>
      <c r="C139" s="291" t="s">
        <v>181</v>
      </c>
      <c r="D139" s="291" t="s">
        <v>180</v>
      </c>
      <c r="E139" s="292">
        <v>100000</v>
      </c>
      <c r="F139" s="278">
        <v>43946</v>
      </c>
      <c r="G139" s="278">
        <v>44311</v>
      </c>
      <c r="H139" s="276"/>
      <c r="I139" s="266">
        <v>6</v>
      </c>
      <c r="J139" s="276"/>
      <c r="K139" s="276"/>
      <c r="L139" s="276"/>
      <c r="M139" s="276"/>
      <c r="N139" s="276"/>
      <c r="O139" s="275"/>
      <c r="P139" s="276"/>
      <c r="Q139" s="276"/>
      <c r="R139" s="276"/>
      <c r="S139" s="276">
        <v>83.333333333333343</v>
      </c>
      <c r="T139" s="276"/>
      <c r="U139" s="276"/>
      <c r="V139" s="276">
        <v>83.333333333333343</v>
      </c>
      <c r="W139" s="276">
        <v>516.66666666666674</v>
      </c>
      <c r="X139" s="266"/>
      <c r="Y139" s="276"/>
      <c r="Z139" s="276">
        <v>600.00000000000011</v>
      </c>
      <c r="AA139" s="276">
        <v>493.15068493150693</v>
      </c>
      <c r="AB139" s="266"/>
      <c r="AC139" s="276"/>
      <c r="AD139" s="276">
        <v>1093.1506849315069</v>
      </c>
      <c r="AE139" s="314">
        <v>509.58904109589048</v>
      </c>
      <c r="AF139" s="314"/>
      <c r="AG139" s="314"/>
      <c r="AH139" s="314">
        <v>1602.7397260273974</v>
      </c>
      <c r="AI139" s="319"/>
      <c r="AJ139" s="311"/>
      <c r="AK139" s="311"/>
      <c r="AL139" s="311"/>
      <c r="AM139" s="311"/>
      <c r="AN139" s="311"/>
      <c r="AO139" s="311"/>
      <c r="AP139" s="311"/>
      <c r="AQ139" s="311"/>
      <c r="AR139" s="311"/>
      <c r="AS139" s="311"/>
      <c r="AT139" s="311"/>
      <c r="AU139" s="311"/>
      <c r="AV139" s="311"/>
      <c r="AW139" s="311"/>
      <c r="AX139" s="311"/>
      <c r="AY139" s="311"/>
      <c r="AZ139" s="311"/>
      <c r="BA139" s="311"/>
      <c r="BB139" s="311"/>
      <c r="BC139" s="311"/>
      <c r="BD139" s="311"/>
      <c r="BE139" s="311"/>
      <c r="BF139" s="311"/>
      <c r="BG139" s="311"/>
      <c r="BH139" s="311"/>
      <c r="BI139" s="311"/>
      <c r="BJ139" s="311"/>
      <c r="BK139" s="311"/>
      <c r="BL139" s="311"/>
      <c r="BM139" s="311"/>
      <c r="BN139" s="311"/>
      <c r="BO139" s="311"/>
      <c r="BP139" s="311"/>
      <c r="BQ139" s="311"/>
      <c r="BR139" s="311"/>
      <c r="BS139" s="311"/>
      <c r="BT139" s="311"/>
      <c r="BU139" s="311"/>
      <c r="BV139" s="311"/>
      <c r="BW139" s="311"/>
      <c r="BX139" s="311"/>
      <c r="BY139" s="311"/>
      <c r="BZ139" s="311"/>
      <c r="CA139" s="311"/>
      <c r="CB139" s="311"/>
      <c r="CC139" s="311"/>
      <c r="CD139" s="311"/>
      <c r="CE139" s="311"/>
      <c r="CF139" s="311"/>
      <c r="CG139" s="311"/>
      <c r="CH139" s="311"/>
      <c r="CI139" s="311"/>
      <c r="CJ139" s="311"/>
      <c r="CK139" s="311"/>
      <c r="CL139" s="311"/>
      <c r="CM139" s="311"/>
      <c r="CN139" s="311"/>
      <c r="CO139" s="311"/>
      <c r="CP139" s="311"/>
      <c r="CQ139" s="311"/>
      <c r="CR139" s="311"/>
      <c r="CS139" s="311"/>
      <c r="CT139" s="311"/>
      <c r="CU139" s="311"/>
      <c r="CV139" s="311"/>
      <c r="CW139" s="311"/>
      <c r="CX139" s="311"/>
      <c r="CY139" s="311"/>
    </row>
    <row r="140" spans="1:103" ht="57.6" x14ac:dyDescent="0.3">
      <c r="A140" s="299">
        <v>5060</v>
      </c>
      <c r="B140" s="291" t="s">
        <v>177</v>
      </c>
      <c r="C140" s="291" t="s">
        <v>179</v>
      </c>
      <c r="D140" s="291" t="s">
        <v>178</v>
      </c>
      <c r="E140" s="292">
        <v>50000</v>
      </c>
      <c r="F140" s="278">
        <v>43946</v>
      </c>
      <c r="G140" s="278">
        <v>44311</v>
      </c>
      <c r="H140" s="276"/>
      <c r="I140" s="266">
        <v>6</v>
      </c>
      <c r="J140" s="276"/>
      <c r="K140" s="276"/>
      <c r="L140" s="276"/>
      <c r="M140" s="276"/>
      <c r="N140" s="276"/>
      <c r="O140" s="275"/>
      <c r="P140" s="276"/>
      <c r="Q140" s="276"/>
      <c r="R140" s="276"/>
      <c r="S140" s="276">
        <v>41.666666666666671</v>
      </c>
      <c r="T140" s="276"/>
      <c r="U140" s="276"/>
      <c r="V140" s="276">
        <v>41.666666666666671</v>
      </c>
      <c r="W140" s="276">
        <v>258.33333333333337</v>
      </c>
      <c r="X140" s="266"/>
      <c r="Y140" s="276"/>
      <c r="Z140" s="276">
        <v>300.00000000000006</v>
      </c>
      <c r="AA140" s="276">
        <v>246.57534246575347</v>
      </c>
      <c r="AB140" s="266"/>
      <c r="AC140" s="276"/>
      <c r="AD140" s="276">
        <v>546.57534246575347</v>
      </c>
      <c r="AE140" s="314">
        <v>254.79452054794524</v>
      </c>
      <c r="AF140" s="314"/>
      <c r="AG140" s="314"/>
      <c r="AH140" s="314">
        <v>801.3698630136987</v>
      </c>
      <c r="AI140" s="319"/>
      <c r="AJ140" s="311"/>
      <c r="AK140" s="311"/>
      <c r="AL140" s="311"/>
      <c r="AM140" s="311"/>
      <c r="AN140" s="311"/>
      <c r="AO140" s="311"/>
      <c r="AP140" s="311"/>
      <c r="AQ140" s="311"/>
      <c r="AR140" s="311"/>
      <c r="AS140" s="311"/>
      <c r="AT140" s="311"/>
      <c r="AU140" s="311"/>
      <c r="AV140" s="311"/>
      <c r="AW140" s="311"/>
      <c r="AX140" s="311"/>
      <c r="AY140" s="311"/>
      <c r="AZ140" s="311"/>
      <c r="BA140" s="311"/>
      <c r="BB140" s="311"/>
      <c r="BC140" s="311"/>
      <c r="BD140" s="311"/>
      <c r="BE140" s="311"/>
      <c r="BF140" s="311"/>
      <c r="BG140" s="311"/>
      <c r="BH140" s="311"/>
      <c r="BI140" s="311"/>
      <c r="BJ140" s="311"/>
      <c r="BK140" s="311"/>
      <c r="BL140" s="311"/>
      <c r="BM140" s="311"/>
      <c r="BN140" s="311"/>
      <c r="BO140" s="311"/>
      <c r="BP140" s="311"/>
      <c r="BQ140" s="311"/>
      <c r="BR140" s="311"/>
      <c r="BS140" s="311"/>
      <c r="BT140" s="311"/>
      <c r="BU140" s="311"/>
      <c r="BV140" s="311"/>
      <c r="BW140" s="311"/>
      <c r="BX140" s="311"/>
      <c r="BY140" s="311"/>
      <c r="BZ140" s="311"/>
      <c r="CA140" s="311"/>
      <c r="CB140" s="311"/>
      <c r="CC140" s="311"/>
      <c r="CD140" s="311"/>
      <c r="CE140" s="311"/>
      <c r="CF140" s="311"/>
      <c r="CG140" s="311"/>
      <c r="CH140" s="311"/>
      <c r="CI140" s="311"/>
      <c r="CJ140" s="311"/>
      <c r="CK140" s="311"/>
      <c r="CL140" s="311"/>
      <c r="CM140" s="311"/>
      <c r="CN140" s="311"/>
      <c r="CO140" s="311"/>
      <c r="CP140" s="311"/>
      <c r="CQ140" s="311"/>
      <c r="CR140" s="311"/>
      <c r="CS140" s="311"/>
      <c r="CT140" s="311"/>
      <c r="CU140" s="311"/>
      <c r="CV140" s="311"/>
      <c r="CW140" s="311"/>
      <c r="CX140" s="311"/>
      <c r="CY140" s="311"/>
    </row>
    <row r="141" spans="1:103" ht="57.6" x14ac:dyDescent="0.3">
      <c r="A141" s="299">
        <v>5060</v>
      </c>
      <c r="B141" s="291" t="s">
        <v>177</v>
      </c>
      <c r="C141" s="291" t="s">
        <v>176</v>
      </c>
      <c r="D141" s="291" t="s">
        <v>175</v>
      </c>
      <c r="E141" s="292">
        <v>50000</v>
      </c>
      <c r="F141" s="278">
        <v>43946</v>
      </c>
      <c r="G141" s="278">
        <v>44311</v>
      </c>
      <c r="H141" s="276"/>
      <c r="I141" s="266">
        <v>6</v>
      </c>
      <c r="J141" s="276"/>
      <c r="K141" s="276"/>
      <c r="L141" s="276"/>
      <c r="M141" s="276"/>
      <c r="N141" s="276"/>
      <c r="O141" s="275"/>
      <c r="P141" s="276"/>
      <c r="Q141" s="276"/>
      <c r="R141" s="276"/>
      <c r="S141" s="276">
        <v>41.666666666666671</v>
      </c>
      <c r="T141" s="276"/>
      <c r="U141" s="276"/>
      <c r="V141" s="276">
        <v>41.666666666666671</v>
      </c>
      <c r="W141" s="276">
        <v>258.33333333333337</v>
      </c>
      <c r="X141" s="266"/>
      <c r="Y141" s="276"/>
      <c r="Z141" s="276">
        <v>300.00000000000006</v>
      </c>
      <c r="AA141" s="276">
        <v>246.57534246575347</v>
      </c>
      <c r="AB141" s="266"/>
      <c r="AC141" s="276"/>
      <c r="AD141" s="276">
        <v>546.57534246575347</v>
      </c>
      <c r="AE141" s="314">
        <v>254.79452054794524</v>
      </c>
      <c r="AF141" s="314"/>
      <c r="AG141" s="314"/>
      <c r="AH141" s="314">
        <v>801.3698630136987</v>
      </c>
      <c r="AI141" s="319"/>
      <c r="AJ141" s="311"/>
      <c r="AK141" s="311"/>
      <c r="AL141" s="311"/>
      <c r="AM141" s="311"/>
      <c r="AN141" s="311"/>
      <c r="AO141" s="311"/>
      <c r="AP141" s="311"/>
      <c r="AQ141" s="311"/>
      <c r="AR141" s="311"/>
      <c r="AS141" s="311"/>
      <c r="AT141" s="311"/>
      <c r="AU141" s="311"/>
      <c r="AV141" s="311"/>
      <c r="AW141" s="311"/>
      <c r="AX141" s="311"/>
      <c r="AY141" s="311"/>
      <c r="AZ141" s="311"/>
      <c r="BA141" s="311"/>
      <c r="BB141" s="311"/>
      <c r="BC141" s="311"/>
      <c r="BD141" s="311"/>
      <c r="BE141" s="311"/>
      <c r="BF141" s="311"/>
      <c r="BG141" s="311"/>
      <c r="BH141" s="311"/>
      <c r="BI141" s="311"/>
      <c r="BJ141" s="311"/>
      <c r="BK141" s="311"/>
      <c r="BL141" s="311"/>
      <c r="BM141" s="311"/>
      <c r="BN141" s="311"/>
      <c r="BO141" s="311"/>
      <c r="BP141" s="311"/>
      <c r="BQ141" s="311"/>
      <c r="BR141" s="311"/>
      <c r="BS141" s="311"/>
      <c r="BT141" s="311"/>
      <c r="BU141" s="311"/>
      <c r="BV141" s="311"/>
      <c r="BW141" s="311"/>
      <c r="BX141" s="311"/>
      <c r="BY141" s="311"/>
      <c r="BZ141" s="311"/>
      <c r="CA141" s="311"/>
      <c r="CB141" s="311"/>
      <c r="CC141" s="311"/>
      <c r="CD141" s="311"/>
      <c r="CE141" s="311"/>
      <c r="CF141" s="311"/>
      <c r="CG141" s="311"/>
      <c r="CH141" s="311"/>
      <c r="CI141" s="311"/>
      <c r="CJ141" s="311"/>
      <c r="CK141" s="311"/>
      <c r="CL141" s="311"/>
      <c r="CM141" s="311"/>
      <c r="CN141" s="311"/>
      <c r="CO141" s="311"/>
      <c r="CP141" s="311"/>
      <c r="CQ141" s="311"/>
      <c r="CR141" s="311"/>
      <c r="CS141" s="311"/>
      <c r="CT141" s="311"/>
      <c r="CU141" s="311"/>
      <c r="CV141" s="311"/>
      <c r="CW141" s="311"/>
      <c r="CX141" s="311"/>
      <c r="CY141" s="311"/>
    </row>
    <row r="142" spans="1:103" ht="57.6" x14ac:dyDescent="0.3">
      <c r="A142" s="299">
        <v>5004</v>
      </c>
      <c r="B142" s="291" t="s">
        <v>174</v>
      </c>
      <c r="C142" s="291" t="s">
        <v>173</v>
      </c>
      <c r="D142" s="291" t="s">
        <v>172</v>
      </c>
      <c r="E142" s="292">
        <v>985000</v>
      </c>
      <c r="F142" s="278">
        <v>43950</v>
      </c>
      <c r="G142" s="278">
        <v>44315</v>
      </c>
      <c r="H142" s="276"/>
      <c r="I142" s="266">
        <v>6.15</v>
      </c>
      <c r="J142" s="276"/>
      <c r="K142" s="276"/>
      <c r="L142" s="276"/>
      <c r="M142" s="276"/>
      <c r="N142" s="276"/>
      <c r="O142" s="275"/>
      <c r="P142" s="276"/>
      <c r="Q142" s="276"/>
      <c r="R142" s="276"/>
      <c r="S142" s="276">
        <v>168.27083333333334</v>
      </c>
      <c r="T142" s="276"/>
      <c r="U142" s="276"/>
      <c r="V142" s="276">
        <v>168.27083333333334</v>
      </c>
      <c r="W142" s="276">
        <v>5216.3958333333339</v>
      </c>
      <c r="X142" s="266"/>
      <c r="Y142" s="276"/>
      <c r="Z142" s="276">
        <v>5384.666666666667</v>
      </c>
      <c r="AA142" s="276">
        <v>4978.9726027397264</v>
      </c>
      <c r="AB142" s="266"/>
      <c r="AC142" s="276"/>
      <c r="AD142" s="276">
        <v>10363.639269406394</v>
      </c>
      <c r="AE142" s="314">
        <v>5144.9383561643845</v>
      </c>
      <c r="AF142" s="314"/>
      <c r="AG142" s="314"/>
      <c r="AH142" s="314">
        <v>15508.577625570779</v>
      </c>
      <c r="AI142" s="319"/>
      <c r="AJ142" s="311"/>
      <c r="AK142" s="311"/>
      <c r="AL142" s="311"/>
      <c r="AM142" s="311"/>
      <c r="AN142" s="311"/>
      <c r="AO142" s="311"/>
      <c r="AP142" s="311"/>
      <c r="AQ142" s="311"/>
      <c r="AR142" s="311"/>
      <c r="AS142" s="311"/>
      <c r="AT142" s="311"/>
      <c r="AU142" s="311"/>
      <c r="AV142" s="311"/>
      <c r="AW142" s="311"/>
      <c r="AX142" s="311"/>
      <c r="AY142" s="311"/>
      <c r="AZ142" s="311"/>
      <c r="BA142" s="311"/>
      <c r="BB142" s="311"/>
      <c r="BC142" s="311"/>
      <c r="BD142" s="311"/>
      <c r="BE142" s="311"/>
      <c r="BF142" s="311"/>
      <c r="BG142" s="311"/>
      <c r="BH142" s="311"/>
      <c r="BI142" s="311"/>
      <c r="BJ142" s="311"/>
      <c r="BK142" s="311"/>
      <c r="BL142" s="311"/>
      <c r="BM142" s="311"/>
      <c r="BN142" s="311"/>
      <c r="BO142" s="311"/>
      <c r="BP142" s="311"/>
      <c r="BQ142" s="311"/>
      <c r="BR142" s="311"/>
      <c r="BS142" s="311"/>
      <c r="BT142" s="311"/>
      <c r="BU142" s="311"/>
      <c r="BV142" s="311"/>
      <c r="BW142" s="311"/>
      <c r="BX142" s="311"/>
      <c r="BY142" s="311"/>
      <c r="BZ142" s="311"/>
      <c r="CA142" s="311"/>
      <c r="CB142" s="311"/>
      <c r="CC142" s="311"/>
      <c r="CD142" s="311"/>
      <c r="CE142" s="311"/>
      <c r="CF142" s="311"/>
      <c r="CG142" s="311"/>
      <c r="CH142" s="311"/>
      <c r="CI142" s="311"/>
      <c r="CJ142" s="311"/>
      <c r="CK142" s="311"/>
      <c r="CL142" s="311"/>
      <c r="CM142" s="311"/>
      <c r="CN142" s="311"/>
      <c r="CO142" s="311"/>
      <c r="CP142" s="311"/>
      <c r="CQ142" s="311"/>
      <c r="CR142" s="311"/>
      <c r="CS142" s="311"/>
      <c r="CT142" s="311"/>
      <c r="CU142" s="311"/>
      <c r="CV142" s="311"/>
      <c r="CW142" s="311"/>
      <c r="CX142" s="311"/>
      <c r="CY142" s="311"/>
    </row>
    <row r="143" spans="1:103" x14ac:dyDescent="0.3">
      <c r="A143" s="296">
        <v>5063</v>
      </c>
      <c r="B143" s="275" t="s">
        <v>13</v>
      </c>
      <c r="C143" s="275" t="s">
        <v>171</v>
      </c>
      <c r="D143" s="275" t="s">
        <v>170</v>
      </c>
      <c r="E143" s="266">
        <v>100000</v>
      </c>
      <c r="F143" s="278">
        <v>43953</v>
      </c>
      <c r="G143" s="278">
        <v>44318</v>
      </c>
      <c r="H143" s="276"/>
      <c r="I143" s="275">
        <v>4.9000000000000004</v>
      </c>
      <c r="J143" s="276"/>
      <c r="K143" s="276"/>
      <c r="L143" s="276"/>
      <c r="M143" s="276"/>
      <c r="N143" s="276"/>
      <c r="O143" s="275"/>
      <c r="P143" s="276"/>
      <c r="Q143" s="276"/>
      <c r="R143" s="276"/>
      <c r="S143" s="276"/>
      <c r="T143" s="276"/>
      <c r="U143" s="276"/>
      <c r="V143" s="276">
        <v>0</v>
      </c>
      <c r="W143" s="276">
        <v>394.72222222222223</v>
      </c>
      <c r="X143" s="266"/>
      <c r="Y143" s="276"/>
      <c r="Z143" s="276">
        <v>394.72222222222223</v>
      </c>
      <c r="AA143" s="276">
        <v>402.7397260273973</v>
      </c>
      <c r="AB143" s="266"/>
      <c r="AC143" s="276"/>
      <c r="AD143" s="276">
        <v>797.46194824961958</v>
      </c>
      <c r="AE143" s="314">
        <v>416.16438356164383</v>
      </c>
      <c r="AF143" s="314"/>
      <c r="AG143" s="314"/>
      <c r="AH143" s="314">
        <v>1213.6263318112633</v>
      </c>
      <c r="AI143" s="319"/>
      <c r="AJ143" s="311"/>
      <c r="AK143" s="311"/>
      <c r="AL143" s="311"/>
      <c r="AM143" s="311"/>
      <c r="AN143" s="311"/>
      <c r="AO143" s="311"/>
      <c r="AP143" s="311"/>
      <c r="AQ143" s="311"/>
      <c r="AR143" s="311"/>
      <c r="AS143" s="311"/>
      <c r="AT143" s="311"/>
      <c r="AU143" s="311"/>
      <c r="AV143" s="311"/>
      <c r="AW143" s="311"/>
      <c r="AX143" s="311"/>
      <c r="AY143" s="311"/>
      <c r="AZ143" s="311"/>
      <c r="BA143" s="311"/>
      <c r="BB143" s="311"/>
      <c r="BC143" s="311"/>
      <c r="BD143" s="311"/>
      <c r="BE143" s="311"/>
      <c r="BF143" s="311"/>
      <c r="BG143" s="311"/>
      <c r="BH143" s="311"/>
      <c r="BI143" s="311"/>
      <c r="BJ143" s="311"/>
      <c r="BK143" s="311"/>
      <c r="BL143" s="311"/>
      <c r="BM143" s="311"/>
      <c r="BN143" s="311"/>
      <c r="BO143" s="311"/>
      <c r="BP143" s="311"/>
      <c r="BQ143" s="311"/>
      <c r="BR143" s="311"/>
      <c r="BS143" s="311"/>
      <c r="BT143" s="311"/>
      <c r="BU143" s="311"/>
      <c r="BV143" s="311"/>
      <c r="BW143" s="311"/>
      <c r="BX143" s="311"/>
      <c r="BY143" s="311"/>
      <c r="BZ143" s="311"/>
      <c r="CA143" s="311"/>
      <c r="CB143" s="311"/>
      <c r="CC143" s="311"/>
      <c r="CD143" s="311"/>
      <c r="CE143" s="311"/>
      <c r="CF143" s="311"/>
      <c r="CG143" s="311"/>
      <c r="CH143" s="311"/>
      <c r="CI143" s="311"/>
      <c r="CJ143" s="311"/>
      <c r="CK143" s="311"/>
      <c r="CL143" s="311"/>
      <c r="CM143" s="311"/>
      <c r="CN143" s="311"/>
      <c r="CO143" s="311"/>
      <c r="CP143" s="311"/>
      <c r="CQ143" s="311"/>
      <c r="CR143" s="311"/>
      <c r="CS143" s="311"/>
      <c r="CT143" s="311"/>
      <c r="CU143" s="311"/>
      <c r="CV143" s="311"/>
      <c r="CW143" s="311"/>
      <c r="CX143" s="311"/>
      <c r="CY143" s="311"/>
    </row>
    <row r="144" spans="1:103" x14ac:dyDescent="0.3">
      <c r="A144" s="296">
        <v>5063</v>
      </c>
      <c r="B144" s="275" t="s">
        <v>25</v>
      </c>
      <c r="C144" s="275" t="s">
        <v>169</v>
      </c>
      <c r="D144" s="275" t="s">
        <v>168</v>
      </c>
      <c r="E144" s="266">
        <v>150000</v>
      </c>
      <c r="F144" s="278">
        <v>43953</v>
      </c>
      <c r="G144" s="278">
        <v>44318</v>
      </c>
      <c r="H144" s="276"/>
      <c r="I144" s="275">
        <v>4.4000000000000004</v>
      </c>
      <c r="J144" s="276"/>
      <c r="K144" s="276"/>
      <c r="L144" s="276"/>
      <c r="M144" s="276"/>
      <c r="N144" s="276"/>
      <c r="O144" s="275"/>
      <c r="P144" s="276"/>
      <c r="Q144" s="276"/>
      <c r="R144" s="276"/>
      <c r="S144" s="276"/>
      <c r="T144" s="276"/>
      <c r="U144" s="276"/>
      <c r="V144" s="276">
        <v>0</v>
      </c>
      <c r="W144" s="276">
        <v>531.66666666666674</v>
      </c>
      <c r="X144" s="266"/>
      <c r="Y144" s="276"/>
      <c r="Z144" s="276">
        <v>531.66666666666674</v>
      </c>
      <c r="AA144" s="276">
        <v>542.46575342465758</v>
      </c>
      <c r="AB144" s="266"/>
      <c r="AC144" s="276"/>
      <c r="AD144" s="276">
        <v>1074.1324200913243</v>
      </c>
      <c r="AE144" s="314">
        <v>560.54794520547944</v>
      </c>
      <c r="AF144" s="314"/>
      <c r="AG144" s="314"/>
      <c r="AH144" s="314">
        <v>1634.6803652968038</v>
      </c>
      <c r="AI144" s="319"/>
      <c r="AJ144" s="311"/>
      <c r="AK144" s="311"/>
      <c r="AL144" s="311"/>
      <c r="AM144" s="311"/>
      <c r="AN144" s="311"/>
      <c r="AO144" s="311"/>
      <c r="AP144" s="311"/>
      <c r="AQ144" s="311"/>
      <c r="AR144" s="311"/>
      <c r="AS144" s="311"/>
      <c r="AT144" s="311"/>
      <c r="AU144" s="311"/>
      <c r="AV144" s="311"/>
      <c r="AW144" s="311"/>
      <c r="AX144" s="311"/>
      <c r="AY144" s="311"/>
      <c r="AZ144" s="311"/>
      <c r="BA144" s="311"/>
      <c r="BB144" s="311"/>
      <c r="BC144" s="311"/>
      <c r="BD144" s="311"/>
      <c r="BE144" s="311"/>
      <c r="BF144" s="311"/>
      <c r="BG144" s="311"/>
      <c r="BH144" s="311"/>
      <c r="BI144" s="311"/>
      <c r="BJ144" s="311"/>
      <c r="BK144" s="311"/>
      <c r="BL144" s="311"/>
      <c r="BM144" s="311"/>
      <c r="BN144" s="311"/>
      <c r="BO144" s="311"/>
      <c r="BP144" s="311"/>
      <c r="BQ144" s="311"/>
      <c r="BR144" s="311"/>
      <c r="BS144" s="311"/>
      <c r="BT144" s="311"/>
      <c r="BU144" s="311"/>
      <c r="BV144" s="311"/>
      <c r="BW144" s="311"/>
      <c r="BX144" s="311"/>
      <c r="BY144" s="311"/>
      <c r="BZ144" s="311"/>
      <c r="CA144" s="311"/>
      <c r="CB144" s="311"/>
      <c r="CC144" s="311"/>
      <c r="CD144" s="311"/>
      <c r="CE144" s="311"/>
      <c r="CF144" s="311"/>
      <c r="CG144" s="311"/>
      <c r="CH144" s="311"/>
      <c r="CI144" s="311"/>
      <c r="CJ144" s="311"/>
      <c r="CK144" s="311"/>
      <c r="CL144" s="311"/>
      <c r="CM144" s="311"/>
      <c r="CN144" s="311"/>
      <c r="CO144" s="311"/>
      <c r="CP144" s="311"/>
      <c r="CQ144" s="311"/>
      <c r="CR144" s="311"/>
      <c r="CS144" s="311"/>
      <c r="CT144" s="311"/>
      <c r="CU144" s="311"/>
      <c r="CV144" s="311"/>
      <c r="CW144" s="311"/>
      <c r="CX144" s="311"/>
      <c r="CY144" s="311"/>
    </row>
    <row r="145" spans="1:103" x14ac:dyDescent="0.3">
      <c r="A145" s="296">
        <v>5040</v>
      </c>
      <c r="B145" s="275" t="s">
        <v>82</v>
      </c>
      <c r="C145" s="275" t="s">
        <v>167</v>
      </c>
      <c r="D145" s="275" t="s">
        <v>166</v>
      </c>
      <c r="E145" s="266">
        <v>41000</v>
      </c>
      <c r="F145" s="278">
        <v>43954</v>
      </c>
      <c r="G145" s="278">
        <v>44319</v>
      </c>
      <c r="H145" s="276"/>
      <c r="I145" s="275">
        <v>6.15</v>
      </c>
      <c r="J145" s="276"/>
      <c r="K145" s="276"/>
      <c r="L145" s="276"/>
      <c r="M145" s="276"/>
      <c r="N145" s="276"/>
      <c r="O145" s="275"/>
      <c r="P145" s="276"/>
      <c r="Q145" s="276"/>
      <c r="R145" s="276"/>
      <c r="S145" s="276"/>
      <c r="T145" s="276"/>
      <c r="U145" s="276"/>
      <c r="V145" s="276">
        <v>0</v>
      </c>
      <c r="W145" s="276">
        <v>196.1166666666667</v>
      </c>
      <c r="X145" s="266"/>
      <c r="Y145" s="276"/>
      <c r="Z145" s="276">
        <v>196.1166666666667</v>
      </c>
      <c r="AA145" s="276">
        <v>207.2465753424658</v>
      </c>
      <c r="AB145" s="266"/>
      <c r="AC145" s="276"/>
      <c r="AD145" s="276">
        <v>403.36324200913248</v>
      </c>
      <c r="AE145" s="314">
        <v>214.15479452054799</v>
      </c>
      <c r="AF145" s="314"/>
      <c r="AG145" s="314"/>
      <c r="AH145" s="314">
        <v>617.51803652968044</v>
      </c>
      <c r="AI145" s="319"/>
      <c r="AJ145" s="311"/>
      <c r="AK145" s="311"/>
      <c r="AL145" s="311"/>
      <c r="AM145" s="311"/>
      <c r="AN145" s="311"/>
      <c r="AO145" s="311"/>
      <c r="AP145" s="311"/>
      <c r="AQ145" s="311"/>
      <c r="AR145" s="311"/>
      <c r="AS145" s="311"/>
      <c r="AT145" s="311"/>
      <c r="AU145" s="311"/>
      <c r="AV145" s="311"/>
      <c r="AW145" s="311"/>
      <c r="AX145" s="311"/>
      <c r="AY145" s="311"/>
      <c r="AZ145" s="311"/>
      <c r="BA145" s="311"/>
      <c r="BB145" s="311"/>
      <c r="BC145" s="311"/>
      <c r="BD145" s="311"/>
      <c r="BE145" s="311"/>
      <c r="BF145" s="311"/>
      <c r="BG145" s="311"/>
      <c r="BH145" s="311"/>
      <c r="BI145" s="311"/>
      <c r="BJ145" s="311"/>
      <c r="BK145" s="311"/>
      <c r="BL145" s="311"/>
      <c r="BM145" s="311"/>
      <c r="BN145" s="311"/>
      <c r="BO145" s="311"/>
      <c r="BP145" s="311"/>
      <c r="BQ145" s="311"/>
      <c r="BR145" s="311"/>
      <c r="BS145" s="311"/>
      <c r="BT145" s="311"/>
      <c r="BU145" s="311"/>
      <c r="BV145" s="311"/>
      <c r="BW145" s="311"/>
      <c r="BX145" s="311"/>
      <c r="BY145" s="311"/>
      <c r="BZ145" s="311"/>
      <c r="CA145" s="311"/>
      <c r="CB145" s="311"/>
      <c r="CC145" s="311"/>
      <c r="CD145" s="311"/>
      <c r="CE145" s="311"/>
      <c r="CF145" s="311"/>
      <c r="CG145" s="311"/>
      <c r="CH145" s="311"/>
      <c r="CI145" s="311"/>
      <c r="CJ145" s="311"/>
      <c r="CK145" s="311"/>
      <c r="CL145" s="311"/>
      <c r="CM145" s="311"/>
      <c r="CN145" s="311"/>
      <c r="CO145" s="311"/>
      <c r="CP145" s="311"/>
      <c r="CQ145" s="311"/>
      <c r="CR145" s="311"/>
      <c r="CS145" s="311"/>
      <c r="CT145" s="311"/>
      <c r="CU145" s="311"/>
      <c r="CV145" s="311"/>
      <c r="CW145" s="311"/>
      <c r="CX145" s="311"/>
      <c r="CY145" s="311"/>
    </row>
    <row r="146" spans="1:103" x14ac:dyDescent="0.3">
      <c r="A146" s="296">
        <v>5062</v>
      </c>
      <c r="B146" s="275" t="s">
        <v>85</v>
      </c>
      <c r="C146" s="275" t="s">
        <v>165</v>
      </c>
      <c r="D146" s="275" t="s">
        <v>164</v>
      </c>
      <c r="E146" s="266">
        <v>200000</v>
      </c>
      <c r="F146" s="278">
        <v>43959</v>
      </c>
      <c r="G146" s="278">
        <v>44324</v>
      </c>
      <c r="H146" s="276"/>
      <c r="I146" s="275">
        <v>4.4000000000000004</v>
      </c>
      <c r="J146" s="276"/>
      <c r="K146" s="276"/>
      <c r="L146" s="276"/>
      <c r="M146" s="276"/>
      <c r="N146" s="276"/>
      <c r="O146" s="275"/>
      <c r="P146" s="276"/>
      <c r="Q146" s="276"/>
      <c r="R146" s="276"/>
      <c r="S146" s="276"/>
      <c r="T146" s="276"/>
      <c r="U146" s="276"/>
      <c r="V146" s="276">
        <v>0</v>
      </c>
      <c r="W146" s="276">
        <v>562.22222222222217</v>
      </c>
      <c r="X146" s="266"/>
      <c r="Y146" s="276"/>
      <c r="Z146" s="276">
        <v>562.22222222222217</v>
      </c>
      <c r="AA146" s="276">
        <v>723.28767123287673</v>
      </c>
      <c r="AB146" s="266"/>
      <c r="AC146" s="276"/>
      <c r="AD146" s="276">
        <v>1285.5098934550988</v>
      </c>
      <c r="AE146" s="314">
        <v>747.39726027397262</v>
      </c>
      <c r="AF146" s="314"/>
      <c r="AG146" s="314"/>
      <c r="AH146" s="314">
        <v>2032.9071537290715</v>
      </c>
      <c r="AI146" s="319"/>
      <c r="AJ146" s="311"/>
      <c r="AK146" s="311"/>
      <c r="AL146" s="311"/>
      <c r="AM146" s="311"/>
      <c r="AN146" s="311"/>
      <c r="AO146" s="311"/>
      <c r="AP146" s="311"/>
      <c r="AQ146" s="311"/>
      <c r="AR146" s="311"/>
      <c r="AS146" s="311"/>
      <c r="AT146" s="311"/>
      <c r="AU146" s="311"/>
      <c r="AV146" s="311"/>
      <c r="AW146" s="311"/>
      <c r="AX146" s="311"/>
      <c r="AY146" s="311"/>
      <c r="AZ146" s="311"/>
      <c r="BA146" s="311"/>
      <c r="BB146" s="311"/>
      <c r="BC146" s="311"/>
      <c r="BD146" s="311"/>
      <c r="BE146" s="311"/>
      <c r="BF146" s="311"/>
      <c r="BG146" s="311"/>
      <c r="BH146" s="311"/>
      <c r="BI146" s="311"/>
      <c r="BJ146" s="311"/>
      <c r="BK146" s="311"/>
      <c r="BL146" s="311"/>
      <c r="BM146" s="311"/>
      <c r="BN146" s="311"/>
      <c r="BO146" s="311"/>
      <c r="BP146" s="311"/>
      <c r="BQ146" s="311"/>
      <c r="BR146" s="311"/>
      <c r="BS146" s="311"/>
      <c r="BT146" s="311"/>
      <c r="BU146" s="311"/>
      <c r="BV146" s="311"/>
      <c r="BW146" s="311"/>
      <c r="BX146" s="311"/>
      <c r="BY146" s="311"/>
      <c r="BZ146" s="311"/>
      <c r="CA146" s="311"/>
      <c r="CB146" s="311"/>
      <c r="CC146" s="311"/>
      <c r="CD146" s="311"/>
      <c r="CE146" s="311"/>
      <c r="CF146" s="311"/>
      <c r="CG146" s="311"/>
      <c r="CH146" s="311"/>
      <c r="CI146" s="311"/>
      <c r="CJ146" s="311"/>
      <c r="CK146" s="311"/>
      <c r="CL146" s="311"/>
      <c r="CM146" s="311"/>
      <c r="CN146" s="311"/>
      <c r="CO146" s="311"/>
      <c r="CP146" s="311"/>
      <c r="CQ146" s="311"/>
      <c r="CR146" s="311"/>
      <c r="CS146" s="311"/>
      <c r="CT146" s="311"/>
      <c r="CU146" s="311"/>
      <c r="CV146" s="311"/>
      <c r="CW146" s="311"/>
      <c r="CX146" s="311"/>
      <c r="CY146" s="311"/>
    </row>
    <row r="147" spans="1:103" x14ac:dyDescent="0.3">
      <c r="A147" s="296">
        <v>5062</v>
      </c>
      <c r="B147" s="275" t="s">
        <v>85</v>
      </c>
      <c r="C147" s="275" t="s">
        <v>163</v>
      </c>
      <c r="D147" s="275" t="s">
        <v>162</v>
      </c>
      <c r="E147" s="266">
        <v>145230</v>
      </c>
      <c r="F147" s="278">
        <v>43959</v>
      </c>
      <c r="G147" s="278">
        <v>44324</v>
      </c>
      <c r="H147" s="276"/>
      <c r="I147" s="275">
        <v>4.4000000000000004</v>
      </c>
      <c r="J147" s="276"/>
      <c r="K147" s="276"/>
      <c r="L147" s="276"/>
      <c r="M147" s="276"/>
      <c r="N147" s="276"/>
      <c r="O147" s="275"/>
      <c r="P147" s="276"/>
      <c r="Q147" s="276"/>
      <c r="R147" s="276"/>
      <c r="S147" s="276"/>
      <c r="T147" s="276"/>
      <c r="U147" s="276"/>
      <c r="V147" s="276">
        <v>0</v>
      </c>
      <c r="W147" s="276">
        <v>408.25766666666675</v>
      </c>
      <c r="X147" s="266"/>
      <c r="Y147" s="276"/>
      <c r="Z147" s="276">
        <v>408.25766666666675</v>
      </c>
      <c r="AA147" s="276">
        <v>525.21534246575345</v>
      </c>
      <c r="AB147" s="266"/>
      <c r="AC147" s="276"/>
      <c r="AD147" s="276">
        <v>933.4730091324202</v>
      </c>
      <c r="AE147" s="314">
        <v>542.72252054794524</v>
      </c>
      <c r="AF147" s="314"/>
      <c r="AG147" s="314"/>
      <c r="AH147" s="314">
        <v>1476.1955296803653</v>
      </c>
      <c r="AI147" s="319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1"/>
      <c r="BG147" s="311"/>
      <c r="BH147" s="311"/>
      <c r="BI147" s="311"/>
      <c r="BJ147" s="311"/>
      <c r="BK147" s="311"/>
      <c r="BL147" s="311"/>
      <c r="BM147" s="311"/>
      <c r="BN147" s="311"/>
      <c r="BO147" s="311"/>
      <c r="BP147" s="311"/>
      <c r="BQ147" s="311"/>
      <c r="BR147" s="311"/>
      <c r="BS147" s="311"/>
      <c r="BT147" s="311"/>
      <c r="BU147" s="311"/>
      <c r="BV147" s="311"/>
      <c r="BW147" s="311"/>
      <c r="BX147" s="311"/>
      <c r="BY147" s="311"/>
      <c r="BZ147" s="311"/>
      <c r="CA147" s="311"/>
      <c r="CB147" s="311"/>
      <c r="CC147" s="311"/>
      <c r="CD147" s="311"/>
      <c r="CE147" s="311"/>
      <c r="CF147" s="311"/>
      <c r="CG147" s="311"/>
      <c r="CH147" s="311"/>
      <c r="CI147" s="311"/>
      <c r="CJ147" s="311"/>
      <c r="CK147" s="311"/>
      <c r="CL147" s="311"/>
      <c r="CM147" s="311"/>
      <c r="CN147" s="311"/>
      <c r="CO147" s="311"/>
      <c r="CP147" s="311"/>
      <c r="CQ147" s="311"/>
      <c r="CR147" s="311"/>
      <c r="CS147" s="311"/>
      <c r="CT147" s="311"/>
      <c r="CU147" s="311"/>
      <c r="CV147" s="311"/>
      <c r="CW147" s="311"/>
      <c r="CX147" s="311"/>
      <c r="CY147" s="311"/>
    </row>
    <row r="148" spans="1:103" x14ac:dyDescent="0.3">
      <c r="A148" s="296">
        <v>5057</v>
      </c>
      <c r="B148" s="275" t="s">
        <v>74</v>
      </c>
      <c r="C148" s="275" t="s">
        <v>161</v>
      </c>
      <c r="D148" s="275" t="s">
        <v>160</v>
      </c>
      <c r="E148" s="266">
        <v>75000</v>
      </c>
      <c r="F148" s="278">
        <v>43965</v>
      </c>
      <c r="G148" s="278">
        <v>44330</v>
      </c>
      <c r="H148" s="276"/>
      <c r="I148" s="275">
        <v>3.4</v>
      </c>
      <c r="J148" s="276"/>
      <c r="K148" s="276"/>
      <c r="L148" s="276"/>
      <c r="M148" s="276"/>
      <c r="N148" s="276"/>
      <c r="O148" s="275"/>
      <c r="P148" s="276"/>
      <c r="Q148" s="276"/>
      <c r="R148" s="276"/>
      <c r="S148" s="276"/>
      <c r="T148" s="276"/>
      <c r="U148" s="276"/>
      <c r="V148" s="276">
        <v>0</v>
      </c>
      <c r="W148" s="276">
        <v>120.41666666666666</v>
      </c>
      <c r="X148" s="266"/>
      <c r="Y148" s="276"/>
      <c r="Z148" s="276">
        <v>120.41666666666666</v>
      </c>
      <c r="AA148" s="276">
        <v>209.58904109589042</v>
      </c>
      <c r="AB148" s="266"/>
      <c r="AC148" s="276"/>
      <c r="AD148" s="276">
        <v>330.00570776255711</v>
      </c>
      <c r="AE148" s="314">
        <v>216.57534246575344</v>
      </c>
      <c r="AF148" s="314"/>
      <c r="AG148" s="314"/>
      <c r="AH148" s="314">
        <v>546.58105022831057</v>
      </c>
      <c r="AI148" s="319"/>
      <c r="AJ148" s="311"/>
      <c r="AK148" s="311"/>
      <c r="AL148" s="311"/>
      <c r="AM148" s="311"/>
      <c r="AN148" s="311"/>
      <c r="AO148" s="311"/>
      <c r="AP148" s="311"/>
      <c r="AQ148" s="311"/>
      <c r="AR148" s="311"/>
      <c r="AS148" s="311"/>
      <c r="AT148" s="311"/>
      <c r="AU148" s="311"/>
      <c r="AV148" s="311"/>
      <c r="AW148" s="311"/>
      <c r="AX148" s="311"/>
      <c r="AY148" s="311"/>
      <c r="AZ148" s="311"/>
      <c r="BA148" s="311"/>
      <c r="BB148" s="311"/>
      <c r="BC148" s="311"/>
      <c r="BD148" s="311"/>
      <c r="BE148" s="311"/>
      <c r="BF148" s="311"/>
      <c r="BG148" s="311"/>
      <c r="BH148" s="311"/>
      <c r="BI148" s="311"/>
      <c r="BJ148" s="311"/>
      <c r="BK148" s="311"/>
      <c r="BL148" s="311"/>
      <c r="BM148" s="311"/>
      <c r="BN148" s="311"/>
      <c r="BO148" s="311"/>
      <c r="BP148" s="311"/>
      <c r="BQ148" s="311"/>
      <c r="BR148" s="311"/>
      <c r="BS148" s="311"/>
      <c r="BT148" s="311"/>
      <c r="BU148" s="311"/>
      <c r="BV148" s="311"/>
      <c r="BW148" s="311"/>
      <c r="BX148" s="311"/>
      <c r="BY148" s="311"/>
      <c r="BZ148" s="311"/>
      <c r="CA148" s="311"/>
      <c r="CB148" s="311"/>
      <c r="CC148" s="311"/>
      <c r="CD148" s="311"/>
      <c r="CE148" s="311"/>
      <c r="CF148" s="311"/>
      <c r="CG148" s="311"/>
      <c r="CH148" s="311"/>
      <c r="CI148" s="311"/>
      <c r="CJ148" s="311"/>
      <c r="CK148" s="311"/>
      <c r="CL148" s="311"/>
      <c r="CM148" s="311"/>
      <c r="CN148" s="311"/>
      <c r="CO148" s="311"/>
      <c r="CP148" s="311"/>
      <c r="CQ148" s="311"/>
      <c r="CR148" s="311"/>
      <c r="CS148" s="311"/>
      <c r="CT148" s="311"/>
      <c r="CU148" s="311"/>
      <c r="CV148" s="311"/>
      <c r="CW148" s="311"/>
      <c r="CX148" s="311"/>
      <c r="CY148" s="311"/>
    </row>
    <row r="149" spans="1:103" x14ac:dyDescent="0.3">
      <c r="A149" s="296">
        <v>5055</v>
      </c>
      <c r="B149" s="275" t="s">
        <v>159</v>
      </c>
      <c r="C149" s="275" t="s">
        <v>158</v>
      </c>
      <c r="D149" s="275" t="s">
        <v>157</v>
      </c>
      <c r="E149" s="266">
        <v>500000</v>
      </c>
      <c r="F149" s="278">
        <v>43966</v>
      </c>
      <c r="G149" s="278">
        <v>44331</v>
      </c>
      <c r="H149" s="276"/>
      <c r="I149" s="275">
        <v>7.55</v>
      </c>
      <c r="J149" s="276"/>
      <c r="K149" s="276"/>
      <c r="L149" s="276"/>
      <c r="M149" s="276"/>
      <c r="N149" s="276"/>
      <c r="O149" s="275"/>
      <c r="P149" s="276"/>
      <c r="Q149" s="276"/>
      <c r="R149" s="276"/>
      <c r="S149" s="276"/>
      <c r="T149" s="276"/>
      <c r="U149" s="276"/>
      <c r="V149" s="276">
        <v>0</v>
      </c>
      <c r="W149" s="276">
        <v>1677.7777777777778</v>
      </c>
      <c r="X149" s="266"/>
      <c r="Y149" s="276"/>
      <c r="Z149" s="276">
        <v>1677.7777777777778</v>
      </c>
      <c r="AA149" s="276">
        <v>3102.7397260273974</v>
      </c>
      <c r="AB149" s="266"/>
      <c r="AC149" s="276"/>
      <c r="AD149" s="276">
        <v>4780.5175038051748</v>
      </c>
      <c r="AE149" s="314">
        <v>3206.1643835616437</v>
      </c>
      <c r="AF149" s="314"/>
      <c r="AG149" s="314"/>
      <c r="AH149" s="314">
        <v>7986.681887366818</v>
      </c>
      <c r="AI149" s="319"/>
      <c r="AJ149" s="311"/>
      <c r="AK149" s="311"/>
      <c r="AL149" s="311"/>
      <c r="AM149" s="311"/>
      <c r="AN149" s="311"/>
      <c r="AO149" s="311"/>
      <c r="AP149" s="311"/>
      <c r="AQ149" s="311"/>
      <c r="AR149" s="311"/>
      <c r="AS149" s="311"/>
      <c r="AT149" s="311"/>
      <c r="AU149" s="311"/>
      <c r="AV149" s="311"/>
      <c r="AW149" s="311"/>
      <c r="AX149" s="311"/>
      <c r="AY149" s="311"/>
      <c r="AZ149" s="311"/>
      <c r="BA149" s="311"/>
      <c r="BB149" s="311"/>
      <c r="BC149" s="311"/>
      <c r="BD149" s="311"/>
      <c r="BE149" s="311"/>
      <c r="BF149" s="311"/>
      <c r="BG149" s="311"/>
      <c r="BH149" s="311"/>
      <c r="BI149" s="311"/>
      <c r="BJ149" s="311"/>
      <c r="BK149" s="311"/>
      <c r="BL149" s="311"/>
      <c r="BM149" s="311"/>
      <c r="BN149" s="311"/>
      <c r="BO149" s="311"/>
      <c r="BP149" s="311"/>
      <c r="BQ149" s="311"/>
      <c r="BR149" s="311"/>
      <c r="BS149" s="311"/>
      <c r="BT149" s="311"/>
      <c r="BU149" s="311"/>
      <c r="BV149" s="311"/>
      <c r="BW149" s="311"/>
      <c r="BX149" s="311"/>
      <c r="BY149" s="311"/>
      <c r="BZ149" s="311"/>
      <c r="CA149" s="311"/>
      <c r="CB149" s="311"/>
      <c r="CC149" s="311"/>
      <c r="CD149" s="311"/>
      <c r="CE149" s="311"/>
      <c r="CF149" s="311"/>
      <c r="CG149" s="311"/>
      <c r="CH149" s="311"/>
      <c r="CI149" s="311"/>
      <c r="CJ149" s="311"/>
      <c r="CK149" s="311"/>
      <c r="CL149" s="311"/>
      <c r="CM149" s="311"/>
      <c r="CN149" s="311"/>
      <c r="CO149" s="311"/>
      <c r="CP149" s="311"/>
      <c r="CQ149" s="311"/>
      <c r="CR149" s="311"/>
      <c r="CS149" s="311"/>
      <c r="CT149" s="311"/>
      <c r="CU149" s="311"/>
      <c r="CV149" s="311"/>
      <c r="CW149" s="311"/>
      <c r="CX149" s="311"/>
      <c r="CY149" s="311"/>
    </row>
    <row r="150" spans="1:103" x14ac:dyDescent="0.3">
      <c r="A150" s="296">
        <v>5055</v>
      </c>
      <c r="B150" s="275" t="s">
        <v>53</v>
      </c>
      <c r="C150" s="275" t="s">
        <v>156</v>
      </c>
      <c r="D150" s="275" t="s">
        <v>155</v>
      </c>
      <c r="E150" s="266">
        <v>500000</v>
      </c>
      <c r="F150" s="278">
        <v>43966</v>
      </c>
      <c r="G150" s="278">
        <v>44331</v>
      </c>
      <c r="H150" s="276"/>
      <c r="I150" s="275">
        <v>7.55</v>
      </c>
      <c r="J150" s="276"/>
      <c r="K150" s="276"/>
      <c r="L150" s="276"/>
      <c r="M150" s="276"/>
      <c r="N150" s="276"/>
      <c r="O150" s="275"/>
      <c r="P150" s="276"/>
      <c r="Q150" s="276"/>
      <c r="R150" s="276"/>
      <c r="S150" s="276"/>
      <c r="T150" s="276"/>
      <c r="U150" s="276"/>
      <c r="V150" s="276">
        <v>0</v>
      </c>
      <c r="W150" s="276">
        <v>1677.7777777777778</v>
      </c>
      <c r="X150" s="266"/>
      <c r="Y150" s="276"/>
      <c r="Z150" s="276">
        <v>1677.7777777777778</v>
      </c>
      <c r="AA150" s="276">
        <v>3102.7397260273974</v>
      </c>
      <c r="AB150" s="266"/>
      <c r="AC150" s="276"/>
      <c r="AD150" s="276">
        <v>4780.5175038051748</v>
      </c>
      <c r="AE150" s="314">
        <v>3206.1643835616437</v>
      </c>
      <c r="AF150" s="314"/>
      <c r="AG150" s="314"/>
      <c r="AH150" s="314">
        <v>7986.681887366818</v>
      </c>
      <c r="AI150" s="319"/>
      <c r="AJ150" s="311"/>
      <c r="AK150" s="311"/>
      <c r="AL150" s="311"/>
      <c r="AM150" s="311"/>
      <c r="AN150" s="311"/>
      <c r="AO150" s="311"/>
      <c r="AP150" s="311"/>
      <c r="AQ150" s="311"/>
      <c r="AR150" s="311"/>
      <c r="AS150" s="311"/>
      <c r="AT150" s="311"/>
      <c r="AU150" s="311"/>
      <c r="AV150" s="311"/>
      <c r="AW150" s="311"/>
      <c r="AX150" s="311"/>
      <c r="AY150" s="311"/>
      <c r="AZ150" s="311"/>
      <c r="BA150" s="311"/>
      <c r="BB150" s="311"/>
      <c r="BC150" s="311"/>
      <c r="BD150" s="311"/>
      <c r="BE150" s="311"/>
      <c r="BF150" s="311"/>
      <c r="BG150" s="311"/>
      <c r="BH150" s="311"/>
      <c r="BI150" s="311"/>
      <c r="BJ150" s="311"/>
      <c r="BK150" s="311"/>
      <c r="BL150" s="311"/>
      <c r="BM150" s="311"/>
      <c r="BN150" s="311"/>
      <c r="BO150" s="311"/>
      <c r="BP150" s="311"/>
      <c r="BQ150" s="311"/>
      <c r="BR150" s="311"/>
      <c r="BS150" s="311"/>
      <c r="BT150" s="311"/>
      <c r="BU150" s="311"/>
      <c r="BV150" s="311"/>
      <c r="BW150" s="311"/>
      <c r="BX150" s="311"/>
      <c r="BY150" s="311"/>
      <c r="BZ150" s="311"/>
      <c r="CA150" s="311"/>
      <c r="CB150" s="311"/>
      <c r="CC150" s="311"/>
      <c r="CD150" s="311"/>
      <c r="CE150" s="311"/>
      <c r="CF150" s="311"/>
      <c r="CG150" s="311"/>
      <c r="CH150" s="311"/>
      <c r="CI150" s="311"/>
      <c r="CJ150" s="311"/>
      <c r="CK150" s="311"/>
      <c r="CL150" s="311"/>
      <c r="CM150" s="311"/>
      <c r="CN150" s="311"/>
      <c r="CO150" s="311"/>
      <c r="CP150" s="311"/>
      <c r="CQ150" s="311"/>
      <c r="CR150" s="311"/>
      <c r="CS150" s="311"/>
      <c r="CT150" s="311"/>
      <c r="CU150" s="311"/>
      <c r="CV150" s="311"/>
      <c r="CW150" s="311"/>
      <c r="CX150" s="311"/>
      <c r="CY150" s="311"/>
    </row>
    <row r="151" spans="1:103" x14ac:dyDescent="0.3">
      <c r="A151" s="296">
        <v>5031</v>
      </c>
      <c r="B151" s="275" t="s">
        <v>7</v>
      </c>
      <c r="C151" s="275" t="s">
        <v>154</v>
      </c>
      <c r="D151" s="275" t="s">
        <v>153</v>
      </c>
      <c r="E151" s="266">
        <v>103000</v>
      </c>
      <c r="F151" s="278">
        <v>43967</v>
      </c>
      <c r="G151" s="278">
        <v>44332</v>
      </c>
      <c r="H151" s="276"/>
      <c r="I151" s="275">
        <v>6.4</v>
      </c>
      <c r="J151" s="276"/>
      <c r="K151" s="276"/>
      <c r="L151" s="276"/>
      <c r="M151" s="276"/>
      <c r="N151" s="276"/>
      <c r="O151" s="275"/>
      <c r="P151" s="276"/>
      <c r="Q151" s="276"/>
      <c r="R151" s="276"/>
      <c r="S151" s="276"/>
      <c r="T151" s="276"/>
      <c r="U151" s="276"/>
      <c r="V151" s="276">
        <v>0</v>
      </c>
      <c r="W151" s="276">
        <v>274.66666666666663</v>
      </c>
      <c r="X151" s="266"/>
      <c r="Y151" s="276"/>
      <c r="Z151" s="276">
        <v>274.66666666666663</v>
      </c>
      <c r="AA151" s="276">
        <v>541.80821917808225</v>
      </c>
      <c r="AB151" s="266"/>
      <c r="AC151" s="276"/>
      <c r="AD151" s="276">
        <v>816.47488584474888</v>
      </c>
      <c r="AE151" s="314">
        <v>559.86849315068491</v>
      </c>
      <c r="AF151" s="314"/>
      <c r="AG151" s="314"/>
      <c r="AH151" s="314">
        <v>1376.3433789954338</v>
      </c>
      <c r="AI151" s="319"/>
      <c r="AJ151" s="311"/>
      <c r="AK151" s="311"/>
      <c r="AL151" s="311"/>
      <c r="AM151" s="311"/>
      <c r="AN151" s="311"/>
      <c r="AO151" s="311"/>
      <c r="AP151" s="311"/>
      <c r="AQ151" s="311"/>
      <c r="AR151" s="311"/>
      <c r="AS151" s="311"/>
      <c r="AT151" s="311"/>
      <c r="AU151" s="311"/>
      <c r="AV151" s="311"/>
      <c r="AW151" s="311"/>
      <c r="AX151" s="311"/>
      <c r="AY151" s="311"/>
      <c r="AZ151" s="311"/>
      <c r="BA151" s="311"/>
      <c r="BB151" s="311"/>
      <c r="BC151" s="311"/>
      <c r="BD151" s="311"/>
      <c r="BE151" s="311"/>
      <c r="BF151" s="311"/>
      <c r="BG151" s="311"/>
      <c r="BH151" s="311"/>
      <c r="BI151" s="311"/>
      <c r="BJ151" s="311"/>
      <c r="BK151" s="311"/>
      <c r="BL151" s="311"/>
      <c r="BM151" s="311"/>
      <c r="BN151" s="311"/>
      <c r="BO151" s="311"/>
      <c r="BP151" s="311"/>
      <c r="BQ151" s="311"/>
      <c r="BR151" s="311"/>
      <c r="BS151" s="311"/>
      <c r="BT151" s="311"/>
      <c r="BU151" s="311"/>
      <c r="BV151" s="311"/>
      <c r="BW151" s="311"/>
      <c r="BX151" s="311"/>
      <c r="BY151" s="311"/>
      <c r="BZ151" s="311"/>
      <c r="CA151" s="311"/>
      <c r="CB151" s="311"/>
      <c r="CC151" s="311"/>
      <c r="CD151" s="311"/>
      <c r="CE151" s="311"/>
      <c r="CF151" s="311"/>
      <c r="CG151" s="311"/>
      <c r="CH151" s="311"/>
      <c r="CI151" s="311"/>
      <c r="CJ151" s="311"/>
      <c r="CK151" s="311"/>
      <c r="CL151" s="311"/>
      <c r="CM151" s="311"/>
      <c r="CN151" s="311"/>
      <c r="CO151" s="311"/>
      <c r="CP151" s="311"/>
      <c r="CQ151" s="311"/>
      <c r="CR151" s="311"/>
      <c r="CS151" s="311"/>
      <c r="CT151" s="311"/>
      <c r="CU151" s="311"/>
      <c r="CV151" s="311"/>
      <c r="CW151" s="311"/>
      <c r="CX151" s="311"/>
      <c r="CY151" s="311"/>
    </row>
    <row r="152" spans="1:103" x14ac:dyDescent="0.3">
      <c r="A152" s="296">
        <v>5031</v>
      </c>
      <c r="B152" s="275" t="s">
        <v>7</v>
      </c>
      <c r="C152" s="275" t="s">
        <v>152</v>
      </c>
      <c r="D152" s="275" t="s">
        <v>151</v>
      </c>
      <c r="E152" s="266">
        <v>200000</v>
      </c>
      <c r="F152" s="278">
        <v>43967</v>
      </c>
      <c r="G152" s="278">
        <v>44332</v>
      </c>
      <c r="H152" s="276"/>
      <c r="I152" s="275">
        <v>6.4</v>
      </c>
      <c r="J152" s="276"/>
      <c r="K152" s="276"/>
      <c r="L152" s="276"/>
      <c r="M152" s="276"/>
      <c r="N152" s="276"/>
      <c r="O152" s="275"/>
      <c r="P152" s="276"/>
      <c r="Q152" s="276"/>
      <c r="R152" s="276"/>
      <c r="S152" s="276"/>
      <c r="T152" s="276"/>
      <c r="U152" s="276"/>
      <c r="V152" s="276">
        <v>0</v>
      </c>
      <c r="W152" s="276">
        <v>533.33333333333337</v>
      </c>
      <c r="X152" s="266"/>
      <c r="Y152" s="276"/>
      <c r="Z152" s="276">
        <v>533.33333333333337</v>
      </c>
      <c r="AA152" s="276">
        <v>1052.0547945205478</v>
      </c>
      <c r="AB152" s="266"/>
      <c r="AC152" s="276"/>
      <c r="AD152" s="276">
        <v>1585.3881278538811</v>
      </c>
      <c r="AE152" s="314">
        <v>1087.1232876712329</v>
      </c>
      <c r="AF152" s="314"/>
      <c r="AG152" s="314"/>
      <c r="AH152" s="314">
        <v>2672.511415525114</v>
      </c>
      <c r="AI152" s="319"/>
      <c r="AJ152" s="311"/>
      <c r="AK152" s="311"/>
      <c r="AL152" s="311"/>
      <c r="AM152" s="311"/>
      <c r="AN152" s="311"/>
      <c r="AO152" s="311"/>
      <c r="AP152" s="311"/>
      <c r="AQ152" s="311"/>
      <c r="AR152" s="311"/>
      <c r="AS152" s="311"/>
      <c r="AT152" s="311"/>
      <c r="AU152" s="311"/>
      <c r="AV152" s="311"/>
      <c r="AW152" s="311"/>
      <c r="AX152" s="311"/>
      <c r="AY152" s="311"/>
      <c r="AZ152" s="311"/>
      <c r="BA152" s="311"/>
      <c r="BB152" s="311"/>
      <c r="BC152" s="311"/>
      <c r="BD152" s="311"/>
      <c r="BE152" s="311"/>
      <c r="BF152" s="311"/>
      <c r="BG152" s="311"/>
      <c r="BH152" s="311"/>
      <c r="BI152" s="311"/>
      <c r="BJ152" s="311"/>
      <c r="BK152" s="311"/>
      <c r="BL152" s="311"/>
      <c r="BM152" s="311"/>
      <c r="BN152" s="311"/>
      <c r="BO152" s="311"/>
      <c r="BP152" s="311"/>
      <c r="BQ152" s="311"/>
      <c r="BR152" s="311"/>
      <c r="BS152" s="311"/>
      <c r="BT152" s="311"/>
      <c r="BU152" s="311"/>
      <c r="BV152" s="311"/>
      <c r="BW152" s="311"/>
      <c r="BX152" s="311"/>
      <c r="BY152" s="311"/>
      <c r="BZ152" s="311"/>
      <c r="CA152" s="311"/>
      <c r="CB152" s="311"/>
      <c r="CC152" s="311"/>
      <c r="CD152" s="311"/>
      <c r="CE152" s="311"/>
      <c r="CF152" s="311"/>
      <c r="CG152" s="311"/>
      <c r="CH152" s="311"/>
      <c r="CI152" s="311"/>
      <c r="CJ152" s="311"/>
      <c r="CK152" s="311"/>
      <c r="CL152" s="311"/>
      <c r="CM152" s="311"/>
      <c r="CN152" s="311"/>
      <c r="CO152" s="311"/>
      <c r="CP152" s="311"/>
      <c r="CQ152" s="311"/>
      <c r="CR152" s="311"/>
      <c r="CS152" s="311"/>
      <c r="CT152" s="311"/>
      <c r="CU152" s="311"/>
      <c r="CV152" s="311"/>
      <c r="CW152" s="311"/>
      <c r="CX152" s="311"/>
      <c r="CY152" s="311"/>
    </row>
    <row r="153" spans="1:103" x14ac:dyDescent="0.3">
      <c r="A153" s="296">
        <v>5005</v>
      </c>
      <c r="B153" s="275" t="s">
        <v>127</v>
      </c>
      <c r="C153" s="275" t="s">
        <v>150</v>
      </c>
      <c r="D153" s="275" t="s">
        <v>149</v>
      </c>
      <c r="E153" s="266">
        <v>110000</v>
      </c>
      <c r="F153" s="278">
        <v>43978</v>
      </c>
      <c r="G153" s="278">
        <v>44343</v>
      </c>
      <c r="H153" s="276"/>
      <c r="I153" s="275">
        <v>3.91</v>
      </c>
      <c r="J153" s="276"/>
      <c r="K153" s="276"/>
      <c r="L153" s="276"/>
      <c r="M153" s="276"/>
      <c r="N153" s="276"/>
      <c r="O153" s="275"/>
      <c r="P153" s="276"/>
      <c r="Q153" s="276"/>
      <c r="R153" s="276"/>
      <c r="S153" s="276"/>
      <c r="T153" s="276"/>
      <c r="U153" s="276"/>
      <c r="V153" s="276">
        <v>0</v>
      </c>
      <c r="W153" s="276">
        <v>47.788888888888891</v>
      </c>
      <c r="X153" s="266"/>
      <c r="Y153" s="276"/>
      <c r="Z153" s="276">
        <v>47.788888888888891</v>
      </c>
      <c r="AA153" s="276">
        <v>353.50684931506851</v>
      </c>
      <c r="AB153" s="266"/>
      <c r="AC153" s="276"/>
      <c r="AD153" s="276">
        <v>401.2957382039574</v>
      </c>
      <c r="AE153" s="314">
        <v>365.29041095890409</v>
      </c>
      <c r="AF153" s="314"/>
      <c r="AG153" s="314"/>
      <c r="AH153" s="314">
        <v>766.58614916286149</v>
      </c>
      <c r="AI153" s="319"/>
      <c r="AJ153" s="311"/>
      <c r="AK153" s="311"/>
      <c r="AL153" s="311"/>
      <c r="AM153" s="311"/>
      <c r="AN153" s="311"/>
      <c r="AO153" s="311"/>
      <c r="AP153" s="311"/>
      <c r="AQ153" s="311"/>
      <c r="AR153" s="311"/>
      <c r="AS153" s="311"/>
      <c r="AT153" s="311"/>
      <c r="AU153" s="311"/>
      <c r="AV153" s="311"/>
      <c r="AW153" s="311"/>
      <c r="AX153" s="311"/>
      <c r="AY153" s="311"/>
      <c r="AZ153" s="311"/>
      <c r="BA153" s="311"/>
      <c r="BB153" s="311"/>
      <c r="BC153" s="311"/>
      <c r="BD153" s="311"/>
      <c r="BE153" s="311"/>
      <c r="BF153" s="311"/>
      <c r="BG153" s="311"/>
      <c r="BH153" s="311"/>
      <c r="BI153" s="311"/>
      <c r="BJ153" s="311"/>
      <c r="BK153" s="311"/>
      <c r="BL153" s="311"/>
      <c r="BM153" s="311"/>
      <c r="BN153" s="311"/>
      <c r="BO153" s="311"/>
      <c r="BP153" s="311"/>
      <c r="BQ153" s="311"/>
      <c r="BR153" s="311"/>
      <c r="BS153" s="311"/>
      <c r="BT153" s="311"/>
      <c r="BU153" s="311"/>
      <c r="BV153" s="311"/>
      <c r="BW153" s="311"/>
      <c r="BX153" s="311"/>
      <c r="BY153" s="311"/>
      <c r="BZ153" s="311"/>
      <c r="CA153" s="311"/>
      <c r="CB153" s="311"/>
      <c r="CC153" s="311"/>
      <c r="CD153" s="311"/>
      <c r="CE153" s="311"/>
      <c r="CF153" s="311"/>
      <c r="CG153" s="311"/>
      <c r="CH153" s="311"/>
      <c r="CI153" s="311"/>
      <c r="CJ153" s="311"/>
      <c r="CK153" s="311"/>
      <c r="CL153" s="311"/>
      <c r="CM153" s="311"/>
      <c r="CN153" s="311"/>
      <c r="CO153" s="311"/>
      <c r="CP153" s="311"/>
      <c r="CQ153" s="311"/>
      <c r="CR153" s="311"/>
      <c r="CS153" s="311"/>
      <c r="CT153" s="311"/>
      <c r="CU153" s="311"/>
      <c r="CV153" s="311"/>
      <c r="CW153" s="311"/>
      <c r="CX153" s="311"/>
      <c r="CY153" s="311"/>
    </row>
    <row r="154" spans="1:103" x14ac:dyDescent="0.3">
      <c r="A154" s="299">
        <v>5003</v>
      </c>
      <c r="B154" s="291" t="s">
        <v>148</v>
      </c>
      <c r="C154" s="275" t="s">
        <v>147</v>
      </c>
      <c r="D154" s="275" t="s">
        <v>146</v>
      </c>
      <c r="E154" s="292">
        <v>150000</v>
      </c>
      <c r="F154" s="278">
        <v>43980</v>
      </c>
      <c r="G154" s="278">
        <v>44345</v>
      </c>
      <c r="H154" s="276"/>
      <c r="I154" s="266">
        <v>5.9</v>
      </c>
      <c r="J154" s="276"/>
      <c r="K154" s="276"/>
      <c r="L154" s="276"/>
      <c r="M154" s="276"/>
      <c r="N154" s="276"/>
      <c r="O154" s="275"/>
      <c r="P154" s="276"/>
      <c r="Q154" s="276"/>
      <c r="R154" s="276"/>
      <c r="S154" s="276"/>
      <c r="T154" s="276"/>
      <c r="U154" s="276"/>
      <c r="V154" s="276">
        <v>0</v>
      </c>
      <c r="W154" s="276">
        <v>0</v>
      </c>
      <c r="X154" s="266"/>
      <c r="Y154" s="276"/>
      <c r="Z154" s="276">
        <v>0</v>
      </c>
      <c r="AA154" s="276">
        <v>727.39726027397262</v>
      </c>
      <c r="AB154" s="266"/>
      <c r="AC154" s="276"/>
      <c r="AD154" s="276">
        <v>727.39726027397262</v>
      </c>
      <c r="AE154" s="314">
        <v>751.64383561643831</v>
      </c>
      <c r="AF154" s="314"/>
      <c r="AG154" s="314"/>
      <c r="AH154" s="314">
        <v>1479.0410958904108</v>
      </c>
      <c r="AI154" s="319"/>
      <c r="AJ154" s="311"/>
      <c r="AK154" s="311"/>
      <c r="AL154" s="311"/>
      <c r="AM154" s="311"/>
      <c r="AN154" s="311"/>
      <c r="AO154" s="311"/>
      <c r="AP154" s="311"/>
      <c r="AQ154" s="311"/>
      <c r="AR154" s="311"/>
      <c r="AS154" s="311"/>
      <c r="AT154" s="311"/>
      <c r="AU154" s="311"/>
      <c r="AV154" s="311"/>
      <c r="AW154" s="311"/>
      <c r="AX154" s="311"/>
      <c r="AY154" s="311"/>
      <c r="AZ154" s="311"/>
      <c r="BA154" s="311"/>
      <c r="BB154" s="311"/>
      <c r="BC154" s="311"/>
      <c r="BD154" s="311"/>
      <c r="BE154" s="311"/>
      <c r="BF154" s="311"/>
      <c r="BG154" s="311"/>
      <c r="BH154" s="311"/>
      <c r="BI154" s="311"/>
      <c r="BJ154" s="311"/>
      <c r="BK154" s="311"/>
      <c r="BL154" s="311"/>
      <c r="BM154" s="311"/>
      <c r="BN154" s="311"/>
      <c r="BO154" s="311"/>
      <c r="BP154" s="311"/>
      <c r="BQ154" s="311"/>
      <c r="BR154" s="311"/>
      <c r="BS154" s="311"/>
      <c r="BT154" s="311"/>
      <c r="BU154" s="311"/>
      <c r="BV154" s="311"/>
      <c r="BW154" s="311"/>
      <c r="BX154" s="311"/>
      <c r="BY154" s="311"/>
      <c r="BZ154" s="311"/>
      <c r="CA154" s="311"/>
      <c r="CB154" s="311"/>
      <c r="CC154" s="311"/>
      <c r="CD154" s="311"/>
      <c r="CE154" s="311"/>
      <c r="CF154" s="311"/>
      <c r="CG154" s="311"/>
      <c r="CH154" s="311"/>
      <c r="CI154" s="311"/>
      <c r="CJ154" s="311"/>
      <c r="CK154" s="311"/>
      <c r="CL154" s="311"/>
      <c r="CM154" s="311"/>
      <c r="CN154" s="311"/>
      <c r="CO154" s="311"/>
      <c r="CP154" s="311"/>
      <c r="CQ154" s="311"/>
      <c r="CR154" s="311"/>
      <c r="CS154" s="311"/>
      <c r="CT154" s="311"/>
      <c r="CU154" s="311"/>
      <c r="CV154" s="311"/>
      <c r="CW154" s="311"/>
      <c r="CX154" s="311"/>
      <c r="CY154" s="311"/>
    </row>
    <row r="155" spans="1:103" x14ac:dyDescent="0.3">
      <c r="A155" s="296">
        <v>5057</v>
      </c>
      <c r="B155" s="275" t="s">
        <v>22</v>
      </c>
      <c r="C155" s="275" t="s">
        <v>145</v>
      </c>
      <c r="D155" s="275" t="s">
        <v>144</v>
      </c>
      <c r="E155" s="266">
        <v>1100000</v>
      </c>
      <c r="F155" s="278">
        <v>43983</v>
      </c>
      <c r="G155" s="278">
        <v>44348</v>
      </c>
      <c r="H155" s="276"/>
      <c r="I155" s="266">
        <v>6.6</v>
      </c>
      <c r="J155" s="276"/>
      <c r="K155" s="276"/>
      <c r="L155" s="276"/>
      <c r="M155" s="276"/>
      <c r="N155" s="276"/>
      <c r="O155" s="275"/>
      <c r="P155" s="276"/>
      <c r="Q155" s="276"/>
      <c r="R155" s="276"/>
      <c r="S155" s="276"/>
      <c r="T155" s="276"/>
      <c r="U155" s="276"/>
      <c r="V155" s="276"/>
      <c r="W155" s="276"/>
      <c r="X155" s="266"/>
      <c r="Y155" s="276"/>
      <c r="Z155" s="276"/>
      <c r="AA155" s="276">
        <v>5768.2191780821922</v>
      </c>
      <c r="AB155" s="266"/>
      <c r="AC155" s="276"/>
      <c r="AD155" s="276">
        <v>5768.2191780821922</v>
      </c>
      <c r="AE155" s="314">
        <v>6166.0273972602745</v>
      </c>
      <c r="AF155" s="314"/>
      <c r="AG155" s="314"/>
      <c r="AH155" s="314">
        <v>11934.246575342466</v>
      </c>
      <c r="AI155" s="319"/>
      <c r="AJ155" s="311"/>
      <c r="AK155" s="311"/>
      <c r="AL155" s="311"/>
      <c r="AM155" s="311"/>
      <c r="AN155" s="311"/>
      <c r="AO155" s="311"/>
      <c r="AP155" s="311"/>
      <c r="AQ155" s="311"/>
      <c r="AR155" s="311"/>
      <c r="AS155" s="311"/>
      <c r="AT155" s="311"/>
      <c r="AU155" s="311"/>
      <c r="AV155" s="311"/>
      <c r="AW155" s="311"/>
      <c r="AX155" s="311"/>
      <c r="AY155" s="311"/>
      <c r="AZ155" s="311"/>
      <c r="BA155" s="311"/>
      <c r="BB155" s="311"/>
      <c r="BC155" s="311"/>
      <c r="BD155" s="311"/>
      <c r="BE155" s="311"/>
      <c r="BF155" s="311"/>
      <c r="BG155" s="311"/>
      <c r="BH155" s="311"/>
      <c r="BI155" s="311"/>
      <c r="BJ155" s="311"/>
      <c r="BK155" s="311"/>
      <c r="BL155" s="311"/>
      <c r="BM155" s="311"/>
      <c r="BN155" s="311"/>
      <c r="BO155" s="311"/>
      <c r="BP155" s="311"/>
      <c r="BQ155" s="311"/>
      <c r="BR155" s="311"/>
      <c r="BS155" s="311"/>
      <c r="BT155" s="311"/>
      <c r="BU155" s="311"/>
      <c r="BV155" s="311"/>
      <c r="BW155" s="311"/>
      <c r="BX155" s="311"/>
      <c r="BY155" s="311"/>
      <c r="BZ155" s="311"/>
      <c r="CA155" s="311"/>
      <c r="CB155" s="311"/>
      <c r="CC155" s="311"/>
      <c r="CD155" s="311"/>
      <c r="CE155" s="311"/>
      <c r="CF155" s="311"/>
      <c r="CG155" s="311"/>
      <c r="CH155" s="311"/>
      <c r="CI155" s="311"/>
      <c r="CJ155" s="311"/>
      <c r="CK155" s="311"/>
      <c r="CL155" s="311"/>
      <c r="CM155" s="311"/>
      <c r="CN155" s="311"/>
      <c r="CO155" s="311"/>
      <c r="CP155" s="311"/>
      <c r="CQ155" s="311"/>
      <c r="CR155" s="311"/>
      <c r="CS155" s="311"/>
      <c r="CT155" s="311"/>
      <c r="CU155" s="311"/>
      <c r="CV155" s="311"/>
      <c r="CW155" s="311"/>
      <c r="CX155" s="311"/>
      <c r="CY155" s="311"/>
    </row>
    <row r="156" spans="1:103" x14ac:dyDescent="0.3">
      <c r="A156" s="296">
        <v>5005</v>
      </c>
      <c r="B156" s="275" t="s">
        <v>143</v>
      </c>
      <c r="C156" s="275" t="s">
        <v>142</v>
      </c>
      <c r="D156" s="275" t="s">
        <v>141</v>
      </c>
      <c r="E156" s="266">
        <v>1400055.56</v>
      </c>
      <c r="F156" s="278">
        <v>43985</v>
      </c>
      <c r="G156" s="278">
        <v>44350</v>
      </c>
      <c r="H156" s="276"/>
      <c r="I156" s="266">
        <v>6.92</v>
      </c>
      <c r="J156" s="276"/>
      <c r="K156" s="276"/>
      <c r="L156" s="276"/>
      <c r="M156" s="276"/>
      <c r="N156" s="276"/>
      <c r="O156" s="275"/>
      <c r="P156" s="276"/>
      <c r="Q156" s="276"/>
      <c r="R156" s="276"/>
      <c r="S156" s="276"/>
      <c r="T156" s="276"/>
      <c r="U156" s="276"/>
      <c r="V156" s="276"/>
      <c r="W156" s="276"/>
      <c r="X156" s="266"/>
      <c r="Y156" s="276"/>
      <c r="Z156" s="276"/>
      <c r="AA156" s="276">
        <v>7166.7501597369865</v>
      </c>
      <c r="AB156" s="266"/>
      <c r="AC156" s="276"/>
      <c r="AD156" s="276">
        <v>7166.7501597369865</v>
      </c>
      <c r="AE156" s="314">
        <v>8228.4909241424666</v>
      </c>
      <c r="AF156" s="314"/>
      <c r="AG156" s="314"/>
      <c r="AH156" s="314">
        <v>15395.241083879453</v>
      </c>
      <c r="AI156" s="319"/>
      <c r="AJ156" s="311"/>
      <c r="AK156" s="311"/>
      <c r="AL156" s="311"/>
      <c r="AM156" s="311"/>
      <c r="AN156" s="311"/>
      <c r="AO156" s="311"/>
      <c r="AP156" s="311"/>
      <c r="AQ156" s="311"/>
      <c r="AR156" s="311"/>
      <c r="AS156" s="311"/>
      <c r="AT156" s="311"/>
      <c r="AU156" s="311"/>
      <c r="AV156" s="311"/>
      <c r="AW156" s="311"/>
      <c r="AX156" s="311"/>
      <c r="AY156" s="311"/>
      <c r="AZ156" s="311"/>
      <c r="BA156" s="311"/>
      <c r="BB156" s="311"/>
      <c r="BC156" s="311"/>
      <c r="BD156" s="311"/>
      <c r="BE156" s="311"/>
      <c r="BF156" s="311"/>
      <c r="BG156" s="311"/>
      <c r="BH156" s="311"/>
      <c r="BI156" s="311"/>
      <c r="BJ156" s="311"/>
      <c r="BK156" s="311"/>
      <c r="BL156" s="311"/>
      <c r="BM156" s="311"/>
      <c r="BN156" s="311"/>
      <c r="BO156" s="311"/>
      <c r="BP156" s="311"/>
      <c r="BQ156" s="311"/>
      <c r="BR156" s="311"/>
      <c r="BS156" s="311"/>
      <c r="BT156" s="311"/>
      <c r="BU156" s="311"/>
      <c r="BV156" s="311"/>
      <c r="BW156" s="311"/>
      <c r="BX156" s="311"/>
      <c r="BY156" s="311"/>
      <c r="BZ156" s="311"/>
      <c r="CA156" s="311"/>
      <c r="CB156" s="311"/>
      <c r="CC156" s="311"/>
      <c r="CD156" s="311"/>
      <c r="CE156" s="311"/>
      <c r="CF156" s="311"/>
      <c r="CG156" s="311"/>
      <c r="CH156" s="311"/>
      <c r="CI156" s="311"/>
      <c r="CJ156" s="311"/>
      <c r="CK156" s="311"/>
      <c r="CL156" s="311"/>
      <c r="CM156" s="311"/>
      <c r="CN156" s="311"/>
      <c r="CO156" s="311"/>
      <c r="CP156" s="311"/>
      <c r="CQ156" s="311"/>
      <c r="CR156" s="311"/>
      <c r="CS156" s="311"/>
      <c r="CT156" s="311"/>
      <c r="CU156" s="311"/>
      <c r="CV156" s="311"/>
      <c r="CW156" s="311"/>
      <c r="CX156" s="311"/>
      <c r="CY156" s="311"/>
    </row>
    <row r="157" spans="1:103" x14ac:dyDescent="0.3">
      <c r="A157" s="296">
        <v>5063</v>
      </c>
      <c r="B157" s="275" t="s">
        <v>77</v>
      </c>
      <c r="C157" s="275" t="s">
        <v>140</v>
      </c>
      <c r="D157" s="275" t="s">
        <v>139</v>
      </c>
      <c r="E157" s="266">
        <v>240000</v>
      </c>
      <c r="F157" s="278">
        <v>43988</v>
      </c>
      <c r="G157" s="278">
        <v>44353</v>
      </c>
      <c r="H157" s="276"/>
      <c r="I157" s="266">
        <v>5.4</v>
      </c>
      <c r="J157" s="276"/>
      <c r="K157" s="276"/>
      <c r="L157" s="276"/>
      <c r="M157" s="276"/>
      <c r="N157" s="276"/>
      <c r="O157" s="275"/>
      <c r="P157" s="276"/>
      <c r="Q157" s="276"/>
      <c r="R157" s="276"/>
      <c r="S157" s="276"/>
      <c r="T157" s="276"/>
      <c r="U157" s="276"/>
      <c r="V157" s="276"/>
      <c r="W157" s="276"/>
      <c r="X157" s="266"/>
      <c r="Y157" s="276"/>
      <c r="Z157" s="276"/>
      <c r="AA157" s="276">
        <v>852.16438356164394</v>
      </c>
      <c r="AB157" s="266"/>
      <c r="AC157" s="276"/>
      <c r="AD157" s="276">
        <v>852.16438356164394</v>
      </c>
      <c r="AE157" s="314">
        <v>1100.7123287671236</v>
      </c>
      <c r="AF157" s="314"/>
      <c r="AG157" s="314"/>
      <c r="AH157" s="314">
        <v>1952.8767123287676</v>
      </c>
      <c r="AI157" s="319"/>
      <c r="AJ157" s="311"/>
      <c r="AK157" s="311"/>
      <c r="AL157" s="311"/>
      <c r="AM157" s="311"/>
      <c r="AN157" s="311"/>
      <c r="AO157" s="311"/>
      <c r="AP157" s="311"/>
      <c r="AQ157" s="311"/>
      <c r="AR157" s="311"/>
      <c r="AS157" s="311"/>
      <c r="AT157" s="311"/>
      <c r="AU157" s="311"/>
      <c r="AV157" s="311"/>
      <c r="AW157" s="311"/>
      <c r="AX157" s="311"/>
      <c r="AY157" s="311"/>
      <c r="AZ157" s="311"/>
      <c r="BA157" s="311"/>
      <c r="BB157" s="311"/>
      <c r="BC157" s="311"/>
      <c r="BD157" s="311"/>
      <c r="BE157" s="311"/>
      <c r="BF157" s="311"/>
      <c r="BG157" s="311"/>
      <c r="BH157" s="311"/>
      <c r="BI157" s="311"/>
      <c r="BJ157" s="311"/>
      <c r="BK157" s="311"/>
      <c r="BL157" s="311"/>
      <c r="BM157" s="311"/>
      <c r="BN157" s="311"/>
      <c r="BO157" s="311"/>
      <c r="BP157" s="311"/>
      <c r="BQ157" s="311"/>
      <c r="BR157" s="311"/>
      <c r="BS157" s="311"/>
      <c r="BT157" s="311"/>
      <c r="BU157" s="311"/>
      <c r="BV157" s="311"/>
      <c r="BW157" s="311"/>
      <c r="BX157" s="311"/>
      <c r="BY157" s="311"/>
      <c r="BZ157" s="311"/>
      <c r="CA157" s="311"/>
      <c r="CB157" s="311"/>
      <c r="CC157" s="311"/>
      <c r="CD157" s="311"/>
      <c r="CE157" s="311"/>
      <c r="CF157" s="311"/>
      <c r="CG157" s="311"/>
      <c r="CH157" s="311"/>
      <c r="CI157" s="311"/>
      <c r="CJ157" s="311"/>
      <c r="CK157" s="311"/>
      <c r="CL157" s="311"/>
      <c r="CM157" s="311"/>
      <c r="CN157" s="311"/>
      <c r="CO157" s="311"/>
      <c r="CP157" s="311"/>
      <c r="CQ157" s="311"/>
      <c r="CR157" s="311"/>
      <c r="CS157" s="311"/>
      <c r="CT157" s="311"/>
      <c r="CU157" s="311"/>
      <c r="CV157" s="311"/>
      <c r="CW157" s="311"/>
      <c r="CX157" s="311"/>
      <c r="CY157" s="311"/>
    </row>
    <row r="158" spans="1:103" x14ac:dyDescent="0.3">
      <c r="A158" s="296">
        <v>5031</v>
      </c>
      <c r="B158" s="275" t="s">
        <v>138</v>
      </c>
      <c r="C158" s="275" t="s">
        <v>137</v>
      </c>
      <c r="D158" s="275" t="s">
        <v>136</v>
      </c>
      <c r="E158" s="266">
        <v>150162.5</v>
      </c>
      <c r="F158" s="278">
        <v>43990</v>
      </c>
      <c r="G158" s="278">
        <v>44354</v>
      </c>
      <c r="H158" s="276"/>
      <c r="I158" s="266">
        <v>6.42</v>
      </c>
      <c r="J158" s="276"/>
      <c r="K158" s="276"/>
      <c r="L158" s="276"/>
      <c r="M158" s="276"/>
      <c r="N158" s="276"/>
      <c r="O158" s="275"/>
      <c r="P158" s="276"/>
      <c r="Q158" s="276"/>
      <c r="R158" s="276"/>
      <c r="S158" s="276"/>
      <c r="T158" s="276"/>
      <c r="U158" s="276"/>
      <c r="V158" s="276"/>
      <c r="W158" s="276"/>
      <c r="X158" s="266"/>
      <c r="Y158" s="276"/>
      <c r="Z158" s="276"/>
      <c r="AA158" s="276">
        <v>607.47930821917805</v>
      </c>
      <c r="AB158" s="266"/>
      <c r="AC158" s="276"/>
      <c r="AD158" s="276">
        <v>607.47930821917805</v>
      </c>
      <c r="AE158" s="314">
        <v>818.77645890410952</v>
      </c>
      <c r="AF158" s="314"/>
      <c r="AG158" s="314"/>
      <c r="AH158" s="314">
        <v>1426.2557671232876</v>
      </c>
      <c r="AI158" s="319"/>
      <c r="AJ158" s="311"/>
      <c r="AK158" s="311"/>
      <c r="AL158" s="311"/>
      <c r="AM158" s="311"/>
      <c r="AN158" s="311"/>
      <c r="AO158" s="311"/>
      <c r="AP158" s="311"/>
      <c r="AQ158" s="311"/>
      <c r="AR158" s="311"/>
      <c r="AS158" s="311"/>
      <c r="AT158" s="311"/>
      <c r="AU158" s="311"/>
      <c r="AV158" s="311"/>
      <c r="AW158" s="311"/>
      <c r="AX158" s="311"/>
      <c r="AY158" s="311"/>
      <c r="AZ158" s="311"/>
      <c r="BA158" s="311"/>
      <c r="BB158" s="311"/>
      <c r="BC158" s="311"/>
      <c r="BD158" s="311"/>
      <c r="BE158" s="311"/>
      <c r="BF158" s="311"/>
      <c r="BG158" s="311"/>
      <c r="BH158" s="311"/>
      <c r="BI158" s="311"/>
      <c r="BJ158" s="311"/>
      <c r="BK158" s="311"/>
      <c r="BL158" s="311"/>
      <c r="BM158" s="311"/>
      <c r="BN158" s="311"/>
      <c r="BO158" s="311"/>
      <c r="BP158" s="311"/>
      <c r="BQ158" s="311"/>
      <c r="BR158" s="311"/>
      <c r="BS158" s="311"/>
      <c r="BT158" s="311"/>
      <c r="BU158" s="311"/>
      <c r="BV158" s="311"/>
      <c r="BW158" s="311"/>
      <c r="BX158" s="311"/>
      <c r="BY158" s="311"/>
      <c r="BZ158" s="311"/>
      <c r="CA158" s="311"/>
      <c r="CB158" s="311"/>
      <c r="CC158" s="311"/>
      <c r="CD158" s="311"/>
      <c r="CE158" s="311"/>
      <c r="CF158" s="311"/>
      <c r="CG158" s="311"/>
      <c r="CH158" s="311"/>
      <c r="CI158" s="311"/>
      <c r="CJ158" s="311"/>
      <c r="CK158" s="311"/>
      <c r="CL158" s="311"/>
      <c r="CM158" s="311"/>
      <c r="CN158" s="311"/>
      <c r="CO158" s="311"/>
      <c r="CP158" s="311"/>
      <c r="CQ158" s="311"/>
      <c r="CR158" s="311"/>
      <c r="CS158" s="311"/>
      <c r="CT158" s="311"/>
      <c r="CU158" s="311"/>
      <c r="CV158" s="311"/>
      <c r="CW158" s="311"/>
      <c r="CX158" s="311"/>
      <c r="CY158" s="311"/>
    </row>
    <row r="159" spans="1:103" x14ac:dyDescent="0.3">
      <c r="A159" s="296">
        <v>5060</v>
      </c>
      <c r="B159" s="275" t="s">
        <v>40</v>
      </c>
      <c r="C159" s="275" t="s">
        <v>135</v>
      </c>
      <c r="D159" s="275" t="s">
        <v>134</v>
      </c>
      <c r="E159" s="266">
        <v>350000</v>
      </c>
      <c r="F159" s="278">
        <v>43992</v>
      </c>
      <c r="G159" s="278">
        <v>44357</v>
      </c>
      <c r="H159" s="276"/>
      <c r="I159" s="266">
        <v>6.4</v>
      </c>
      <c r="J159" s="276"/>
      <c r="K159" s="276"/>
      <c r="L159" s="276"/>
      <c r="M159" s="276"/>
      <c r="N159" s="276"/>
      <c r="O159" s="275"/>
      <c r="P159" s="276"/>
      <c r="Q159" s="276"/>
      <c r="R159" s="276"/>
      <c r="S159" s="276"/>
      <c r="T159" s="276"/>
      <c r="U159" s="276"/>
      <c r="V159" s="276"/>
      <c r="W159" s="276"/>
      <c r="X159" s="266"/>
      <c r="Y159" s="276"/>
      <c r="Z159" s="276"/>
      <c r="AA159" s="276">
        <v>1227.3972602739725</v>
      </c>
      <c r="AB159" s="266"/>
      <c r="AC159" s="276"/>
      <c r="AD159" s="276">
        <v>1227.3972602739725</v>
      </c>
      <c r="AE159" s="314">
        <v>1902.4657534246574</v>
      </c>
      <c r="AF159" s="314"/>
      <c r="AG159" s="314"/>
      <c r="AH159" s="314">
        <v>3129.8630136986299</v>
      </c>
      <c r="AI159" s="319"/>
      <c r="AJ159" s="311"/>
      <c r="AK159" s="311"/>
      <c r="AL159" s="311"/>
      <c r="AM159" s="311"/>
      <c r="AN159" s="311"/>
      <c r="AO159" s="311"/>
      <c r="AP159" s="311"/>
      <c r="AQ159" s="311"/>
      <c r="AR159" s="311"/>
      <c r="AS159" s="311"/>
      <c r="AT159" s="311"/>
      <c r="AU159" s="311"/>
      <c r="AV159" s="311"/>
      <c r="AW159" s="311"/>
      <c r="AX159" s="311"/>
      <c r="AY159" s="311"/>
      <c r="AZ159" s="311"/>
      <c r="BA159" s="311"/>
      <c r="BB159" s="311"/>
      <c r="BC159" s="311"/>
      <c r="BD159" s="311"/>
      <c r="BE159" s="311"/>
      <c r="BF159" s="311"/>
      <c r="BG159" s="311"/>
      <c r="BH159" s="311"/>
      <c r="BI159" s="311"/>
      <c r="BJ159" s="311"/>
      <c r="BK159" s="311"/>
      <c r="BL159" s="311"/>
      <c r="BM159" s="311"/>
      <c r="BN159" s="311"/>
      <c r="BO159" s="311"/>
      <c r="BP159" s="311"/>
      <c r="BQ159" s="311"/>
      <c r="BR159" s="311"/>
      <c r="BS159" s="311"/>
      <c r="BT159" s="311"/>
      <c r="BU159" s="311"/>
      <c r="BV159" s="311"/>
      <c r="BW159" s="311"/>
      <c r="BX159" s="311"/>
      <c r="BY159" s="311"/>
      <c r="BZ159" s="311"/>
      <c r="CA159" s="311"/>
      <c r="CB159" s="311"/>
      <c r="CC159" s="311"/>
      <c r="CD159" s="311"/>
      <c r="CE159" s="311"/>
      <c r="CF159" s="311"/>
      <c r="CG159" s="311"/>
      <c r="CH159" s="311"/>
      <c r="CI159" s="311"/>
      <c r="CJ159" s="311"/>
      <c r="CK159" s="311"/>
      <c r="CL159" s="311"/>
      <c r="CM159" s="311"/>
      <c r="CN159" s="311"/>
      <c r="CO159" s="311"/>
      <c r="CP159" s="311"/>
      <c r="CQ159" s="311"/>
      <c r="CR159" s="311"/>
      <c r="CS159" s="311"/>
      <c r="CT159" s="311"/>
      <c r="CU159" s="311"/>
      <c r="CV159" s="311"/>
      <c r="CW159" s="311"/>
      <c r="CX159" s="311"/>
      <c r="CY159" s="311"/>
    </row>
    <row r="160" spans="1:103" x14ac:dyDescent="0.3">
      <c r="A160" s="296">
        <v>5060</v>
      </c>
      <c r="B160" s="275" t="s">
        <v>40</v>
      </c>
      <c r="C160" s="275" t="s">
        <v>133</v>
      </c>
      <c r="D160" s="275" t="s">
        <v>132</v>
      </c>
      <c r="E160" s="266">
        <v>955000</v>
      </c>
      <c r="F160" s="278">
        <v>43992</v>
      </c>
      <c r="G160" s="278">
        <v>44357</v>
      </c>
      <c r="H160" s="276"/>
      <c r="I160" s="266">
        <v>6.4</v>
      </c>
      <c r="J160" s="276"/>
      <c r="K160" s="276"/>
      <c r="L160" s="276"/>
      <c r="M160" s="276"/>
      <c r="N160" s="276"/>
      <c r="O160" s="275"/>
      <c r="P160" s="276"/>
      <c r="Q160" s="276"/>
      <c r="R160" s="276"/>
      <c r="S160" s="276"/>
      <c r="T160" s="276"/>
      <c r="U160" s="276"/>
      <c r="V160" s="276"/>
      <c r="W160" s="276"/>
      <c r="X160" s="266"/>
      <c r="Y160" s="276"/>
      <c r="Z160" s="276"/>
      <c r="AA160" s="276">
        <v>3349.0410958904108</v>
      </c>
      <c r="AB160" s="266"/>
      <c r="AC160" s="276"/>
      <c r="AD160" s="276">
        <v>3349.0410958904108</v>
      </c>
      <c r="AE160" s="314">
        <v>5191.0136986301368</v>
      </c>
      <c r="AF160" s="314"/>
      <c r="AG160" s="314"/>
      <c r="AH160" s="314">
        <v>8540.0547945205471</v>
      </c>
      <c r="AI160" s="319"/>
      <c r="AJ160" s="311"/>
      <c r="AK160" s="311"/>
      <c r="AL160" s="311"/>
      <c r="AM160" s="311"/>
      <c r="AN160" s="311"/>
      <c r="AO160" s="311"/>
      <c r="AP160" s="311"/>
      <c r="AQ160" s="311"/>
      <c r="AR160" s="311"/>
      <c r="AS160" s="311"/>
      <c r="AT160" s="311"/>
      <c r="AU160" s="311"/>
      <c r="AV160" s="311"/>
      <c r="AW160" s="311"/>
      <c r="AX160" s="311"/>
      <c r="AY160" s="311"/>
      <c r="AZ160" s="311"/>
      <c r="BA160" s="311"/>
      <c r="BB160" s="311"/>
      <c r="BC160" s="311"/>
      <c r="BD160" s="311"/>
      <c r="BE160" s="311"/>
      <c r="BF160" s="311"/>
      <c r="BG160" s="311"/>
      <c r="BH160" s="311"/>
      <c r="BI160" s="311"/>
      <c r="BJ160" s="311"/>
      <c r="BK160" s="311"/>
      <c r="BL160" s="311"/>
      <c r="BM160" s="311"/>
      <c r="BN160" s="311"/>
      <c r="BO160" s="311"/>
      <c r="BP160" s="311"/>
      <c r="BQ160" s="311"/>
      <c r="BR160" s="311"/>
      <c r="BS160" s="311"/>
      <c r="BT160" s="311"/>
      <c r="BU160" s="311"/>
      <c r="BV160" s="311"/>
      <c r="BW160" s="311"/>
      <c r="BX160" s="311"/>
      <c r="BY160" s="311"/>
      <c r="BZ160" s="311"/>
      <c r="CA160" s="311"/>
      <c r="CB160" s="311"/>
      <c r="CC160" s="311"/>
      <c r="CD160" s="311"/>
      <c r="CE160" s="311"/>
      <c r="CF160" s="311"/>
      <c r="CG160" s="311"/>
      <c r="CH160" s="311"/>
      <c r="CI160" s="311"/>
      <c r="CJ160" s="311"/>
      <c r="CK160" s="311"/>
      <c r="CL160" s="311"/>
      <c r="CM160" s="311"/>
      <c r="CN160" s="311"/>
      <c r="CO160" s="311"/>
      <c r="CP160" s="311"/>
      <c r="CQ160" s="311"/>
      <c r="CR160" s="311"/>
      <c r="CS160" s="311"/>
      <c r="CT160" s="311"/>
      <c r="CU160" s="311"/>
      <c r="CV160" s="311"/>
      <c r="CW160" s="311"/>
      <c r="CX160" s="311"/>
      <c r="CY160" s="311"/>
    </row>
    <row r="161" spans="1:103" x14ac:dyDescent="0.3">
      <c r="A161" s="296">
        <v>5063</v>
      </c>
      <c r="B161" s="275" t="s">
        <v>13</v>
      </c>
      <c r="C161" s="275" t="s">
        <v>131</v>
      </c>
      <c r="D161" s="275" t="s">
        <v>130</v>
      </c>
      <c r="E161" s="266">
        <v>437500</v>
      </c>
      <c r="F161" s="278">
        <v>43993</v>
      </c>
      <c r="G161" s="278">
        <v>44358</v>
      </c>
      <c r="H161" s="276"/>
      <c r="I161" s="266">
        <v>8.9</v>
      </c>
      <c r="J161" s="276"/>
      <c r="K161" s="276"/>
      <c r="L161" s="276"/>
      <c r="M161" s="276"/>
      <c r="N161" s="276"/>
      <c r="O161" s="275"/>
      <c r="P161" s="276"/>
      <c r="Q161" s="276"/>
      <c r="R161" s="276"/>
      <c r="S161" s="276"/>
      <c r="T161" s="276"/>
      <c r="U161" s="276"/>
      <c r="V161" s="276"/>
      <c r="W161" s="276"/>
      <c r="X161" s="266"/>
      <c r="Y161" s="276"/>
      <c r="Z161" s="276"/>
      <c r="AA161" s="276">
        <v>2026.8835616438359</v>
      </c>
      <c r="AB161" s="266"/>
      <c r="AC161" s="276"/>
      <c r="AD161" s="276">
        <v>2026.8835616438359</v>
      </c>
      <c r="AE161" s="314">
        <v>3307.0205479452061</v>
      </c>
      <c r="AF161" s="314"/>
      <c r="AG161" s="314"/>
      <c r="AH161" s="314">
        <v>5333.9041095890425</v>
      </c>
      <c r="AI161" s="319"/>
      <c r="AJ161" s="311"/>
      <c r="AK161" s="311"/>
      <c r="AL161" s="311"/>
      <c r="AM161" s="311"/>
      <c r="AN161" s="311"/>
      <c r="AO161" s="311"/>
      <c r="AP161" s="311"/>
      <c r="AQ161" s="311"/>
      <c r="AR161" s="311"/>
      <c r="AS161" s="311"/>
      <c r="AT161" s="311"/>
      <c r="AU161" s="311"/>
      <c r="AV161" s="311"/>
      <c r="AW161" s="311"/>
      <c r="AX161" s="311"/>
      <c r="AY161" s="311"/>
      <c r="AZ161" s="311"/>
      <c r="BA161" s="311"/>
      <c r="BB161" s="311"/>
      <c r="BC161" s="311"/>
      <c r="BD161" s="311"/>
      <c r="BE161" s="311"/>
      <c r="BF161" s="311"/>
      <c r="BG161" s="311"/>
      <c r="BH161" s="311"/>
      <c r="BI161" s="311"/>
      <c r="BJ161" s="311"/>
      <c r="BK161" s="311"/>
      <c r="BL161" s="311"/>
      <c r="BM161" s="311"/>
      <c r="BN161" s="311"/>
      <c r="BO161" s="311"/>
      <c r="BP161" s="311"/>
      <c r="BQ161" s="311"/>
      <c r="BR161" s="311"/>
      <c r="BS161" s="311"/>
      <c r="BT161" s="311"/>
      <c r="BU161" s="311"/>
      <c r="BV161" s="311"/>
      <c r="BW161" s="311"/>
      <c r="BX161" s="311"/>
      <c r="BY161" s="311"/>
      <c r="BZ161" s="311"/>
      <c r="CA161" s="311"/>
      <c r="CB161" s="311"/>
      <c r="CC161" s="311"/>
      <c r="CD161" s="311"/>
      <c r="CE161" s="311"/>
      <c r="CF161" s="311"/>
      <c r="CG161" s="311"/>
      <c r="CH161" s="311"/>
      <c r="CI161" s="311"/>
      <c r="CJ161" s="311"/>
      <c r="CK161" s="311"/>
      <c r="CL161" s="311"/>
      <c r="CM161" s="311"/>
      <c r="CN161" s="311"/>
      <c r="CO161" s="311"/>
      <c r="CP161" s="311"/>
      <c r="CQ161" s="311"/>
      <c r="CR161" s="311"/>
      <c r="CS161" s="311"/>
      <c r="CT161" s="311"/>
      <c r="CU161" s="311"/>
      <c r="CV161" s="311"/>
      <c r="CW161" s="311"/>
      <c r="CX161" s="311"/>
      <c r="CY161" s="311"/>
    </row>
    <row r="162" spans="1:103" x14ac:dyDescent="0.3">
      <c r="A162" s="296">
        <v>5005</v>
      </c>
      <c r="B162" s="275" t="s">
        <v>127</v>
      </c>
      <c r="C162" s="275" t="s">
        <v>129</v>
      </c>
      <c r="D162" s="275" t="s">
        <v>128</v>
      </c>
      <c r="E162" s="266">
        <v>400000</v>
      </c>
      <c r="F162" s="278">
        <v>43999</v>
      </c>
      <c r="G162" s="278">
        <v>44364</v>
      </c>
      <c r="H162" s="276"/>
      <c r="I162" s="266">
        <v>5.92</v>
      </c>
      <c r="J162" s="276"/>
      <c r="K162" s="276"/>
      <c r="L162" s="276"/>
      <c r="M162" s="276"/>
      <c r="N162" s="276"/>
      <c r="O162" s="275"/>
      <c r="P162" s="276"/>
      <c r="Q162" s="276"/>
      <c r="R162" s="276"/>
      <c r="S162" s="276"/>
      <c r="T162" s="276"/>
      <c r="U162" s="276"/>
      <c r="V162" s="276"/>
      <c r="W162" s="276"/>
      <c r="X162" s="266"/>
      <c r="Y162" s="276"/>
      <c r="Z162" s="276"/>
      <c r="AA162" s="276">
        <v>843.39726027397262</v>
      </c>
      <c r="AB162" s="266"/>
      <c r="AC162" s="276"/>
      <c r="AD162" s="276">
        <v>843.39726027397262</v>
      </c>
      <c r="AE162" s="314">
        <v>2011.178082191781</v>
      </c>
      <c r="AF162" s="314"/>
      <c r="AG162" s="314"/>
      <c r="AH162" s="314">
        <v>2854.5753424657537</v>
      </c>
      <c r="AI162" s="319"/>
      <c r="AJ162" s="311"/>
      <c r="AK162" s="311"/>
      <c r="AL162" s="311"/>
      <c r="AM162" s="311"/>
      <c r="AN162" s="311"/>
      <c r="AO162" s="311"/>
      <c r="AP162" s="311"/>
      <c r="AQ162" s="311"/>
      <c r="AR162" s="311"/>
      <c r="AS162" s="311"/>
      <c r="AT162" s="311"/>
      <c r="AU162" s="311"/>
      <c r="AV162" s="311"/>
      <c r="AW162" s="311"/>
      <c r="AX162" s="311"/>
      <c r="AY162" s="311"/>
      <c r="AZ162" s="311"/>
      <c r="BA162" s="311"/>
      <c r="BB162" s="311"/>
      <c r="BC162" s="311"/>
      <c r="BD162" s="311"/>
      <c r="BE162" s="311"/>
      <c r="BF162" s="311"/>
      <c r="BG162" s="311"/>
      <c r="BH162" s="311"/>
      <c r="BI162" s="311"/>
      <c r="BJ162" s="311"/>
      <c r="BK162" s="311"/>
      <c r="BL162" s="311"/>
      <c r="BM162" s="311"/>
      <c r="BN162" s="311"/>
      <c r="BO162" s="311"/>
      <c r="BP162" s="311"/>
      <c r="BQ162" s="311"/>
      <c r="BR162" s="311"/>
      <c r="BS162" s="311"/>
      <c r="BT162" s="311"/>
      <c r="BU162" s="311"/>
      <c r="BV162" s="311"/>
      <c r="BW162" s="311"/>
      <c r="BX162" s="311"/>
      <c r="BY162" s="311"/>
      <c r="BZ162" s="311"/>
      <c r="CA162" s="311"/>
      <c r="CB162" s="311"/>
      <c r="CC162" s="311"/>
      <c r="CD162" s="311"/>
      <c r="CE162" s="311"/>
      <c r="CF162" s="311"/>
      <c r="CG162" s="311"/>
      <c r="CH162" s="311"/>
      <c r="CI162" s="311"/>
      <c r="CJ162" s="311"/>
      <c r="CK162" s="311"/>
      <c r="CL162" s="311"/>
      <c r="CM162" s="311"/>
      <c r="CN162" s="311"/>
      <c r="CO162" s="311"/>
      <c r="CP162" s="311"/>
      <c r="CQ162" s="311"/>
      <c r="CR162" s="311"/>
      <c r="CS162" s="311"/>
      <c r="CT162" s="311"/>
      <c r="CU162" s="311"/>
      <c r="CV162" s="311"/>
      <c r="CW162" s="311"/>
      <c r="CX162" s="311"/>
      <c r="CY162" s="311"/>
    </row>
    <row r="163" spans="1:103" x14ac:dyDescent="0.3">
      <c r="A163" s="296">
        <v>5005</v>
      </c>
      <c r="B163" s="275" t="s">
        <v>127</v>
      </c>
      <c r="C163" s="275" t="s">
        <v>126</v>
      </c>
      <c r="D163" s="275" t="s">
        <v>125</v>
      </c>
      <c r="E163" s="266">
        <v>140000</v>
      </c>
      <c r="F163" s="278">
        <v>43999</v>
      </c>
      <c r="G163" s="278">
        <v>44364</v>
      </c>
      <c r="H163" s="276"/>
      <c r="I163" s="266">
        <v>5.92</v>
      </c>
      <c r="J163" s="276"/>
      <c r="K163" s="276"/>
      <c r="L163" s="276"/>
      <c r="M163" s="276"/>
      <c r="N163" s="276"/>
      <c r="O163" s="275"/>
      <c r="P163" s="276"/>
      <c r="Q163" s="276"/>
      <c r="R163" s="276"/>
      <c r="S163" s="276"/>
      <c r="T163" s="276"/>
      <c r="U163" s="276"/>
      <c r="V163" s="276"/>
      <c r="W163" s="276"/>
      <c r="X163" s="266"/>
      <c r="Y163" s="276"/>
      <c r="Z163" s="276"/>
      <c r="AA163" s="276">
        <v>295.18904109589039</v>
      </c>
      <c r="AB163" s="266"/>
      <c r="AC163" s="276"/>
      <c r="AD163" s="276">
        <v>295.18904109589039</v>
      </c>
      <c r="AE163" s="314">
        <v>703.91232876712331</v>
      </c>
      <c r="AF163" s="314"/>
      <c r="AG163" s="314"/>
      <c r="AH163" s="314">
        <v>999.1013698630137</v>
      </c>
      <c r="AI163" s="319"/>
      <c r="AJ163" s="311"/>
      <c r="AK163" s="311"/>
      <c r="AL163" s="311"/>
      <c r="AM163" s="311"/>
      <c r="AN163" s="311"/>
      <c r="AO163" s="311"/>
      <c r="AP163" s="311"/>
      <c r="AQ163" s="311"/>
      <c r="AR163" s="311"/>
      <c r="AS163" s="311"/>
      <c r="AT163" s="311"/>
      <c r="AU163" s="311"/>
      <c r="AV163" s="311"/>
      <c r="AW163" s="311"/>
      <c r="AX163" s="311"/>
      <c r="AY163" s="311"/>
      <c r="AZ163" s="311"/>
      <c r="BA163" s="311"/>
      <c r="BB163" s="311"/>
      <c r="BC163" s="311"/>
      <c r="BD163" s="311"/>
      <c r="BE163" s="311"/>
      <c r="BF163" s="311"/>
      <c r="BG163" s="311"/>
      <c r="BH163" s="311"/>
      <c r="BI163" s="311"/>
      <c r="BJ163" s="311"/>
      <c r="BK163" s="311"/>
      <c r="BL163" s="311"/>
      <c r="BM163" s="311"/>
      <c r="BN163" s="311"/>
      <c r="BO163" s="311"/>
      <c r="BP163" s="311"/>
      <c r="BQ163" s="311"/>
      <c r="BR163" s="311"/>
      <c r="BS163" s="311"/>
      <c r="BT163" s="311"/>
      <c r="BU163" s="311"/>
      <c r="BV163" s="311"/>
      <c r="BW163" s="311"/>
      <c r="BX163" s="311"/>
      <c r="BY163" s="311"/>
      <c r="BZ163" s="311"/>
      <c r="CA163" s="311"/>
      <c r="CB163" s="311"/>
      <c r="CC163" s="311"/>
      <c r="CD163" s="311"/>
      <c r="CE163" s="311"/>
      <c r="CF163" s="311"/>
      <c r="CG163" s="311"/>
      <c r="CH163" s="311"/>
      <c r="CI163" s="311"/>
      <c r="CJ163" s="311"/>
      <c r="CK163" s="311"/>
      <c r="CL163" s="311"/>
      <c r="CM163" s="311"/>
      <c r="CN163" s="311"/>
      <c r="CO163" s="311"/>
      <c r="CP163" s="311"/>
      <c r="CQ163" s="311"/>
      <c r="CR163" s="311"/>
      <c r="CS163" s="311"/>
      <c r="CT163" s="311"/>
      <c r="CU163" s="311"/>
      <c r="CV163" s="311"/>
      <c r="CW163" s="311"/>
      <c r="CX163" s="311"/>
      <c r="CY163" s="311"/>
    </row>
    <row r="164" spans="1:103" x14ac:dyDescent="0.3">
      <c r="A164" s="296">
        <v>5056</v>
      </c>
      <c r="B164" s="275" t="s">
        <v>124</v>
      </c>
      <c r="C164" s="275" t="s">
        <v>123</v>
      </c>
      <c r="D164" s="275" t="s">
        <v>122</v>
      </c>
      <c r="E164" s="266">
        <v>158000</v>
      </c>
      <c r="F164" s="278">
        <v>43999</v>
      </c>
      <c r="G164" s="278">
        <v>44364</v>
      </c>
      <c r="H164" s="276"/>
      <c r="I164" s="266">
        <v>4.4000000000000004</v>
      </c>
      <c r="J164" s="276"/>
      <c r="K164" s="276"/>
      <c r="L164" s="276"/>
      <c r="M164" s="276"/>
      <c r="N164" s="276"/>
      <c r="O164" s="275"/>
      <c r="P164" s="276"/>
      <c r="Q164" s="276"/>
      <c r="R164" s="276"/>
      <c r="S164" s="276"/>
      <c r="T164" s="276"/>
      <c r="U164" s="276"/>
      <c r="V164" s="276"/>
      <c r="W164" s="276"/>
      <c r="X164" s="266"/>
      <c r="Y164" s="276"/>
      <c r="Z164" s="276"/>
      <c r="AA164" s="276">
        <v>247.60547945205479</v>
      </c>
      <c r="AB164" s="266"/>
      <c r="AC164" s="276"/>
      <c r="AD164" s="276">
        <v>247.60547945205479</v>
      </c>
      <c r="AE164" s="314">
        <v>590.44383561643838</v>
      </c>
      <c r="AF164" s="314"/>
      <c r="AG164" s="314"/>
      <c r="AH164" s="314">
        <v>838.04931506849312</v>
      </c>
      <c r="AI164" s="319"/>
      <c r="AJ164" s="311"/>
      <c r="AK164" s="311"/>
      <c r="AL164" s="311"/>
      <c r="AM164" s="311"/>
      <c r="AN164" s="311"/>
      <c r="AO164" s="311"/>
      <c r="AP164" s="311"/>
      <c r="AQ164" s="311"/>
      <c r="AR164" s="311"/>
      <c r="AS164" s="311"/>
      <c r="AT164" s="311"/>
      <c r="AU164" s="311"/>
      <c r="AV164" s="311"/>
      <c r="AW164" s="311"/>
      <c r="AX164" s="311"/>
      <c r="AY164" s="311"/>
      <c r="AZ164" s="311"/>
      <c r="BA164" s="311"/>
      <c r="BB164" s="311"/>
      <c r="BC164" s="311"/>
      <c r="BD164" s="311"/>
      <c r="BE164" s="311"/>
      <c r="BF164" s="311"/>
      <c r="BG164" s="311"/>
      <c r="BH164" s="311"/>
      <c r="BI164" s="311"/>
      <c r="BJ164" s="311"/>
      <c r="BK164" s="311"/>
      <c r="BL164" s="311"/>
      <c r="BM164" s="311"/>
      <c r="BN164" s="311"/>
      <c r="BO164" s="311"/>
      <c r="BP164" s="311"/>
      <c r="BQ164" s="311"/>
      <c r="BR164" s="311"/>
      <c r="BS164" s="311"/>
      <c r="BT164" s="311"/>
      <c r="BU164" s="311"/>
      <c r="BV164" s="311"/>
      <c r="BW164" s="311"/>
      <c r="BX164" s="311"/>
      <c r="BY164" s="311"/>
      <c r="BZ164" s="311"/>
      <c r="CA164" s="311"/>
      <c r="CB164" s="311"/>
      <c r="CC164" s="311"/>
      <c r="CD164" s="311"/>
      <c r="CE164" s="311"/>
      <c r="CF164" s="311"/>
      <c r="CG164" s="311"/>
      <c r="CH164" s="311"/>
      <c r="CI164" s="311"/>
      <c r="CJ164" s="311"/>
      <c r="CK164" s="311"/>
      <c r="CL164" s="311"/>
      <c r="CM164" s="311"/>
      <c r="CN164" s="311"/>
      <c r="CO164" s="311"/>
      <c r="CP164" s="311"/>
      <c r="CQ164" s="311"/>
      <c r="CR164" s="311"/>
      <c r="CS164" s="311"/>
      <c r="CT164" s="311"/>
      <c r="CU164" s="311"/>
      <c r="CV164" s="311"/>
      <c r="CW164" s="311"/>
      <c r="CX164" s="311"/>
      <c r="CY164" s="311"/>
    </row>
    <row r="165" spans="1:103" x14ac:dyDescent="0.3">
      <c r="A165" s="337">
        <v>5057</v>
      </c>
      <c r="B165" s="325" t="s">
        <v>74</v>
      </c>
      <c r="C165" s="325" t="s">
        <v>121</v>
      </c>
      <c r="D165" s="325" t="s">
        <v>120</v>
      </c>
      <c r="E165" s="328">
        <v>139000</v>
      </c>
      <c r="F165" s="338">
        <v>43999</v>
      </c>
      <c r="G165" s="338">
        <v>44364</v>
      </c>
      <c r="H165" s="326"/>
      <c r="I165" s="328">
        <v>3.4</v>
      </c>
      <c r="J165" s="276"/>
      <c r="K165" s="276"/>
      <c r="L165" s="276"/>
      <c r="M165" s="276"/>
      <c r="N165" s="276"/>
      <c r="O165" s="275"/>
      <c r="P165" s="276"/>
      <c r="Q165" s="276"/>
      <c r="R165" s="276"/>
      <c r="S165" s="276"/>
      <c r="T165" s="276"/>
      <c r="U165" s="276"/>
      <c r="V165" s="276"/>
      <c r="W165" s="276"/>
      <c r="X165" s="266"/>
      <c r="Y165" s="276"/>
      <c r="Z165" s="276"/>
      <c r="AA165" s="326">
        <v>168.32328767123289</v>
      </c>
      <c r="AB165" s="328"/>
      <c r="AC165" s="326"/>
      <c r="AD165" s="326">
        <v>168.32328767123289</v>
      </c>
      <c r="AE165" s="329">
        <v>401.38630136986302</v>
      </c>
      <c r="AF165" s="329">
        <v>-181.27</v>
      </c>
      <c r="AG165" s="329">
        <v>-388.44</v>
      </c>
      <c r="AH165" s="329">
        <v>-4.1095890406950275E-4</v>
      </c>
      <c r="AI165" s="330" t="s">
        <v>96</v>
      </c>
      <c r="AJ165" s="311"/>
      <c r="AK165" s="311"/>
      <c r="AL165" s="311"/>
      <c r="AM165" s="311"/>
      <c r="AN165" s="311"/>
      <c r="AO165" s="311"/>
      <c r="AP165" s="311"/>
      <c r="AQ165" s="311"/>
      <c r="AR165" s="311"/>
      <c r="AS165" s="311"/>
      <c r="AT165" s="311"/>
      <c r="AU165" s="311"/>
      <c r="AV165" s="311"/>
      <c r="AW165" s="311"/>
      <c r="AX165" s="311"/>
      <c r="AY165" s="311"/>
      <c r="AZ165" s="311"/>
      <c r="BA165" s="311"/>
      <c r="BB165" s="311"/>
      <c r="BC165" s="311"/>
      <c r="BD165" s="311"/>
      <c r="BE165" s="311"/>
      <c r="BF165" s="311"/>
      <c r="BG165" s="311"/>
      <c r="BH165" s="311"/>
      <c r="BI165" s="311"/>
      <c r="BJ165" s="311"/>
      <c r="BK165" s="311"/>
      <c r="BL165" s="311"/>
      <c r="BM165" s="311"/>
      <c r="BN165" s="311"/>
      <c r="BO165" s="311"/>
      <c r="BP165" s="311"/>
      <c r="BQ165" s="311"/>
      <c r="BR165" s="311"/>
      <c r="BS165" s="311"/>
      <c r="BT165" s="311"/>
      <c r="BU165" s="311"/>
      <c r="BV165" s="311"/>
      <c r="BW165" s="311"/>
      <c r="BX165" s="311"/>
      <c r="BY165" s="311"/>
      <c r="BZ165" s="311"/>
      <c r="CA165" s="311"/>
      <c r="CB165" s="311"/>
      <c r="CC165" s="311"/>
      <c r="CD165" s="311"/>
      <c r="CE165" s="311"/>
      <c r="CF165" s="311"/>
      <c r="CG165" s="311"/>
      <c r="CH165" s="311"/>
      <c r="CI165" s="311"/>
      <c r="CJ165" s="311"/>
      <c r="CK165" s="311"/>
      <c r="CL165" s="311"/>
      <c r="CM165" s="311"/>
      <c r="CN165" s="311"/>
      <c r="CO165" s="311"/>
      <c r="CP165" s="311"/>
      <c r="CQ165" s="311"/>
      <c r="CR165" s="311"/>
      <c r="CS165" s="311"/>
      <c r="CT165" s="311"/>
      <c r="CU165" s="311"/>
      <c r="CV165" s="311"/>
      <c r="CW165" s="311"/>
      <c r="CX165" s="311"/>
      <c r="CY165" s="311"/>
    </row>
    <row r="166" spans="1:103" x14ac:dyDescent="0.3">
      <c r="A166" s="296">
        <v>5004</v>
      </c>
      <c r="B166" s="275" t="s">
        <v>117</v>
      </c>
      <c r="C166" s="275" t="s">
        <v>119</v>
      </c>
      <c r="D166" s="275" t="s">
        <v>118</v>
      </c>
      <c r="E166" s="266">
        <v>60000</v>
      </c>
      <c r="F166" s="278">
        <v>44010</v>
      </c>
      <c r="G166" s="278">
        <v>44375</v>
      </c>
      <c r="H166" s="276"/>
      <c r="I166" s="266">
        <v>5.85</v>
      </c>
      <c r="J166" s="276"/>
      <c r="K166" s="276"/>
      <c r="L166" s="276"/>
      <c r="M166" s="276"/>
      <c r="N166" s="276"/>
      <c r="O166" s="275"/>
      <c r="P166" s="276"/>
      <c r="Q166" s="276"/>
      <c r="R166" s="276"/>
      <c r="S166" s="276"/>
      <c r="T166" s="276"/>
      <c r="U166" s="276"/>
      <c r="V166" s="276"/>
      <c r="W166" s="276"/>
      <c r="X166" s="266"/>
      <c r="Y166" s="276"/>
      <c r="Z166" s="276"/>
      <c r="AA166" s="276">
        <v>19.232876712328768</v>
      </c>
      <c r="AB166" s="266"/>
      <c r="AC166" s="276"/>
      <c r="AD166" s="276">
        <v>19.232876712328768</v>
      </c>
      <c r="AE166" s="314">
        <v>298.10958904109589</v>
      </c>
      <c r="AF166" s="314"/>
      <c r="AG166" s="314"/>
      <c r="AH166" s="314">
        <v>317.34246575342468</v>
      </c>
      <c r="AI166" s="319"/>
      <c r="AJ166" s="311"/>
      <c r="AK166" s="311"/>
      <c r="AL166" s="311"/>
      <c r="AM166" s="311"/>
      <c r="AN166" s="311"/>
      <c r="AO166" s="311"/>
      <c r="AP166" s="311"/>
      <c r="AQ166" s="311"/>
      <c r="AR166" s="311"/>
      <c r="AS166" s="311"/>
      <c r="AT166" s="311"/>
      <c r="AU166" s="311"/>
      <c r="AV166" s="311"/>
      <c r="AW166" s="311"/>
      <c r="AX166" s="311"/>
      <c r="AY166" s="311"/>
      <c r="AZ166" s="311"/>
      <c r="BA166" s="311"/>
      <c r="BB166" s="311"/>
      <c r="BC166" s="311"/>
      <c r="BD166" s="311"/>
      <c r="BE166" s="311"/>
      <c r="BF166" s="311"/>
      <c r="BG166" s="311"/>
      <c r="BH166" s="311"/>
      <c r="BI166" s="311"/>
      <c r="BJ166" s="311"/>
      <c r="BK166" s="311"/>
      <c r="BL166" s="311"/>
      <c r="BM166" s="311"/>
      <c r="BN166" s="311"/>
      <c r="BO166" s="311"/>
      <c r="BP166" s="311"/>
      <c r="BQ166" s="311"/>
      <c r="BR166" s="311"/>
      <c r="BS166" s="311"/>
      <c r="BT166" s="311"/>
      <c r="BU166" s="311"/>
      <c r="BV166" s="311"/>
      <c r="BW166" s="311"/>
      <c r="BX166" s="311"/>
      <c r="BY166" s="311"/>
      <c r="BZ166" s="311"/>
      <c r="CA166" s="311"/>
      <c r="CB166" s="311"/>
      <c r="CC166" s="311"/>
      <c r="CD166" s="311"/>
      <c r="CE166" s="311"/>
      <c r="CF166" s="311"/>
      <c r="CG166" s="311"/>
      <c r="CH166" s="311"/>
      <c r="CI166" s="311"/>
      <c r="CJ166" s="311"/>
      <c r="CK166" s="311"/>
      <c r="CL166" s="311"/>
      <c r="CM166" s="311"/>
      <c r="CN166" s="311"/>
      <c r="CO166" s="311"/>
      <c r="CP166" s="311"/>
      <c r="CQ166" s="311"/>
      <c r="CR166" s="311"/>
      <c r="CS166" s="311"/>
      <c r="CT166" s="311"/>
      <c r="CU166" s="311"/>
      <c r="CV166" s="311"/>
      <c r="CW166" s="311"/>
      <c r="CX166" s="311"/>
      <c r="CY166" s="311"/>
    </row>
    <row r="167" spans="1:103" x14ac:dyDescent="0.3">
      <c r="A167" s="296">
        <v>5004</v>
      </c>
      <c r="B167" s="275" t="s">
        <v>117</v>
      </c>
      <c r="C167" s="275" t="s">
        <v>116</v>
      </c>
      <c r="D167" s="275" t="s">
        <v>115</v>
      </c>
      <c r="E167" s="266">
        <v>100000</v>
      </c>
      <c r="F167" s="278">
        <v>44010</v>
      </c>
      <c r="G167" s="278">
        <v>44375</v>
      </c>
      <c r="H167" s="276"/>
      <c r="I167" s="266">
        <v>5.85</v>
      </c>
      <c r="J167" s="276"/>
      <c r="K167" s="276"/>
      <c r="L167" s="276"/>
      <c r="M167" s="276"/>
      <c r="N167" s="276"/>
      <c r="O167" s="275"/>
      <c r="P167" s="276"/>
      <c r="Q167" s="276"/>
      <c r="R167" s="276"/>
      <c r="S167" s="276"/>
      <c r="T167" s="276"/>
      <c r="U167" s="276"/>
      <c r="V167" s="276"/>
      <c r="W167" s="276"/>
      <c r="X167" s="266"/>
      <c r="Y167" s="276"/>
      <c r="Z167" s="276"/>
      <c r="AA167" s="276">
        <v>32.054794520547944</v>
      </c>
      <c r="AB167" s="266"/>
      <c r="AC167" s="276"/>
      <c r="AD167" s="276">
        <v>32.054794520547944</v>
      </c>
      <c r="AE167" s="314">
        <v>496.84931506849313</v>
      </c>
      <c r="AF167" s="314"/>
      <c r="AG167" s="314"/>
      <c r="AH167" s="314">
        <v>528.90410958904113</v>
      </c>
      <c r="AI167" s="319"/>
      <c r="AJ167" s="311"/>
      <c r="AK167" s="311"/>
      <c r="AL167" s="311"/>
      <c r="AM167" s="311"/>
      <c r="AN167" s="311"/>
      <c r="AO167" s="311"/>
      <c r="AP167" s="311"/>
      <c r="AQ167" s="311"/>
      <c r="AR167" s="311"/>
      <c r="AS167" s="311"/>
      <c r="AT167" s="311"/>
      <c r="AU167" s="311"/>
      <c r="AV167" s="311"/>
      <c r="AW167" s="311"/>
      <c r="AX167" s="311"/>
      <c r="AY167" s="311"/>
      <c r="AZ167" s="311"/>
      <c r="BA167" s="311"/>
      <c r="BB167" s="311"/>
      <c r="BC167" s="311"/>
      <c r="BD167" s="311"/>
      <c r="BE167" s="311"/>
      <c r="BF167" s="311"/>
      <c r="BG167" s="311"/>
      <c r="BH167" s="311"/>
      <c r="BI167" s="311"/>
      <c r="BJ167" s="311"/>
      <c r="BK167" s="311"/>
      <c r="BL167" s="311"/>
      <c r="BM167" s="311"/>
      <c r="BN167" s="311"/>
      <c r="BO167" s="311"/>
      <c r="BP167" s="311"/>
      <c r="BQ167" s="311"/>
      <c r="BR167" s="311"/>
      <c r="BS167" s="311"/>
      <c r="BT167" s="311"/>
      <c r="BU167" s="311"/>
      <c r="BV167" s="311"/>
      <c r="BW167" s="311"/>
      <c r="BX167" s="311"/>
      <c r="BY167" s="311"/>
      <c r="BZ167" s="311"/>
      <c r="CA167" s="311"/>
      <c r="CB167" s="311"/>
      <c r="CC167" s="311"/>
      <c r="CD167" s="311"/>
      <c r="CE167" s="311"/>
      <c r="CF167" s="311"/>
      <c r="CG167" s="311"/>
      <c r="CH167" s="311"/>
      <c r="CI167" s="311"/>
      <c r="CJ167" s="311"/>
      <c r="CK167" s="311"/>
      <c r="CL167" s="311"/>
      <c r="CM167" s="311"/>
      <c r="CN167" s="311"/>
      <c r="CO167" s="311"/>
      <c r="CP167" s="311"/>
      <c r="CQ167" s="311"/>
      <c r="CR167" s="311"/>
      <c r="CS167" s="311"/>
      <c r="CT167" s="311"/>
      <c r="CU167" s="311"/>
      <c r="CV167" s="311"/>
      <c r="CW167" s="311"/>
      <c r="CX167" s="311"/>
      <c r="CY167" s="311"/>
    </row>
    <row r="168" spans="1:103" x14ac:dyDescent="0.3">
      <c r="A168" s="296">
        <v>5060</v>
      </c>
      <c r="B168" s="275" t="s">
        <v>40</v>
      </c>
      <c r="C168" s="275" t="s">
        <v>114</v>
      </c>
      <c r="D168" s="275" t="s">
        <v>113</v>
      </c>
      <c r="E168" s="266">
        <v>330000</v>
      </c>
      <c r="F168" s="278">
        <v>44012</v>
      </c>
      <c r="G168" s="278">
        <v>44377</v>
      </c>
      <c r="H168" s="276"/>
      <c r="I168" s="266">
        <v>6.4</v>
      </c>
      <c r="J168" s="276"/>
      <c r="K168" s="276"/>
      <c r="L168" s="276"/>
      <c r="M168" s="276"/>
      <c r="N168" s="276"/>
      <c r="O168" s="275"/>
      <c r="P168" s="276"/>
      <c r="Q168" s="276"/>
      <c r="R168" s="276"/>
      <c r="S168" s="276"/>
      <c r="T168" s="276"/>
      <c r="U168" s="276"/>
      <c r="V168" s="276"/>
      <c r="W168" s="276"/>
      <c r="X168" s="266"/>
      <c r="Y168" s="276"/>
      <c r="Z168" s="276"/>
      <c r="AA168" s="276"/>
      <c r="AB168" s="266"/>
      <c r="AC168" s="276"/>
      <c r="AD168" s="276"/>
      <c r="AE168" s="314">
        <v>1793.7534246575342</v>
      </c>
      <c r="AF168" s="314"/>
      <c r="AG168" s="314"/>
      <c r="AH168" s="314">
        <v>1793.7534246575342</v>
      </c>
      <c r="AI168" s="319"/>
      <c r="AJ168" s="311"/>
      <c r="AK168" s="311"/>
      <c r="AL168" s="311"/>
      <c r="AM168" s="311"/>
      <c r="AN168" s="311"/>
      <c r="AO168" s="311"/>
      <c r="AP168" s="311"/>
      <c r="AQ168" s="311"/>
      <c r="AR168" s="311"/>
      <c r="AS168" s="311"/>
      <c r="AT168" s="311"/>
      <c r="AU168" s="311"/>
      <c r="AV168" s="311"/>
      <c r="AW168" s="311"/>
      <c r="AX168" s="311"/>
      <c r="AY168" s="311"/>
      <c r="AZ168" s="311"/>
      <c r="BA168" s="311"/>
      <c r="BB168" s="311"/>
      <c r="BC168" s="311"/>
      <c r="BD168" s="311"/>
      <c r="BE168" s="311"/>
      <c r="BF168" s="311"/>
      <c r="BG168" s="311"/>
      <c r="BH168" s="311"/>
      <c r="BI168" s="311"/>
      <c r="BJ168" s="311"/>
      <c r="BK168" s="311"/>
      <c r="BL168" s="311"/>
      <c r="BM168" s="311"/>
      <c r="BN168" s="311"/>
      <c r="BO168" s="311"/>
      <c r="BP168" s="311"/>
      <c r="BQ168" s="311"/>
      <c r="BR168" s="311"/>
      <c r="BS168" s="311"/>
      <c r="BT168" s="311"/>
      <c r="BU168" s="311"/>
      <c r="BV168" s="311"/>
      <c r="BW168" s="311"/>
      <c r="BX168" s="311"/>
      <c r="BY168" s="311"/>
      <c r="BZ168" s="311"/>
      <c r="CA168" s="311"/>
      <c r="CB168" s="311"/>
      <c r="CC168" s="311"/>
      <c r="CD168" s="311"/>
      <c r="CE168" s="311"/>
      <c r="CF168" s="311"/>
      <c r="CG168" s="311"/>
      <c r="CH168" s="311"/>
      <c r="CI168" s="311"/>
      <c r="CJ168" s="311"/>
      <c r="CK168" s="311"/>
      <c r="CL168" s="311"/>
      <c r="CM168" s="311"/>
      <c r="CN168" s="311"/>
      <c r="CO168" s="311"/>
      <c r="CP168" s="311"/>
      <c r="CQ168" s="311"/>
      <c r="CR168" s="311"/>
      <c r="CS168" s="311"/>
      <c r="CT168" s="311"/>
      <c r="CU168" s="311"/>
      <c r="CV168" s="311"/>
      <c r="CW168" s="311"/>
      <c r="CX168" s="311"/>
      <c r="CY168" s="311"/>
    </row>
    <row r="169" spans="1:103" x14ac:dyDescent="0.3">
      <c r="A169" s="296">
        <v>5063</v>
      </c>
      <c r="B169" s="275" t="s">
        <v>13</v>
      </c>
      <c r="C169" s="275" t="s">
        <v>112</v>
      </c>
      <c r="D169" s="275" t="s">
        <v>111</v>
      </c>
      <c r="E169" s="266">
        <v>200000</v>
      </c>
      <c r="F169" s="278">
        <v>44006</v>
      </c>
      <c r="G169" s="278">
        <v>44371</v>
      </c>
      <c r="H169" s="276"/>
      <c r="I169" s="266">
        <v>4.9000000000000004</v>
      </c>
      <c r="J169" s="276"/>
      <c r="K169" s="276"/>
      <c r="L169" s="276"/>
      <c r="M169" s="276"/>
      <c r="N169" s="276"/>
      <c r="O169" s="275"/>
      <c r="P169" s="276"/>
      <c r="Q169" s="276"/>
      <c r="R169" s="276"/>
      <c r="S169" s="276"/>
      <c r="T169" s="276"/>
      <c r="U169" s="276"/>
      <c r="V169" s="276"/>
      <c r="W169" s="276"/>
      <c r="X169" s="266"/>
      <c r="Y169" s="276"/>
      <c r="Z169" s="276"/>
      <c r="AA169" s="276"/>
      <c r="AB169" s="266"/>
      <c r="AC169" s="276"/>
      <c r="AD169" s="276"/>
      <c r="AE169" s="314">
        <v>993.42465753424665</v>
      </c>
      <c r="AF169" s="314"/>
      <c r="AG169" s="314"/>
      <c r="AH169" s="314">
        <v>993.42465753424665</v>
      </c>
      <c r="AI169" s="319"/>
      <c r="AJ169" s="311"/>
      <c r="AK169" s="311"/>
      <c r="AL169" s="311"/>
      <c r="AM169" s="311"/>
      <c r="AN169" s="311"/>
      <c r="AO169" s="311"/>
      <c r="AP169" s="311"/>
      <c r="AQ169" s="311"/>
      <c r="AR169" s="311"/>
      <c r="AS169" s="311"/>
      <c r="AT169" s="311"/>
      <c r="AU169" s="311"/>
      <c r="AV169" s="311"/>
      <c r="AW169" s="311"/>
      <c r="AX169" s="311"/>
      <c r="AY169" s="311"/>
      <c r="AZ169" s="311"/>
      <c r="BA169" s="311"/>
      <c r="BB169" s="311"/>
      <c r="BC169" s="311"/>
      <c r="BD169" s="311"/>
      <c r="BE169" s="311"/>
      <c r="BF169" s="311"/>
      <c r="BG169" s="311"/>
      <c r="BH169" s="311"/>
      <c r="BI169" s="311"/>
      <c r="BJ169" s="311"/>
      <c r="BK169" s="311"/>
      <c r="BL169" s="311"/>
      <c r="BM169" s="311"/>
      <c r="BN169" s="311"/>
      <c r="BO169" s="311"/>
      <c r="BP169" s="311"/>
      <c r="BQ169" s="311"/>
      <c r="BR169" s="311"/>
      <c r="BS169" s="311"/>
      <c r="BT169" s="311"/>
      <c r="BU169" s="311"/>
      <c r="BV169" s="311"/>
      <c r="BW169" s="311"/>
      <c r="BX169" s="311"/>
      <c r="BY169" s="311"/>
      <c r="BZ169" s="311"/>
      <c r="CA169" s="311"/>
      <c r="CB169" s="311"/>
      <c r="CC169" s="311"/>
      <c r="CD169" s="311"/>
      <c r="CE169" s="311"/>
      <c r="CF169" s="311"/>
      <c r="CG169" s="311"/>
      <c r="CH169" s="311"/>
      <c r="CI169" s="311"/>
      <c r="CJ169" s="311"/>
      <c r="CK169" s="311"/>
      <c r="CL169" s="311"/>
      <c r="CM169" s="311"/>
      <c r="CN169" s="311"/>
      <c r="CO169" s="311"/>
      <c r="CP169" s="311"/>
      <c r="CQ169" s="311"/>
      <c r="CR169" s="311"/>
      <c r="CS169" s="311"/>
      <c r="CT169" s="311"/>
      <c r="CU169" s="311"/>
      <c r="CV169" s="311"/>
      <c r="CW169" s="311"/>
      <c r="CX169" s="311"/>
      <c r="CY169" s="311"/>
    </row>
    <row r="170" spans="1:103" x14ac:dyDescent="0.3">
      <c r="A170" s="296">
        <v>5063</v>
      </c>
      <c r="B170" s="275" t="s">
        <v>25</v>
      </c>
      <c r="C170" s="275" t="s">
        <v>110</v>
      </c>
      <c r="D170" s="275" t="s">
        <v>109</v>
      </c>
      <c r="E170" s="266">
        <v>85425</v>
      </c>
      <c r="F170" s="278">
        <v>44013</v>
      </c>
      <c r="G170" s="278">
        <v>44378</v>
      </c>
      <c r="H170" s="276"/>
      <c r="I170" s="266">
        <v>4.4000000000000004</v>
      </c>
      <c r="J170" s="276"/>
      <c r="K170" s="276"/>
      <c r="L170" s="276"/>
      <c r="M170" s="276"/>
      <c r="N170" s="276"/>
      <c r="O170" s="275"/>
      <c r="P170" s="276"/>
      <c r="Q170" s="276"/>
      <c r="R170" s="276"/>
      <c r="S170" s="276"/>
      <c r="T170" s="276"/>
      <c r="U170" s="276"/>
      <c r="V170" s="276"/>
      <c r="W170" s="276"/>
      <c r="X170" s="266"/>
      <c r="Y170" s="276"/>
      <c r="Z170" s="276"/>
      <c r="AA170" s="276"/>
      <c r="AB170" s="266"/>
      <c r="AC170" s="276"/>
      <c r="AD170" s="276"/>
      <c r="AE170" s="314">
        <v>308.93424657534251</v>
      </c>
      <c r="AF170" s="314"/>
      <c r="AG170" s="314"/>
      <c r="AH170" s="314">
        <v>308.93424657534251</v>
      </c>
      <c r="AI170" s="319"/>
      <c r="AJ170" s="311"/>
      <c r="AK170" s="311"/>
      <c r="AL170" s="311"/>
      <c r="AM170" s="311"/>
      <c r="AN170" s="311"/>
      <c r="AO170" s="311"/>
      <c r="AP170" s="311"/>
      <c r="AQ170" s="311"/>
      <c r="AR170" s="311"/>
      <c r="AS170" s="311"/>
      <c r="AT170" s="311"/>
      <c r="AU170" s="311"/>
      <c r="AV170" s="311"/>
      <c r="AW170" s="311"/>
      <c r="AX170" s="311"/>
      <c r="AY170" s="311"/>
      <c r="AZ170" s="311"/>
      <c r="BA170" s="311"/>
      <c r="BB170" s="311"/>
      <c r="BC170" s="311"/>
      <c r="BD170" s="311"/>
      <c r="BE170" s="311"/>
      <c r="BF170" s="311"/>
      <c r="BG170" s="311"/>
      <c r="BH170" s="311"/>
      <c r="BI170" s="311"/>
      <c r="BJ170" s="311"/>
      <c r="BK170" s="311"/>
      <c r="BL170" s="311"/>
      <c r="BM170" s="311"/>
      <c r="BN170" s="311"/>
      <c r="BO170" s="311"/>
      <c r="BP170" s="311"/>
      <c r="BQ170" s="311"/>
      <c r="BR170" s="311"/>
      <c r="BS170" s="311"/>
      <c r="BT170" s="311"/>
      <c r="BU170" s="311"/>
      <c r="BV170" s="311"/>
      <c r="BW170" s="311"/>
      <c r="BX170" s="311"/>
      <c r="BY170" s="311"/>
      <c r="BZ170" s="311"/>
      <c r="CA170" s="311"/>
      <c r="CB170" s="311"/>
      <c r="CC170" s="311"/>
      <c r="CD170" s="311"/>
      <c r="CE170" s="311"/>
      <c r="CF170" s="311"/>
      <c r="CG170" s="311"/>
      <c r="CH170" s="311"/>
      <c r="CI170" s="311"/>
      <c r="CJ170" s="311"/>
      <c r="CK170" s="311"/>
      <c r="CL170" s="311"/>
      <c r="CM170" s="311"/>
      <c r="CN170" s="311"/>
      <c r="CO170" s="311"/>
      <c r="CP170" s="311"/>
      <c r="CQ170" s="311"/>
      <c r="CR170" s="311"/>
      <c r="CS170" s="311"/>
      <c r="CT170" s="311"/>
      <c r="CU170" s="311"/>
      <c r="CV170" s="311"/>
      <c r="CW170" s="311"/>
      <c r="CX170" s="311"/>
      <c r="CY170" s="311"/>
    </row>
    <row r="171" spans="1:103" x14ac:dyDescent="0.3">
      <c r="A171" s="296">
        <v>5060</v>
      </c>
      <c r="B171" s="275" t="s">
        <v>40</v>
      </c>
      <c r="C171" s="275" t="s">
        <v>108</v>
      </c>
      <c r="D171" s="275" t="s">
        <v>107</v>
      </c>
      <c r="E171" s="266">
        <v>1100000</v>
      </c>
      <c r="F171" s="278">
        <v>44024</v>
      </c>
      <c r="G171" s="278">
        <v>44389</v>
      </c>
      <c r="H171" s="276"/>
      <c r="I171" s="266">
        <v>6.4</v>
      </c>
      <c r="J171" s="276"/>
      <c r="K171" s="276"/>
      <c r="L171" s="276"/>
      <c r="M171" s="276"/>
      <c r="N171" s="276"/>
      <c r="O171" s="275"/>
      <c r="P171" s="276"/>
      <c r="Q171" s="276"/>
      <c r="R171" s="276"/>
      <c r="S171" s="276"/>
      <c r="T171" s="276"/>
      <c r="U171" s="276"/>
      <c r="V171" s="276"/>
      <c r="W171" s="276"/>
      <c r="X171" s="266"/>
      <c r="Y171" s="276"/>
      <c r="Z171" s="276"/>
      <c r="AA171" s="276"/>
      <c r="AB171" s="266"/>
      <c r="AC171" s="276"/>
      <c r="AD171" s="276"/>
      <c r="AE171" s="314">
        <v>3664.6575342465753</v>
      </c>
      <c r="AF171" s="314"/>
      <c r="AG171" s="314"/>
      <c r="AH171" s="314">
        <v>3664.6575342465753</v>
      </c>
      <c r="AI171" s="319"/>
      <c r="AJ171" s="311"/>
      <c r="AK171" s="311"/>
      <c r="AL171" s="311"/>
      <c r="AM171" s="311"/>
      <c r="AN171" s="311"/>
      <c r="AO171" s="311"/>
      <c r="AP171" s="311"/>
      <c r="AQ171" s="311"/>
      <c r="AR171" s="311"/>
      <c r="AS171" s="311"/>
      <c r="AT171" s="311"/>
      <c r="AU171" s="311"/>
      <c r="AV171" s="311"/>
      <c r="AW171" s="311"/>
      <c r="AX171" s="311"/>
      <c r="AY171" s="311"/>
      <c r="AZ171" s="311"/>
      <c r="BA171" s="311"/>
      <c r="BB171" s="311"/>
      <c r="BC171" s="311"/>
      <c r="BD171" s="311"/>
      <c r="BE171" s="311"/>
      <c r="BF171" s="311"/>
      <c r="BG171" s="311"/>
      <c r="BH171" s="311"/>
      <c r="BI171" s="311"/>
      <c r="BJ171" s="311"/>
      <c r="BK171" s="311"/>
      <c r="BL171" s="311"/>
      <c r="BM171" s="311"/>
      <c r="BN171" s="311"/>
      <c r="BO171" s="311"/>
      <c r="BP171" s="311"/>
      <c r="BQ171" s="311"/>
      <c r="BR171" s="311"/>
      <c r="BS171" s="311"/>
      <c r="BT171" s="311"/>
      <c r="BU171" s="311"/>
      <c r="BV171" s="311"/>
      <c r="BW171" s="311"/>
      <c r="BX171" s="311"/>
      <c r="BY171" s="311"/>
      <c r="BZ171" s="311"/>
      <c r="CA171" s="311"/>
      <c r="CB171" s="311"/>
      <c r="CC171" s="311"/>
      <c r="CD171" s="311"/>
      <c r="CE171" s="311"/>
      <c r="CF171" s="311"/>
      <c r="CG171" s="311"/>
      <c r="CH171" s="311"/>
      <c r="CI171" s="311"/>
      <c r="CJ171" s="311"/>
      <c r="CK171" s="311"/>
      <c r="CL171" s="311"/>
      <c r="CM171" s="311"/>
      <c r="CN171" s="311"/>
      <c r="CO171" s="311"/>
      <c r="CP171" s="311"/>
      <c r="CQ171" s="311"/>
      <c r="CR171" s="311"/>
      <c r="CS171" s="311"/>
      <c r="CT171" s="311"/>
      <c r="CU171" s="311"/>
      <c r="CV171" s="311"/>
      <c r="CW171" s="311"/>
      <c r="CX171" s="311"/>
      <c r="CY171" s="311"/>
    </row>
    <row r="172" spans="1:103" x14ac:dyDescent="0.3">
      <c r="A172" s="296">
        <v>5065</v>
      </c>
      <c r="B172" s="275" t="s">
        <v>106</v>
      </c>
      <c r="C172" s="275" t="s">
        <v>105</v>
      </c>
      <c r="D172" s="275" t="s">
        <v>104</v>
      </c>
      <c r="E172" s="266">
        <v>462162.98</v>
      </c>
      <c r="F172" s="278">
        <v>44025</v>
      </c>
      <c r="G172" s="278">
        <v>44390</v>
      </c>
      <c r="H172" s="276"/>
      <c r="I172" s="266">
        <v>5.9</v>
      </c>
      <c r="J172" s="276"/>
      <c r="K172" s="276"/>
      <c r="L172" s="276"/>
      <c r="M172" s="276"/>
      <c r="N172" s="276"/>
      <c r="O172" s="275"/>
      <c r="P172" s="276"/>
      <c r="Q172" s="276"/>
      <c r="R172" s="276"/>
      <c r="S172" s="276"/>
      <c r="T172" s="276"/>
      <c r="U172" s="276"/>
      <c r="V172" s="276"/>
      <c r="W172" s="276"/>
      <c r="X172" s="266"/>
      <c r="Y172" s="276"/>
      <c r="Z172" s="276"/>
      <c r="AA172" s="276"/>
      <c r="AB172" s="266"/>
      <c r="AC172" s="276"/>
      <c r="AD172" s="276"/>
      <c r="AE172" s="314">
        <v>1344.7043418082192</v>
      </c>
      <c r="AF172" s="314"/>
      <c r="AG172" s="314"/>
      <c r="AH172" s="314">
        <v>1344.7043418082192</v>
      </c>
      <c r="AI172" s="319"/>
      <c r="AJ172" s="311"/>
      <c r="AK172" s="311"/>
      <c r="AL172" s="311"/>
      <c r="AM172" s="311"/>
      <c r="AN172" s="311"/>
      <c r="AO172" s="311"/>
      <c r="AP172" s="311"/>
      <c r="AQ172" s="311"/>
      <c r="AR172" s="311"/>
      <c r="AS172" s="311"/>
      <c r="AT172" s="311"/>
      <c r="AU172" s="311"/>
      <c r="AV172" s="311"/>
      <c r="AW172" s="311"/>
      <c r="AX172" s="311"/>
      <c r="AY172" s="311"/>
      <c r="AZ172" s="311"/>
      <c r="BA172" s="311"/>
      <c r="BB172" s="311"/>
      <c r="BC172" s="311"/>
      <c r="BD172" s="311"/>
      <c r="BE172" s="311"/>
      <c r="BF172" s="311"/>
      <c r="BG172" s="311"/>
      <c r="BH172" s="311"/>
      <c r="BI172" s="311"/>
      <c r="BJ172" s="311"/>
      <c r="BK172" s="311"/>
      <c r="BL172" s="311"/>
      <c r="BM172" s="311"/>
      <c r="BN172" s="311"/>
      <c r="BO172" s="311"/>
      <c r="BP172" s="311"/>
      <c r="BQ172" s="311"/>
      <c r="BR172" s="311"/>
      <c r="BS172" s="311"/>
      <c r="BT172" s="311"/>
      <c r="BU172" s="311"/>
      <c r="BV172" s="311"/>
      <c r="BW172" s="311"/>
      <c r="BX172" s="311"/>
      <c r="BY172" s="311"/>
      <c r="BZ172" s="311"/>
      <c r="CA172" s="311"/>
      <c r="CB172" s="311"/>
      <c r="CC172" s="311"/>
      <c r="CD172" s="311"/>
      <c r="CE172" s="311"/>
      <c r="CF172" s="311"/>
      <c r="CG172" s="311"/>
      <c r="CH172" s="311"/>
      <c r="CI172" s="311"/>
      <c r="CJ172" s="311"/>
      <c r="CK172" s="311"/>
      <c r="CL172" s="311"/>
      <c r="CM172" s="311"/>
      <c r="CN172" s="311"/>
      <c r="CO172" s="311"/>
      <c r="CP172" s="311"/>
      <c r="CQ172" s="311"/>
      <c r="CR172" s="311"/>
      <c r="CS172" s="311"/>
      <c r="CT172" s="311"/>
      <c r="CU172" s="311"/>
      <c r="CV172" s="311"/>
      <c r="CW172" s="311"/>
      <c r="CX172" s="311"/>
      <c r="CY172" s="311"/>
    </row>
    <row r="173" spans="1:103" x14ac:dyDescent="0.3">
      <c r="A173" s="296">
        <v>5065</v>
      </c>
      <c r="B173" s="275" t="s">
        <v>103</v>
      </c>
      <c r="C173" s="275" t="s">
        <v>102</v>
      </c>
      <c r="D173" s="275" t="s">
        <v>101</v>
      </c>
      <c r="E173" s="266">
        <v>462162.98</v>
      </c>
      <c r="F173" s="278">
        <v>44025</v>
      </c>
      <c r="G173" s="278">
        <v>44390</v>
      </c>
      <c r="H173" s="276"/>
      <c r="I173" s="266">
        <v>5.9</v>
      </c>
      <c r="J173" s="276"/>
      <c r="K173" s="276"/>
      <c r="L173" s="276"/>
      <c r="M173" s="276"/>
      <c r="N173" s="276"/>
      <c r="O173" s="275"/>
      <c r="P173" s="276"/>
      <c r="Q173" s="276"/>
      <c r="R173" s="276"/>
      <c r="S173" s="276"/>
      <c r="T173" s="276"/>
      <c r="U173" s="276"/>
      <c r="V173" s="276"/>
      <c r="W173" s="276"/>
      <c r="X173" s="266"/>
      <c r="Y173" s="276"/>
      <c r="Z173" s="276"/>
      <c r="AA173" s="276"/>
      <c r="AB173" s="266"/>
      <c r="AC173" s="276"/>
      <c r="AD173" s="276"/>
      <c r="AE173" s="314">
        <v>1344.7043418082192</v>
      </c>
      <c r="AF173" s="314"/>
      <c r="AG173" s="314"/>
      <c r="AH173" s="314">
        <v>1344.7043418082192</v>
      </c>
      <c r="AI173" s="319"/>
      <c r="AJ173" s="311"/>
      <c r="AK173" s="311"/>
      <c r="AL173" s="311"/>
      <c r="AM173" s="311"/>
      <c r="AN173" s="311"/>
      <c r="AO173" s="311"/>
      <c r="AP173" s="311"/>
      <c r="AQ173" s="311"/>
      <c r="AR173" s="311"/>
      <c r="AS173" s="311"/>
      <c r="AT173" s="311"/>
      <c r="AU173" s="311"/>
      <c r="AV173" s="311"/>
      <c r="AW173" s="311"/>
      <c r="AX173" s="311"/>
      <c r="AY173" s="311"/>
      <c r="AZ173" s="311"/>
      <c r="BA173" s="311"/>
      <c r="BB173" s="311"/>
      <c r="BC173" s="311"/>
      <c r="BD173" s="311"/>
      <c r="BE173" s="311"/>
      <c r="BF173" s="311"/>
      <c r="BG173" s="311"/>
      <c r="BH173" s="311"/>
      <c r="BI173" s="311"/>
      <c r="BJ173" s="311"/>
      <c r="BK173" s="311"/>
      <c r="BL173" s="311"/>
      <c r="BM173" s="311"/>
      <c r="BN173" s="311"/>
      <c r="BO173" s="311"/>
      <c r="BP173" s="311"/>
      <c r="BQ173" s="311"/>
      <c r="BR173" s="311"/>
      <c r="BS173" s="311"/>
      <c r="BT173" s="311"/>
      <c r="BU173" s="311"/>
      <c r="BV173" s="311"/>
      <c r="BW173" s="311"/>
      <c r="BX173" s="311"/>
      <c r="BY173" s="311"/>
      <c r="BZ173" s="311"/>
      <c r="CA173" s="311"/>
      <c r="CB173" s="311"/>
      <c r="CC173" s="311"/>
      <c r="CD173" s="311"/>
      <c r="CE173" s="311"/>
      <c r="CF173" s="311"/>
      <c r="CG173" s="311"/>
      <c r="CH173" s="311"/>
      <c r="CI173" s="311"/>
      <c r="CJ173" s="311"/>
      <c r="CK173" s="311"/>
      <c r="CL173" s="311"/>
      <c r="CM173" s="311"/>
      <c r="CN173" s="311"/>
      <c r="CO173" s="311"/>
      <c r="CP173" s="311"/>
      <c r="CQ173" s="311"/>
      <c r="CR173" s="311"/>
      <c r="CS173" s="311"/>
      <c r="CT173" s="311"/>
      <c r="CU173" s="311"/>
      <c r="CV173" s="311"/>
      <c r="CW173" s="311"/>
      <c r="CX173" s="311"/>
      <c r="CY173" s="311"/>
    </row>
    <row r="174" spans="1:103" x14ac:dyDescent="0.3">
      <c r="A174" s="296">
        <v>5060</v>
      </c>
      <c r="B174" s="275" t="s">
        <v>16</v>
      </c>
      <c r="C174" s="275" t="s">
        <v>100</v>
      </c>
      <c r="D174" s="275" t="s">
        <v>99</v>
      </c>
      <c r="E174" s="266">
        <v>50000</v>
      </c>
      <c r="F174" s="278">
        <v>44027</v>
      </c>
      <c r="G174" s="278">
        <v>44392</v>
      </c>
      <c r="H174" s="276"/>
      <c r="I174" s="266">
        <v>1.9</v>
      </c>
      <c r="J174" s="276"/>
      <c r="K174" s="276"/>
      <c r="L174" s="276"/>
      <c r="M174" s="276"/>
      <c r="N174" s="276"/>
      <c r="O174" s="275"/>
      <c r="P174" s="276"/>
      <c r="Q174" s="276"/>
      <c r="R174" s="276"/>
      <c r="S174" s="276"/>
      <c r="T174" s="276"/>
      <c r="U174" s="276"/>
      <c r="V174" s="276"/>
      <c r="W174" s="276"/>
      <c r="X174" s="266"/>
      <c r="Y174" s="276"/>
      <c r="Z174" s="276"/>
      <c r="AA174" s="276"/>
      <c r="AB174" s="266"/>
      <c r="AC174" s="276"/>
      <c r="AD174" s="276"/>
      <c r="AE174" s="314">
        <v>41.643835616438359</v>
      </c>
      <c r="AF174" s="314"/>
      <c r="AG174" s="314"/>
      <c r="AH174" s="314">
        <v>41.643835616438359</v>
      </c>
      <c r="AI174" s="319"/>
      <c r="AJ174" s="311"/>
      <c r="AK174" s="311"/>
      <c r="AL174" s="311"/>
      <c r="AM174" s="311"/>
      <c r="AN174" s="311"/>
      <c r="AO174" s="311"/>
      <c r="AP174" s="311"/>
      <c r="AQ174" s="311"/>
      <c r="AR174" s="311"/>
      <c r="AS174" s="311"/>
      <c r="AT174" s="311"/>
      <c r="AU174" s="311"/>
      <c r="AV174" s="311"/>
      <c r="AW174" s="311"/>
      <c r="AX174" s="311"/>
      <c r="AY174" s="311"/>
      <c r="AZ174" s="311"/>
      <c r="BA174" s="311"/>
      <c r="BB174" s="311"/>
      <c r="BC174" s="311"/>
      <c r="BD174" s="311"/>
      <c r="BE174" s="311"/>
      <c r="BF174" s="311"/>
      <c r="BG174" s="311"/>
      <c r="BH174" s="311"/>
      <c r="BI174" s="311"/>
      <c r="BJ174" s="311"/>
      <c r="BK174" s="311"/>
      <c r="BL174" s="311"/>
      <c r="BM174" s="311"/>
      <c r="BN174" s="311"/>
      <c r="BO174" s="311"/>
      <c r="BP174" s="311"/>
      <c r="BQ174" s="311"/>
      <c r="BR174" s="311"/>
      <c r="BS174" s="311"/>
      <c r="BT174" s="311"/>
      <c r="BU174" s="311"/>
      <c r="BV174" s="311"/>
      <c r="BW174" s="311"/>
      <c r="BX174" s="311"/>
      <c r="BY174" s="311"/>
      <c r="BZ174" s="311"/>
      <c r="CA174" s="311"/>
      <c r="CB174" s="311"/>
      <c r="CC174" s="311"/>
      <c r="CD174" s="311"/>
      <c r="CE174" s="311"/>
      <c r="CF174" s="311"/>
      <c r="CG174" s="311"/>
      <c r="CH174" s="311"/>
      <c r="CI174" s="311"/>
      <c r="CJ174" s="311"/>
      <c r="CK174" s="311"/>
      <c r="CL174" s="311"/>
      <c r="CM174" s="311"/>
      <c r="CN174" s="311"/>
      <c r="CO174" s="311"/>
      <c r="CP174" s="311"/>
      <c r="CQ174" s="311"/>
      <c r="CR174" s="311"/>
      <c r="CS174" s="311"/>
      <c r="CT174" s="311"/>
      <c r="CU174" s="311"/>
      <c r="CV174" s="311"/>
      <c r="CW174" s="311"/>
      <c r="CX174" s="311"/>
      <c r="CY174" s="311"/>
    </row>
    <row r="175" spans="1:103" x14ac:dyDescent="0.3">
      <c r="A175" s="296">
        <v>5060</v>
      </c>
      <c r="B175" s="275" t="s">
        <v>40</v>
      </c>
      <c r="C175" s="275" t="s">
        <v>98</v>
      </c>
      <c r="D175" s="275" t="s">
        <v>97</v>
      </c>
      <c r="E175" s="266">
        <v>1100000</v>
      </c>
      <c r="F175" s="278">
        <v>44031</v>
      </c>
      <c r="G175" s="278">
        <v>44396</v>
      </c>
      <c r="H175" s="276"/>
      <c r="I175" s="266">
        <v>6.4</v>
      </c>
      <c r="J175" s="276"/>
      <c r="K175" s="276"/>
      <c r="L175" s="276"/>
      <c r="M175" s="276"/>
      <c r="N175" s="276"/>
      <c r="O175" s="275"/>
      <c r="P175" s="276"/>
      <c r="Q175" s="276"/>
      <c r="R175" s="276"/>
      <c r="S175" s="276"/>
      <c r="T175" s="276"/>
      <c r="U175" s="276"/>
      <c r="V175" s="276"/>
      <c r="W175" s="276"/>
      <c r="X175" s="266"/>
      <c r="Y175" s="276"/>
      <c r="Z175" s="276"/>
      <c r="AA175" s="276"/>
      <c r="AB175" s="266"/>
      <c r="AC175" s="276"/>
      <c r="AD175" s="276"/>
      <c r="AE175" s="314">
        <v>2314.5205479452056</v>
      </c>
      <c r="AF175" s="314"/>
      <c r="AG175" s="314"/>
      <c r="AH175" s="314">
        <v>2314.5205479452056</v>
      </c>
      <c r="AI175" s="319"/>
      <c r="AJ175" s="311"/>
      <c r="AK175" s="311"/>
      <c r="AL175" s="311"/>
      <c r="AM175" s="311"/>
      <c r="AN175" s="311"/>
      <c r="AO175" s="311"/>
      <c r="AP175" s="311"/>
      <c r="AQ175" s="311"/>
      <c r="AR175" s="311"/>
      <c r="AS175" s="311"/>
      <c r="AT175" s="311"/>
      <c r="AU175" s="311"/>
      <c r="AV175" s="311"/>
      <c r="AW175" s="311"/>
      <c r="AX175" s="311"/>
      <c r="AY175" s="311"/>
      <c r="AZ175" s="311"/>
      <c r="BA175" s="311"/>
      <c r="BB175" s="311"/>
      <c r="BC175" s="311"/>
      <c r="BD175" s="311"/>
      <c r="BE175" s="311"/>
      <c r="BF175" s="311"/>
      <c r="BG175" s="311"/>
      <c r="BH175" s="311"/>
      <c r="BI175" s="311"/>
      <c r="BJ175" s="311"/>
      <c r="BK175" s="311"/>
      <c r="BL175" s="311"/>
      <c r="BM175" s="311"/>
      <c r="BN175" s="311"/>
      <c r="BO175" s="311"/>
      <c r="BP175" s="311"/>
      <c r="BQ175" s="311"/>
      <c r="BR175" s="311"/>
      <c r="BS175" s="311"/>
      <c r="BT175" s="311"/>
      <c r="BU175" s="311"/>
      <c r="BV175" s="311"/>
      <c r="BW175" s="311"/>
      <c r="BX175" s="311"/>
      <c r="BY175" s="311"/>
      <c r="BZ175" s="311"/>
      <c r="CA175" s="311"/>
      <c r="CB175" s="311"/>
      <c r="CC175" s="311"/>
      <c r="CD175" s="311"/>
      <c r="CE175" s="311"/>
      <c r="CF175" s="311"/>
      <c r="CG175" s="311"/>
      <c r="CH175" s="311"/>
      <c r="CI175" s="311"/>
      <c r="CJ175" s="311"/>
      <c r="CK175" s="311"/>
      <c r="CL175" s="311"/>
      <c r="CM175" s="311"/>
      <c r="CN175" s="311"/>
      <c r="CO175" s="311"/>
      <c r="CP175" s="311"/>
      <c r="CQ175" s="311"/>
      <c r="CR175" s="311"/>
      <c r="CS175" s="311"/>
      <c r="CT175" s="311"/>
      <c r="CU175" s="311"/>
      <c r="CV175" s="311"/>
      <c r="CW175" s="311"/>
      <c r="CX175" s="311"/>
      <c r="CY175" s="311"/>
    </row>
    <row r="176" spans="1:103" x14ac:dyDescent="0.3">
      <c r="A176" s="296">
        <v>5060</v>
      </c>
      <c r="B176" s="275" t="s">
        <v>19</v>
      </c>
      <c r="C176" s="275" t="s">
        <v>95</v>
      </c>
      <c r="D176" s="275" t="s">
        <v>94</v>
      </c>
      <c r="E176" s="266">
        <v>60000</v>
      </c>
      <c r="F176" s="278">
        <v>44032</v>
      </c>
      <c r="G176" s="278">
        <v>44397</v>
      </c>
      <c r="H176" s="276"/>
      <c r="I176" s="266">
        <v>1.9</v>
      </c>
      <c r="J176" s="276"/>
      <c r="K176" s="276"/>
      <c r="L176" s="276"/>
      <c r="M176" s="276"/>
      <c r="N176" s="276"/>
      <c r="O176" s="275"/>
      <c r="P176" s="276"/>
      <c r="Q176" s="276"/>
      <c r="R176" s="276"/>
      <c r="S176" s="276"/>
      <c r="T176" s="276"/>
      <c r="U176" s="276"/>
      <c r="V176" s="276"/>
      <c r="W176" s="276"/>
      <c r="X176" s="266"/>
      <c r="Y176" s="276"/>
      <c r="Z176" s="276"/>
      <c r="AA176" s="276"/>
      <c r="AB176" s="266"/>
      <c r="AC176" s="276"/>
      <c r="AD176" s="276"/>
      <c r="AE176" s="314">
        <v>34.356164383561648</v>
      </c>
      <c r="AF176" s="314"/>
      <c r="AG176" s="314"/>
      <c r="AH176" s="314">
        <v>34.356164383561648</v>
      </c>
      <c r="AI176" s="319"/>
      <c r="AJ176" s="311"/>
      <c r="AK176" s="311"/>
      <c r="AL176" s="311"/>
      <c r="AM176" s="311"/>
      <c r="AN176" s="311"/>
      <c r="AO176" s="311"/>
      <c r="AP176" s="311"/>
      <c r="AQ176" s="311"/>
      <c r="AR176" s="311"/>
      <c r="AS176" s="311"/>
      <c r="AT176" s="311"/>
      <c r="AU176" s="311"/>
      <c r="AV176" s="311"/>
      <c r="AW176" s="311"/>
      <c r="AX176" s="311"/>
      <c r="AY176" s="311"/>
      <c r="AZ176" s="311"/>
      <c r="BA176" s="311"/>
      <c r="BB176" s="311"/>
      <c r="BC176" s="311"/>
      <c r="BD176" s="311"/>
      <c r="BE176" s="311"/>
      <c r="BF176" s="311"/>
      <c r="BG176" s="311"/>
      <c r="BH176" s="311"/>
      <c r="BI176" s="311"/>
      <c r="BJ176" s="311"/>
      <c r="BK176" s="311"/>
      <c r="BL176" s="311"/>
      <c r="BM176" s="311"/>
      <c r="BN176" s="311"/>
      <c r="BO176" s="311"/>
      <c r="BP176" s="311"/>
      <c r="BQ176" s="311"/>
      <c r="BR176" s="311"/>
      <c r="BS176" s="311"/>
      <c r="BT176" s="311"/>
      <c r="BU176" s="311"/>
      <c r="BV176" s="311"/>
      <c r="BW176" s="311"/>
      <c r="BX176" s="311"/>
      <c r="BY176" s="311"/>
      <c r="BZ176" s="311"/>
      <c r="CA176" s="311"/>
      <c r="CB176" s="311"/>
      <c r="CC176" s="311"/>
      <c r="CD176" s="311"/>
      <c r="CE176" s="311"/>
      <c r="CF176" s="311"/>
      <c r="CG176" s="311"/>
      <c r="CH176" s="311"/>
      <c r="CI176" s="311"/>
      <c r="CJ176" s="311"/>
      <c r="CK176" s="311"/>
      <c r="CL176" s="311"/>
      <c r="CM176" s="311"/>
      <c r="CN176" s="311"/>
      <c r="CO176" s="311"/>
      <c r="CP176" s="311"/>
      <c r="CQ176" s="311"/>
      <c r="CR176" s="311"/>
      <c r="CS176" s="311"/>
      <c r="CT176" s="311"/>
      <c r="CU176" s="311"/>
      <c r="CV176" s="311"/>
      <c r="CW176" s="311"/>
      <c r="CX176" s="311"/>
      <c r="CY176" s="311"/>
    </row>
    <row r="177" spans="1:103" x14ac:dyDescent="0.3">
      <c r="A177" s="296">
        <v>5063</v>
      </c>
      <c r="B177" s="275" t="s">
        <v>13</v>
      </c>
      <c r="C177" s="275" t="s">
        <v>93</v>
      </c>
      <c r="D177" s="275" t="s">
        <v>90</v>
      </c>
      <c r="E177" s="266">
        <v>10000</v>
      </c>
      <c r="F177" s="278">
        <v>44028</v>
      </c>
      <c r="G177" s="278">
        <v>44393</v>
      </c>
      <c r="H177" s="276"/>
      <c r="I177" s="266">
        <v>5.15</v>
      </c>
      <c r="J177" s="276"/>
      <c r="K177" s="276"/>
      <c r="L177" s="276"/>
      <c r="M177" s="276"/>
      <c r="N177" s="276"/>
      <c r="O177" s="275"/>
      <c r="P177" s="276"/>
      <c r="Q177" s="276"/>
      <c r="R177" s="276"/>
      <c r="S177" s="276"/>
      <c r="T177" s="276"/>
      <c r="U177" s="276"/>
      <c r="V177" s="276"/>
      <c r="W177" s="276"/>
      <c r="X177" s="266"/>
      <c r="Y177" s="276"/>
      <c r="Z177" s="276"/>
      <c r="AA177" s="276"/>
      <c r="AB177" s="266"/>
      <c r="AC177" s="276"/>
      <c r="AD177" s="276"/>
      <c r="AE177" s="314">
        <v>21.164383561643838</v>
      </c>
      <c r="AF177" s="314"/>
      <c r="AG177" s="314"/>
      <c r="AH177" s="314">
        <v>21.164383561643838</v>
      </c>
      <c r="AI177" s="319"/>
      <c r="AJ177" s="311"/>
      <c r="AK177" s="311"/>
      <c r="AL177" s="311"/>
      <c r="AM177" s="311"/>
      <c r="AN177" s="311"/>
      <c r="AO177" s="311"/>
      <c r="AP177" s="311"/>
      <c r="AQ177" s="311"/>
      <c r="AR177" s="311"/>
      <c r="AS177" s="311"/>
      <c r="AT177" s="311"/>
      <c r="AU177" s="311"/>
      <c r="AV177" s="311"/>
      <c r="AW177" s="311"/>
      <c r="AX177" s="311"/>
      <c r="AY177" s="311"/>
      <c r="AZ177" s="311"/>
      <c r="BA177" s="311"/>
      <c r="BB177" s="311"/>
      <c r="BC177" s="311"/>
      <c r="BD177" s="311"/>
      <c r="BE177" s="311"/>
      <c r="BF177" s="311"/>
      <c r="BG177" s="311"/>
      <c r="BH177" s="311"/>
      <c r="BI177" s="311"/>
      <c r="BJ177" s="311"/>
      <c r="BK177" s="311"/>
      <c r="BL177" s="311"/>
      <c r="BM177" s="311"/>
      <c r="BN177" s="311"/>
      <c r="BO177" s="311"/>
      <c r="BP177" s="311"/>
      <c r="BQ177" s="311"/>
      <c r="BR177" s="311"/>
      <c r="BS177" s="311"/>
      <c r="BT177" s="311"/>
      <c r="BU177" s="311"/>
      <c r="BV177" s="311"/>
      <c r="BW177" s="311"/>
      <c r="BX177" s="311"/>
      <c r="BY177" s="311"/>
      <c r="BZ177" s="311"/>
      <c r="CA177" s="311"/>
      <c r="CB177" s="311"/>
      <c r="CC177" s="311"/>
      <c r="CD177" s="311"/>
      <c r="CE177" s="311"/>
      <c r="CF177" s="311"/>
      <c r="CG177" s="311"/>
      <c r="CH177" s="311"/>
      <c r="CI177" s="311"/>
      <c r="CJ177" s="311"/>
      <c r="CK177" s="311"/>
      <c r="CL177" s="311"/>
      <c r="CM177" s="311"/>
      <c r="CN177" s="311"/>
      <c r="CO177" s="311"/>
      <c r="CP177" s="311"/>
      <c r="CQ177" s="311"/>
      <c r="CR177" s="311"/>
      <c r="CS177" s="311"/>
      <c r="CT177" s="311"/>
      <c r="CU177" s="311"/>
      <c r="CV177" s="311"/>
      <c r="CW177" s="311"/>
      <c r="CX177" s="311"/>
      <c r="CY177" s="311"/>
    </row>
    <row r="178" spans="1:103" x14ac:dyDescent="0.3">
      <c r="A178" s="296">
        <v>5063</v>
      </c>
      <c r="B178" s="275" t="s">
        <v>13</v>
      </c>
      <c r="C178" s="275" t="s">
        <v>92</v>
      </c>
      <c r="D178" s="275" t="s">
        <v>90</v>
      </c>
      <c r="E178" s="266">
        <v>10000</v>
      </c>
      <c r="F178" s="278">
        <v>44028</v>
      </c>
      <c r="G178" s="278">
        <v>44393</v>
      </c>
      <c r="H178" s="276"/>
      <c r="I178" s="266">
        <v>5.15</v>
      </c>
      <c r="J178" s="276"/>
      <c r="K178" s="276"/>
      <c r="L178" s="276"/>
      <c r="M178" s="276"/>
      <c r="N178" s="276"/>
      <c r="O178" s="275"/>
      <c r="P178" s="276"/>
      <c r="Q178" s="276"/>
      <c r="R178" s="276"/>
      <c r="S178" s="276"/>
      <c r="T178" s="276"/>
      <c r="U178" s="276"/>
      <c r="V178" s="276"/>
      <c r="W178" s="276"/>
      <c r="X178" s="266"/>
      <c r="Y178" s="276"/>
      <c r="Z178" s="276"/>
      <c r="AA178" s="276"/>
      <c r="AB178" s="266"/>
      <c r="AC178" s="276"/>
      <c r="AD178" s="276"/>
      <c r="AE178" s="314">
        <v>21.164383561643838</v>
      </c>
      <c r="AF178" s="314"/>
      <c r="AG178" s="314"/>
      <c r="AH178" s="314">
        <v>21.164383561643838</v>
      </c>
      <c r="AI178" s="319"/>
      <c r="AJ178" s="311"/>
      <c r="AK178" s="311"/>
      <c r="AL178" s="311"/>
      <c r="AM178" s="311"/>
      <c r="AN178" s="311"/>
      <c r="AO178" s="311"/>
      <c r="AP178" s="311"/>
      <c r="AQ178" s="311"/>
      <c r="AR178" s="311"/>
      <c r="AS178" s="311"/>
      <c r="AT178" s="311"/>
      <c r="AU178" s="311"/>
      <c r="AV178" s="311"/>
      <c r="AW178" s="311"/>
      <c r="AX178" s="311"/>
      <c r="AY178" s="311"/>
      <c r="AZ178" s="311"/>
      <c r="BA178" s="311"/>
      <c r="BB178" s="311"/>
      <c r="BC178" s="311"/>
      <c r="BD178" s="311"/>
      <c r="BE178" s="311"/>
      <c r="BF178" s="311"/>
      <c r="BG178" s="311"/>
      <c r="BH178" s="311"/>
      <c r="BI178" s="311"/>
      <c r="BJ178" s="311"/>
      <c r="BK178" s="311"/>
      <c r="BL178" s="311"/>
      <c r="BM178" s="311"/>
      <c r="BN178" s="311"/>
      <c r="BO178" s="311"/>
      <c r="BP178" s="311"/>
      <c r="BQ178" s="311"/>
      <c r="BR178" s="311"/>
      <c r="BS178" s="311"/>
      <c r="BT178" s="311"/>
      <c r="BU178" s="311"/>
      <c r="BV178" s="311"/>
      <c r="BW178" s="311"/>
      <c r="BX178" s="311"/>
      <c r="BY178" s="311"/>
      <c r="BZ178" s="311"/>
      <c r="CA178" s="311"/>
      <c r="CB178" s="311"/>
      <c r="CC178" s="311"/>
      <c r="CD178" s="311"/>
      <c r="CE178" s="311"/>
      <c r="CF178" s="311"/>
      <c r="CG178" s="311"/>
      <c r="CH178" s="311"/>
      <c r="CI178" s="311"/>
      <c r="CJ178" s="311"/>
      <c r="CK178" s="311"/>
      <c r="CL178" s="311"/>
      <c r="CM178" s="311"/>
      <c r="CN178" s="311"/>
      <c r="CO178" s="311"/>
      <c r="CP178" s="311"/>
      <c r="CQ178" s="311"/>
      <c r="CR178" s="311"/>
      <c r="CS178" s="311"/>
      <c r="CT178" s="311"/>
      <c r="CU178" s="311"/>
      <c r="CV178" s="311"/>
      <c r="CW178" s="311"/>
      <c r="CX178" s="311"/>
      <c r="CY178" s="311"/>
    </row>
    <row r="179" spans="1:103" x14ac:dyDescent="0.3">
      <c r="A179" s="296">
        <v>5063</v>
      </c>
      <c r="B179" s="275" t="s">
        <v>13</v>
      </c>
      <c r="C179" s="275" t="s">
        <v>91</v>
      </c>
      <c r="D179" s="275" t="s">
        <v>90</v>
      </c>
      <c r="E179" s="266">
        <v>10000</v>
      </c>
      <c r="F179" s="278">
        <v>44028</v>
      </c>
      <c r="G179" s="278">
        <v>44393</v>
      </c>
      <c r="H179" s="276"/>
      <c r="I179" s="266">
        <v>5.15</v>
      </c>
      <c r="J179" s="276"/>
      <c r="K179" s="276"/>
      <c r="L179" s="276"/>
      <c r="M179" s="276"/>
      <c r="N179" s="276"/>
      <c r="O179" s="275"/>
      <c r="P179" s="276"/>
      <c r="Q179" s="276"/>
      <c r="R179" s="276"/>
      <c r="S179" s="276"/>
      <c r="T179" s="276"/>
      <c r="U179" s="276"/>
      <c r="V179" s="276"/>
      <c r="W179" s="276"/>
      <c r="X179" s="266"/>
      <c r="Y179" s="276"/>
      <c r="Z179" s="276"/>
      <c r="AA179" s="276"/>
      <c r="AB179" s="266"/>
      <c r="AC179" s="276"/>
      <c r="AD179" s="276"/>
      <c r="AE179" s="314">
        <v>21.164383561643838</v>
      </c>
      <c r="AF179" s="314"/>
      <c r="AG179" s="314"/>
      <c r="AH179" s="314">
        <v>21.164383561643838</v>
      </c>
      <c r="AI179" s="319"/>
      <c r="AJ179" s="311"/>
      <c r="AK179" s="311"/>
      <c r="AL179" s="311"/>
      <c r="AM179" s="311"/>
      <c r="AN179" s="311"/>
      <c r="AO179" s="311"/>
      <c r="AP179" s="311"/>
      <c r="AQ179" s="311"/>
      <c r="AR179" s="311"/>
      <c r="AS179" s="311"/>
      <c r="AT179" s="311"/>
      <c r="AU179" s="311"/>
      <c r="AV179" s="311"/>
      <c r="AW179" s="311"/>
      <c r="AX179" s="311"/>
      <c r="AY179" s="311"/>
      <c r="AZ179" s="311"/>
      <c r="BA179" s="311"/>
      <c r="BB179" s="311"/>
      <c r="BC179" s="311"/>
      <c r="BD179" s="311"/>
      <c r="BE179" s="311"/>
      <c r="BF179" s="311"/>
      <c r="BG179" s="311"/>
      <c r="BH179" s="311"/>
      <c r="BI179" s="311"/>
      <c r="BJ179" s="311"/>
      <c r="BK179" s="311"/>
      <c r="BL179" s="311"/>
      <c r="BM179" s="311"/>
      <c r="BN179" s="311"/>
      <c r="BO179" s="311"/>
      <c r="BP179" s="311"/>
      <c r="BQ179" s="311"/>
      <c r="BR179" s="311"/>
      <c r="BS179" s="311"/>
      <c r="BT179" s="311"/>
      <c r="BU179" s="311"/>
      <c r="BV179" s="311"/>
      <c r="BW179" s="311"/>
      <c r="BX179" s="311"/>
      <c r="BY179" s="311"/>
      <c r="BZ179" s="311"/>
      <c r="CA179" s="311"/>
      <c r="CB179" s="311"/>
      <c r="CC179" s="311"/>
      <c r="CD179" s="311"/>
      <c r="CE179" s="311"/>
      <c r="CF179" s="311"/>
      <c r="CG179" s="311"/>
      <c r="CH179" s="311"/>
      <c r="CI179" s="311"/>
      <c r="CJ179" s="311"/>
      <c r="CK179" s="311"/>
      <c r="CL179" s="311"/>
      <c r="CM179" s="311"/>
      <c r="CN179" s="311"/>
      <c r="CO179" s="311"/>
      <c r="CP179" s="311"/>
      <c r="CQ179" s="311"/>
      <c r="CR179" s="311"/>
      <c r="CS179" s="311"/>
      <c r="CT179" s="311"/>
      <c r="CU179" s="311"/>
      <c r="CV179" s="311"/>
      <c r="CW179" s="311"/>
      <c r="CX179" s="311"/>
      <c r="CY179" s="311"/>
    </row>
    <row r="180" spans="1:103" x14ac:dyDescent="0.3">
      <c r="A180" s="296">
        <v>5063</v>
      </c>
      <c r="B180" s="275" t="s">
        <v>13</v>
      </c>
      <c r="C180" s="275" t="s">
        <v>89</v>
      </c>
      <c r="D180" s="275" t="s">
        <v>88</v>
      </c>
      <c r="E180" s="266">
        <v>13000</v>
      </c>
      <c r="F180" s="278">
        <v>44028</v>
      </c>
      <c r="G180" s="278">
        <v>44393</v>
      </c>
      <c r="H180" s="276"/>
      <c r="I180" s="266">
        <v>5.15</v>
      </c>
      <c r="J180" s="276"/>
      <c r="K180" s="276"/>
      <c r="L180" s="276"/>
      <c r="M180" s="276"/>
      <c r="N180" s="276"/>
      <c r="O180" s="275"/>
      <c r="P180" s="276"/>
      <c r="Q180" s="276"/>
      <c r="R180" s="276"/>
      <c r="S180" s="276"/>
      <c r="T180" s="276"/>
      <c r="U180" s="276"/>
      <c r="V180" s="276"/>
      <c r="W180" s="276"/>
      <c r="X180" s="266"/>
      <c r="Y180" s="276"/>
      <c r="Z180" s="276"/>
      <c r="AA180" s="276"/>
      <c r="AB180" s="266"/>
      <c r="AC180" s="276"/>
      <c r="AD180" s="276"/>
      <c r="AE180" s="314">
        <v>27.513698630136986</v>
      </c>
      <c r="AF180" s="314"/>
      <c r="AG180" s="314"/>
      <c r="AH180" s="314">
        <v>27.513698630136986</v>
      </c>
      <c r="AI180" s="319"/>
      <c r="AJ180" s="311"/>
      <c r="AK180" s="311"/>
      <c r="AL180" s="311"/>
      <c r="AM180" s="311"/>
      <c r="AN180" s="311"/>
      <c r="AO180" s="311"/>
      <c r="AP180" s="311"/>
      <c r="AQ180" s="311"/>
      <c r="AR180" s="311"/>
      <c r="AS180" s="311"/>
      <c r="AT180" s="311"/>
      <c r="AU180" s="311"/>
      <c r="AV180" s="311"/>
      <c r="AW180" s="311"/>
      <c r="AX180" s="311"/>
      <c r="AY180" s="311"/>
      <c r="AZ180" s="311"/>
      <c r="BA180" s="311"/>
      <c r="BB180" s="311"/>
      <c r="BC180" s="311"/>
      <c r="BD180" s="311"/>
      <c r="BE180" s="311"/>
      <c r="BF180" s="311"/>
      <c r="BG180" s="311"/>
      <c r="BH180" s="311"/>
      <c r="BI180" s="311"/>
      <c r="BJ180" s="311"/>
      <c r="BK180" s="311"/>
      <c r="BL180" s="311"/>
      <c r="BM180" s="311"/>
      <c r="BN180" s="311"/>
      <c r="BO180" s="311"/>
      <c r="BP180" s="311"/>
      <c r="BQ180" s="311"/>
      <c r="BR180" s="311"/>
      <c r="BS180" s="311"/>
      <c r="BT180" s="311"/>
      <c r="BU180" s="311"/>
      <c r="BV180" s="311"/>
      <c r="BW180" s="311"/>
      <c r="BX180" s="311"/>
      <c r="BY180" s="311"/>
      <c r="BZ180" s="311"/>
      <c r="CA180" s="311"/>
      <c r="CB180" s="311"/>
      <c r="CC180" s="311"/>
      <c r="CD180" s="311"/>
      <c r="CE180" s="311"/>
      <c r="CF180" s="311"/>
      <c r="CG180" s="311"/>
      <c r="CH180" s="311"/>
      <c r="CI180" s="311"/>
      <c r="CJ180" s="311"/>
      <c r="CK180" s="311"/>
      <c r="CL180" s="311"/>
      <c r="CM180" s="311"/>
      <c r="CN180" s="311"/>
      <c r="CO180" s="311"/>
      <c r="CP180" s="311"/>
      <c r="CQ180" s="311"/>
      <c r="CR180" s="311"/>
      <c r="CS180" s="311"/>
      <c r="CT180" s="311"/>
      <c r="CU180" s="311"/>
      <c r="CV180" s="311"/>
      <c r="CW180" s="311"/>
      <c r="CX180" s="311"/>
      <c r="CY180" s="311"/>
    </row>
    <row r="181" spans="1:103" x14ac:dyDescent="0.3">
      <c r="A181" s="296">
        <v>5062</v>
      </c>
      <c r="B181" s="275" t="s">
        <v>85</v>
      </c>
      <c r="C181" s="275" t="s">
        <v>87</v>
      </c>
      <c r="D181" s="275" t="s">
        <v>86</v>
      </c>
      <c r="E181" s="266">
        <v>75139</v>
      </c>
      <c r="F181" s="278">
        <v>44036</v>
      </c>
      <c r="G181" s="278">
        <v>44401</v>
      </c>
      <c r="H181" s="276"/>
      <c r="I181" s="266">
        <v>3.4</v>
      </c>
      <c r="J181" s="276"/>
      <c r="K181" s="276"/>
      <c r="L181" s="276"/>
      <c r="M181" s="276"/>
      <c r="N181" s="276"/>
      <c r="O181" s="275"/>
      <c r="P181" s="276"/>
      <c r="Q181" s="276"/>
      <c r="R181" s="276"/>
      <c r="S181" s="276"/>
      <c r="T181" s="276"/>
      <c r="U181" s="276"/>
      <c r="V181" s="276"/>
      <c r="W181" s="276"/>
      <c r="X181" s="266"/>
      <c r="Y181" s="276"/>
      <c r="Z181" s="276"/>
      <c r="AA181" s="276"/>
      <c r="AB181" s="266"/>
      <c r="AC181" s="276"/>
      <c r="AD181" s="276"/>
      <c r="AE181" s="314">
        <v>41.995495890410965</v>
      </c>
      <c r="AF181" s="314"/>
      <c r="AG181" s="314"/>
      <c r="AH181" s="314">
        <v>41.995495890410965</v>
      </c>
      <c r="AI181" s="319"/>
      <c r="AJ181" s="311"/>
      <c r="AK181" s="311"/>
      <c r="AL181" s="311"/>
      <c r="AM181" s="311"/>
      <c r="AN181" s="311"/>
      <c r="AO181" s="311"/>
      <c r="AP181" s="311"/>
      <c r="AQ181" s="311"/>
      <c r="AR181" s="311"/>
      <c r="AS181" s="311"/>
      <c r="AT181" s="311"/>
      <c r="AU181" s="311"/>
      <c r="AV181" s="311"/>
      <c r="AW181" s="311"/>
      <c r="AX181" s="311"/>
      <c r="AY181" s="311"/>
      <c r="AZ181" s="311"/>
      <c r="BA181" s="311"/>
      <c r="BB181" s="311"/>
      <c r="BC181" s="311"/>
      <c r="BD181" s="311"/>
      <c r="BE181" s="311"/>
      <c r="BF181" s="311"/>
      <c r="BG181" s="311"/>
      <c r="BH181" s="311"/>
      <c r="BI181" s="311"/>
      <c r="BJ181" s="311"/>
      <c r="BK181" s="311"/>
      <c r="BL181" s="311"/>
      <c r="BM181" s="311"/>
      <c r="BN181" s="311"/>
      <c r="BO181" s="311"/>
      <c r="BP181" s="311"/>
      <c r="BQ181" s="311"/>
      <c r="BR181" s="311"/>
      <c r="BS181" s="311"/>
      <c r="BT181" s="311"/>
      <c r="BU181" s="311"/>
      <c r="BV181" s="311"/>
      <c r="BW181" s="311"/>
      <c r="BX181" s="311"/>
      <c r="BY181" s="311"/>
      <c r="BZ181" s="311"/>
      <c r="CA181" s="311"/>
      <c r="CB181" s="311"/>
      <c r="CC181" s="311"/>
      <c r="CD181" s="311"/>
      <c r="CE181" s="311"/>
      <c r="CF181" s="311"/>
      <c r="CG181" s="311"/>
      <c r="CH181" s="311"/>
      <c r="CI181" s="311"/>
      <c r="CJ181" s="311"/>
      <c r="CK181" s="311"/>
      <c r="CL181" s="311"/>
      <c r="CM181" s="311"/>
      <c r="CN181" s="311"/>
      <c r="CO181" s="311"/>
      <c r="CP181" s="311"/>
      <c r="CQ181" s="311"/>
      <c r="CR181" s="311"/>
      <c r="CS181" s="311"/>
      <c r="CT181" s="311"/>
      <c r="CU181" s="311"/>
      <c r="CV181" s="311"/>
      <c r="CW181" s="311"/>
      <c r="CX181" s="311"/>
      <c r="CY181" s="311"/>
    </row>
    <row r="182" spans="1:103" x14ac:dyDescent="0.3">
      <c r="A182" s="296">
        <v>5062</v>
      </c>
      <c r="B182" s="275" t="s">
        <v>85</v>
      </c>
      <c r="C182" s="275" t="s">
        <v>84</v>
      </c>
      <c r="D182" s="275" t="s">
        <v>83</v>
      </c>
      <c r="E182" s="266">
        <v>220000</v>
      </c>
      <c r="F182" s="278">
        <v>44036</v>
      </c>
      <c r="G182" s="278">
        <v>44401</v>
      </c>
      <c r="H182" s="276"/>
      <c r="I182" s="266">
        <v>3.4</v>
      </c>
      <c r="J182" s="276"/>
      <c r="K182" s="276"/>
      <c r="L182" s="276"/>
      <c r="M182" s="276"/>
      <c r="N182" s="276"/>
      <c r="O182" s="275"/>
      <c r="P182" s="276"/>
      <c r="Q182" s="276"/>
      <c r="R182" s="276"/>
      <c r="S182" s="276"/>
      <c r="T182" s="276"/>
      <c r="U182" s="276"/>
      <c r="V182" s="276"/>
      <c r="W182" s="276"/>
      <c r="X182" s="266"/>
      <c r="Y182" s="276"/>
      <c r="Z182" s="276"/>
      <c r="AA182" s="276"/>
      <c r="AB182" s="266"/>
      <c r="AC182" s="276"/>
      <c r="AD182" s="276"/>
      <c r="AE182" s="314">
        <v>122.95890410958907</v>
      </c>
      <c r="AF182" s="314"/>
      <c r="AG182" s="314"/>
      <c r="AH182" s="314">
        <v>122.95890410958907</v>
      </c>
      <c r="AI182" s="319"/>
      <c r="AJ182" s="311"/>
      <c r="AK182" s="311"/>
      <c r="AL182" s="311"/>
      <c r="AM182" s="311"/>
      <c r="AN182" s="311"/>
      <c r="AO182" s="311"/>
      <c r="AP182" s="311"/>
      <c r="AQ182" s="311"/>
      <c r="AR182" s="311"/>
      <c r="AS182" s="311"/>
      <c r="AT182" s="311"/>
      <c r="AU182" s="311"/>
      <c r="AV182" s="311"/>
      <c r="AW182" s="311"/>
      <c r="AX182" s="311"/>
      <c r="AY182" s="311"/>
      <c r="AZ182" s="311"/>
      <c r="BA182" s="311"/>
      <c r="BB182" s="311"/>
      <c r="BC182" s="311"/>
      <c r="BD182" s="311"/>
      <c r="BE182" s="311"/>
      <c r="BF182" s="311"/>
      <c r="BG182" s="311"/>
      <c r="BH182" s="311"/>
      <c r="BI182" s="311"/>
      <c r="BJ182" s="311"/>
      <c r="BK182" s="311"/>
      <c r="BL182" s="311"/>
      <c r="BM182" s="311"/>
      <c r="BN182" s="311"/>
      <c r="BO182" s="311"/>
      <c r="BP182" s="311"/>
      <c r="BQ182" s="311"/>
      <c r="BR182" s="311"/>
      <c r="BS182" s="311"/>
      <c r="BT182" s="311"/>
      <c r="BU182" s="311"/>
      <c r="BV182" s="311"/>
      <c r="BW182" s="311"/>
      <c r="BX182" s="311"/>
      <c r="BY182" s="311"/>
      <c r="BZ182" s="311"/>
      <c r="CA182" s="311"/>
      <c r="CB182" s="311"/>
      <c r="CC182" s="311"/>
      <c r="CD182" s="311"/>
      <c r="CE182" s="311"/>
      <c r="CF182" s="311"/>
      <c r="CG182" s="311"/>
      <c r="CH182" s="311"/>
      <c r="CI182" s="311"/>
      <c r="CJ182" s="311"/>
      <c r="CK182" s="311"/>
      <c r="CL182" s="311"/>
      <c r="CM182" s="311"/>
      <c r="CN182" s="311"/>
      <c r="CO182" s="311"/>
      <c r="CP182" s="311"/>
      <c r="CQ182" s="311"/>
      <c r="CR182" s="311"/>
      <c r="CS182" s="311"/>
      <c r="CT182" s="311"/>
      <c r="CU182" s="311"/>
      <c r="CV182" s="311"/>
      <c r="CW182" s="311"/>
      <c r="CX182" s="311"/>
      <c r="CY182" s="311"/>
    </row>
    <row r="183" spans="1:103" x14ac:dyDescent="0.3">
      <c r="A183" s="296">
        <v>5040</v>
      </c>
      <c r="B183" s="275" t="s">
        <v>82</v>
      </c>
      <c r="C183" s="275" t="s">
        <v>81</v>
      </c>
      <c r="D183" s="275" t="s">
        <v>80</v>
      </c>
      <c r="E183" s="266">
        <v>53900</v>
      </c>
      <c r="F183" s="278">
        <v>44038</v>
      </c>
      <c r="G183" s="278">
        <v>44403</v>
      </c>
      <c r="H183" s="276"/>
      <c r="I183" s="266">
        <v>6.15</v>
      </c>
      <c r="J183" s="276"/>
      <c r="K183" s="276"/>
      <c r="L183" s="276"/>
      <c r="M183" s="276"/>
      <c r="N183" s="276"/>
      <c r="O183" s="275"/>
      <c r="P183" s="276"/>
      <c r="Q183" s="276"/>
      <c r="R183" s="276"/>
      <c r="S183" s="276"/>
      <c r="T183" s="276"/>
      <c r="U183" s="276"/>
      <c r="V183" s="276"/>
      <c r="W183" s="276"/>
      <c r="X183" s="266"/>
      <c r="Y183" s="276"/>
      <c r="Z183" s="276"/>
      <c r="AA183" s="276"/>
      <c r="AB183" s="266"/>
      <c r="AC183" s="276"/>
      <c r="AD183" s="276"/>
      <c r="AE183" s="314">
        <v>45.408904109589045</v>
      </c>
      <c r="AF183" s="314"/>
      <c r="AG183" s="314"/>
      <c r="AH183" s="314">
        <v>45.408904109589045</v>
      </c>
      <c r="AI183" s="319"/>
      <c r="AJ183" s="311"/>
      <c r="AK183" s="311"/>
      <c r="AL183" s="311"/>
      <c r="AM183" s="311"/>
      <c r="AN183" s="311"/>
      <c r="AO183" s="311"/>
      <c r="AP183" s="311"/>
      <c r="AQ183" s="311"/>
      <c r="AR183" s="311"/>
      <c r="AS183" s="311"/>
      <c r="AT183" s="311"/>
      <c r="AU183" s="311"/>
      <c r="AV183" s="311"/>
      <c r="AW183" s="311"/>
      <c r="AX183" s="311"/>
      <c r="AY183" s="311"/>
      <c r="AZ183" s="311"/>
      <c r="BA183" s="311"/>
      <c r="BB183" s="311"/>
      <c r="BC183" s="311"/>
      <c r="BD183" s="311"/>
      <c r="BE183" s="311"/>
      <c r="BF183" s="311"/>
      <c r="BG183" s="311"/>
      <c r="BH183" s="311"/>
      <c r="BI183" s="311"/>
      <c r="BJ183" s="311"/>
      <c r="BK183" s="311"/>
      <c r="BL183" s="311"/>
      <c r="BM183" s="311"/>
      <c r="BN183" s="311"/>
      <c r="BO183" s="311"/>
      <c r="BP183" s="311"/>
      <c r="BQ183" s="311"/>
      <c r="BR183" s="311"/>
      <c r="BS183" s="311"/>
      <c r="BT183" s="311"/>
      <c r="BU183" s="311"/>
      <c r="BV183" s="311"/>
      <c r="BW183" s="311"/>
      <c r="BX183" s="311"/>
      <c r="BY183" s="311"/>
      <c r="BZ183" s="311"/>
      <c r="CA183" s="311"/>
      <c r="CB183" s="311"/>
      <c r="CC183" s="311"/>
      <c r="CD183" s="311"/>
      <c r="CE183" s="311"/>
      <c r="CF183" s="311"/>
      <c r="CG183" s="311"/>
      <c r="CH183" s="311"/>
      <c r="CI183" s="311"/>
      <c r="CJ183" s="311"/>
      <c r="CK183" s="311"/>
      <c r="CL183" s="311"/>
      <c r="CM183" s="311"/>
      <c r="CN183" s="311"/>
      <c r="CO183" s="311"/>
      <c r="CP183" s="311"/>
      <c r="CQ183" s="311"/>
      <c r="CR183" s="311"/>
      <c r="CS183" s="311"/>
      <c r="CT183" s="311"/>
      <c r="CU183" s="311"/>
      <c r="CV183" s="311"/>
      <c r="CW183" s="311"/>
      <c r="CX183" s="311"/>
      <c r="CY183" s="311"/>
    </row>
    <row r="184" spans="1:103" x14ac:dyDescent="0.3">
      <c r="A184" s="296">
        <v>5031</v>
      </c>
      <c r="B184" s="275" t="s">
        <v>7</v>
      </c>
      <c r="C184" s="275" t="s">
        <v>79</v>
      </c>
      <c r="D184" s="275" t="s">
        <v>78</v>
      </c>
      <c r="E184" s="266">
        <v>541000</v>
      </c>
      <c r="F184" s="278">
        <v>44037</v>
      </c>
      <c r="G184" s="278">
        <v>44402</v>
      </c>
      <c r="H184" s="276"/>
      <c r="I184" s="266">
        <v>6.9</v>
      </c>
      <c r="J184" s="276"/>
      <c r="K184" s="276"/>
      <c r="L184" s="276"/>
      <c r="M184" s="276"/>
      <c r="N184" s="276"/>
      <c r="O184" s="275"/>
      <c r="P184" s="276"/>
      <c r="Q184" s="276"/>
      <c r="R184" s="276"/>
      <c r="S184" s="276"/>
      <c r="T184" s="276"/>
      <c r="U184" s="276"/>
      <c r="V184" s="276"/>
      <c r="W184" s="276"/>
      <c r="X184" s="266"/>
      <c r="Y184" s="276"/>
      <c r="Z184" s="276"/>
      <c r="AA184" s="276"/>
      <c r="AB184" s="266"/>
      <c r="AC184" s="276"/>
      <c r="AD184" s="276"/>
      <c r="AE184" s="314">
        <v>613.62739726027394</v>
      </c>
      <c r="AF184" s="314"/>
      <c r="AG184" s="314"/>
      <c r="AH184" s="314">
        <v>613.62739726027394</v>
      </c>
      <c r="AI184" s="319"/>
      <c r="AJ184" s="311"/>
      <c r="AK184" s="311"/>
      <c r="AL184" s="311"/>
      <c r="AM184" s="311"/>
      <c r="AN184" s="311"/>
      <c r="AO184" s="311"/>
      <c r="AP184" s="311"/>
      <c r="AQ184" s="311"/>
      <c r="AR184" s="311"/>
      <c r="AS184" s="311"/>
      <c r="AT184" s="311"/>
      <c r="AU184" s="311"/>
      <c r="AV184" s="311"/>
      <c r="AW184" s="311"/>
      <c r="AX184" s="311"/>
      <c r="AY184" s="311"/>
      <c r="AZ184" s="311"/>
      <c r="BA184" s="311"/>
      <c r="BB184" s="311"/>
      <c r="BC184" s="311"/>
      <c r="BD184" s="311"/>
      <c r="BE184" s="311"/>
      <c r="BF184" s="311"/>
      <c r="BG184" s="311"/>
      <c r="BH184" s="311"/>
      <c r="BI184" s="311"/>
      <c r="BJ184" s="311"/>
      <c r="BK184" s="311"/>
      <c r="BL184" s="311"/>
      <c r="BM184" s="311"/>
      <c r="BN184" s="311"/>
      <c r="BO184" s="311"/>
      <c r="BP184" s="311"/>
      <c r="BQ184" s="311"/>
      <c r="BR184" s="311"/>
      <c r="BS184" s="311"/>
      <c r="BT184" s="311"/>
      <c r="BU184" s="311"/>
      <c r="BV184" s="311"/>
      <c r="BW184" s="311"/>
      <c r="BX184" s="311"/>
      <c r="BY184" s="311"/>
      <c r="BZ184" s="311"/>
      <c r="CA184" s="311"/>
      <c r="CB184" s="311"/>
      <c r="CC184" s="311"/>
      <c r="CD184" s="311"/>
      <c r="CE184" s="311"/>
      <c r="CF184" s="311"/>
      <c r="CG184" s="311"/>
      <c r="CH184" s="311"/>
      <c r="CI184" s="311"/>
      <c r="CJ184" s="311"/>
      <c r="CK184" s="311"/>
      <c r="CL184" s="311"/>
      <c r="CM184" s="311"/>
      <c r="CN184" s="311"/>
      <c r="CO184" s="311"/>
      <c r="CP184" s="311"/>
      <c r="CQ184" s="311"/>
      <c r="CR184" s="311"/>
      <c r="CS184" s="311"/>
      <c r="CT184" s="311"/>
      <c r="CU184" s="311"/>
      <c r="CV184" s="311"/>
      <c r="CW184" s="311"/>
      <c r="CX184" s="311"/>
      <c r="CY184" s="311"/>
    </row>
    <row r="185" spans="1:103" x14ac:dyDescent="0.3">
      <c r="A185" s="296"/>
      <c r="B185" s="275" t="s">
        <v>77</v>
      </c>
      <c r="C185" s="275" t="s">
        <v>76</v>
      </c>
      <c r="D185" s="275" t="s">
        <v>75</v>
      </c>
      <c r="E185" s="266">
        <v>240000</v>
      </c>
      <c r="F185" s="278">
        <v>44034</v>
      </c>
      <c r="G185" s="278">
        <v>44399</v>
      </c>
      <c r="H185" s="276"/>
      <c r="I185" s="345">
        <v>5.4</v>
      </c>
      <c r="J185" s="279"/>
      <c r="K185" s="279"/>
      <c r="L185" s="279"/>
      <c r="M185" s="279"/>
      <c r="N185" s="279"/>
      <c r="O185" s="275"/>
      <c r="P185" s="279"/>
      <c r="Q185" s="279"/>
      <c r="R185" s="276"/>
      <c r="S185" s="276"/>
      <c r="T185" s="276"/>
      <c r="U185" s="276"/>
      <c r="V185" s="276"/>
      <c r="W185" s="276"/>
      <c r="X185" s="266"/>
      <c r="Y185" s="276"/>
      <c r="Z185" s="276"/>
      <c r="AA185" s="276"/>
      <c r="AB185" s="266"/>
      <c r="AC185" s="276"/>
      <c r="AD185" s="276"/>
      <c r="AE185" s="314">
        <v>213.04109589041099</v>
      </c>
      <c r="AF185" s="314"/>
      <c r="AG185" s="314"/>
      <c r="AH185" s="314">
        <v>213.04109589041099</v>
      </c>
      <c r="AI185" s="319"/>
      <c r="AJ185" s="311"/>
      <c r="AK185" s="311"/>
      <c r="AL185" s="311"/>
      <c r="AM185" s="311"/>
      <c r="AN185" s="311"/>
      <c r="AO185" s="311"/>
      <c r="AP185" s="311"/>
      <c r="AQ185" s="311"/>
      <c r="AR185" s="311"/>
      <c r="AS185" s="311"/>
      <c r="AT185" s="311"/>
      <c r="AU185" s="311"/>
      <c r="AV185" s="311"/>
      <c r="AW185" s="311"/>
      <c r="AX185" s="311"/>
      <c r="AY185" s="311"/>
      <c r="AZ185" s="311"/>
      <c r="BA185" s="311"/>
      <c r="BB185" s="311"/>
      <c r="BC185" s="311"/>
      <c r="BD185" s="311"/>
      <c r="BE185" s="311"/>
      <c r="BF185" s="311"/>
      <c r="BG185" s="311"/>
      <c r="BH185" s="311"/>
      <c r="BI185" s="311"/>
      <c r="BJ185" s="311"/>
      <c r="BK185" s="311"/>
      <c r="BL185" s="311"/>
      <c r="BM185" s="311"/>
      <c r="BN185" s="311"/>
      <c r="BO185" s="311"/>
      <c r="BP185" s="311"/>
      <c r="BQ185" s="311"/>
      <c r="BR185" s="311"/>
      <c r="BS185" s="311"/>
      <c r="BT185" s="311"/>
      <c r="BU185" s="311"/>
      <c r="BV185" s="311"/>
      <c r="BW185" s="311"/>
      <c r="BX185" s="311"/>
      <c r="BY185" s="311"/>
      <c r="BZ185" s="311"/>
      <c r="CA185" s="311"/>
      <c r="CB185" s="311"/>
      <c r="CC185" s="311"/>
      <c r="CD185" s="311"/>
      <c r="CE185" s="311"/>
      <c r="CF185" s="311"/>
      <c r="CG185" s="311"/>
      <c r="CH185" s="311"/>
      <c r="CI185" s="311"/>
      <c r="CJ185" s="311"/>
      <c r="CK185" s="311"/>
      <c r="CL185" s="311"/>
      <c r="CM185" s="311"/>
      <c r="CN185" s="311"/>
      <c r="CO185" s="311"/>
      <c r="CP185" s="311"/>
      <c r="CQ185" s="311"/>
      <c r="CR185" s="311"/>
      <c r="CS185" s="311"/>
      <c r="CT185" s="311"/>
      <c r="CU185" s="311"/>
      <c r="CV185" s="311"/>
      <c r="CW185" s="311"/>
      <c r="CX185" s="311"/>
      <c r="CY185" s="311"/>
    </row>
    <row r="186" spans="1:103" x14ac:dyDescent="0.3">
      <c r="A186" s="296"/>
      <c r="B186" s="275"/>
      <c r="C186" s="275"/>
      <c r="D186" s="275"/>
      <c r="E186" s="266"/>
      <c r="F186" s="278"/>
      <c r="G186" s="278"/>
      <c r="H186" s="276"/>
      <c r="I186" s="345"/>
      <c r="J186" s="279"/>
      <c r="K186" s="279"/>
      <c r="L186" s="279"/>
      <c r="M186" s="279"/>
      <c r="N186" s="279"/>
      <c r="O186" s="275"/>
      <c r="P186" s="279"/>
      <c r="Q186" s="279"/>
      <c r="R186" s="276"/>
      <c r="S186" s="276"/>
      <c r="T186" s="276"/>
      <c r="U186" s="276"/>
      <c r="V186" s="276"/>
      <c r="W186" s="276"/>
      <c r="X186" s="266"/>
      <c r="Y186" s="276"/>
      <c r="Z186" s="276"/>
      <c r="AA186" s="276"/>
      <c r="AB186" s="266"/>
      <c r="AC186" s="276"/>
      <c r="AD186" s="276"/>
      <c r="AE186" s="314">
        <v>0</v>
      </c>
      <c r="AF186" s="314"/>
      <c r="AG186" s="314"/>
      <c r="AH186" s="314">
        <v>0</v>
      </c>
      <c r="AI186" s="319"/>
      <c r="AJ186" s="311"/>
      <c r="AK186" s="311"/>
      <c r="AL186" s="311"/>
      <c r="AM186" s="311"/>
      <c r="AN186" s="311"/>
      <c r="AO186" s="311"/>
      <c r="AP186" s="311"/>
      <c r="AQ186" s="311"/>
      <c r="AR186" s="311"/>
      <c r="AS186" s="311"/>
      <c r="AT186" s="311"/>
      <c r="AU186" s="311"/>
      <c r="AV186" s="311"/>
      <c r="AW186" s="311"/>
      <c r="AX186" s="311"/>
      <c r="AY186" s="311"/>
      <c r="AZ186" s="311"/>
      <c r="BA186" s="311"/>
      <c r="BB186" s="311"/>
      <c r="BC186" s="311"/>
      <c r="BD186" s="311"/>
      <c r="BE186" s="311"/>
      <c r="BF186" s="311"/>
      <c r="BG186" s="311"/>
      <c r="BH186" s="311"/>
      <c r="BI186" s="311"/>
      <c r="BJ186" s="311"/>
      <c r="BK186" s="311"/>
      <c r="BL186" s="311"/>
      <c r="BM186" s="311"/>
      <c r="BN186" s="311"/>
      <c r="BO186" s="311"/>
      <c r="BP186" s="311"/>
      <c r="BQ186" s="311"/>
      <c r="BR186" s="311"/>
      <c r="BS186" s="311"/>
      <c r="BT186" s="311"/>
      <c r="BU186" s="311"/>
      <c r="BV186" s="311"/>
      <c r="BW186" s="311"/>
      <c r="BX186" s="311"/>
      <c r="BY186" s="311"/>
      <c r="BZ186" s="311"/>
      <c r="CA186" s="311"/>
      <c r="CB186" s="311"/>
      <c r="CC186" s="311"/>
      <c r="CD186" s="311"/>
      <c r="CE186" s="311"/>
      <c r="CF186" s="311"/>
      <c r="CG186" s="311"/>
      <c r="CH186" s="311"/>
      <c r="CI186" s="311"/>
      <c r="CJ186" s="311"/>
      <c r="CK186" s="311"/>
      <c r="CL186" s="311"/>
      <c r="CM186" s="311"/>
      <c r="CN186" s="311"/>
      <c r="CO186" s="311"/>
      <c r="CP186" s="311"/>
      <c r="CQ186" s="311"/>
      <c r="CR186" s="311"/>
      <c r="CS186" s="311"/>
      <c r="CT186" s="311"/>
      <c r="CU186" s="311"/>
      <c r="CV186" s="311"/>
      <c r="CW186" s="311"/>
      <c r="CX186" s="311"/>
      <c r="CY186" s="311"/>
    </row>
    <row r="187" spans="1:103" x14ac:dyDescent="0.3">
      <c r="A187" s="300"/>
      <c r="B187" s="293"/>
      <c r="C187" s="293"/>
      <c r="D187" s="293"/>
      <c r="E187" s="290"/>
      <c r="F187" s="285"/>
      <c r="G187" s="285"/>
      <c r="H187" s="286"/>
      <c r="I187" s="287"/>
      <c r="J187" s="288">
        <v>0</v>
      </c>
      <c r="K187" s="288"/>
      <c r="L187" s="288"/>
      <c r="M187" s="288"/>
      <c r="N187" s="288">
        <v>0</v>
      </c>
      <c r="O187" s="286"/>
      <c r="P187" s="288"/>
      <c r="Q187" s="288"/>
      <c r="R187" s="286">
        <v>0</v>
      </c>
      <c r="S187" s="286"/>
      <c r="T187" s="286"/>
      <c r="U187" s="286"/>
      <c r="V187" s="286">
        <v>0</v>
      </c>
      <c r="W187" s="286"/>
      <c r="X187" s="257"/>
      <c r="Y187" s="286"/>
      <c r="Z187" s="286">
        <v>0</v>
      </c>
      <c r="AA187" s="276">
        <v>0</v>
      </c>
      <c r="AB187" s="266"/>
      <c r="AC187" s="276"/>
      <c r="AD187" s="276">
        <v>0</v>
      </c>
      <c r="AE187" s="314">
        <v>0</v>
      </c>
      <c r="AF187" s="314"/>
      <c r="AG187" s="314"/>
      <c r="AH187" s="314">
        <v>0</v>
      </c>
      <c r="AI187" s="321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27"/>
      <c r="AW187" s="227"/>
      <c r="AX187" s="227"/>
      <c r="AY187" s="227"/>
      <c r="AZ187" s="227"/>
      <c r="BA187" s="227"/>
      <c r="BB187" s="227"/>
      <c r="BC187" s="227"/>
      <c r="BD187" s="227"/>
      <c r="BE187" s="227"/>
      <c r="BF187" s="227"/>
      <c r="BG187" s="227"/>
      <c r="BH187" s="227"/>
      <c r="BI187" s="227"/>
      <c r="BJ187" s="227"/>
      <c r="BK187" s="227"/>
      <c r="BL187" s="227"/>
      <c r="BM187" s="227"/>
      <c r="BN187" s="227"/>
      <c r="BO187" s="227"/>
      <c r="BP187" s="227"/>
      <c r="BQ187" s="227"/>
      <c r="BR187" s="227"/>
      <c r="BS187" s="227"/>
      <c r="BT187" s="227"/>
      <c r="BU187" s="227"/>
      <c r="BV187" s="227"/>
      <c r="BW187" s="227"/>
      <c r="BX187" s="227"/>
      <c r="BY187" s="227"/>
      <c r="BZ187" s="227"/>
      <c r="CA187" s="227"/>
      <c r="CB187" s="227"/>
      <c r="CC187" s="227"/>
      <c r="CD187" s="227"/>
      <c r="CE187" s="227"/>
      <c r="CF187" s="227"/>
      <c r="CG187" s="227"/>
      <c r="CH187" s="227"/>
      <c r="CI187" s="227"/>
      <c r="CJ187" s="227"/>
      <c r="CK187" s="227"/>
      <c r="CL187" s="227"/>
      <c r="CM187" s="227"/>
      <c r="CN187" s="227"/>
      <c r="CO187" s="227"/>
      <c r="CP187" s="227"/>
      <c r="CQ187" s="227"/>
      <c r="CR187" s="227"/>
      <c r="CS187" s="227"/>
      <c r="CT187" s="227"/>
      <c r="CU187" s="227"/>
      <c r="CV187" s="227"/>
      <c r="CW187" s="227"/>
      <c r="CX187" s="227"/>
      <c r="CY187" s="227"/>
    </row>
    <row r="188" spans="1:103" ht="15" thickBot="1" x14ac:dyDescent="0.35">
      <c r="A188" s="301" t="s">
        <v>4</v>
      </c>
      <c r="B188" s="243"/>
      <c r="C188" s="243"/>
      <c r="D188" s="244"/>
      <c r="E188" s="245">
        <v>44236315.439999998</v>
      </c>
      <c r="F188" s="246"/>
      <c r="G188" s="246"/>
      <c r="H188" s="244"/>
      <c r="I188" s="247">
        <v>6.1034782608695659</v>
      </c>
      <c r="J188" s="247">
        <v>634864.88402892789</v>
      </c>
      <c r="K188" s="247">
        <v>129870.58138125</v>
      </c>
      <c r="L188" s="247">
        <v>0</v>
      </c>
      <c r="M188" s="247">
        <v>0</v>
      </c>
      <c r="N188" s="247">
        <v>764735.46541017795</v>
      </c>
      <c r="O188" s="247">
        <v>180015.46730072217</v>
      </c>
      <c r="P188" s="248">
        <v>0</v>
      </c>
      <c r="Q188" s="247">
        <v>91069.154325683325</v>
      </c>
      <c r="R188" s="247">
        <v>1035820.0870365833</v>
      </c>
      <c r="S188" s="247">
        <v>187681.25389108324</v>
      </c>
      <c r="T188" s="247">
        <v>0</v>
      </c>
      <c r="U188" s="247">
        <v>0</v>
      </c>
      <c r="V188" s="247">
        <v>1223501.3409276658</v>
      </c>
      <c r="W188" s="247">
        <v>217912.0182632778</v>
      </c>
      <c r="X188" s="258">
        <v>-32078.47</v>
      </c>
      <c r="Y188" s="247">
        <v>935.41</v>
      </c>
      <c r="Z188" s="247">
        <v>1410270.3191909445</v>
      </c>
      <c r="AA188" s="267">
        <v>195842.85326466858</v>
      </c>
      <c r="AB188" s="268">
        <v>-423577.63</v>
      </c>
      <c r="AC188" s="267">
        <v>3330.3500000000004</v>
      </c>
      <c r="AD188" s="247">
        <v>1185865.8924556128</v>
      </c>
      <c r="AE188" s="315">
        <v>211567.46896775893</v>
      </c>
      <c r="AF188" s="315">
        <v>-278424.93000000005</v>
      </c>
      <c r="AG188" s="315">
        <v>1367.5600000000002</v>
      </c>
      <c r="AH188" s="315">
        <v>1120375.9914233722</v>
      </c>
      <c r="AI188" s="322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27"/>
      <c r="AW188" s="227"/>
      <c r="AX188" s="227"/>
      <c r="AY188" s="227"/>
      <c r="AZ188" s="227"/>
      <c r="BA188" s="227"/>
      <c r="BB188" s="227"/>
      <c r="BC188" s="227"/>
      <c r="BD188" s="227"/>
      <c r="BE188" s="227"/>
      <c r="BF188" s="227"/>
      <c r="BG188" s="227"/>
      <c r="BH188" s="227"/>
      <c r="BI188" s="227"/>
      <c r="BJ188" s="227"/>
      <c r="BK188" s="227"/>
      <c r="BL188" s="227"/>
      <c r="BM188" s="227"/>
      <c r="BN188" s="227"/>
      <c r="BO188" s="227"/>
      <c r="BP188" s="227"/>
      <c r="BQ188" s="227"/>
      <c r="BR188" s="227"/>
      <c r="BS188" s="227"/>
      <c r="BT188" s="227"/>
      <c r="BU188" s="227"/>
      <c r="BV188" s="227"/>
      <c r="BW188" s="227"/>
      <c r="BX188" s="227"/>
      <c r="BY188" s="227"/>
      <c r="BZ188" s="227"/>
      <c r="CA188" s="227"/>
      <c r="CB188" s="227"/>
      <c r="CC188" s="227"/>
      <c r="CD188" s="227"/>
      <c r="CE188" s="227"/>
      <c r="CF188" s="227"/>
      <c r="CG188" s="227"/>
      <c r="CH188" s="227"/>
      <c r="CI188" s="227"/>
      <c r="CJ188" s="227"/>
      <c r="CK188" s="227"/>
      <c r="CL188" s="227"/>
      <c r="CM188" s="227"/>
      <c r="CN188" s="227"/>
      <c r="CO188" s="227"/>
      <c r="CP188" s="227"/>
      <c r="CQ188" s="227"/>
      <c r="CR188" s="227"/>
      <c r="CS188" s="227"/>
      <c r="CT188" s="227"/>
      <c r="CU188" s="227"/>
      <c r="CV188" s="227"/>
      <c r="CW188" s="227"/>
      <c r="CX188" s="227"/>
      <c r="CY188" s="227"/>
    </row>
    <row r="189" spans="1:103" ht="15" thickTop="1" x14ac:dyDescent="0.3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27"/>
      <c r="AC189" s="227"/>
      <c r="AD189" s="227"/>
      <c r="AE189" s="227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27"/>
      <c r="AW189" s="227"/>
      <c r="AX189" s="227"/>
      <c r="AY189" s="227"/>
      <c r="AZ189" s="227"/>
      <c r="BA189" s="227"/>
      <c r="BB189" s="227"/>
      <c r="BC189" s="227"/>
      <c r="BD189" s="227"/>
      <c r="BE189" s="227"/>
      <c r="BF189" s="227"/>
      <c r="BG189" s="227"/>
      <c r="BH189" s="227"/>
      <c r="BI189" s="227"/>
      <c r="BJ189" s="227"/>
      <c r="BK189" s="227"/>
      <c r="BL189" s="227"/>
      <c r="BM189" s="227"/>
      <c r="BN189" s="227"/>
      <c r="BO189" s="227"/>
      <c r="BP189" s="227"/>
      <c r="BQ189" s="227"/>
      <c r="BR189" s="227"/>
      <c r="BS189" s="227"/>
      <c r="BT189" s="227"/>
      <c r="BU189" s="227"/>
      <c r="BV189" s="227"/>
      <c r="BW189" s="227"/>
      <c r="BX189" s="227"/>
      <c r="BY189" s="227"/>
      <c r="BZ189" s="227"/>
      <c r="CA189" s="227"/>
      <c r="CB189" s="227"/>
      <c r="CC189" s="227"/>
      <c r="CD189" s="227"/>
      <c r="CE189" s="227"/>
      <c r="CF189" s="227"/>
      <c r="CG189" s="227"/>
      <c r="CH189" s="227"/>
      <c r="CI189" s="227"/>
      <c r="CJ189" s="227"/>
      <c r="CK189" s="227"/>
      <c r="CL189" s="227"/>
      <c r="CM189" s="227"/>
      <c r="CN189" s="227"/>
      <c r="CO189" s="227"/>
      <c r="CP189" s="227"/>
      <c r="CQ189" s="227"/>
      <c r="CR189" s="227"/>
      <c r="CS189" s="227"/>
      <c r="CT189" s="227"/>
      <c r="CU189" s="227"/>
      <c r="CV189" s="227"/>
      <c r="CW189" s="227"/>
      <c r="CX189" s="227"/>
      <c r="CY189" s="227"/>
    </row>
    <row r="190" spans="1:103" x14ac:dyDescent="0.3">
      <c r="A190" s="227"/>
      <c r="B190" s="227" t="s">
        <v>3</v>
      </c>
      <c r="C190" s="227"/>
      <c r="D190" s="227"/>
      <c r="E190" s="249"/>
      <c r="F190" s="249"/>
      <c r="G190" s="227"/>
      <c r="H190" s="227"/>
      <c r="I190" s="227" t="s">
        <v>1</v>
      </c>
      <c r="J190" s="227"/>
      <c r="K190" s="227"/>
      <c r="L190" s="250"/>
      <c r="M190" s="227" t="s">
        <v>2</v>
      </c>
      <c r="N190" s="249">
        <v>1346787.82</v>
      </c>
      <c r="O190" s="227"/>
      <c r="P190" s="250"/>
      <c r="Q190" s="227" t="s">
        <v>2</v>
      </c>
      <c r="R190" s="249">
        <v>1473310.06</v>
      </c>
      <c r="S190" s="249"/>
      <c r="T190" s="249"/>
      <c r="U190" s="227" t="s">
        <v>2</v>
      </c>
      <c r="V190" s="249">
        <v>1363849.45</v>
      </c>
      <c r="W190" s="249"/>
      <c r="X190" s="227"/>
      <c r="Y190" s="227" t="s">
        <v>2</v>
      </c>
      <c r="Z190" s="249">
        <v>1410270.32</v>
      </c>
      <c r="AA190" s="229"/>
      <c r="AB190" s="227"/>
      <c r="AC190" s="263" t="s">
        <v>2</v>
      </c>
      <c r="AD190" s="249">
        <v>1185865.8899999999</v>
      </c>
      <c r="AE190" s="227"/>
      <c r="AF190" s="316"/>
      <c r="AG190" s="227" t="s">
        <v>1</v>
      </c>
      <c r="AH190" s="316">
        <v>1120375.99</v>
      </c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27"/>
      <c r="AW190" s="227"/>
      <c r="AX190" s="227"/>
      <c r="AY190" s="227"/>
      <c r="AZ190" s="227"/>
      <c r="BA190" s="227"/>
      <c r="BB190" s="227"/>
      <c r="BC190" s="227"/>
      <c r="BD190" s="227"/>
      <c r="BE190" s="227"/>
      <c r="BF190" s="227"/>
      <c r="BG190" s="227"/>
      <c r="BH190" s="227"/>
      <c r="BI190" s="227"/>
      <c r="BJ190" s="227"/>
      <c r="BK190" s="227"/>
      <c r="BL190" s="227"/>
      <c r="BM190" s="227"/>
      <c r="BN190" s="227"/>
      <c r="BO190" s="227"/>
      <c r="BP190" s="227"/>
      <c r="BQ190" s="227"/>
      <c r="BR190" s="227"/>
      <c r="BS190" s="227"/>
      <c r="BT190" s="227"/>
      <c r="BU190" s="227"/>
      <c r="BV190" s="227"/>
      <c r="BW190" s="227"/>
      <c r="BX190" s="227"/>
      <c r="BY190" s="227"/>
      <c r="BZ190" s="227"/>
      <c r="CA190" s="227"/>
      <c r="CB190" s="227"/>
      <c r="CC190" s="227"/>
      <c r="CD190" s="227"/>
      <c r="CE190" s="227"/>
      <c r="CF190" s="227"/>
      <c r="CG190" s="227"/>
      <c r="CH190" s="227"/>
      <c r="CI190" s="227"/>
      <c r="CJ190" s="227"/>
      <c r="CK190" s="227"/>
      <c r="CL190" s="227"/>
      <c r="CM190" s="227"/>
      <c r="CN190" s="227"/>
      <c r="CO190" s="227"/>
      <c r="CP190" s="227"/>
      <c r="CQ190" s="227"/>
      <c r="CR190" s="227"/>
      <c r="CS190" s="227"/>
      <c r="CT190" s="227"/>
      <c r="CU190" s="227"/>
      <c r="CV190" s="227"/>
      <c r="CW190" s="227"/>
      <c r="CX190" s="227"/>
      <c r="CY190" s="227"/>
    </row>
    <row r="191" spans="1:103" ht="15" thickBot="1" x14ac:dyDescent="0.35">
      <c r="A191" s="227"/>
      <c r="B191" s="227"/>
      <c r="C191" s="227"/>
      <c r="D191" s="227"/>
      <c r="E191" s="250"/>
      <c r="F191" s="230"/>
      <c r="G191" s="227"/>
      <c r="H191" s="227"/>
      <c r="I191" s="227" t="s">
        <v>0</v>
      </c>
      <c r="J191" s="227"/>
      <c r="K191" s="251"/>
      <c r="L191" s="227"/>
      <c r="M191" s="249"/>
      <c r="N191" s="227"/>
      <c r="O191" s="251"/>
      <c r="P191" s="227"/>
      <c r="Q191" s="249"/>
      <c r="R191" s="252">
        <v>437489.97296341672</v>
      </c>
      <c r="S191" s="251"/>
      <c r="T191" s="251"/>
      <c r="U191" s="249"/>
      <c r="V191" s="252">
        <v>140348.10907233413</v>
      </c>
      <c r="W191" s="251"/>
      <c r="X191" s="259"/>
      <c r="Y191" s="249"/>
      <c r="Z191" s="252">
        <v>8.09055520221591E-4</v>
      </c>
      <c r="AA191" s="269"/>
      <c r="AB191" s="270"/>
      <c r="AC191" s="229"/>
      <c r="AD191" s="252">
        <v>-2.4556128773838282E-3</v>
      </c>
      <c r="AE191" s="227"/>
      <c r="AF191" s="317"/>
      <c r="AG191" s="227" t="s">
        <v>0</v>
      </c>
      <c r="AH191" s="346">
        <v>-1.4233721885830164E-3</v>
      </c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27"/>
      <c r="AW191" s="227"/>
      <c r="AX191" s="227"/>
      <c r="AY191" s="227"/>
      <c r="AZ191" s="227"/>
      <c r="BA191" s="227"/>
      <c r="BB191" s="227"/>
      <c r="BC191" s="227"/>
      <c r="BD191" s="227"/>
      <c r="BE191" s="227"/>
      <c r="BF191" s="227"/>
      <c r="BG191" s="227"/>
      <c r="BH191" s="227"/>
      <c r="BI191" s="227"/>
      <c r="BJ191" s="227"/>
      <c r="BK191" s="227"/>
      <c r="BL191" s="227"/>
      <c r="BM191" s="227"/>
      <c r="BN191" s="227"/>
      <c r="BO191" s="227"/>
      <c r="BP191" s="227"/>
      <c r="BQ191" s="227"/>
      <c r="BR191" s="227"/>
      <c r="BS191" s="227"/>
      <c r="BT191" s="227"/>
      <c r="BU191" s="227"/>
      <c r="BV191" s="227"/>
      <c r="BW191" s="227"/>
      <c r="BX191" s="227"/>
      <c r="BY191" s="227"/>
      <c r="BZ191" s="227"/>
      <c r="CA191" s="227"/>
      <c r="CB191" s="227"/>
      <c r="CC191" s="227"/>
      <c r="CD191" s="227"/>
      <c r="CE191" s="227"/>
      <c r="CF191" s="227"/>
      <c r="CG191" s="227"/>
      <c r="CH191" s="227"/>
      <c r="CI191" s="227"/>
      <c r="CJ191" s="227"/>
      <c r="CK191" s="227"/>
      <c r="CL191" s="227"/>
      <c r="CM191" s="227"/>
      <c r="CN191" s="227"/>
      <c r="CO191" s="227"/>
      <c r="CP191" s="227"/>
      <c r="CQ191" s="227"/>
      <c r="CR191" s="227"/>
      <c r="CS191" s="227"/>
      <c r="CT191" s="227"/>
      <c r="CU191" s="227"/>
      <c r="CV191" s="227"/>
      <c r="CW191" s="227"/>
      <c r="CX191" s="227"/>
      <c r="CY191" s="227"/>
    </row>
    <row r="192" spans="1:103" ht="15" thickTop="1" x14ac:dyDescent="0.3">
      <c r="A192" s="227"/>
      <c r="B192" s="227"/>
      <c r="C192" s="227"/>
      <c r="D192" s="227"/>
      <c r="E192" s="227"/>
      <c r="F192" s="261"/>
      <c r="G192" s="227"/>
      <c r="H192" s="227"/>
      <c r="I192" s="227"/>
      <c r="J192" s="250"/>
      <c r="K192" s="227"/>
      <c r="L192" s="227"/>
      <c r="M192" s="250"/>
      <c r="N192" s="250"/>
      <c r="O192" s="227"/>
      <c r="P192" s="227"/>
      <c r="Q192" s="250"/>
      <c r="R192" s="250"/>
      <c r="S192" s="250"/>
      <c r="T192" s="250"/>
      <c r="U192" s="250"/>
      <c r="V192" s="250"/>
      <c r="W192" s="250"/>
      <c r="X192" s="227"/>
      <c r="Y192" s="250"/>
      <c r="Z192" s="250"/>
      <c r="AA192" s="271"/>
      <c r="AB192" s="227"/>
      <c r="AC192" s="271"/>
      <c r="AD192" s="250"/>
      <c r="AE192" s="227"/>
      <c r="AF192" s="227"/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27"/>
      <c r="AW192" s="227"/>
      <c r="AX192" s="227"/>
      <c r="AY192" s="227"/>
      <c r="AZ192" s="227"/>
      <c r="BA192" s="227"/>
      <c r="BB192" s="227"/>
      <c r="BC192" s="227"/>
      <c r="BD192" s="227"/>
      <c r="BE192" s="227"/>
      <c r="BF192" s="227"/>
      <c r="BG192" s="227"/>
      <c r="BH192" s="227"/>
      <c r="BI192" s="227"/>
      <c r="BJ192" s="227"/>
      <c r="BK192" s="227"/>
      <c r="BL192" s="227"/>
      <c r="BM192" s="227"/>
      <c r="BN192" s="227"/>
      <c r="BO192" s="227"/>
      <c r="BP192" s="227"/>
      <c r="BQ192" s="227"/>
      <c r="BR192" s="227"/>
      <c r="BS192" s="227"/>
      <c r="BT192" s="227"/>
      <c r="BU192" s="227"/>
      <c r="BV192" s="227"/>
      <c r="BW192" s="227"/>
      <c r="BX192" s="227"/>
      <c r="BY192" s="227"/>
      <c r="BZ192" s="227"/>
      <c r="CA192" s="227"/>
      <c r="CB192" s="227"/>
      <c r="CC192" s="227"/>
      <c r="CD192" s="227"/>
      <c r="CE192" s="227"/>
      <c r="CF192" s="227"/>
      <c r="CG192" s="227"/>
      <c r="CH192" s="227"/>
      <c r="CI192" s="227"/>
      <c r="CJ192" s="227"/>
      <c r="CK192" s="227"/>
      <c r="CL192" s="227"/>
      <c r="CM192" s="227"/>
      <c r="CN192" s="227"/>
      <c r="CO192" s="227"/>
      <c r="CP192" s="227"/>
      <c r="CQ192" s="227"/>
      <c r="CR192" s="227"/>
      <c r="CS192" s="227"/>
      <c r="CT192" s="227"/>
      <c r="CU192" s="227"/>
      <c r="CV192" s="227"/>
      <c r="CW192" s="227"/>
      <c r="CX192" s="227"/>
      <c r="CY192" s="227"/>
    </row>
    <row r="193" spans="8:30" x14ac:dyDescent="0.3">
      <c r="H193" s="227"/>
      <c r="I193" s="227"/>
      <c r="J193" s="250"/>
      <c r="K193" s="227"/>
      <c r="L193" s="227"/>
      <c r="M193" s="227"/>
      <c r="N193" s="250"/>
      <c r="O193" s="227"/>
      <c r="P193" s="227"/>
      <c r="Q193" s="227"/>
      <c r="R193" s="250"/>
      <c r="S193" s="250"/>
      <c r="T193" s="250"/>
      <c r="U193" s="250"/>
      <c r="V193" s="250"/>
      <c r="W193" s="250"/>
      <c r="X193" s="227"/>
      <c r="Y193" s="250"/>
      <c r="Z193" s="250"/>
      <c r="AA193" s="271"/>
      <c r="AB193" s="227"/>
      <c r="AC193" s="271"/>
      <c r="AD193" s="250"/>
    </row>
    <row r="194" spans="8:30" x14ac:dyDescent="0.3"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50"/>
      <c r="AA194" s="227"/>
      <c r="AB194" s="227"/>
      <c r="AC194" s="227"/>
      <c r="AD194" s="227"/>
    </row>
    <row r="195" spans="8:30" x14ac:dyDescent="0.3"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50"/>
      <c r="X195" s="227"/>
      <c r="Y195" s="227"/>
      <c r="Z195" s="227"/>
      <c r="AA195" s="271"/>
      <c r="AB195" s="227"/>
      <c r="AC195" s="227"/>
      <c r="AD195" s="227"/>
    </row>
    <row r="196" spans="8:30" x14ac:dyDescent="0.3">
      <c r="H196" s="249"/>
      <c r="I196" s="253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50"/>
      <c r="X196" s="227"/>
      <c r="Y196" s="227"/>
      <c r="Z196" s="227"/>
      <c r="AA196" s="271"/>
      <c r="AB196" s="227"/>
      <c r="AC196" s="227"/>
      <c r="AD196" s="227"/>
    </row>
    <row r="198" spans="8:30" x14ac:dyDescent="0.3">
      <c r="H198" s="250"/>
      <c r="I198" s="249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27"/>
      <c r="AC198" s="227"/>
      <c r="AD198" s="2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CD5D-CE38-41FD-8D52-97658B78B595}">
  <sheetPr filterMode="1"/>
  <dimension ref="A1:DC208"/>
  <sheetViews>
    <sheetView workbookViewId="0">
      <pane ySplit="5" topLeftCell="A6" activePane="bottomLeft" state="frozen"/>
      <selection pane="bottomLeft" activeCell="F201" sqref="F201"/>
    </sheetView>
  </sheetViews>
  <sheetFormatPr baseColWidth="10" defaultColWidth="11.5546875" defaultRowHeight="14.4" x14ac:dyDescent="0.3"/>
  <cols>
    <col min="1" max="1" width="11.5546875" style="294"/>
    <col min="2" max="3" width="11.5546875" style="227"/>
    <col min="4" max="4" width="32.77734375" style="227" customWidth="1"/>
    <col min="5" max="5" width="14" style="227" bestFit="1" customWidth="1"/>
    <col min="6" max="6" width="13.21875" style="227" customWidth="1"/>
    <col min="7" max="7" width="11.5546875" style="227"/>
    <col min="8" max="8" width="2.33203125" style="227" customWidth="1"/>
    <col min="9" max="9" width="11.5546875" style="227"/>
    <col min="10" max="10" width="13" style="227" hidden="1" customWidth="1"/>
    <col min="11" max="13" width="11.5546875" style="227" hidden="1" customWidth="1"/>
    <col min="14" max="14" width="12.77734375" style="227" hidden="1" customWidth="1"/>
    <col min="15" max="17" width="11.5546875" style="227" hidden="1" customWidth="1"/>
    <col min="18" max="18" width="13" style="227" hidden="1" customWidth="1"/>
    <col min="19" max="19" width="12.21875" style="227" hidden="1" customWidth="1"/>
    <col min="20" max="20" width="14" style="227" hidden="1" customWidth="1"/>
    <col min="21" max="21" width="12.21875" style="227" hidden="1" customWidth="1"/>
    <col min="22" max="22" width="13" style="227" hidden="1" customWidth="1"/>
    <col min="23" max="23" width="12.21875" style="227" hidden="1" customWidth="1"/>
    <col min="24" max="24" width="15.77734375" style="3" hidden="1" customWidth="1"/>
    <col min="25" max="25" width="12.21875" style="227" hidden="1" customWidth="1"/>
    <col min="26" max="26" width="13" style="227" hidden="1" customWidth="1"/>
    <col min="27" max="27" width="12.21875" style="227" hidden="1" customWidth="1"/>
    <col min="28" max="28" width="15.77734375" style="2" hidden="1" customWidth="1"/>
    <col min="29" max="29" width="12.21875" style="227" hidden="1" customWidth="1"/>
    <col min="30" max="30" width="13" style="227" hidden="1" customWidth="1"/>
    <col min="31" max="31" width="12.21875" style="310" hidden="1" customWidth="1"/>
    <col min="32" max="32" width="15.33203125" style="310" hidden="1" customWidth="1"/>
    <col min="33" max="33" width="10.44140625" style="310" hidden="1" customWidth="1"/>
    <col min="34" max="34" width="13" style="310" bestFit="1" customWidth="1"/>
    <col min="35" max="38" width="13" style="310" customWidth="1"/>
    <col min="39" max="39" width="13.5546875" style="310" customWidth="1"/>
    <col min="40" max="107" width="11.5546875" style="310"/>
    <col min="108" max="16384" width="11.5546875" style="227"/>
  </cols>
  <sheetData>
    <row r="1" spans="1:39" x14ac:dyDescent="0.3">
      <c r="A1" s="303" t="s">
        <v>500</v>
      </c>
      <c r="F1" s="228"/>
      <c r="G1" s="228"/>
    </row>
    <row r="2" spans="1:39" x14ac:dyDescent="0.3">
      <c r="A2" s="303" t="s">
        <v>499</v>
      </c>
      <c r="F2" s="228"/>
      <c r="G2" s="228"/>
      <c r="I2" s="2"/>
    </row>
    <row r="3" spans="1:39" x14ac:dyDescent="0.3">
      <c r="A3" s="303" t="s">
        <v>743</v>
      </c>
      <c r="F3" s="228"/>
      <c r="G3" s="228"/>
    </row>
    <row r="4" spans="1:39" x14ac:dyDescent="0.3">
      <c r="D4" s="230"/>
      <c r="E4" s="230"/>
      <c r="F4" s="228"/>
      <c r="G4" s="228"/>
      <c r="H4" s="230"/>
      <c r="I4" s="230"/>
      <c r="J4" s="230">
        <v>43861</v>
      </c>
      <c r="K4" s="230"/>
      <c r="L4" s="230"/>
      <c r="M4" s="230"/>
      <c r="N4" s="230">
        <v>43863</v>
      </c>
      <c r="O4" s="230"/>
      <c r="P4" s="230"/>
      <c r="Q4" s="230"/>
      <c r="R4" s="230">
        <v>43921</v>
      </c>
      <c r="S4" s="230"/>
      <c r="T4" s="230"/>
      <c r="U4" s="230"/>
      <c r="V4" s="230">
        <v>43951</v>
      </c>
      <c r="W4" s="230"/>
      <c r="Y4" s="230"/>
      <c r="Z4" s="230">
        <v>43982</v>
      </c>
      <c r="AA4" s="230"/>
      <c r="AC4" s="230"/>
      <c r="AD4" s="309">
        <v>44012</v>
      </c>
      <c r="AH4" s="312">
        <v>44043</v>
      </c>
      <c r="AI4" s="312"/>
      <c r="AJ4" s="312"/>
      <c r="AK4" s="312"/>
      <c r="AL4" s="312">
        <v>44074</v>
      </c>
    </row>
    <row r="5" spans="1:39" ht="28.8" x14ac:dyDescent="0.3">
      <c r="A5" s="295" t="s">
        <v>497</v>
      </c>
      <c r="B5" s="231" t="s">
        <v>496</v>
      </c>
      <c r="C5" s="231" t="s">
        <v>495</v>
      </c>
      <c r="D5" s="306" t="s">
        <v>494</v>
      </c>
      <c r="E5" s="306" t="s">
        <v>493</v>
      </c>
      <c r="F5" s="307" t="s">
        <v>492</v>
      </c>
      <c r="G5" s="307" t="s">
        <v>491</v>
      </c>
      <c r="H5" s="306"/>
      <c r="I5" s="308" t="s">
        <v>490</v>
      </c>
      <c r="J5" s="232" t="s">
        <v>484</v>
      </c>
      <c r="K5" s="233" t="s">
        <v>487</v>
      </c>
      <c r="L5" s="233" t="s">
        <v>486</v>
      </c>
      <c r="M5" s="233" t="s">
        <v>489</v>
      </c>
      <c r="N5" s="233" t="s">
        <v>484</v>
      </c>
      <c r="O5" s="234" t="s">
        <v>487</v>
      </c>
      <c r="P5" s="234" t="s">
        <v>486</v>
      </c>
      <c r="Q5" s="234" t="s">
        <v>489</v>
      </c>
      <c r="R5" s="234" t="s">
        <v>484</v>
      </c>
      <c r="S5" s="235" t="s">
        <v>487</v>
      </c>
      <c r="T5" s="235" t="s">
        <v>486</v>
      </c>
      <c r="U5" s="235" t="s">
        <v>488</v>
      </c>
      <c r="V5" s="235" t="s">
        <v>484</v>
      </c>
      <c r="W5" s="255" t="s">
        <v>487</v>
      </c>
      <c r="X5" s="96" t="s">
        <v>486</v>
      </c>
      <c r="Y5" s="255" t="s">
        <v>488</v>
      </c>
      <c r="Z5" s="255" t="s">
        <v>484</v>
      </c>
      <c r="AA5" s="304" t="s">
        <v>487</v>
      </c>
      <c r="AB5" s="226" t="s">
        <v>486</v>
      </c>
      <c r="AC5" s="304" t="s">
        <v>488</v>
      </c>
      <c r="AD5" s="304" t="s">
        <v>484</v>
      </c>
      <c r="AE5" s="323" t="s">
        <v>487</v>
      </c>
      <c r="AF5" s="323" t="s">
        <v>486</v>
      </c>
      <c r="AG5" s="323" t="s">
        <v>485</v>
      </c>
      <c r="AH5" s="323" t="s">
        <v>484</v>
      </c>
      <c r="AI5" s="148" t="s">
        <v>487</v>
      </c>
      <c r="AJ5" s="148" t="s">
        <v>486</v>
      </c>
      <c r="AK5" s="148" t="s">
        <v>485</v>
      </c>
      <c r="AL5" s="148" t="s">
        <v>484</v>
      </c>
      <c r="AM5" s="313" t="s">
        <v>483</v>
      </c>
    </row>
    <row r="6" spans="1:39" hidden="1" x14ac:dyDescent="0.3">
      <c r="A6" s="236"/>
      <c r="B6" s="237" t="s">
        <v>77</v>
      </c>
      <c r="C6" s="237" t="s">
        <v>482</v>
      </c>
      <c r="D6" s="26" t="s">
        <v>481</v>
      </c>
      <c r="E6" s="26"/>
      <c r="F6" s="238">
        <v>43622</v>
      </c>
      <c r="G6" s="238">
        <v>43988</v>
      </c>
      <c r="H6" s="26"/>
      <c r="I6" s="26">
        <v>5.4</v>
      </c>
      <c r="J6" s="26">
        <v>8576.8767123287671</v>
      </c>
      <c r="K6" s="26">
        <v>1080.0000000000002</v>
      </c>
      <c r="L6" s="26"/>
      <c r="M6" s="26"/>
      <c r="N6" s="26">
        <f t="shared" ref="N6:N69" si="0">+J6+K6+L6+M6</f>
        <v>9656.8767123287671</v>
      </c>
      <c r="O6" s="26">
        <v>1080.0000000000002</v>
      </c>
      <c r="P6" s="26"/>
      <c r="Q6" s="26"/>
      <c r="R6" s="26">
        <f t="shared" ref="R6:R69" si="1">+N6+O6+P6+Q6</f>
        <v>10736.876712328767</v>
      </c>
      <c r="S6" s="26">
        <v>1080.0000000000002</v>
      </c>
      <c r="T6" s="26"/>
      <c r="U6" s="26"/>
      <c r="V6" s="26">
        <f t="shared" ref="V6:V69" si="2">+R6+S6+T6+U6</f>
        <v>11816.876712328767</v>
      </c>
      <c r="W6" s="26">
        <v>1116.0000000000002</v>
      </c>
      <c r="X6" s="80"/>
      <c r="Y6" s="26"/>
      <c r="Z6" s="26">
        <f t="shared" ref="Z6:Z69" si="3">+V6+W6+X6+Y6</f>
        <v>12932.876712328767</v>
      </c>
      <c r="AA6" s="26"/>
      <c r="AB6" s="80">
        <v>-12995.5</v>
      </c>
      <c r="AC6" s="26">
        <v>62.62</v>
      </c>
      <c r="AD6" s="26">
        <f t="shared" ref="AD6:AD69" si="4">+Z6+AA6+AB6+AC6</f>
        <v>-3.2876712329041879E-3</v>
      </c>
      <c r="AE6" s="347"/>
      <c r="AF6" s="347"/>
      <c r="AG6" s="347"/>
      <c r="AH6" s="347">
        <f t="shared" ref="AH6:AH69" si="5">+AD6+AE6+AF6+AG6</f>
        <v>-3.2876712329041879E-3</v>
      </c>
      <c r="AI6" s="347"/>
      <c r="AJ6" s="347"/>
      <c r="AK6" s="347"/>
      <c r="AL6" s="347"/>
      <c r="AM6" s="348" t="s">
        <v>96</v>
      </c>
    </row>
    <row r="7" spans="1:39" hidden="1" x14ac:dyDescent="0.3">
      <c r="A7" s="236"/>
      <c r="B7" s="237" t="s">
        <v>124</v>
      </c>
      <c r="C7" s="237" t="s">
        <v>480</v>
      </c>
      <c r="D7" s="26" t="s">
        <v>479</v>
      </c>
      <c r="E7" s="26"/>
      <c r="F7" s="238">
        <v>43633</v>
      </c>
      <c r="G7" s="238">
        <v>43999</v>
      </c>
      <c r="H7" s="26"/>
      <c r="I7" s="26">
        <v>4.4000000000000004</v>
      </c>
      <c r="J7" s="26">
        <v>4391.2937595129379</v>
      </c>
      <c r="K7" s="26">
        <v>579.33333333333337</v>
      </c>
      <c r="L7" s="26"/>
      <c r="M7" s="26"/>
      <c r="N7" s="26">
        <f t="shared" si="0"/>
        <v>4970.6270928462709</v>
      </c>
      <c r="O7" s="26">
        <v>579.33333333333337</v>
      </c>
      <c r="P7" s="26"/>
      <c r="Q7" s="26"/>
      <c r="R7" s="26">
        <f t="shared" si="1"/>
        <v>5549.9604261796039</v>
      </c>
      <c r="S7" s="26">
        <v>579.33333333333337</v>
      </c>
      <c r="T7" s="26"/>
      <c r="U7" s="26"/>
      <c r="V7" s="26">
        <f t="shared" si="2"/>
        <v>6129.293759512937</v>
      </c>
      <c r="W7" s="26">
        <v>598.6444444444445</v>
      </c>
      <c r="X7" s="80"/>
      <c r="Y7" s="26"/>
      <c r="Z7" s="26">
        <f t="shared" si="3"/>
        <v>6727.9382039573811</v>
      </c>
      <c r="AA7" s="26"/>
      <c r="AB7" s="80">
        <v>-6971.04</v>
      </c>
      <c r="AC7" s="26">
        <v>243.1</v>
      </c>
      <c r="AD7" s="26">
        <f t="shared" si="4"/>
        <v>-1.7960426188494694E-3</v>
      </c>
      <c r="AE7" s="347"/>
      <c r="AF7" s="347"/>
      <c r="AG7" s="347"/>
      <c r="AH7" s="347">
        <f t="shared" si="5"/>
        <v>-1.7960426188494694E-3</v>
      </c>
      <c r="AI7" s="347"/>
      <c r="AJ7" s="347"/>
      <c r="AK7" s="347"/>
      <c r="AL7" s="347"/>
      <c r="AM7" s="348" t="s">
        <v>96</v>
      </c>
    </row>
    <row r="8" spans="1:39" hidden="1" x14ac:dyDescent="0.3">
      <c r="A8" s="236"/>
      <c r="B8" s="237" t="s">
        <v>117</v>
      </c>
      <c r="C8" s="237" t="s">
        <v>478</v>
      </c>
      <c r="D8" s="26" t="s">
        <v>477</v>
      </c>
      <c r="E8" s="26"/>
      <c r="F8" s="238">
        <v>43644</v>
      </c>
      <c r="G8" s="238">
        <v>44010</v>
      </c>
      <c r="H8" s="26"/>
      <c r="I8" s="26">
        <v>5.87</v>
      </c>
      <c r="J8" s="26">
        <v>1412.3738203957382</v>
      </c>
      <c r="K8" s="26">
        <v>195.66666666666666</v>
      </c>
      <c r="L8" s="26"/>
      <c r="M8" s="26"/>
      <c r="N8" s="26">
        <f t="shared" si="0"/>
        <v>1608.040487062405</v>
      </c>
      <c r="O8" s="26">
        <v>195.66666666666666</v>
      </c>
      <c r="P8" s="26"/>
      <c r="Q8" s="26"/>
      <c r="R8" s="26">
        <f t="shared" si="1"/>
        <v>1803.7071537290717</v>
      </c>
      <c r="S8" s="26">
        <v>195.66666666666666</v>
      </c>
      <c r="T8" s="26"/>
      <c r="U8" s="26"/>
      <c r="V8" s="26">
        <f t="shared" si="2"/>
        <v>1999.3738203957384</v>
      </c>
      <c r="W8" s="26">
        <v>202.1888888888889</v>
      </c>
      <c r="X8" s="80"/>
      <c r="Y8" s="26"/>
      <c r="Z8" s="26">
        <f t="shared" si="3"/>
        <v>2201.5627092846275</v>
      </c>
      <c r="AA8" s="26"/>
      <c r="AB8" s="80">
        <v>-2346.41</v>
      </c>
      <c r="AC8" s="26">
        <v>144.85</v>
      </c>
      <c r="AD8" s="26">
        <f t="shared" si="4"/>
        <v>2.7092846276843829E-3</v>
      </c>
      <c r="AE8" s="347"/>
      <c r="AF8" s="347"/>
      <c r="AG8" s="347"/>
      <c r="AH8" s="347">
        <f t="shared" si="5"/>
        <v>2.7092846276843829E-3</v>
      </c>
      <c r="AI8" s="347"/>
      <c r="AJ8" s="347"/>
      <c r="AK8" s="347"/>
      <c r="AL8" s="347"/>
      <c r="AM8" s="348" t="s">
        <v>96</v>
      </c>
    </row>
    <row r="9" spans="1:39" hidden="1" x14ac:dyDescent="0.3">
      <c r="A9" s="236"/>
      <c r="B9" s="237" t="s">
        <v>117</v>
      </c>
      <c r="C9" s="237" t="s">
        <v>476</v>
      </c>
      <c r="D9" s="26" t="s">
        <v>475</v>
      </c>
      <c r="E9" s="26"/>
      <c r="F9" s="238">
        <v>43644</v>
      </c>
      <c r="G9" s="238">
        <v>44010</v>
      </c>
      <c r="H9" s="26"/>
      <c r="I9" s="26">
        <v>5.87</v>
      </c>
      <c r="J9" s="26">
        <v>2118.5607305936073</v>
      </c>
      <c r="K9" s="26">
        <v>293.5</v>
      </c>
      <c r="L9" s="26"/>
      <c r="M9" s="26"/>
      <c r="N9" s="26">
        <f t="shared" si="0"/>
        <v>2412.0607305936073</v>
      </c>
      <c r="O9" s="26">
        <v>293.5</v>
      </c>
      <c r="P9" s="26"/>
      <c r="Q9" s="26"/>
      <c r="R9" s="26">
        <f t="shared" si="1"/>
        <v>2705.5607305936073</v>
      </c>
      <c r="S9" s="26">
        <v>293.5</v>
      </c>
      <c r="T9" s="26"/>
      <c r="U9" s="26"/>
      <c r="V9" s="26">
        <f t="shared" si="2"/>
        <v>2999.0607305936073</v>
      </c>
      <c r="W9" s="26">
        <v>303.2833333333333</v>
      </c>
      <c r="X9" s="80"/>
      <c r="Y9" s="26"/>
      <c r="Z9" s="26">
        <f t="shared" si="3"/>
        <v>3302.3440639269406</v>
      </c>
      <c r="AA9" s="26"/>
      <c r="AB9" s="80">
        <v>-3519.62</v>
      </c>
      <c r="AC9" s="26">
        <v>217.28</v>
      </c>
      <c r="AD9" s="26">
        <f t="shared" si="4"/>
        <v>4.0639269407449774E-3</v>
      </c>
      <c r="AE9" s="347"/>
      <c r="AF9" s="347"/>
      <c r="AG9" s="347"/>
      <c r="AH9" s="347">
        <f t="shared" si="5"/>
        <v>4.0639269407449774E-3</v>
      </c>
      <c r="AI9" s="347"/>
      <c r="AJ9" s="347"/>
      <c r="AK9" s="347"/>
      <c r="AL9" s="347"/>
      <c r="AM9" s="348" t="s">
        <v>96</v>
      </c>
    </row>
    <row r="10" spans="1:39" hidden="1" x14ac:dyDescent="0.3">
      <c r="A10" s="236"/>
      <c r="B10" s="237" t="s">
        <v>117</v>
      </c>
      <c r="C10" s="237" t="s">
        <v>474</v>
      </c>
      <c r="D10" s="26" t="s">
        <v>473</v>
      </c>
      <c r="E10" s="26"/>
      <c r="F10" s="238">
        <v>43644</v>
      </c>
      <c r="G10" s="238">
        <v>44010</v>
      </c>
      <c r="H10" s="26"/>
      <c r="I10" s="26">
        <v>5.85</v>
      </c>
      <c r="J10" s="26">
        <v>3518.9041095890411</v>
      </c>
      <c r="K10" s="26">
        <v>487.5</v>
      </c>
      <c r="L10" s="26"/>
      <c r="M10" s="26"/>
      <c r="N10" s="26">
        <f t="shared" si="0"/>
        <v>4006.4041095890411</v>
      </c>
      <c r="O10" s="26">
        <v>487.5</v>
      </c>
      <c r="P10" s="26"/>
      <c r="Q10" s="26"/>
      <c r="R10" s="26">
        <f t="shared" si="1"/>
        <v>4493.9041095890407</v>
      </c>
      <c r="S10" s="26">
        <v>487.5</v>
      </c>
      <c r="T10" s="26"/>
      <c r="U10" s="26"/>
      <c r="V10" s="26">
        <f t="shared" si="2"/>
        <v>4981.4041095890407</v>
      </c>
      <c r="W10" s="26">
        <v>503.75</v>
      </c>
      <c r="X10" s="80"/>
      <c r="Y10" s="26"/>
      <c r="Z10" s="26">
        <f t="shared" si="3"/>
        <v>5485.1541095890407</v>
      </c>
      <c r="AA10" s="26"/>
      <c r="AB10" s="80">
        <v>-5866.03</v>
      </c>
      <c r="AC10" s="26">
        <v>380.88</v>
      </c>
      <c r="AD10" s="26">
        <f t="shared" si="4"/>
        <v>4.1095890409224012E-3</v>
      </c>
      <c r="AE10" s="347"/>
      <c r="AF10" s="347"/>
      <c r="AG10" s="347"/>
      <c r="AH10" s="347">
        <f t="shared" si="5"/>
        <v>4.1095890409224012E-3</v>
      </c>
      <c r="AI10" s="347"/>
      <c r="AJ10" s="347"/>
      <c r="AK10" s="347"/>
      <c r="AL10" s="347"/>
      <c r="AM10" s="348" t="s">
        <v>96</v>
      </c>
    </row>
    <row r="11" spans="1:39" hidden="1" x14ac:dyDescent="0.3">
      <c r="A11" s="236"/>
      <c r="B11" s="237" t="s">
        <v>25</v>
      </c>
      <c r="C11" s="237" t="s">
        <v>472</v>
      </c>
      <c r="D11" s="26" t="s">
        <v>471</v>
      </c>
      <c r="E11" s="26"/>
      <c r="F11" s="238">
        <v>43617</v>
      </c>
      <c r="G11" s="238">
        <v>43983</v>
      </c>
      <c r="H11" s="26"/>
      <c r="I11" s="26">
        <v>4.4000000000000004</v>
      </c>
      <c r="J11" s="26">
        <v>4458.2648401826491</v>
      </c>
      <c r="K11" s="26">
        <v>550.00000000000011</v>
      </c>
      <c r="L11" s="26"/>
      <c r="M11" s="26"/>
      <c r="N11" s="26">
        <f t="shared" si="0"/>
        <v>5008.2648401826491</v>
      </c>
      <c r="O11" s="26">
        <v>550.00000000000011</v>
      </c>
      <c r="P11" s="26"/>
      <c r="Q11" s="26"/>
      <c r="R11" s="26">
        <f t="shared" si="1"/>
        <v>5558.2648401826491</v>
      </c>
      <c r="S11" s="26">
        <v>550.00000000000011</v>
      </c>
      <c r="T11" s="26"/>
      <c r="U11" s="26"/>
      <c r="V11" s="26">
        <f t="shared" si="2"/>
        <v>6108.2648401826491</v>
      </c>
      <c r="W11" s="26">
        <v>568.33333333333337</v>
      </c>
      <c r="X11" s="80">
        <v>-6401.1</v>
      </c>
      <c r="Y11" s="26"/>
      <c r="Z11" s="26">
        <f t="shared" si="3"/>
        <v>275.49817351598176</v>
      </c>
      <c r="AA11" s="26"/>
      <c r="AB11" s="80"/>
      <c r="AC11" s="26">
        <v>-275.5</v>
      </c>
      <c r="AD11" s="26">
        <f t="shared" si="4"/>
        <v>-1.8264840182382613E-3</v>
      </c>
      <c r="AE11" s="347"/>
      <c r="AF11" s="347"/>
      <c r="AG11" s="347"/>
      <c r="AH11" s="347">
        <f t="shared" si="5"/>
        <v>-1.8264840182382613E-3</v>
      </c>
      <c r="AI11" s="347"/>
      <c r="AJ11" s="347"/>
      <c r="AK11" s="347"/>
      <c r="AL11" s="347"/>
      <c r="AM11" s="348" t="s">
        <v>96</v>
      </c>
    </row>
    <row r="12" spans="1:39" hidden="1" x14ac:dyDescent="0.3">
      <c r="A12" s="236"/>
      <c r="B12" s="237" t="s">
        <v>13</v>
      </c>
      <c r="C12" s="237" t="s">
        <v>470</v>
      </c>
      <c r="D12" s="26" t="s">
        <v>469</v>
      </c>
      <c r="E12" s="26"/>
      <c r="F12" s="238">
        <v>43627</v>
      </c>
      <c r="G12" s="238">
        <v>43993</v>
      </c>
      <c r="H12" s="26"/>
      <c r="I12" s="26">
        <v>8.9</v>
      </c>
      <c r="J12" s="26">
        <v>25235.292998477937</v>
      </c>
      <c r="K12" s="26">
        <v>3244.7916666666674</v>
      </c>
      <c r="L12" s="26"/>
      <c r="M12" s="26"/>
      <c r="N12" s="26">
        <f t="shared" si="0"/>
        <v>28480.084665144605</v>
      </c>
      <c r="O12" s="26">
        <v>3244.7916666666674</v>
      </c>
      <c r="P12" s="26"/>
      <c r="Q12" s="26"/>
      <c r="R12" s="26">
        <f t="shared" si="1"/>
        <v>31724.876331811272</v>
      </c>
      <c r="S12" s="26">
        <v>3244.7916666666674</v>
      </c>
      <c r="T12" s="26"/>
      <c r="U12" s="26"/>
      <c r="V12" s="26">
        <f t="shared" si="2"/>
        <v>34969.66799847794</v>
      </c>
      <c r="W12" s="26">
        <v>3352.9513888888896</v>
      </c>
      <c r="X12" s="80"/>
      <c r="Y12" s="26"/>
      <c r="Z12" s="26">
        <f t="shared" si="3"/>
        <v>38322.619387366831</v>
      </c>
      <c r="AA12" s="26"/>
      <c r="AB12" s="80">
        <v>-38937.5</v>
      </c>
      <c r="AC12" s="26">
        <v>614.88</v>
      </c>
      <c r="AD12" s="26">
        <f t="shared" si="4"/>
        <v>-6.126331692257736E-4</v>
      </c>
      <c r="AE12" s="347"/>
      <c r="AF12" s="347"/>
      <c r="AG12" s="347"/>
      <c r="AH12" s="347">
        <f t="shared" si="5"/>
        <v>-6.126331692257736E-4</v>
      </c>
      <c r="AI12" s="347"/>
      <c r="AJ12" s="347"/>
      <c r="AK12" s="347"/>
      <c r="AL12" s="347"/>
      <c r="AM12" s="348" t="s">
        <v>96</v>
      </c>
    </row>
    <row r="13" spans="1:39" hidden="1" x14ac:dyDescent="0.3">
      <c r="A13" s="236"/>
      <c r="B13" s="237" t="s">
        <v>13</v>
      </c>
      <c r="C13" s="237" t="s">
        <v>468</v>
      </c>
      <c r="D13" s="26" t="s">
        <v>467</v>
      </c>
      <c r="E13" s="26"/>
      <c r="F13" s="238">
        <v>43640</v>
      </c>
      <c r="G13" s="238">
        <v>44006</v>
      </c>
      <c r="H13" s="26"/>
      <c r="I13" s="26">
        <v>4.6500000000000004</v>
      </c>
      <c r="J13" s="26">
        <v>5696.0730593607332</v>
      </c>
      <c r="K13" s="26">
        <v>775.00000000000023</v>
      </c>
      <c r="L13" s="26"/>
      <c r="M13" s="26"/>
      <c r="N13" s="26">
        <f t="shared" si="0"/>
        <v>6471.0730593607332</v>
      </c>
      <c r="O13" s="26">
        <v>775.00000000000023</v>
      </c>
      <c r="P13" s="26"/>
      <c r="Q13" s="26"/>
      <c r="R13" s="26">
        <f t="shared" si="1"/>
        <v>7246.0730593607332</v>
      </c>
      <c r="S13" s="26">
        <v>775.00000000000023</v>
      </c>
      <c r="T13" s="26"/>
      <c r="U13" s="26"/>
      <c r="V13" s="26">
        <f t="shared" si="2"/>
        <v>8021.0730593607332</v>
      </c>
      <c r="W13" s="26">
        <v>800.83333333333348</v>
      </c>
      <c r="X13" s="80"/>
      <c r="Y13" s="26"/>
      <c r="Z13" s="26">
        <f t="shared" si="3"/>
        <v>8821.9063926940671</v>
      </c>
      <c r="AA13" s="26"/>
      <c r="AB13" s="80">
        <v>-9325.48</v>
      </c>
      <c r="AC13" s="26">
        <v>503.57</v>
      </c>
      <c r="AD13" s="26">
        <f t="shared" si="4"/>
        <v>-3.6073059324621681E-3</v>
      </c>
      <c r="AE13" s="347"/>
      <c r="AF13" s="347"/>
      <c r="AG13" s="347"/>
      <c r="AH13" s="347">
        <f t="shared" si="5"/>
        <v>-3.6073059324621681E-3</v>
      </c>
      <c r="AI13" s="347"/>
      <c r="AJ13" s="347"/>
      <c r="AK13" s="347"/>
      <c r="AL13" s="347"/>
      <c r="AM13" s="348" t="s">
        <v>96</v>
      </c>
    </row>
    <row r="14" spans="1:39" hidden="1" x14ac:dyDescent="0.3">
      <c r="A14" s="236"/>
      <c r="B14" s="237" t="s">
        <v>40</v>
      </c>
      <c r="C14" s="237" t="s">
        <v>466</v>
      </c>
      <c r="D14" s="26" t="s">
        <v>465</v>
      </c>
      <c r="E14" s="26"/>
      <c r="F14" s="238">
        <v>43642</v>
      </c>
      <c r="G14" s="238">
        <v>44008</v>
      </c>
      <c r="H14" s="26"/>
      <c r="I14" s="26">
        <v>6.4</v>
      </c>
      <c r="J14" s="26">
        <v>46617.716894977173</v>
      </c>
      <c r="K14" s="26">
        <v>6400</v>
      </c>
      <c r="L14" s="26"/>
      <c r="M14" s="26"/>
      <c r="N14" s="26">
        <f t="shared" si="0"/>
        <v>53017.716894977173</v>
      </c>
      <c r="O14" s="26">
        <v>6400</v>
      </c>
      <c r="P14" s="26"/>
      <c r="Q14" s="26"/>
      <c r="R14" s="26">
        <f t="shared" si="1"/>
        <v>59417.716894977173</v>
      </c>
      <c r="S14" s="26">
        <v>6400</v>
      </c>
      <c r="T14" s="26"/>
      <c r="U14" s="26"/>
      <c r="V14" s="26">
        <f t="shared" si="2"/>
        <v>65817.716894977173</v>
      </c>
      <c r="W14" s="26">
        <v>6613.3333333333339</v>
      </c>
      <c r="X14" s="80"/>
      <c r="Y14" s="26"/>
      <c r="Z14" s="26">
        <f t="shared" si="3"/>
        <v>72431.050228310502</v>
      </c>
      <c r="AA14" s="26"/>
      <c r="AB14" s="80">
        <v>-72381.320000000007</v>
      </c>
      <c r="AC14" s="26">
        <v>-49.73</v>
      </c>
      <c r="AD14" s="26">
        <f t="shared" si="4"/>
        <v>2.2831049457039398E-4</v>
      </c>
      <c r="AE14" s="347"/>
      <c r="AF14" s="347"/>
      <c r="AG14" s="347"/>
      <c r="AH14" s="347">
        <f t="shared" si="5"/>
        <v>2.2831049457039398E-4</v>
      </c>
      <c r="AI14" s="347"/>
      <c r="AJ14" s="347"/>
      <c r="AK14" s="347"/>
      <c r="AL14" s="347"/>
      <c r="AM14" s="348" t="s">
        <v>96</v>
      </c>
    </row>
    <row r="15" spans="1:39" hidden="1" x14ac:dyDescent="0.3">
      <c r="A15" s="236"/>
      <c r="B15" s="237" t="s">
        <v>40</v>
      </c>
      <c r="C15" s="237" t="s">
        <v>464</v>
      </c>
      <c r="D15" s="26" t="s">
        <v>463</v>
      </c>
      <c r="E15" s="26"/>
      <c r="F15" s="238">
        <v>43642</v>
      </c>
      <c r="G15" s="238">
        <v>44008</v>
      </c>
      <c r="H15" s="26"/>
      <c r="I15" s="26">
        <v>6.4</v>
      </c>
      <c r="J15" s="26">
        <v>12431.39117199391</v>
      </c>
      <c r="K15" s="26">
        <v>1706.6666666666665</v>
      </c>
      <c r="L15" s="26"/>
      <c r="M15" s="26"/>
      <c r="N15" s="26">
        <f t="shared" si="0"/>
        <v>14138.057838660576</v>
      </c>
      <c r="O15" s="26">
        <v>1706.6666666666665</v>
      </c>
      <c r="P15" s="26"/>
      <c r="Q15" s="26"/>
      <c r="R15" s="26">
        <f t="shared" si="1"/>
        <v>15844.724505327242</v>
      </c>
      <c r="S15" s="26">
        <v>1706.6666666666665</v>
      </c>
      <c r="T15" s="26"/>
      <c r="U15" s="26"/>
      <c r="V15" s="26">
        <f t="shared" si="2"/>
        <v>17551.39117199391</v>
      </c>
      <c r="W15" s="26">
        <v>1763.5555555555554</v>
      </c>
      <c r="X15" s="80"/>
      <c r="Y15" s="26"/>
      <c r="Z15" s="26">
        <f t="shared" si="3"/>
        <v>19314.946727549464</v>
      </c>
      <c r="AA15" s="26"/>
      <c r="AB15" s="80">
        <v>-20367.77</v>
      </c>
      <c r="AC15" s="26">
        <v>1052.82</v>
      </c>
      <c r="AD15" s="26">
        <f t="shared" si="4"/>
        <v>-3.27245053608749E-3</v>
      </c>
      <c r="AE15" s="347"/>
      <c r="AF15" s="347"/>
      <c r="AG15" s="347"/>
      <c r="AH15" s="347">
        <f t="shared" si="5"/>
        <v>-3.27245053608749E-3</v>
      </c>
      <c r="AI15" s="347"/>
      <c r="AJ15" s="347"/>
      <c r="AK15" s="347"/>
      <c r="AL15" s="347"/>
      <c r="AM15" s="348" t="s">
        <v>96</v>
      </c>
    </row>
    <row r="16" spans="1:39" hidden="1" x14ac:dyDescent="0.3">
      <c r="A16" s="236"/>
      <c r="B16" s="237" t="s">
        <v>143</v>
      </c>
      <c r="C16" s="237" t="s">
        <v>462</v>
      </c>
      <c r="D16" s="26" t="s">
        <v>461</v>
      </c>
      <c r="E16" s="26"/>
      <c r="F16" s="238">
        <v>43619</v>
      </c>
      <c r="G16" s="238">
        <v>43985</v>
      </c>
      <c r="H16" s="26"/>
      <c r="I16" s="26">
        <v>6.9</v>
      </c>
      <c r="J16" s="26">
        <v>64726.038916785401</v>
      </c>
      <c r="K16" s="26">
        <v>8050.3194700000013</v>
      </c>
      <c r="L16" s="26"/>
      <c r="M16" s="26"/>
      <c r="N16" s="26">
        <f t="shared" si="0"/>
        <v>72776.358386785403</v>
      </c>
      <c r="O16" s="26">
        <v>8050.3194700000013</v>
      </c>
      <c r="P16" s="26"/>
      <c r="Q16" s="26"/>
      <c r="R16" s="26">
        <f t="shared" si="1"/>
        <v>80826.677856785405</v>
      </c>
      <c r="S16" s="26">
        <v>8050.3194700000013</v>
      </c>
      <c r="T16" s="26"/>
      <c r="U16" s="26"/>
      <c r="V16" s="26">
        <f t="shared" si="2"/>
        <v>88876.997326785407</v>
      </c>
      <c r="W16" s="26">
        <v>8318.6634523333341</v>
      </c>
      <c r="X16" s="80"/>
      <c r="Y16" s="26"/>
      <c r="Z16" s="26">
        <f t="shared" si="3"/>
        <v>97195.660779118742</v>
      </c>
      <c r="AA16" s="26"/>
      <c r="AB16" s="80">
        <v>-96868.44</v>
      </c>
      <c r="AC16" s="26">
        <v>-327.22000000000003</v>
      </c>
      <c r="AD16" s="26">
        <f t="shared" si="4"/>
        <v>7.7911873927405395E-4</v>
      </c>
      <c r="AE16" s="347"/>
      <c r="AF16" s="347"/>
      <c r="AG16" s="347"/>
      <c r="AH16" s="347">
        <f t="shared" si="5"/>
        <v>7.7911873927405395E-4</v>
      </c>
      <c r="AI16" s="347"/>
      <c r="AJ16" s="347"/>
      <c r="AK16" s="347"/>
      <c r="AL16" s="347"/>
      <c r="AM16" s="348" t="s">
        <v>96</v>
      </c>
    </row>
    <row r="17" spans="1:39" hidden="1" x14ac:dyDescent="0.3">
      <c r="A17" s="236"/>
      <c r="B17" s="237" t="s">
        <v>127</v>
      </c>
      <c r="C17" s="237" t="s">
        <v>460</v>
      </c>
      <c r="D17" s="26" t="s">
        <v>459</v>
      </c>
      <c r="E17" s="26"/>
      <c r="F17" s="238">
        <v>43633</v>
      </c>
      <c r="G17" s="238">
        <v>43999</v>
      </c>
      <c r="H17" s="26"/>
      <c r="I17" s="26">
        <v>5.9</v>
      </c>
      <c r="J17" s="26">
        <v>14907.153729071537</v>
      </c>
      <c r="K17" s="26">
        <v>1966.6666666666667</v>
      </c>
      <c r="L17" s="26"/>
      <c r="M17" s="26"/>
      <c r="N17" s="26">
        <f t="shared" si="0"/>
        <v>16873.820395738203</v>
      </c>
      <c r="O17" s="26">
        <v>1966.6666666666667</v>
      </c>
      <c r="P17" s="26"/>
      <c r="Q17" s="26"/>
      <c r="R17" s="26">
        <f t="shared" si="1"/>
        <v>18840.487062404871</v>
      </c>
      <c r="S17" s="26">
        <v>1966.6666666666667</v>
      </c>
      <c r="T17" s="26"/>
      <c r="U17" s="26"/>
      <c r="V17" s="26">
        <f t="shared" si="2"/>
        <v>20807.153729071539</v>
      </c>
      <c r="W17" s="26">
        <v>2032.2222222222222</v>
      </c>
      <c r="X17" s="80"/>
      <c r="Y17" s="26"/>
      <c r="Z17" s="26">
        <f t="shared" si="3"/>
        <v>22839.375951293761</v>
      </c>
      <c r="AA17" s="26"/>
      <c r="AB17" s="80">
        <v>-23664.639999999999</v>
      </c>
      <c r="AC17" s="26">
        <v>825.26</v>
      </c>
      <c r="AD17" s="26">
        <f t="shared" si="4"/>
        <v>-4.0487062381089345E-3</v>
      </c>
      <c r="AE17" s="347"/>
      <c r="AF17" s="347"/>
      <c r="AG17" s="347"/>
      <c r="AH17" s="347">
        <f t="shared" si="5"/>
        <v>-4.0487062381089345E-3</v>
      </c>
      <c r="AI17" s="347"/>
      <c r="AJ17" s="347"/>
      <c r="AK17" s="347"/>
      <c r="AL17" s="347"/>
      <c r="AM17" s="348" t="s">
        <v>96</v>
      </c>
    </row>
    <row r="18" spans="1:39" hidden="1" x14ac:dyDescent="0.3">
      <c r="A18" s="236"/>
      <c r="B18" s="237" t="s">
        <v>127</v>
      </c>
      <c r="C18" s="237" t="s">
        <v>458</v>
      </c>
      <c r="D18" s="26" t="s">
        <v>457</v>
      </c>
      <c r="E18" s="26"/>
      <c r="F18" s="238">
        <v>43633</v>
      </c>
      <c r="G18" s="238">
        <v>43999</v>
      </c>
      <c r="H18" s="26"/>
      <c r="I18" s="26">
        <v>5.9</v>
      </c>
      <c r="J18" s="26">
        <v>5217.5038051750371</v>
      </c>
      <c r="K18" s="26">
        <v>688.33333333333326</v>
      </c>
      <c r="L18" s="26"/>
      <c r="M18" s="26"/>
      <c r="N18" s="26">
        <f t="shared" si="0"/>
        <v>5905.8371385083701</v>
      </c>
      <c r="O18" s="26">
        <v>688.33333333333326</v>
      </c>
      <c r="P18" s="26"/>
      <c r="Q18" s="26"/>
      <c r="R18" s="26">
        <f t="shared" si="1"/>
        <v>6594.1704718417031</v>
      </c>
      <c r="S18" s="26">
        <v>688.33333333333326</v>
      </c>
      <c r="T18" s="26"/>
      <c r="U18" s="26"/>
      <c r="V18" s="26">
        <f t="shared" si="2"/>
        <v>7282.5038051750362</v>
      </c>
      <c r="W18" s="26">
        <v>711.27777777777771</v>
      </c>
      <c r="X18" s="80"/>
      <c r="Y18" s="26"/>
      <c r="Z18" s="26">
        <f t="shared" si="3"/>
        <v>7993.7815829528136</v>
      </c>
      <c r="AA18" s="26"/>
      <c r="AB18" s="80">
        <v>-8282.6200000000008</v>
      </c>
      <c r="AC18" s="26">
        <v>288.83999999999997</v>
      </c>
      <c r="AD18" s="26">
        <f t="shared" si="4"/>
        <v>1.5829528127255799E-3</v>
      </c>
      <c r="AE18" s="347"/>
      <c r="AF18" s="347"/>
      <c r="AG18" s="347"/>
      <c r="AH18" s="347">
        <f t="shared" si="5"/>
        <v>1.5829528127255799E-3</v>
      </c>
      <c r="AI18" s="347"/>
      <c r="AJ18" s="347"/>
      <c r="AK18" s="347"/>
      <c r="AL18" s="347"/>
      <c r="AM18" s="348" t="s">
        <v>96</v>
      </c>
    </row>
    <row r="19" spans="1:39" hidden="1" x14ac:dyDescent="0.3">
      <c r="A19" s="236"/>
      <c r="B19" s="237" t="s">
        <v>22</v>
      </c>
      <c r="C19" s="237" t="s">
        <v>456</v>
      </c>
      <c r="D19" s="26" t="s">
        <v>455</v>
      </c>
      <c r="E19" s="26"/>
      <c r="F19" s="238">
        <v>43617</v>
      </c>
      <c r="G19" s="238">
        <v>43983</v>
      </c>
      <c r="H19" s="26"/>
      <c r="I19" s="26">
        <v>6.6</v>
      </c>
      <c r="J19" s="26">
        <v>49040.913242009126</v>
      </c>
      <c r="K19" s="26">
        <v>6050</v>
      </c>
      <c r="L19" s="26"/>
      <c r="M19" s="26"/>
      <c r="N19" s="26">
        <f t="shared" si="0"/>
        <v>55090.913242009126</v>
      </c>
      <c r="O19" s="26">
        <v>6050</v>
      </c>
      <c r="P19" s="26"/>
      <c r="Q19" s="26"/>
      <c r="R19" s="26">
        <f t="shared" si="1"/>
        <v>61140.913242009126</v>
      </c>
      <c r="S19" s="26">
        <v>6050</v>
      </c>
      <c r="T19" s="26"/>
      <c r="U19" s="26"/>
      <c r="V19" s="26">
        <f t="shared" si="2"/>
        <v>67190.913242009119</v>
      </c>
      <c r="W19" s="26">
        <v>6251.6666666666661</v>
      </c>
      <c r="X19" s="80"/>
      <c r="Y19" s="26"/>
      <c r="Z19" s="26">
        <f t="shared" si="3"/>
        <v>73442.579908675791</v>
      </c>
      <c r="AA19" s="26"/>
      <c r="AB19" s="80">
        <v>-72798.2</v>
      </c>
      <c r="AC19" s="26">
        <v>-644.38</v>
      </c>
      <c r="AD19" s="26">
        <f t="shared" si="4"/>
        <v>-9.132420643709338E-5</v>
      </c>
      <c r="AE19" s="347"/>
      <c r="AF19" s="347"/>
      <c r="AG19" s="347"/>
      <c r="AH19" s="347">
        <f t="shared" si="5"/>
        <v>-9.132420643709338E-5</v>
      </c>
      <c r="AI19" s="347"/>
      <c r="AJ19" s="347"/>
      <c r="AK19" s="347"/>
      <c r="AL19" s="347"/>
      <c r="AM19" s="348" t="s">
        <v>96</v>
      </c>
    </row>
    <row r="20" spans="1:39" hidden="1" x14ac:dyDescent="0.3">
      <c r="A20" s="236"/>
      <c r="B20" s="237" t="s">
        <v>138</v>
      </c>
      <c r="C20" s="237" t="s">
        <v>454</v>
      </c>
      <c r="D20" s="26" t="s">
        <v>453</v>
      </c>
      <c r="E20" s="26"/>
      <c r="F20" s="238">
        <v>43623</v>
      </c>
      <c r="G20" s="238">
        <v>43989</v>
      </c>
      <c r="H20" s="26"/>
      <c r="I20" s="26">
        <v>6.49</v>
      </c>
      <c r="J20" s="26">
        <v>12831.826484018267</v>
      </c>
      <c r="K20" s="26">
        <v>1622.5</v>
      </c>
      <c r="L20" s="26"/>
      <c r="M20" s="26"/>
      <c r="N20" s="26">
        <f t="shared" si="0"/>
        <v>14454.326484018267</v>
      </c>
      <c r="O20" s="26">
        <v>1622.5</v>
      </c>
      <c r="P20" s="26"/>
      <c r="Q20" s="26"/>
      <c r="R20" s="26">
        <f t="shared" si="1"/>
        <v>16076.826484018267</v>
      </c>
      <c r="S20" s="26">
        <v>1622.5</v>
      </c>
      <c r="T20" s="26"/>
      <c r="U20" s="26"/>
      <c r="V20" s="26">
        <f t="shared" si="2"/>
        <v>17699.326484018267</v>
      </c>
      <c r="W20" s="26">
        <v>1676.5833333333335</v>
      </c>
      <c r="X20" s="80"/>
      <c r="Y20" s="26"/>
      <c r="Z20" s="26">
        <f t="shared" si="3"/>
        <v>19375.909817351599</v>
      </c>
      <c r="AA20" s="26"/>
      <c r="AB20" s="80">
        <f>-19252.59-52.77</f>
        <v>-19305.36</v>
      </c>
      <c r="AC20" s="26">
        <v>-70.55</v>
      </c>
      <c r="AD20" s="26">
        <f t="shared" si="4"/>
        <v>-1.826484010933882E-4</v>
      </c>
      <c r="AE20" s="347"/>
      <c r="AF20" s="347"/>
      <c r="AG20" s="347"/>
      <c r="AH20" s="347">
        <f t="shared" si="5"/>
        <v>-1.826484010933882E-4</v>
      </c>
      <c r="AI20" s="347"/>
      <c r="AJ20" s="347"/>
      <c r="AK20" s="347"/>
      <c r="AL20" s="347"/>
      <c r="AM20" s="348" t="s">
        <v>96</v>
      </c>
    </row>
    <row r="21" spans="1:39" hidden="1" x14ac:dyDescent="0.3">
      <c r="A21" s="236" t="s">
        <v>452</v>
      </c>
      <c r="B21" s="237" t="s">
        <v>103</v>
      </c>
      <c r="C21" s="237" t="s">
        <v>451</v>
      </c>
      <c r="D21" s="26" t="s">
        <v>450</v>
      </c>
      <c r="E21" s="26">
        <v>537381.17000000004</v>
      </c>
      <c r="F21" s="238">
        <v>43659</v>
      </c>
      <c r="G21" s="238">
        <v>44025</v>
      </c>
      <c r="H21" s="26"/>
      <c r="I21" s="26">
        <v>5.9</v>
      </c>
      <c r="J21" s="26">
        <v>17768.586089567732</v>
      </c>
      <c r="K21" s="26">
        <v>2642.1240858333335</v>
      </c>
      <c r="L21" s="26"/>
      <c r="M21" s="26"/>
      <c r="N21" s="26">
        <f t="shared" si="0"/>
        <v>20410.710175401065</v>
      </c>
      <c r="O21" s="26">
        <v>2642.1240858333335</v>
      </c>
      <c r="P21" s="26"/>
      <c r="Q21" s="26"/>
      <c r="R21" s="26">
        <f t="shared" si="1"/>
        <v>23052.834261234399</v>
      </c>
      <c r="S21" s="26">
        <v>2642.1240858333335</v>
      </c>
      <c r="T21" s="26"/>
      <c r="U21" s="26"/>
      <c r="V21" s="26">
        <f t="shared" si="2"/>
        <v>25694.958347067732</v>
      </c>
      <c r="W21" s="26">
        <v>2730.1948886944447</v>
      </c>
      <c r="X21" s="80"/>
      <c r="Y21" s="26"/>
      <c r="Z21" s="26">
        <f t="shared" si="3"/>
        <v>28425.153235762176</v>
      </c>
      <c r="AA21" s="26">
        <v>2605.9306052054799</v>
      </c>
      <c r="AB21" s="80"/>
      <c r="AC21" s="26"/>
      <c r="AD21" s="26">
        <f t="shared" si="4"/>
        <v>31031.083840967658</v>
      </c>
      <c r="AE21" s="347">
        <v>260.59306052054797</v>
      </c>
      <c r="AF21" s="347">
        <v>-31413.02</v>
      </c>
      <c r="AG21" s="347">
        <v>121.34</v>
      </c>
      <c r="AH21" s="347">
        <f t="shared" si="5"/>
        <v>-3.0985117956845443E-3</v>
      </c>
      <c r="AI21" s="347"/>
      <c r="AJ21" s="347"/>
      <c r="AK21" s="347"/>
      <c r="AL21" s="347"/>
      <c r="AM21" s="348" t="s">
        <v>218</v>
      </c>
    </row>
    <row r="22" spans="1:39" hidden="1" x14ac:dyDescent="0.3">
      <c r="A22" s="236" t="s">
        <v>429</v>
      </c>
      <c r="B22" s="237" t="s">
        <v>85</v>
      </c>
      <c r="C22" s="237" t="s">
        <v>449</v>
      </c>
      <c r="D22" s="26" t="s">
        <v>448</v>
      </c>
      <c r="E22" s="26">
        <v>75139</v>
      </c>
      <c r="F22" s="238">
        <v>43670</v>
      </c>
      <c r="G22" s="238">
        <v>44036</v>
      </c>
      <c r="H22" s="26"/>
      <c r="I22" s="26">
        <f>VLOOKUP(C22,[7]Hoja2!D:F,3,FALSE)</f>
        <v>7.4</v>
      </c>
      <c r="J22" s="26">
        <v>2948.5595774733642</v>
      </c>
      <c r="K22" s="26">
        <v>463.35716666666673</v>
      </c>
      <c r="L22" s="26"/>
      <c r="M22" s="26"/>
      <c r="N22" s="26">
        <f t="shared" si="0"/>
        <v>3411.9167441400309</v>
      </c>
      <c r="O22" s="26">
        <v>463.35716666666673</v>
      </c>
      <c r="P22" s="26"/>
      <c r="Q22" s="26"/>
      <c r="R22" s="26">
        <f t="shared" si="1"/>
        <v>3875.2739108066976</v>
      </c>
      <c r="S22" s="26">
        <v>463.35716666666673</v>
      </c>
      <c r="T22" s="26"/>
      <c r="U22" s="26"/>
      <c r="V22" s="26">
        <f t="shared" si="2"/>
        <v>4338.6310774733647</v>
      </c>
      <c r="W22" s="26">
        <v>478.80240555555565</v>
      </c>
      <c r="X22" s="80"/>
      <c r="Y22" s="26"/>
      <c r="Z22" s="26">
        <f t="shared" si="3"/>
        <v>4817.4334830289208</v>
      </c>
      <c r="AA22" s="26">
        <v>457.00980821917813</v>
      </c>
      <c r="AB22" s="80"/>
      <c r="AC22" s="26"/>
      <c r="AD22" s="26">
        <f t="shared" si="4"/>
        <v>5274.4432912480988</v>
      </c>
      <c r="AE22" s="347">
        <v>365.60784657534253</v>
      </c>
      <c r="AF22" s="347">
        <v>-5560.29</v>
      </c>
      <c r="AG22" s="347">
        <v>-79.760000000000005</v>
      </c>
      <c r="AH22" s="347">
        <f t="shared" si="5"/>
        <v>1.1378234414536337E-3</v>
      </c>
      <c r="AI22" s="347"/>
      <c r="AJ22" s="347"/>
      <c r="AK22" s="347"/>
      <c r="AL22" s="347"/>
      <c r="AM22" s="348" t="s">
        <v>218</v>
      </c>
    </row>
    <row r="23" spans="1:39" hidden="1" x14ac:dyDescent="0.3">
      <c r="A23" s="236" t="s">
        <v>429</v>
      </c>
      <c r="B23" s="237" t="s">
        <v>85</v>
      </c>
      <c r="C23" s="237" t="s">
        <v>447</v>
      </c>
      <c r="D23" s="26" t="s">
        <v>446</v>
      </c>
      <c r="E23" s="26">
        <v>220000</v>
      </c>
      <c r="F23" s="238">
        <v>43670</v>
      </c>
      <c r="G23" s="238">
        <v>44036</v>
      </c>
      <c r="H23" s="26"/>
      <c r="I23" s="26">
        <f>VLOOKUP(C23,[7]Hoja2!D:F,3,FALSE)</f>
        <v>7.4</v>
      </c>
      <c r="J23" s="26">
        <v>8633.1080669710827</v>
      </c>
      <c r="K23" s="26">
        <v>1356.666666666667</v>
      </c>
      <c r="L23" s="26"/>
      <c r="M23" s="26"/>
      <c r="N23" s="26">
        <f t="shared" si="0"/>
        <v>9989.7747336377506</v>
      </c>
      <c r="O23" s="26">
        <v>1356.666666666667</v>
      </c>
      <c r="P23" s="26"/>
      <c r="Q23" s="26"/>
      <c r="R23" s="26">
        <f t="shared" si="1"/>
        <v>11346.441400304418</v>
      </c>
      <c r="S23" s="26">
        <v>1356.666666666667</v>
      </c>
      <c r="T23" s="26"/>
      <c r="U23" s="26"/>
      <c r="V23" s="26">
        <f t="shared" si="2"/>
        <v>12703.108066971086</v>
      </c>
      <c r="W23" s="26">
        <v>1401.8888888888891</v>
      </c>
      <c r="X23" s="80"/>
      <c r="Y23" s="26"/>
      <c r="Z23" s="26">
        <f t="shared" si="3"/>
        <v>14104.996955859975</v>
      </c>
      <c r="AA23" s="26">
        <v>1338.0821917808221</v>
      </c>
      <c r="AB23" s="80"/>
      <c r="AC23" s="26"/>
      <c r="AD23" s="26">
        <f t="shared" si="4"/>
        <v>15443.079147640798</v>
      </c>
      <c r="AE23" s="347">
        <v>1070.4657534246576</v>
      </c>
      <c r="AF23" s="347">
        <v>-16280</v>
      </c>
      <c r="AG23" s="347">
        <v>-233.54</v>
      </c>
      <c r="AH23" s="347">
        <f t="shared" si="5"/>
        <v>4.9010654556411737E-3</v>
      </c>
      <c r="AI23" s="347"/>
      <c r="AJ23" s="347"/>
      <c r="AK23" s="347"/>
      <c r="AL23" s="347"/>
      <c r="AM23" s="348" t="s">
        <v>218</v>
      </c>
    </row>
    <row r="24" spans="1:39" hidden="1" x14ac:dyDescent="0.3">
      <c r="A24" s="236"/>
      <c r="B24" s="237" t="s">
        <v>25</v>
      </c>
      <c r="C24" s="237" t="s">
        <v>445</v>
      </c>
      <c r="D24" s="26" t="s">
        <v>444</v>
      </c>
      <c r="E24" s="6">
        <v>85425</v>
      </c>
      <c r="F24" s="238">
        <v>43962</v>
      </c>
      <c r="G24" s="238">
        <v>44013</v>
      </c>
      <c r="H24" s="26"/>
      <c r="I24" s="26">
        <v>4.4000000000000004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>
        <f>+E24*I24%/360*20</f>
        <v>208.81666666666666</v>
      </c>
      <c r="X24" s="80"/>
      <c r="Y24" s="26"/>
      <c r="Z24" s="26">
        <f t="shared" si="3"/>
        <v>208.81666666666666</v>
      </c>
      <c r="AA24" s="26">
        <v>308.93424657534251</v>
      </c>
      <c r="AB24" s="80"/>
      <c r="AC24" s="26"/>
      <c r="AD24" s="26">
        <f t="shared" si="4"/>
        <v>517.75091324200912</v>
      </c>
      <c r="AE24" s="347">
        <v>10.297808219178084</v>
      </c>
      <c r="AF24" s="347">
        <v>-432.51</v>
      </c>
      <c r="AG24" s="347">
        <v>-95.54</v>
      </c>
      <c r="AH24" s="347">
        <f t="shared" si="5"/>
        <v>-1.2785388127412034E-3</v>
      </c>
      <c r="AI24" s="347"/>
      <c r="AJ24" s="347"/>
      <c r="AK24" s="347"/>
      <c r="AL24" s="347"/>
      <c r="AM24" s="348" t="s">
        <v>218</v>
      </c>
    </row>
    <row r="25" spans="1:39" hidden="1" x14ac:dyDescent="0.3">
      <c r="A25" s="236" t="s">
        <v>443</v>
      </c>
      <c r="B25" s="237" t="s">
        <v>82</v>
      </c>
      <c r="C25" s="237" t="s">
        <v>442</v>
      </c>
      <c r="D25" s="26" t="s">
        <v>441</v>
      </c>
      <c r="E25" s="26">
        <v>53900</v>
      </c>
      <c r="F25" s="238">
        <v>43677</v>
      </c>
      <c r="G25" s="238">
        <v>44038</v>
      </c>
      <c r="H25" s="26"/>
      <c r="I25" s="26">
        <v>6.15</v>
      </c>
      <c r="J25" s="26">
        <v>1739.6655707762559</v>
      </c>
      <c r="K25" s="26">
        <v>276.23750000000001</v>
      </c>
      <c r="L25" s="26"/>
      <c r="M25" s="26"/>
      <c r="N25" s="26">
        <f t="shared" si="0"/>
        <v>2015.9030707762558</v>
      </c>
      <c r="O25" s="26">
        <v>276.23750000000001</v>
      </c>
      <c r="P25" s="26"/>
      <c r="Q25" s="26"/>
      <c r="R25" s="26">
        <f t="shared" si="1"/>
        <v>2292.140570776256</v>
      </c>
      <c r="S25" s="26">
        <v>276.23750000000001</v>
      </c>
      <c r="T25" s="26"/>
      <c r="U25" s="26"/>
      <c r="V25" s="26">
        <f t="shared" si="2"/>
        <v>2568.3780707762562</v>
      </c>
      <c r="W25" s="26">
        <v>285.44541666666669</v>
      </c>
      <c r="X25" s="80"/>
      <c r="Y25" s="26"/>
      <c r="Z25" s="26">
        <f t="shared" si="3"/>
        <v>2853.8234874429227</v>
      </c>
      <c r="AA25" s="26">
        <v>272.45342465753424</v>
      </c>
      <c r="AB25" s="80"/>
      <c r="AC25" s="26"/>
      <c r="AD25" s="26">
        <f t="shared" si="4"/>
        <v>3126.2769121004567</v>
      </c>
      <c r="AE25" s="347">
        <v>236.12630136986303</v>
      </c>
      <c r="AF25" s="347">
        <v>-3314.85</v>
      </c>
      <c r="AG25" s="347">
        <v>-47.55</v>
      </c>
      <c r="AH25" s="347">
        <f t="shared" si="5"/>
        <v>3.2134703198636316E-3</v>
      </c>
      <c r="AI25" s="347"/>
      <c r="AJ25" s="347"/>
      <c r="AK25" s="347"/>
      <c r="AL25" s="347"/>
      <c r="AM25" s="348" t="s">
        <v>218</v>
      </c>
    </row>
    <row r="26" spans="1:39" hidden="1" x14ac:dyDescent="0.3">
      <c r="A26" s="236" t="s">
        <v>440</v>
      </c>
      <c r="B26" s="237" t="s">
        <v>7</v>
      </c>
      <c r="C26" s="237" t="s">
        <v>439</v>
      </c>
      <c r="D26" s="26" t="s">
        <v>438</v>
      </c>
      <c r="E26" s="26">
        <v>500000</v>
      </c>
      <c r="F26" s="238">
        <v>43671</v>
      </c>
      <c r="G26" s="238">
        <v>44037</v>
      </c>
      <c r="H26" s="26"/>
      <c r="I26" s="26">
        <f>VLOOKUP(C26,[7]Hoja2!D:F,3,FALSE)</f>
        <v>6.9</v>
      </c>
      <c r="J26" s="26">
        <v>18200.456621004563</v>
      </c>
      <c r="K26" s="26">
        <v>2875</v>
      </c>
      <c r="L26" s="26"/>
      <c r="M26" s="26"/>
      <c r="N26" s="26">
        <f t="shared" si="0"/>
        <v>21075.456621004563</v>
      </c>
      <c r="O26" s="26">
        <v>2875</v>
      </c>
      <c r="P26" s="26"/>
      <c r="Q26" s="26"/>
      <c r="R26" s="26">
        <f t="shared" si="1"/>
        <v>23950.456621004563</v>
      </c>
      <c r="S26" s="26">
        <v>2875</v>
      </c>
      <c r="T26" s="26"/>
      <c r="U26" s="26"/>
      <c r="V26" s="26">
        <f t="shared" si="2"/>
        <v>26825.456621004563</v>
      </c>
      <c r="W26" s="26">
        <v>2970.833333333333</v>
      </c>
      <c r="X26" s="80"/>
      <c r="Y26" s="26"/>
      <c r="Z26" s="26">
        <f t="shared" si="3"/>
        <v>29796.289954337895</v>
      </c>
      <c r="AA26" s="26">
        <v>2835.6164383561645</v>
      </c>
      <c r="AB26" s="80"/>
      <c r="AC26" s="26"/>
      <c r="AD26" s="26">
        <f t="shared" si="4"/>
        <v>32631.906392694058</v>
      </c>
      <c r="AE26" s="347">
        <v>2363.0136986301368</v>
      </c>
      <c r="AF26" s="347">
        <v>-34500</v>
      </c>
      <c r="AG26" s="347">
        <v>-494.92</v>
      </c>
      <c r="AH26" s="347">
        <f t="shared" si="5"/>
        <v>9.1324194784192514E-5</v>
      </c>
      <c r="AI26" s="347"/>
      <c r="AJ26" s="347"/>
      <c r="AK26" s="347"/>
      <c r="AL26" s="347"/>
      <c r="AM26" s="348" t="s">
        <v>218</v>
      </c>
    </row>
    <row r="27" spans="1:39" hidden="1" x14ac:dyDescent="0.3">
      <c r="A27" s="236" t="s">
        <v>437</v>
      </c>
      <c r="B27" s="237" t="s">
        <v>106</v>
      </c>
      <c r="C27" s="237" t="s">
        <v>436</v>
      </c>
      <c r="D27" s="26" t="s">
        <v>435</v>
      </c>
      <c r="E27" s="26">
        <v>537381.16</v>
      </c>
      <c r="F27" s="238">
        <v>43659</v>
      </c>
      <c r="G27" s="238">
        <v>44025</v>
      </c>
      <c r="H27" s="26"/>
      <c r="I27" s="26">
        <f>VLOOKUP(C27,[7]Hoja2!D:F,3,FALSE)</f>
        <v>5.9</v>
      </c>
      <c r="J27" s="26">
        <v>17768.585758916288</v>
      </c>
      <c r="K27" s="26">
        <v>2642.1240366666671</v>
      </c>
      <c r="L27" s="26"/>
      <c r="M27" s="26"/>
      <c r="N27" s="26">
        <f t="shared" si="0"/>
        <v>20410.709795582956</v>
      </c>
      <c r="O27" s="26">
        <v>2642.1240366666671</v>
      </c>
      <c r="P27" s="26"/>
      <c r="Q27" s="26"/>
      <c r="R27" s="26">
        <f t="shared" si="1"/>
        <v>23052.833832249624</v>
      </c>
      <c r="S27" s="26">
        <v>2642.1240366666671</v>
      </c>
      <c r="T27" s="26"/>
      <c r="U27" s="26"/>
      <c r="V27" s="26">
        <f t="shared" si="2"/>
        <v>25694.957868916292</v>
      </c>
      <c r="W27" s="26">
        <v>2730.1948378888892</v>
      </c>
      <c r="X27" s="80"/>
      <c r="Y27" s="26"/>
      <c r="Z27" s="26">
        <f t="shared" si="3"/>
        <v>28425.15270680518</v>
      </c>
      <c r="AA27" s="26">
        <v>2605.9305567123292</v>
      </c>
      <c r="AB27" s="80"/>
      <c r="AC27" s="26"/>
      <c r="AD27" s="26">
        <f t="shared" si="4"/>
        <v>31031.08326351751</v>
      </c>
      <c r="AE27" s="347">
        <v>1129.2365745753427</v>
      </c>
      <c r="AF27" s="347">
        <v>-31413.02</v>
      </c>
      <c r="AG27" s="347">
        <v>-747.3</v>
      </c>
      <c r="AH27" s="347">
        <f t="shared" si="5"/>
        <v>-1.6190714882213797E-4</v>
      </c>
      <c r="AI27" s="347"/>
      <c r="AJ27" s="347"/>
      <c r="AK27" s="347"/>
      <c r="AL27" s="347"/>
      <c r="AM27" s="348" t="s">
        <v>218</v>
      </c>
    </row>
    <row r="28" spans="1:39" hidden="1" x14ac:dyDescent="0.3">
      <c r="A28" s="236" t="s">
        <v>419</v>
      </c>
      <c r="B28" s="237" t="s">
        <v>40</v>
      </c>
      <c r="C28" s="237" t="s">
        <v>434</v>
      </c>
      <c r="D28" s="26" t="s">
        <v>433</v>
      </c>
      <c r="E28" s="26">
        <v>1100000</v>
      </c>
      <c r="F28" s="238">
        <v>43658</v>
      </c>
      <c r="G28" s="238">
        <v>44024</v>
      </c>
      <c r="H28" s="26"/>
      <c r="I28" s="26">
        <f>VLOOKUP(C28,[7]Hoja2!D:F,3,FALSE)</f>
        <v>6.4</v>
      </c>
      <c r="J28" s="26">
        <v>39646.879756468792</v>
      </c>
      <c r="K28" s="26">
        <v>5866.6666666666661</v>
      </c>
      <c r="L28" s="26"/>
      <c r="M28" s="26"/>
      <c r="N28" s="26">
        <f t="shared" si="0"/>
        <v>45513.546423135456</v>
      </c>
      <c r="O28" s="26">
        <v>5866.6666666666661</v>
      </c>
      <c r="P28" s="26"/>
      <c r="Q28" s="26"/>
      <c r="R28" s="26">
        <f t="shared" si="1"/>
        <v>51380.213089802121</v>
      </c>
      <c r="S28" s="26">
        <v>5866.6666666666661</v>
      </c>
      <c r="T28" s="26"/>
      <c r="U28" s="26"/>
      <c r="V28" s="26">
        <f t="shared" si="2"/>
        <v>57246.879756468785</v>
      </c>
      <c r="W28" s="26">
        <v>6062.2222222222217</v>
      </c>
      <c r="X28" s="80"/>
      <c r="Y28" s="26"/>
      <c r="Z28" s="26">
        <f t="shared" si="3"/>
        <v>63309.101978691004</v>
      </c>
      <c r="AA28" s="26">
        <v>5786.3013698630139</v>
      </c>
      <c r="AB28" s="80"/>
      <c r="AC28" s="26"/>
      <c r="AD28" s="26">
        <f t="shared" si="4"/>
        <v>69095.403348554013</v>
      </c>
      <c r="AE28" s="347">
        <v>2314.5205479452056</v>
      </c>
      <c r="AF28" s="347">
        <v>-70400</v>
      </c>
      <c r="AG28" s="347">
        <v>-1009.92</v>
      </c>
      <c r="AH28" s="347">
        <f t="shared" si="5"/>
        <v>3.8964992255614561E-3</v>
      </c>
      <c r="AI28" s="347"/>
      <c r="AJ28" s="347"/>
      <c r="AK28" s="347"/>
      <c r="AL28" s="347"/>
      <c r="AM28" s="348" t="s">
        <v>218</v>
      </c>
    </row>
    <row r="29" spans="1:39" hidden="1" x14ac:dyDescent="0.3">
      <c r="A29" s="236" t="s">
        <v>432</v>
      </c>
      <c r="B29" s="237" t="s">
        <v>25</v>
      </c>
      <c r="C29" s="237" t="s">
        <v>431</v>
      </c>
      <c r="D29" s="237" t="s">
        <v>430</v>
      </c>
      <c r="E29" s="239">
        <v>100000</v>
      </c>
      <c r="F29" s="237" t="s">
        <v>426</v>
      </c>
      <c r="G29" s="237" t="s">
        <v>425</v>
      </c>
      <c r="H29" s="26"/>
      <c r="I29" s="26">
        <v>4.4000000000000004</v>
      </c>
      <c r="J29" s="26">
        <v>2248.8888888888887</v>
      </c>
      <c r="K29" s="26">
        <v>366.66666666666663</v>
      </c>
      <c r="L29" s="26"/>
      <c r="M29" s="26"/>
      <c r="N29" s="26">
        <f t="shared" si="0"/>
        <v>2615.5555555555552</v>
      </c>
      <c r="O29" s="26">
        <v>366.66666666666663</v>
      </c>
      <c r="P29" s="26"/>
      <c r="Q29" s="26"/>
      <c r="R29" s="26">
        <f t="shared" si="1"/>
        <v>2982.2222222222217</v>
      </c>
      <c r="S29" s="26">
        <v>366.66666666666663</v>
      </c>
      <c r="T29" s="26"/>
      <c r="U29" s="26"/>
      <c r="V29" s="26">
        <f t="shared" si="2"/>
        <v>3348.8888888888882</v>
      </c>
      <c r="W29" s="26">
        <v>378.88888888888886</v>
      </c>
      <c r="X29" s="80"/>
      <c r="Y29" s="26"/>
      <c r="Z29" s="26">
        <f t="shared" si="3"/>
        <v>3727.7777777777769</v>
      </c>
      <c r="AA29" s="26">
        <v>361.64383561643837</v>
      </c>
      <c r="AB29" s="80"/>
      <c r="AC29" s="26"/>
      <c r="AD29" s="26">
        <f t="shared" si="4"/>
        <v>4089.4216133942155</v>
      </c>
      <c r="AE29" s="347">
        <v>373.69863013698631</v>
      </c>
      <c r="AF29" s="347"/>
      <c r="AG29" s="347"/>
      <c r="AH29" s="347">
        <f t="shared" si="5"/>
        <v>4463.1202435312016</v>
      </c>
      <c r="AI29" s="347">
        <f>+E29*I29%/365*1</f>
        <v>12.054794520547945</v>
      </c>
      <c r="AJ29" s="347">
        <f>+'[8]T24 MG'!H14</f>
        <v>-4412.05</v>
      </c>
      <c r="AK29" s="347">
        <v>-63.13</v>
      </c>
      <c r="AL29" s="347">
        <f t="shared" ref="AL29:AL37" si="6">+AH29+AI29+AJ29+AK29</f>
        <v>-4.9619482505320889E-3</v>
      </c>
      <c r="AM29" s="348" t="s">
        <v>218</v>
      </c>
    </row>
    <row r="30" spans="1:39" hidden="1" x14ac:dyDescent="0.3">
      <c r="A30" s="236" t="s">
        <v>429</v>
      </c>
      <c r="B30" s="237" t="s">
        <v>71</v>
      </c>
      <c r="C30" s="237" t="s">
        <v>428</v>
      </c>
      <c r="D30" s="237" t="s">
        <v>427</v>
      </c>
      <c r="E30" s="239">
        <v>100000</v>
      </c>
      <c r="F30" s="237" t="s">
        <v>426</v>
      </c>
      <c r="G30" s="237" t="s">
        <v>425</v>
      </c>
      <c r="H30" s="26"/>
      <c r="I30" s="26">
        <v>7.4</v>
      </c>
      <c r="J30" s="26">
        <v>3782.2222222222226</v>
      </c>
      <c r="K30" s="26">
        <v>616.66666666666674</v>
      </c>
      <c r="L30" s="26"/>
      <c r="M30" s="26"/>
      <c r="N30" s="26">
        <f t="shared" si="0"/>
        <v>4398.8888888888896</v>
      </c>
      <c r="O30" s="26">
        <v>616.66666666666674</v>
      </c>
      <c r="P30" s="26"/>
      <c r="Q30" s="26"/>
      <c r="R30" s="26">
        <f t="shared" si="1"/>
        <v>5015.5555555555566</v>
      </c>
      <c r="S30" s="26">
        <v>616.66666666666674</v>
      </c>
      <c r="T30" s="26"/>
      <c r="U30" s="26"/>
      <c r="V30" s="26">
        <f t="shared" si="2"/>
        <v>5632.2222222222235</v>
      </c>
      <c r="W30" s="26">
        <v>637.22222222222229</v>
      </c>
      <c r="X30" s="80"/>
      <c r="Y30" s="26"/>
      <c r="Z30" s="26">
        <f t="shared" si="3"/>
        <v>6269.4444444444462</v>
      </c>
      <c r="AA30" s="26">
        <v>608.21917808219189</v>
      </c>
      <c r="AB30" s="80"/>
      <c r="AC30" s="26"/>
      <c r="AD30" s="26">
        <f t="shared" si="4"/>
        <v>6877.6636225266384</v>
      </c>
      <c r="AE30" s="347">
        <v>628.49315068493161</v>
      </c>
      <c r="AF30" s="347"/>
      <c r="AG30" s="347"/>
      <c r="AH30" s="347">
        <f t="shared" si="5"/>
        <v>7506.15677321157</v>
      </c>
      <c r="AI30" s="347">
        <f>+E30*I30%/365*1</f>
        <v>20.273972602739729</v>
      </c>
      <c r="AJ30" s="347">
        <f>+'[8]T24 MG'!H17</f>
        <v>-7921.64</v>
      </c>
      <c r="AK30" s="347">
        <v>395.21</v>
      </c>
      <c r="AL30" s="347">
        <f t="shared" si="6"/>
        <v>7.4581430902753709E-4</v>
      </c>
      <c r="AM30" s="348" t="s">
        <v>218</v>
      </c>
    </row>
    <row r="31" spans="1:39" hidden="1" x14ac:dyDescent="0.3">
      <c r="A31" s="236" t="s">
        <v>424</v>
      </c>
      <c r="B31" s="237" t="s">
        <v>64</v>
      </c>
      <c r="C31" s="237" t="s">
        <v>423</v>
      </c>
      <c r="D31" s="237" t="s">
        <v>422</v>
      </c>
      <c r="E31" s="239">
        <v>250000</v>
      </c>
      <c r="F31" s="237" t="s">
        <v>421</v>
      </c>
      <c r="G31" s="237" t="s">
        <v>420</v>
      </c>
      <c r="H31" s="26"/>
      <c r="I31" s="26">
        <v>4.9000000000000004</v>
      </c>
      <c r="J31" s="26">
        <v>6261.1111111111113</v>
      </c>
      <c r="K31" s="26">
        <v>1020.8333333333334</v>
      </c>
      <c r="L31" s="26"/>
      <c r="M31" s="26"/>
      <c r="N31" s="26">
        <f t="shared" si="0"/>
        <v>7281.9444444444443</v>
      </c>
      <c r="O31" s="26">
        <v>1020.8333333333334</v>
      </c>
      <c r="P31" s="26"/>
      <c r="Q31" s="26"/>
      <c r="R31" s="26">
        <f t="shared" si="1"/>
        <v>8302.7777777777774</v>
      </c>
      <c r="S31" s="26">
        <v>1020.8333333333334</v>
      </c>
      <c r="T31" s="26"/>
      <c r="U31" s="26"/>
      <c r="V31" s="26">
        <f t="shared" si="2"/>
        <v>9323.6111111111113</v>
      </c>
      <c r="W31" s="26">
        <v>1054.8611111111111</v>
      </c>
      <c r="X31" s="80"/>
      <c r="Y31" s="26"/>
      <c r="Z31" s="26">
        <f t="shared" si="3"/>
        <v>10378.472222222223</v>
      </c>
      <c r="AA31" s="26">
        <v>1006.8493150684931</v>
      </c>
      <c r="AB31" s="80"/>
      <c r="AC31" s="26"/>
      <c r="AD31" s="26">
        <f t="shared" si="4"/>
        <v>11385.321537290716</v>
      </c>
      <c r="AE31" s="347">
        <v>1040.4109589041095</v>
      </c>
      <c r="AF31" s="347"/>
      <c r="AG31" s="347"/>
      <c r="AH31" s="347">
        <f t="shared" si="5"/>
        <v>12425.732496194825</v>
      </c>
      <c r="AI31" s="347">
        <f>+E31*I31%/365*25</f>
        <v>839.04109589041093</v>
      </c>
      <c r="AJ31" s="347">
        <f>+'[8]T24 MG'!H29</f>
        <v>-12283.55</v>
      </c>
      <c r="AK31" s="347">
        <v>-981.22</v>
      </c>
      <c r="AL31" s="347">
        <f t="shared" si="6"/>
        <v>3.5920852362778533E-3</v>
      </c>
      <c r="AM31" s="348" t="s">
        <v>218</v>
      </c>
    </row>
    <row r="32" spans="1:39" hidden="1" x14ac:dyDescent="0.3">
      <c r="A32" s="236" t="s">
        <v>419</v>
      </c>
      <c r="B32" s="237" t="s">
        <v>40</v>
      </c>
      <c r="C32" s="237" t="s">
        <v>418</v>
      </c>
      <c r="D32" s="237" t="s">
        <v>417</v>
      </c>
      <c r="E32" s="239">
        <v>2170000</v>
      </c>
      <c r="F32" s="237" t="s">
        <v>416</v>
      </c>
      <c r="G32" s="237" t="s">
        <v>415</v>
      </c>
      <c r="H32" s="26"/>
      <c r="I32" s="26">
        <v>6.4</v>
      </c>
      <c r="J32" s="26">
        <v>70983.111111111109</v>
      </c>
      <c r="K32" s="26">
        <v>11573.333333333334</v>
      </c>
      <c r="L32" s="26"/>
      <c r="M32" s="26"/>
      <c r="N32" s="26">
        <f t="shared" si="0"/>
        <v>82556.444444444438</v>
      </c>
      <c r="O32" s="26">
        <v>11573.333333333334</v>
      </c>
      <c r="P32" s="26"/>
      <c r="Q32" s="26"/>
      <c r="R32" s="26">
        <f t="shared" si="1"/>
        <v>94129.777777777766</v>
      </c>
      <c r="S32" s="26">
        <v>11573.333333333334</v>
      </c>
      <c r="T32" s="26"/>
      <c r="U32" s="26"/>
      <c r="V32" s="26">
        <f t="shared" si="2"/>
        <v>105703.11111111109</v>
      </c>
      <c r="W32" s="26">
        <v>11959.111111111111</v>
      </c>
      <c r="X32" s="80"/>
      <c r="Y32" s="26"/>
      <c r="Z32" s="26">
        <f t="shared" si="3"/>
        <v>117662.2222222222</v>
      </c>
      <c r="AA32" s="26">
        <v>11414.794520547945</v>
      </c>
      <c r="AB32" s="80"/>
      <c r="AC32" s="26"/>
      <c r="AD32" s="26">
        <f t="shared" si="4"/>
        <v>129077.01674277015</v>
      </c>
      <c r="AE32" s="347">
        <v>11795.287671232876</v>
      </c>
      <c r="AF32" s="347"/>
      <c r="AG32" s="347"/>
      <c r="AH32" s="347">
        <f t="shared" si="5"/>
        <v>140872.30441400304</v>
      </c>
      <c r="AI32" s="347">
        <f>+E32*I32%/365*15</f>
        <v>5707.3972602739723</v>
      </c>
      <c r="AJ32" s="347">
        <f>+'[8]T24 MG'!H26</f>
        <v>-139260.4</v>
      </c>
      <c r="AK32" s="347">
        <v>-7319.3</v>
      </c>
      <c r="AL32" s="347">
        <f t="shared" si="6"/>
        <v>1.6742770267228479E-3</v>
      </c>
      <c r="AM32" s="348" t="s">
        <v>218</v>
      </c>
    </row>
    <row r="33" spans="1:39" hidden="1" x14ac:dyDescent="0.3">
      <c r="A33" s="236" t="s">
        <v>414</v>
      </c>
      <c r="B33" s="237" t="s">
        <v>50</v>
      </c>
      <c r="C33" s="237" t="s">
        <v>413</v>
      </c>
      <c r="D33" s="237" t="s">
        <v>412</v>
      </c>
      <c r="E33" s="239">
        <v>150000</v>
      </c>
      <c r="F33" s="237" t="s">
        <v>411</v>
      </c>
      <c r="G33" s="237" t="s">
        <v>410</v>
      </c>
      <c r="H33" s="26"/>
      <c r="I33" s="26">
        <v>4.9000000000000004</v>
      </c>
      <c r="J33" s="26">
        <v>3756.666666666667</v>
      </c>
      <c r="K33" s="26">
        <v>612.5</v>
      </c>
      <c r="L33" s="26"/>
      <c r="M33" s="26"/>
      <c r="N33" s="26">
        <f t="shared" si="0"/>
        <v>4369.166666666667</v>
      </c>
      <c r="O33" s="26">
        <v>612.5</v>
      </c>
      <c r="P33" s="26"/>
      <c r="Q33" s="26"/>
      <c r="R33" s="26">
        <f t="shared" si="1"/>
        <v>4981.666666666667</v>
      </c>
      <c r="S33" s="26">
        <v>612.5</v>
      </c>
      <c r="T33" s="26"/>
      <c r="U33" s="26"/>
      <c r="V33" s="26">
        <f t="shared" si="2"/>
        <v>5594.166666666667</v>
      </c>
      <c r="W33" s="26">
        <v>632.91666666666674</v>
      </c>
      <c r="X33" s="80"/>
      <c r="Y33" s="26"/>
      <c r="Z33" s="26">
        <f t="shared" si="3"/>
        <v>6227.0833333333339</v>
      </c>
      <c r="AA33" s="26">
        <v>604.10958904109589</v>
      </c>
      <c r="AB33" s="80"/>
      <c r="AC33" s="26"/>
      <c r="AD33" s="26">
        <f t="shared" si="4"/>
        <v>6831.1929223744301</v>
      </c>
      <c r="AE33" s="347">
        <v>624.24657534246569</v>
      </c>
      <c r="AF33" s="347"/>
      <c r="AG33" s="347"/>
      <c r="AH33" s="347">
        <f t="shared" si="5"/>
        <v>7455.4394977168959</v>
      </c>
      <c r="AI33" s="347">
        <f>+E33*I33%/365*23</f>
        <v>463.15068493150682</v>
      </c>
      <c r="AJ33" s="347">
        <f>+'[8]T24 MG'!H50</f>
        <v>-7350</v>
      </c>
      <c r="AK33" s="347">
        <v>-568.59</v>
      </c>
      <c r="AL33" s="347">
        <f t="shared" si="6"/>
        <v>1.8264840230131085E-4</v>
      </c>
      <c r="AM33" s="348" t="s">
        <v>218</v>
      </c>
    </row>
    <row r="34" spans="1:39" hidden="1" x14ac:dyDescent="0.3">
      <c r="A34" s="236">
        <v>5055</v>
      </c>
      <c r="B34" s="237" t="s">
        <v>159</v>
      </c>
      <c r="C34" s="237" t="s">
        <v>409</v>
      </c>
      <c r="D34" s="237" t="s">
        <v>408</v>
      </c>
      <c r="E34" s="239">
        <v>200000</v>
      </c>
      <c r="F34" s="237" t="s">
        <v>404</v>
      </c>
      <c r="G34" s="237" t="s">
        <v>403</v>
      </c>
      <c r="H34" s="26"/>
      <c r="I34" s="26">
        <v>5.65</v>
      </c>
      <c r="J34" s="26">
        <v>5775.5555555555557</v>
      </c>
      <c r="K34" s="26">
        <v>941.66666666666663</v>
      </c>
      <c r="L34" s="26"/>
      <c r="M34" s="26"/>
      <c r="N34" s="26">
        <f t="shared" si="0"/>
        <v>6717.2222222222226</v>
      </c>
      <c r="O34" s="26">
        <v>941.66666666666663</v>
      </c>
      <c r="P34" s="26"/>
      <c r="Q34" s="26"/>
      <c r="R34" s="26">
        <f t="shared" si="1"/>
        <v>7658.8888888888896</v>
      </c>
      <c r="S34" s="26">
        <v>941.66666666666663</v>
      </c>
      <c r="T34" s="26"/>
      <c r="U34" s="26"/>
      <c r="V34" s="26">
        <f t="shared" si="2"/>
        <v>8600.5555555555566</v>
      </c>
      <c r="W34" s="26">
        <v>973.05555555555554</v>
      </c>
      <c r="X34" s="80"/>
      <c r="Y34" s="26"/>
      <c r="Z34" s="26">
        <f t="shared" si="3"/>
        <v>9573.6111111111113</v>
      </c>
      <c r="AA34" s="26">
        <v>928.76712328767121</v>
      </c>
      <c r="AB34" s="80"/>
      <c r="AC34" s="26"/>
      <c r="AD34" s="26">
        <f t="shared" si="4"/>
        <v>10502.378234398782</v>
      </c>
      <c r="AE34" s="347">
        <v>959.72602739726028</v>
      </c>
      <c r="AF34" s="347"/>
      <c r="AG34" s="347"/>
      <c r="AH34" s="347">
        <f t="shared" si="5"/>
        <v>11462.104261796043</v>
      </c>
      <c r="AI34" s="347">
        <f>+E34*I34%/365*12</f>
        <v>371.50684931506851</v>
      </c>
      <c r="AJ34" s="347">
        <f>+'[8]T24 MG'!H23</f>
        <v>-11330.96</v>
      </c>
      <c r="AK34" s="347">
        <v>-502.65</v>
      </c>
      <c r="AL34" s="347">
        <f t="shared" si="6"/>
        <v>1.1111111122090733E-3</v>
      </c>
      <c r="AM34" s="348" t="s">
        <v>218</v>
      </c>
    </row>
    <row r="35" spans="1:39" hidden="1" x14ac:dyDescent="0.3">
      <c r="A35" s="236" t="s">
        <v>407</v>
      </c>
      <c r="B35" s="237" t="s">
        <v>53</v>
      </c>
      <c r="C35" s="237" t="s">
        <v>406</v>
      </c>
      <c r="D35" s="237" t="s">
        <v>405</v>
      </c>
      <c r="E35" s="239">
        <v>200000</v>
      </c>
      <c r="F35" s="237" t="s">
        <v>404</v>
      </c>
      <c r="G35" s="237" t="s">
        <v>403</v>
      </c>
      <c r="H35" s="26"/>
      <c r="I35" s="26">
        <v>5.65</v>
      </c>
      <c r="J35" s="26">
        <v>5775.5555555555557</v>
      </c>
      <c r="K35" s="26">
        <v>941.66666666666663</v>
      </c>
      <c r="L35" s="26"/>
      <c r="M35" s="26"/>
      <c r="N35" s="26">
        <f t="shared" si="0"/>
        <v>6717.2222222222226</v>
      </c>
      <c r="O35" s="26">
        <v>941.66666666666663</v>
      </c>
      <c r="P35" s="26"/>
      <c r="Q35" s="26"/>
      <c r="R35" s="26">
        <f t="shared" si="1"/>
        <v>7658.8888888888896</v>
      </c>
      <c r="S35" s="26">
        <v>941.66666666666663</v>
      </c>
      <c r="T35" s="26"/>
      <c r="U35" s="26"/>
      <c r="V35" s="26">
        <f t="shared" si="2"/>
        <v>8600.5555555555566</v>
      </c>
      <c r="W35" s="26">
        <v>973.05555555555554</v>
      </c>
      <c r="X35" s="80"/>
      <c r="Y35" s="26"/>
      <c r="Z35" s="26">
        <f t="shared" si="3"/>
        <v>9573.6111111111113</v>
      </c>
      <c r="AA35" s="26">
        <v>928.76712328767121</v>
      </c>
      <c r="AB35" s="80"/>
      <c r="AC35" s="26"/>
      <c r="AD35" s="26">
        <f t="shared" si="4"/>
        <v>10502.378234398782</v>
      </c>
      <c r="AE35" s="347">
        <v>959.72602739726028</v>
      </c>
      <c r="AF35" s="347"/>
      <c r="AG35" s="347"/>
      <c r="AH35" s="347">
        <f t="shared" si="5"/>
        <v>11462.104261796043</v>
      </c>
      <c r="AI35" s="347">
        <f>+E35*I35%/365*12</f>
        <v>371.50684931506851</v>
      </c>
      <c r="AJ35" s="347">
        <f>+'[8]T24 MG'!H20</f>
        <v>-11330.96</v>
      </c>
      <c r="AK35" s="347">
        <v>-502.65</v>
      </c>
      <c r="AL35" s="347">
        <f t="shared" si="6"/>
        <v>1.1111111122090733E-3</v>
      </c>
      <c r="AM35" s="348" t="s">
        <v>218</v>
      </c>
    </row>
    <row r="36" spans="1:39" hidden="1" x14ac:dyDescent="0.3">
      <c r="A36" s="34">
        <v>5031</v>
      </c>
      <c r="B36" s="33" t="s">
        <v>7</v>
      </c>
      <c r="C36" s="33" t="s">
        <v>402</v>
      </c>
      <c r="D36" s="33" t="s">
        <v>401</v>
      </c>
      <c r="E36" s="349">
        <v>300000</v>
      </c>
      <c r="F36" s="240">
        <v>43703</v>
      </c>
      <c r="G36" s="240">
        <v>44069</v>
      </c>
      <c r="H36" s="26"/>
      <c r="I36" s="26">
        <v>6.9</v>
      </c>
      <c r="J36" s="26">
        <v>9027.5</v>
      </c>
      <c r="K36" s="26">
        <v>1725</v>
      </c>
      <c r="L36" s="26"/>
      <c r="M36" s="26"/>
      <c r="N36" s="26">
        <f t="shared" si="0"/>
        <v>10752.5</v>
      </c>
      <c r="O36" s="26">
        <v>1725</v>
      </c>
      <c r="P36" s="26"/>
      <c r="Q36" s="26"/>
      <c r="R36" s="26">
        <f t="shared" si="1"/>
        <v>12477.5</v>
      </c>
      <c r="S36" s="26">
        <v>1725</v>
      </c>
      <c r="T36" s="26"/>
      <c r="U36" s="26"/>
      <c r="V36" s="26">
        <f t="shared" si="2"/>
        <v>14202.5</v>
      </c>
      <c r="W36" s="26">
        <v>1782.5</v>
      </c>
      <c r="X36" s="80"/>
      <c r="Y36" s="26"/>
      <c r="Z36" s="26">
        <f t="shared" si="3"/>
        <v>15985</v>
      </c>
      <c r="AA36" s="26">
        <v>1701.3698630136987</v>
      </c>
      <c r="AB36" s="80"/>
      <c r="AC36" s="26"/>
      <c r="AD36" s="26">
        <f t="shared" si="4"/>
        <v>17686.369863013701</v>
      </c>
      <c r="AE36" s="347">
        <v>1758.0821917808219</v>
      </c>
      <c r="AF36" s="347"/>
      <c r="AG36" s="347"/>
      <c r="AH36" s="347">
        <f t="shared" si="5"/>
        <v>19444.452054794521</v>
      </c>
      <c r="AI36" s="347">
        <f>+E36*I36%/365*26</f>
        <v>1474.5205479452054</v>
      </c>
      <c r="AJ36" s="347">
        <f>+'[8]T24 MG'!H53</f>
        <v>-20756.7</v>
      </c>
      <c r="AK36" s="347">
        <v>-162.27000000000001</v>
      </c>
      <c r="AL36" s="347">
        <f t="shared" si="6"/>
        <v>2.6027397256882523E-3</v>
      </c>
      <c r="AM36" s="348" t="s">
        <v>218</v>
      </c>
    </row>
    <row r="37" spans="1:39" hidden="1" x14ac:dyDescent="0.3">
      <c r="A37" s="34">
        <v>5040</v>
      </c>
      <c r="B37" s="33" t="s">
        <v>59</v>
      </c>
      <c r="C37" s="33" t="s">
        <v>400</v>
      </c>
      <c r="D37" s="33" t="s">
        <v>399</v>
      </c>
      <c r="E37" s="349">
        <v>385377.78</v>
      </c>
      <c r="F37" s="240">
        <v>43943</v>
      </c>
      <c r="G37" s="240">
        <v>44070</v>
      </c>
      <c r="H37" s="26"/>
      <c r="I37" s="26">
        <v>6.4</v>
      </c>
      <c r="J37" s="26"/>
      <c r="K37" s="26"/>
      <c r="L37" s="26"/>
      <c r="M37" s="26"/>
      <c r="N37" s="26"/>
      <c r="O37" s="26"/>
      <c r="P37" s="26"/>
      <c r="Q37" s="26"/>
      <c r="R37" s="27"/>
      <c r="S37" s="27">
        <v>548.09284266666668</v>
      </c>
      <c r="T37" s="239"/>
      <c r="U37" s="26"/>
      <c r="V37" s="26">
        <f t="shared" si="2"/>
        <v>548.09284266666668</v>
      </c>
      <c r="W37" s="26">
        <v>2123.8597653333336</v>
      </c>
      <c r="X37" s="80"/>
      <c r="Y37" s="26"/>
      <c r="Z37" s="26">
        <f t="shared" si="3"/>
        <v>2671.9526080000005</v>
      </c>
      <c r="AA37" s="26">
        <v>2027.1927057534247</v>
      </c>
      <c r="AB37" s="80"/>
      <c r="AC37" s="26"/>
      <c r="AD37" s="26">
        <f t="shared" si="4"/>
        <v>4699.1453137534254</v>
      </c>
      <c r="AE37" s="347">
        <v>2094.7657959452054</v>
      </c>
      <c r="AF37" s="347"/>
      <c r="AG37" s="347"/>
      <c r="AH37" s="347">
        <f t="shared" si="5"/>
        <v>6793.9111096986308</v>
      </c>
      <c r="AI37" s="347">
        <f>+E37*I37%/365*27</f>
        <v>1824.4734351780821</v>
      </c>
      <c r="AJ37" s="347">
        <f>+'[8]T24 MG'!H41</f>
        <v>-8581.7800000000007</v>
      </c>
      <c r="AK37" s="347">
        <v>-36.6</v>
      </c>
      <c r="AL37" s="347">
        <f t="shared" si="6"/>
        <v>4.5448767126785583E-3</v>
      </c>
      <c r="AM37" s="348" t="s">
        <v>218</v>
      </c>
    </row>
    <row r="38" spans="1:39" hidden="1" x14ac:dyDescent="0.3">
      <c r="A38" s="34">
        <v>5063</v>
      </c>
      <c r="B38" s="33" t="s">
        <v>25</v>
      </c>
      <c r="C38" s="33" t="s">
        <v>398</v>
      </c>
      <c r="D38" s="33" t="s">
        <v>397</v>
      </c>
      <c r="E38" s="349">
        <v>173000</v>
      </c>
      <c r="F38" s="240">
        <v>43709</v>
      </c>
      <c r="G38" s="240">
        <v>44075</v>
      </c>
      <c r="H38" s="26"/>
      <c r="I38" s="26">
        <v>4.4000000000000004</v>
      </c>
      <c r="J38" s="26">
        <v>3213.9555555555562</v>
      </c>
      <c r="K38" s="26">
        <v>634.33333333333337</v>
      </c>
      <c r="L38" s="26"/>
      <c r="M38" s="26"/>
      <c r="N38" s="26">
        <f t="shared" si="0"/>
        <v>3848.2888888888897</v>
      </c>
      <c r="O38" s="26">
        <v>634.33333333333337</v>
      </c>
      <c r="P38" s="26"/>
      <c r="Q38" s="26"/>
      <c r="R38" s="26">
        <f t="shared" si="1"/>
        <v>4482.6222222222232</v>
      </c>
      <c r="S38" s="26">
        <v>634.33333333333337</v>
      </c>
      <c r="T38" s="26"/>
      <c r="U38" s="26"/>
      <c r="V38" s="26">
        <f t="shared" si="2"/>
        <v>5116.9555555555562</v>
      </c>
      <c r="W38" s="26">
        <v>655.47777777777787</v>
      </c>
      <c r="X38" s="80"/>
      <c r="Y38" s="26"/>
      <c r="Z38" s="26">
        <f t="shared" si="3"/>
        <v>5772.4333333333343</v>
      </c>
      <c r="AA38" s="26">
        <v>625.64383561643842</v>
      </c>
      <c r="AB38" s="80"/>
      <c r="AC38" s="26"/>
      <c r="AD38" s="26">
        <f t="shared" si="4"/>
        <v>6398.0771689497724</v>
      </c>
      <c r="AE38" s="347">
        <v>646.49863013698643</v>
      </c>
      <c r="AF38" s="347"/>
      <c r="AG38" s="347"/>
      <c r="AH38" s="347">
        <f t="shared" si="5"/>
        <v>7044.5757990867587</v>
      </c>
      <c r="AI38" s="347">
        <f>+E38*I38%/365*31</f>
        <v>646.49863013698643</v>
      </c>
      <c r="AJ38" s="347"/>
      <c r="AK38" s="347"/>
      <c r="AL38" s="347">
        <f>+AH38+AI38+AJ38+AK38</f>
        <v>7691.074429223745</v>
      </c>
      <c r="AM38" s="348"/>
    </row>
    <row r="39" spans="1:39" hidden="1" x14ac:dyDescent="0.3">
      <c r="A39" s="34">
        <v>5050</v>
      </c>
      <c r="B39" s="33" t="s">
        <v>31</v>
      </c>
      <c r="C39" s="33" t="s">
        <v>396</v>
      </c>
      <c r="D39" s="33" t="s">
        <v>395</v>
      </c>
      <c r="E39" s="349">
        <v>220000</v>
      </c>
      <c r="F39" s="240">
        <v>43711</v>
      </c>
      <c r="G39" s="240">
        <v>44077</v>
      </c>
      <c r="H39" s="26"/>
      <c r="I39" s="26">
        <v>5.9</v>
      </c>
      <c r="J39" s="26">
        <v>5408.3333333333339</v>
      </c>
      <c r="K39" s="26">
        <v>1081.6666666666667</v>
      </c>
      <c r="L39" s="26"/>
      <c r="M39" s="26"/>
      <c r="N39" s="26">
        <f t="shared" si="0"/>
        <v>6490.0000000000009</v>
      </c>
      <c r="O39" s="26">
        <v>1081.6666666666667</v>
      </c>
      <c r="P39" s="26"/>
      <c r="Q39" s="26"/>
      <c r="R39" s="26">
        <f t="shared" si="1"/>
        <v>7571.6666666666679</v>
      </c>
      <c r="S39" s="26">
        <v>1081.6666666666667</v>
      </c>
      <c r="T39" s="26"/>
      <c r="U39" s="26"/>
      <c r="V39" s="26">
        <f t="shared" si="2"/>
        <v>8653.3333333333339</v>
      </c>
      <c r="W39" s="26">
        <v>1117.7222222222222</v>
      </c>
      <c r="X39" s="80"/>
      <c r="Y39" s="26"/>
      <c r="Z39" s="26">
        <f t="shared" si="3"/>
        <v>9771.0555555555566</v>
      </c>
      <c r="AA39" s="26">
        <v>1066.8493150684931</v>
      </c>
      <c r="AB39" s="80"/>
      <c r="AC39" s="26"/>
      <c r="AD39" s="26">
        <f t="shared" si="4"/>
        <v>10837.90487062405</v>
      </c>
      <c r="AE39" s="347">
        <v>1102.4109589041095</v>
      </c>
      <c r="AF39" s="347"/>
      <c r="AG39" s="347"/>
      <c r="AH39" s="347">
        <f t="shared" si="5"/>
        <v>11940.315829528159</v>
      </c>
      <c r="AI39" s="347">
        <f t="shared" ref="AI39:AI102" si="7">+E39*I39%/365*31</f>
        <v>1102.4109589041095</v>
      </c>
      <c r="AJ39" s="347"/>
      <c r="AK39" s="347"/>
      <c r="AL39" s="347">
        <f t="shared" ref="AL39:AL102" si="8">+AH39+AI39+AJ39+AK39</f>
        <v>13042.726788432268</v>
      </c>
      <c r="AM39" s="348"/>
    </row>
    <row r="40" spans="1:39" hidden="1" x14ac:dyDescent="0.3">
      <c r="A40" s="34">
        <v>5050</v>
      </c>
      <c r="B40" s="33" t="s">
        <v>34</v>
      </c>
      <c r="C40" s="33" t="s">
        <v>394</v>
      </c>
      <c r="D40" s="33" t="s">
        <v>393</v>
      </c>
      <c r="E40" s="349">
        <v>300000</v>
      </c>
      <c r="F40" s="240">
        <v>43711</v>
      </c>
      <c r="G40" s="240">
        <v>44077</v>
      </c>
      <c r="H40" s="26"/>
      <c r="I40" s="26">
        <v>5.9</v>
      </c>
      <c r="J40" s="26">
        <v>7374.9999999999982</v>
      </c>
      <c r="K40" s="26">
        <v>1475</v>
      </c>
      <c r="L40" s="26"/>
      <c r="M40" s="26"/>
      <c r="N40" s="26">
        <f t="shared" si="0"/>
        <v>8849.9999999999982</v>
      </c>
      <c r="O40" s="26">
        <v>1475</v>
      </c>
      <c r="P40" s="26"/>
      <c r="Q40" s="26"/>
      <c r="R40" s="26">
        <f t="shared" si="1"/>
        <v>10324.999999999998</v>
      </c>
      <c r="S40" s="26">
        <v>1475</v>
      </c>
      <c r="T40" s="26"/>
      <c r="U40" s="26"/>
      <c r="V40" s="26">
        <f t="shared" si="2"/>
        <v>11799.999999999998</v>
      </c>
      <c r="W40" s="26">
        <v>1524.1666666666665</v>
      </c>
      <c r="X40" s="80"/>
      <c r="Y40" s="26"/>
      <c r="Z40" s="26">
        <f t="shared" si="3"/>
        <v>13324.166666666664</v>
      </c>
      <c r="AA40" s="26">
        <v>1454.7945205479452</v>
      </c>
      <c r="AB40" s="80"/>
      <c r="AC40" s="26"/>
      <c r="AD40" s="26">
        <f t="shared" si="4"/>
        <v>14778.961187214609</v>
      </c>
      <c r="AE40" s="347">
        <v>1503.2876712328766</v>
      </c>
      <c r="AF40" s="347"/>
      <c r="AG40" s="347"/>
      <c r="AH40" s="347">
        <f t="shared" si="5"/>
        <v>16282.248858447485</v>
      </c>
      <c r="AI40" s="347">
        <f t="shared" si="7"/>
        <v>1503.2876712328766</v>
      </c>
      <c r="AJ40" s="347"/>
      <c r="AK40" s="347"/>
      <c r="AL40" s="347">
        <f t="shared" si="8"/>
        <v>17785.536529680361</v>
      </c>
      <c r="AM40" s="348"/>
    </row>
    <row r="41" spans="1:39" hidden="1" x14ac:dyDescent="0.3">
      <c r="A41" s="34">
        <v>5062</v>
      </c>
      <c r="B41" s="33" t="s">
        <v>390</v>
      </c>
      <c r="C41" s="33" t="s">
        <v>392</v>
      </c>
      <c r="D41" s="33" t="s">
        <v>391</v>
      </c>
      <c r="E41" s="349">
        <v>100000</v>
      </c>
      <c r="F41" s="240">
        <v>43709</v>
      </c>
      <c r="G41" s="240">
        <v>44075</v>
      </c>
      <c r="H41" s="26"/>
      <c r="I41" s="26">
        <v>5.9</v>
      </c>
      <c r="J41" s="26">
        <v>2491.1111111111113</v>
      </c>
      <c r="K41" s="26">
        <v>491.66666666666669</v>
      </c>
      <c r="L41" s="26"/>
      <c r="M41" s="26"/>
      <c r="N41" s="26">
        <f t="shared" si="0"/>
        <v>2982.7777777777778</v>
      </c>
      <c r="O41" s="26">
        <v>491.66666666666669</v>
      </c>
      <c r="P41" s="26"/>
      <c r="Q41" s="26"/>
      <c r="R41" s="26">
        <f t="shared" si="1"/>
        <v>3474.4444444444443</v>
      </c>
      <c r="S41" s="26">
        <v>491.66666666666669</v>
      </c>
      <c r="T41" s="26"/>
      <c r="U41" s="26"/>
      <c r="V41" s="26">
        <f t="shared" si="2"/>
        <v>3966.1111111111109</v>
      </c>
      <c r="W41" s="26">
        <v>508.05555555555554</v>
      </c>
      <c r="X41" s="80"/>
      <c r="Y41" s="26"/>
      <c r="Z41" s="26">
        <f t="shared" si="3"/>
        <v>4474.1666666666661</v>
      </c>
      <c r="AA41" s="26">
        <v>484.93150684931504</v>
      </c>
      <c r="AB41" s="80"/>
      <c r="AC41" s="26"/>
      <c r="AD41" s="26">
        <f t="shared" si="4"/>
        <v>4959.0981735159812</v>
      </c>
      <c r="AE41" s="347">
        <v>501.09589041095887</v>
      </c>
      <c r="AF41" s="347"/>
      <c r="AG41" s="347"/>
      <c r="AH41" s="347">
        <f t="shared" si="5"/>
        <v>5460.1940639269396</v>
      </c>
      <c r="AI41" s="347">
        <f t="shared" si="7"/>
        <v>501.09589041095887</v>
      </c>
      <c r="AJ41" s="347"/>
      <c r="AK41" s="347"/>
      <c r="AL41" s="347">
        <f t="shared" si="8"/>
        <v>5961.289954337899</v>
      </c>
      <c r="AM41" s="348"/>
    </row>
    <row r="42" spans="1:39" hidden="1" x14ac:dyDescent="0.3">
      <c r="A42" s="34">
        <v>5062</v>
      </c>
      <c r="B42" s="33" t="s">
        <v>390</v>
      </c>
      <c r="C42" s="33" t="s">
        <v>389</v>
      </c>
      <c r="D42" s="33" t="s">
        <v>388</v>
      </c>
      <c r="E42" s="349">
        <v>950000</v>
      </c>
      <c r="F42" s="240">
        <v>43709</v>
      </c>
      <c r="G42" s="240">
        <v>44075</v>
      </c>
      <c r="H42" s="26"/>
      <c r="I42" s="26">
        <v>5.9</v>
      </c>
      <c r="J42" s="26">
        <v>23665.555555555558</v>
      </c>
      <c r="K42" s="26">
        <v>4670.8333333333339</v>
      </c>
      <c r="L42" s="26"/>
      <c r="M42" s="26"/>
      <c r="N42" s="26">
        <f t="shared" si="0"/>
        <v>28336.388888888891</v>
      </c>
      <c r="O42" s="26">
        <v>4670.8333333333339</v>
      </c>
      <c r="P42" s="26"/>
      <c r="Q42" s="26"/>
      <c r="R42" s="26">
        <f t="shared" si="1"/>
        <v>33007.222222222226</v>
      </c>
      <c r="S42" s="26">
        <v>4670.8333333333339</v>
      </c>
      <c r="T42" s="26"/>
      <c r="U42" s="26"/>
      <c r="V42" s="26">
        <f t="shared" si="2"/>
        <v>37678.055555555562</v>
      </c>
      <c r="W42" s="26">
        <v>4826.5277777777783</v>
      </c>
      <c r="X42" s="80"/>
      <c r="Y42" s="26"/>
      <c r="Z42" s="26">
        <f t="shared" si="3"/>
        <v>42504.583333333343</v>
      </c>
      <c r="AA42" s="26">
        <v>4606.8493150684935</v>
      </c>
      <c r="AB42" s="80"/>
      <c r="AC42" s="26"/>
      <c r="AD42" s="26">
        <f t="shared" si="4"/>
        <v>47111.432648401838</v>
      </c>
      <c r="AE42" s="347">
        <v>4760.41095890411</v>
      </c>
      <c r="AF42" s="347"/>
      <c r="AG42" s="347"/>
      <c r="AH42" s="347">
        <f t="shared" si="5"/>
        <v>51871.843607305949</v>
      </c>
      <c r="AI42" s="347">
        <f t="shared" si="7"/>
        <v>4760.41095890411</v>
      </c>
      <c r="AJ42" s="347"/>
      <c r="AK42" s="347"/>
      <c r="AL42" s="347">
        <f t="shared" si="8"/>
        <v>56632.25456621006</v>
      </c>
      <c r="AM42" s="348"/>
    </row>
    <row r="43" spans="1:39" hidden="1" x14ac:dyDescent="0.3">
      <c r="A43" s="34">
        <v>5056</v>
      </c>
      <c r="B43" s="33" t="s">
        <v>47</v>
      </c>
      <c r="C43" s="33" t="s">
        <v>387</v>
      </c>
      <c r="D43" s="33" t="s">
        <v>386</v>
      </c>
      <c r="E43" s="349">
        <v>160000</v>
      </c>
      <c r="F43" s="240">
        <v>43709</v>
      </c>
      <c r="G43" s="240">
        <v>44075</v>
      </c>
      <c r="H43" s="26"/>
      <c r="I43" s="26">
        <v>6.4</v>
      </c>
      <c r="J43" s="26">
        <v>4323.5555555555557</v>
      </c>
      <c r="K43" s="26">
        <v>853.33333333333326</v>
      </c>
      <c r="L43" s="26"/>
      <c r="M43" s="26"/>
      <c r="N43" s="26">
        <f t="shared" si="0"/>
        <v>5176.8888888888887</v>
      </c>
      <c r="O43" s="26">
        <v>853.33333333333326</v>
      </c>
      <c r="P43" s="26"/>
      <c r="Q43" s="26"/>
      <c r="R43" s="26">
        <f t="shared" si="1"/>
        <v>6030.2222222222217</v>
      </c>
      <c r="S43" s="26">
        <v>853.33333333333326</v>
      </c>
      <c r="T43" s="26"/>
      <c r="U43" s="26"/>
      <c r="V43" s="26">
        <f t="shared" si="2"/>
        <v>6883.5555555555547</v>
      </c>
      <c r="W43" s="26">
        <v>881.77777777777771</v>
      </c>
      <c r="X43" s="80"/>
      <c r="Y43" s="26"/>
      <c r="Z43" s="26">
        <f t="shared" si="3"/>
        <v>7765.3333333333321</v>
      </c>
      <c r="AA43" s="26">
        <v>841.64383561643831</v>
      </c>
      <c r="AB43" s="80"/>
      <c r="AC43" s="26"/>
      <c r="AD43" s="26">
        <f t="shared" si="4"/>
        <v>8606.9771689497702</v>
      </c>
      <c r="AE43" s="347">
        <v>869.69863013698625</v>
      </c>
      <c r="AF43" s="347"/>
      <c r="AG43" s="347"/>
      <c r="AH43" s="347">
        <f t="shared" si="5"/>
        <v>9476.6757990867573</v>
      </c>
      <c r="AI43" s="347">
        <f t="shared" si="7"/>
        <v>869.69863013698625</v>
      </c>
      <c r="AJ43" s="347"/>
      <c r="AK43" s="347"/>
      <c r="AL43" s="347">
        <f t="shared" si="8"/>
        <v>10346.374429223744</v>
      </c>
      <c r="AM43" s="348"/>
    </row>
    <row r="44" spans="1:39" hidden="1" x14ac:dyDescent="0.3">
      <c r="A44" s="34">
        <v>5063</v>
      </c>
      <c r="B44" s="33" t="s">
        <v>77</v>
      </c>
      <c r="C44" s="33" t="s">
        <v>385</v>
      </c>
      <c r="D44" s="33" t="s">
        <v>384</v>
      </c>
      <c r="E44" s="349"/>
      <c r="F44" s="240">
        <v>43668</v>
      </c>
      <c r="G44" s="240">
        <v>44081</v>
      </c>
      <c r="H44" s="26"/>
      <c r="I44" s="26">
        <v>5.4</v>
      </c>
      <c r="J44" s="26">
        <v>6912.0000000000009</v>
      </c>
      <c r="K44" s="26">
        <v>1080.0000000000002</v>
      </c>
      <c r="L44" s="26"/>
      <c r="M44" s="26"/>
      <c r="N44" s="26">
        <f t="shared" si="0"/>
        <v>7992.0000000000009</v>
      </c>
      <c r="O44" s="26">
        <v>1080.0000000000002</v>
      </c>
      <c r="P44" s="26"/>
      <c r="Q44" s="26"/>
      <c r="R44" s="26">
        <f t="shared" si="1"/>
        <v>9072.0000000000018</v>
      </c>
      <c r="S44" s="26">
        <v>1080.0000000000002</v>
      </c>
      <c r="T44" s="26"/>
      <c r="U44" s="26"/>
      <c r="V44" s="26">
        <f t="shared" si="2"/>
        <v>10152.000000000002</v>
      </c>
      <c r="W44" s="26">
        <v>1116.0000000000002</v>
      </c>
      <c r="X44" s="80"/>
      <c r="Y44" s="26"/>
      <c r="Z44" s="26">
        <f t="shared" si="3"/>
        <v>11268.000000000002</v>
      </c>
      <c r="AA44" s="26">
        <v>1065.205479452055</v>
      </c>
      <c r="AB44" s="80"/>
      <c r="AC44" s="26"/>
      <c r="AD44" s="26">
        <f t="shared" si="4"/>
        <v>12333.205479452057</v>
      </c>
      <c r="AE44" s="347">
        <v>1100.7123287671236</v>
      </c>
      <c r="AF44" s="347">
        <v>-12960</v>
      </c>
      <c r="AG44" s="347">
        <v>-473.92</v>
      </c>
      <c r="AH44" s="347">
        <f t="shared" si="5"/>
        <v>-2.1917808189186871E-3</v>
      </c>
      <c r="AI44" s="347"/>
      <c r="AJ44" s="347"/>
      <c r="AK44" s="347"/>
      <c r="AL44" s="347">
        <f t="shared" si="8"/>
        <v>-2.1917808189186871E-3</v>
      </c>
      <c r="AM44" s="348" t="s">
        <v>96</v>
      </c>
    </row>
    <row r="45" spans="1:39" hidden="1" x14ac:dyDescent="0.3">
      <c r="A45" s="34">
        <v>5057</v>
      </c>
      <c r="B45" s="33" t="s">
        <v>22</v>
      </c>
      <c r="C45" s="33" t="s">
        <v>383</v>
      </c>
      <c r="D45" s="33" t="s">
        <v>382</v>
      </c>
      <c r="E45" s="349">
        <v>600000</v>
      </c>
      <c r="F45" s="240">
        <v>43728</v>
      </c>
      <c r="G45" s="240">
        <v>44094</v>
      </c>
      <c r="H45" s="26"/>
      <c r="I45" s="26">
        <v>6.6</v>
      </c>
      <c r="J45" s="26">
        <v>14630</v>
      </c>
      <c r="K45" s="26">
        <v>3300</v>
      </c>
      <c r="L45" s="26"/>
      <c r="M45" s="26"/>
      <c r="N45" s="26">
        <f t="shared" si="0"/>
        <v>17930</v>
      </c>
      <c r="O45" s="26">
        <v>3300</v>
      </c>
      <c r="P45" s="26"/>
      <c r="Q45" s="26"/>
      <c r="R45" s="26">
        <f t="shared" si="1"/>
        <v>21230</v>
      </c>
      <c r="S45" s="26">
        <v>3300</v>
      </c>
      <c r="T45" s="26"/>
      <c r="U45" s="26"/>
      <c r="V45" s="26">
        <f t="shared" si="2"/>
        <v>24530</v>
      </c>
      <c r="W45" s="26">
        <v>3410</v>
      </c>
      <c r="X45" s="80"/>
      <c r="Y45" s="26"/>
      <c r="Z45" s="26">
        <f t="shared" si="3"/>
        <v>27940</v>
      </c>
      <c r="AA45" s="26">
        <v>3254.794520547945</v>
      </c>
      <c r="AB45" s="80"/>
      <c r="AC45" s="26"/>
      <c r="AD45" s="26">
        <f t="shared" si="4"/>
        <v>31194.794520547945</v>
      </c>
      <c r="AE45" s="347">
        <v>3363.2876712328766</v>
      </c>
      <c r="AF45" s="347"/>
      <c r="AG45" s="347"/>
      <c r="AH45" s="347">
        <f t="shared" si="5"/>
        <v>34558.082191780821</v>
      </c>
      <c r="AI45" s="347">
        <f t="shared" si="7"/>
        <v>3363.2876712328766</v>
      </c>
      <c r="AJ45" s="347"/>
      <c r="AK45" s="347"/>
      <c r="AL45" s="347">
        <f t="shared" si="8"/>
        <v>37921.369863013701</v>
      </c>
      <c r="AM45" s="348"/>
    </row>
    <row r="46" spans="1:39" ht="28.8" hidden="1" x14ac:dyDescent="0.3">
      <c r="A46" s="34">
        <v>5060</v>
      </c>
      <c r="B46" s="33" t="s">
        <v>37</v>
      </c>
      <c r="C46" s="33" t="s">
        <v>381</v>
      </c>
      <c r="D46" s="33" t="s">
        <v>380</v>
      </c>
      <c r="E46" s="349">
        <v>650000</v>
      </c>
      <c r="F46" s="240">
        <v>43710</v>
      </c>
      <c r="G46" s="240">
        <v>44076</v>
      </c>
      <c r="H46" s="26"/>
      <c r="I46" s="26">
        <v>2.9</v>
      </c>
      <c r="J46" s="26">
        <v>7906.5277777777774</v>
      </c>
      <c r="K46" s="26">
        <v>1570.8333333333335</v>
      </c>
      <c r="L46" s="26"/>
      <c r="M46" s="26"/>
      <c r="N46" s="26">
        <f t="shared" si="0"/>
        <v>9477.3611111111113</v>
      </c>
      <c r="O46" s="26">
        <v>1570.8333333333335</v>
      </c>
      <c r="P46" s="26"/>
      <c r="Q46" s="26"/>
      <c r="R46" s="26">
        <f t="shared" si="1"/>
        <v>11048.194444444445</v>
      </c>
      <c r="S46" s="26">
        <v>1570.8333333333335</v>
      </c>
      <c r="T46" s="26"/>
      <c r="U46" s="26"/>
      <c r="V46" s="26">
        <f t="shared" si="2"/>
        <v>12619.027777777779</v>
      </c>
      <c r="W46" s="26">
        <v>1623.1944444444446</v>
      </c>
      <c r="X46" s="80"/>
      <c r="Y46" s="26"/>
      <c r="Z46" s="26">
        <f t="shared" si="3"/>
        <v>14242.222222222224</v>
      </c>
      <c r="AA46" s="26">
        <v>1549.3150684931509</v>
      </c>
      <c r="AB46" s="80"/>
      <c r="AC46" s="26"/>
      <c r="AD46" s="26">
        <f t="shared" si="4"/>
        <v>15791.537290715376</v>
      </c>
      <c r="AE46" s="347">
        <v>1600.9589041095892</v>
      </c>
      <c r="AF46" s="347"/>
      <c r="AG46" s="347"/>
      <c r="AH46" s="347">
        <f t="shared" si="5"/>
        <v>17392.496194824966</v>
      </c>
      <c r="AI46" s="347">
        <f t="shared" si="7"/>
        <v>1600.9589041095892</v>
      </c>
      <c r="AJ46" s="347">
        <v>-18540.98</v>
      </c>
      <c r="AK46" s="347">
        <v>-452.48</v>
      </c>
      <c r="AL46" s="347">
        <f t="shared" si="8"/>
        <v>-4.9010654443009116E-3</v>
      </c>
      <c r="AM46" s="348" t="s">
        <v>96</v>
      </c>
    </row>
    <row r="47" spans="1:39" hidden="1" x14ac:dyDescent="0.3">
      <c r="A47" s="34">
        <v>5060</v>
      </c>
      <c r="B47" s="33" t="s">
        <v>19</v>
      </c>
      <c r="C47" s="33" t="s">
        <v>379</v>
      </c>
      <c r="D47" s="33" t="s">
        <v>378</v>
      </c>
      <c r="E47" s="349">
        <v>330000</v>
      </c>
      <c r="F47" s="240">
        <v>43732</v>
      </c>
      <c r="G47" s="240">
        <v>44098</v>
      </c>
      <c r="H47" s="26"/>
      <c r="I47" s="26">
        <v>1.9</v>
      </c>
      <c r="J47" s="26">
        <v>2246.75</v>
      </c>
      <c r="K47" s="26">
        <v>522.5</v>
      </c>
      <c r="L47" s="26"/>
      <c r="M47" s="26"/>
      <c r="N47" s="26">
        <f t="shared" si="0"/>
        <v>2769.25</v>
      </c>
      <c r="O47" s="26">
        <v>522.5</v>
      </c>
      <c r="P47" s="26"/>
      <c r="Q47" s="26"/>
      <c r="R47" s="26">
        <f t="shared" si="1"/>
        <v>3291.75</v>
      </c>
      <c r="S47" s="26">
        <v>522.5</v>
      </c>
      <c r="T47" s="26"/>
      <c r="U47" s="26"/>
      <c r="V47" s="26">
        <f t="shared" si="2"/>
        <v>3814.25</v>
      </c>
      <c r="W47" s="26">
        <v>539.91666666666674</v>
      </c>
      <c r="X47" s="80"/>
      <c r="Y47" s="26"/>
      <c r="Z47" s="26">
        <f t="shared" si="3"/>
        <v>4354.166666666667</v>
      </c>
      <c r="AA47" s="26">
        <v>515.34246575342456</v>
      </c>
      <c r="AB47" s="80"/>
      <c r="AC47" s="26"/>
      <c r="AD47" s="26">
        <f t="shared" si="4"/>
        <v>4869.5091324200912</v>
      </c>
      <c r="AE47" s="347">
        <v>532.52054794520541</v>
      </c>
      <c r="AF47" s="347"/>
      <c r="AG47" s="347"/>
      <c r="AH47" s="347">
        <f t="shared" si="5"/>
        <v>5402.0296803652964</v>
      </c>
      <c r="AI47" s="347">
        <f t="shared" si="7"/>
        <v>532.52054794520541</v>
      </c>
      <c r="AJ47" s="347"/>
      <c r="AK47" s="347"/>
      <c r="AL47" s="347">
        <f t="shared" si="8"/>
        <v>5934.5502283105016</v>
      </c>
      <c r="AM47" s="348"/>
    </row>
    <row r="48" spans="1:39" hidden="1" x14ac:dyDescent="0.3">
      <c r="A48" s="34">
        <v>5063</v>
      </c>
      <c r="B48" s="33" t="s">
        <v>13</v>
      </c>
      <c r="C48" s="33" t="s">
        <v>377</v>
      </c>
      <c r="D48" s="33" t="s">
        <v>376</v>
      </c>
      <c r="E48" s="349">
        <v>50000</v>
      </c>
      <c r="F48" s="240">
        <v>43733</v>
      </c>
      <c r="G48" s="240">
        <v>44099</v>
      </c>
      <c r="H48" s="26"/>
      <c r="I48" s="26">
        <v>4.6500000000000004</v>
      </c>
      <c r="J48" s="26">
        <v>826.66666666666686</v>
      </c>
      <c r="K48" s="26">
        <v>193.75000000000006</v>
      </c>
      <c r="L48" s="26"/>
      <c r="M48" s="26"/>
      <c r="N48" s="26">
        <f t="shared" si="0"/>
        <v>1020.416666666667</v>
      </c>
      <c r="O48" s="26">
        <v>193.75000000000006</v>
      </c>
      <c r="P48" s="26"/>
      <c r="Q48" s="26"/>
      <c r="R48" s="26">
        <f t="shared" si="1"/>
        <v>1214.166666666667</v>
      </c>
      <c r="S48" s="26">
        <v>193.75000000000006</v>
      </c>
      <c r="T48" s="26"/>
      <c r="U48" s="26"/>
      <c r="V48" s="26">
        <f t="shared" si="2"/>
        <v>1407.916666666667</v>
      </c>
      <c r="W48" s="26">
        <v>200.20833333333337</v>
      </c>
      <c r="X48" s="80"/>
      <c r="Y48" s="26"/>
      <c r="Z48" s="26">
        <f t="shared" si="3"/>
        <v>1608.1250000000005</v>
      </c>
      <c r="AA48" s="26">
        <v>191.09589041095893</v>
      </c>
      <c r="AB48" s="80"/>
      <c r="AC48" s="26"/>
      <c r="AD48" s="26">
        <f t="shared" si="4"/>
        <v>1799.2208904109593</v>
      </c>
      <c r="AE48" s="347">
        <v>197.46575342465758</v>
      </c>
      <c r="AF48" s="347"/>
      <c r="AG48" s="347"/>
      <c r="AH48" s="347">
        <f t="shared" si="5"/>
        <v>1996.6866438356169</v>
      </c>
      <c r="AI48" s="347">
        <f t="shared" si="7"/>
        <v>197.46575342465758</v>
      </c>
      <c r="AJ48" s="347"/>
      <c r="AK48" s="347"/>
      <c r="AL48" s="347">
        <f t="shared" si="8"/>
        <v>2194.1523972602745</v>
      </c>
      <c r="AM48" s="348"/>
    </row>
    <row r="49" spans="1:107" hidden="1" x14ac:dyDescent="0.3">
      <c r="A49" s="34">
        <v>5063</v>
      </c>
      <c r="B49" s="33" t="s">
        <v>13</v>
      </c>
      <c r="C49" s="33" t="s">
        <v>375</v>
      </c>
      <c r="D49" s="33" t="s">
        <v>374</v>
      </c>
      <c r="E49" s="349">
        <v>200000</v>
      </c>
      <c r="F49" s="240">
        <v>43735</v>
      </c>
      <c r="G49" s="240">
        <v>44101</v>
      </c>
      <c r="H49" s="26"/>
      <c r="I49" s="26">
        <v>8.9</v>
      </c>
      <c r="J49" s="26">
        <v>6230.0000000000018</v>
      </c>
      <c r="K49" s="26">
        <v>1483.3333333333337</v>
      </c>
      <c r="L49" s="26"/>
      <c r="M49" s="26"/>
      <c r="N49" s="26">
        <f t="shared" si="0"/>
        <v>7713.3333333333358</v>
      </c>
      <c r="O49" s="26">
        <v>1483.3333333333337</v>
      </c>
      <c r="P49" s="26"/>
      <c r="Q49" s="26"/>
      <c r="R49" s="26">
        <f t="shared" si="1"/>
        <v>9196.6666666666697</v>
      </c>
      <c r="S49" s="26">
        <v>1483.3333333333337</v>
      </c>
      <c r="T49" s="26"/>
      <c r="U49" s="26"/>
      <c r="V49" s="26">
        <f t="shared" si="2"/>
        <v>10680.000000000004</v>
      </c>
      <c r="W49" s="26">
        <v>1532.7777777777783</v>
      </c>
      <c r="X49" s="80"/>
      <c r="Y49" s="26"/>
      <c r="Z49" s="26">
        <f t="shared" si="3"/>
        <v>12212.777777777781</v>
      </c>
      <c r="AA49" s="26">
        <v>1463.0136986301372</v>
      </c>
      <c r="AB49" s="80"/>
      <c r="AC49" s="26"/>
      <c r="AD49" s="26">
        <f t="shared" si="4"/>
        <v>13675.791476407918</v>
      </c>
      <c r="AE49" s="347">
        <v>1511.7808219178085</v>
      </c>
      <c r="AF49" s="347"/>
      <c r="AG49" s="347"/>
      <c r="AH49" s="347">
        <f t="shared" si="5"/>
        <v>15187.572298325726</v>
      </c>
      <c r="AI49" s="347">
        <f t="shared" si="7"/>
        <v>1511.7808219178085</v>
      </c>
      <c r="AJ49" s="347"/>
      <c r="AK49" s="347"/>
      <c r="AL49" s="347">
        <f t="shared" si="8"/>
        <v>16699.353120243533</v>
      </c>
      <c r="AM49" s="348"/>
    </row>
    <row r="50" spans="1:107" x14ac:dyDescent="0.3">
      <c r="A50" s="34">
        <v>5057</v>
      </c>
      <c r="B50" s="33" t="s">
        <v>74</v>
      </c>
      <c r="C50" s="33" t="s">
        <v>373</v>
      </c>
      <c r="D50" s="33" t="s">
        <v>372</v>
      </c>
      <c r="E50" s="349">
        <v>170000</v>
      </c>
      <c r="F50" s="240">
        <v>43739</v>
      </c>
      <c r="G50" s="240">
        <v>44105</v>
      </c>
      <c r="H50" s="26"/>
      <c r="I50" s="26">
        <v>3.4</v>
      </c>
      <c r="J50" s="26">
        <v>1958.7777777777778</v>
      </c>
      <c r="K50" s="26">
        <v>481.66666666666674</v>
      </c>
      <c r="L50" s="26"/>
      <c r="M50" s="26"/>
      <c r="N50" s="26">
        <f t="shared" si="0"/>
        <v>2440.4444444444443</v>
      </c>
      <c r="O50" s="26">
        <v>481.66666666666674</v>
      </c>
      <c r="P50" s="26"/>
      <c r="Q50" s="26"/>
      <c r="R50" s="26">
        <f t="shared" si="1"/>
        <v>2922.1111111111113</v>
      </c>
      <c r="S50" s="26">
        <v>481.66666666666674</v>
      </c>
      <c r="T50" s="26"/>
      <c r="U50" s="26"/>
      <c r="V50" s="26">
        <f t="shared" si="2"/>
        <v>3403.7777777777783</v>
      </c>
      <c r="W50" s="26">
        <v>497.72222222222229</v>
      </c>
      <c r="X50" s="80"/>
      <c r="Y50" s="26"/>
      <c r="Z50" s="26">
        <f t="shared" si="3"/>
        <v>3901.5000000000005</v>
      </c>
      <c r="AA50" s="26">
        <v>475.0684931506849</v>
      </c>
      <c r="AB50" s="80"/>
      <c r="AC50" s="26"/>
      <c r="AD50" s="26">
        <f t="shared" si="4"/>
        <v>4376.5684931506858</v>
      </c>
      <c r="AE50" s="347">
        <v>490.90410958904107</v>
      </c>
      <c r="AF50" s="347"/>
      <c r="AG50" s="347"/>
      <c r="AH50" s="347">
        <f t="shared" si="5"/>
        <v>4867.4726027397264</v>
      </c>
      <c r="AI50" s="347">
        <f t="shared" si="7"/>
        <v>490.90410958904107</v>
      </c>
      <c r="AJ50" s="347"/>
      <c r="AK50" s="347"/>
      <c r="AL50" s="347">
        <f t="shared" si="8"/>
        <v>5358.3767123287671</v>
      </c>
      <c r="AM50" s="348"/>
    </row>
    <row r="51" spans="1:107" x14ac:dyDescent="0.3">
      <c r="A51" s="34">
        <v>5063</v>
      </c>
      <c r="B51" s="33" t="s">
        <v>25</v>
      </c>
      <c r="C51" s="33" t="s">
        <v>371</v>
      </c>
      <c r="D51" s="33" t="s">
        <v>370</v>
      </c>
      <c r="E51" s="349">
        <v>188000</v>
      </c>
      <c r="F51" s="240">
        <v>43739</v>
      </c>
      <c r="G51" s="240">
        <v>44105</v>
      </c>
      <c r="H51" s="26"/>
      <c r="I51" s="26">
        <v>4.4000000000000004</v>
      </c>
      <c r="J51" s="26">
        <v>2803.2888888888892</v>
      </c>
      <c r="K51" s="26">
        <v>689.33333333333337</v>
      </c>
      <c r="L51" s="26"/>
      <c r="M51" s="26"/>
      <c r="N51" s="26">
        <f t="shared" si="0"/>
        <v>3492.6222222222227</v>
      </c>
      <c r="O51" s="26">
        <v>689.33333333333337</v>
      </c>
      <c r="P51" s="26"/>
      <c r="Q51" s="26"/>
      <c r="R51" s="26">
        <f t="shared" si="1"/>
        <v>4181.9555555555562</v>
      </c>
      <c r="S51" s="26">
        <v>689.33333333333337</v>
      </c>
      <c r="T51" s="26"/>
      <c r="U51" s="26"/>
      <c r="V51" s="26">
        <f t="shared" si="2"/>
        <v>4871.2888888888892</v>
      </c>
      <c r="W51" s="26">
        <v>712.31111111111113</v>
      </c>
      <c r="X51" s="80"/>
      <c r="Y51" s="26"/>
      <c r="Z51" s="26">
        <f t="shared" si="3"/>
        <v>5583.6</v>
      </c>
      <c r="AA51" s="26">
        <v>679.89041095890411</v>
      </c>
      <c r="AB51" s="80"/>
      <c r="AC51" s="26"/>
      <c r="AD51" s="26">
        <f t="shared" si="4"/>
        <v>6263.4904109589042</v>
      </c>
      <c r="AE51" s="347">
        <v>702.55342465753426</v>
      </c>
      <c r="AF51" s="347"/>
      <c r="AG51" s="347"/>
      <c r="AH51" s="347">
        <f t="shared" si="5"/>
        <v>6966.0438356164386</v>
      </c>
      <c r="AI51" s="347">
        <f t="shared" si="7"/>
        <v>702.55342465753426</v>
      </c>
      <c r="AJ51" s="347"/>
      <c r="AK51" s="347"/>
      <c r="AL51" s="347">
        <f t="shared" si="8"/>
        <v>7668.597260273973</v>
      </c>
      <c r="AM51" s="348"/>
    </row>
    <row r="52" spans="1:107" x14ac:dyDescent="0.3">
      <c r="A52" s="34">
        <v>5005</v>
      </c>
      <c r="B52" s="33" t="s">
        <v>10</v>
      </c>
      <c r="C52" s="33" t="s">
        <v>369</v>
      </c>
      <c r="D52" s="33" t="s">
        <v>368</v>
      </c>
      <c r="E52" s="349">
        <v>300000</v>
      </c>
      <c r="F52" s="240">
        <v>43739</v>
      </c>
      <c r="G52" s="240">
        <v>44105</v>
      </c>
      <c r="H52" s="26"/>
      <c r="I52" s="26">
        <v>0.4</v>
      </c>
      <c r="J52" s="26">
        <v>406.66666666666674</v>
      </c>
      <c r="K52" s="26">
        <v>100</v>
      </c>
      <c r="L52" s="26"/>
      <c r="M52" s="26"/>
      <c r="N52" s="26">
        <f t="shared" si="0"/>
        <v>506.66666666666674</v>
      </c>
      <c r="O52" s="26">
        <v>100</v>
      </c>
      <c r="P52" s="26"/>
      <c r="Q52" s="26"/>
      <c r="R52" s="26">
        <f t="shared" si="1"/>
        <v>606.66666666666674</v>
      </c>
      <c r="S52" s="26">
        <v>100</v>
      </c>
      <c r="T52" s="26"/>
      <c r="U52" s="26"/>
      <c r="V52" s="26">
        <f t="shared" si="2"/>
        <v>706.66666666666674</v>
      </c>
      <c r="W52" s="26">
        <v>103.33333333333334</v>
      </c>
      <c r="X52" s="80"/>
      <c r="Y52" s="26"/>
      <c r="Z52" s="26">
        <f t="shared" si="3"/>
        <v>810.00000000000011</v>
      </c>
      <c r="AA52" s="26">
        <v>98.630136986301366</v>
      </c>
      <c r="AB52" s="80"/>
      <c r="AC52" s="26"/>
      <c r="AD52" s="26">
        <f t="shared" si="4"/>
        <v>908.63013698630152</v>
      </c>
      <c r="AE52" s="347">
        <v>101.91780821917807</v>
      </c>
      <c r="AF52" s="347"/>
      <c r="AG52" s="347"/>
      <c r="AH52" s="347">
        <f t="shared" si="5"/>
        <v>1010.5479452054796</v>
      </c>
      <c r="AI52" s="347">
        <f t="shared" si="7"/>
        <v>101.91780821917807</v>
      </c>
      <c r="AJ52" s="347"/>
      <c r="AK52" s="347"/>
      <c r="AL52" s="347">
        <f t="shared" si="8"/>
        <v>1112.4657534246576</v>
      </c>
      <c r="AM52" s="348"/>
    </row>
    <row r="53" spans="1:107" x14ac:dyDescent="0.3">
      <c r="A53" s="34">
        <v>5063</v>
      </c>
      <c r="B53" s="33" t="s">
        <v>77</v>
      </c>
      <c r="C53" s="33" t="s">
        <v>367</v>
      </c>
      <c r="D53" s="33" t="s">
        <v>366</v>
      </c>
      <c r="E53" s="349">
        <v>50000</v>
      </c>
      <c r="F53" s="240">
        <v>43745</v>
      </c>
      <c r="G53" s="240">
        <v>44111</v>
      </c>
      <c r="H53" s="26"/>
      <c r="I53" s="26">
        <v>5.4</v>
      </c>
      <c r="J53" s="26">
        <v>915.00000000000011</v>
      </c>
      <c r="K53" s="26">
        <v>225.00000000000003</v>
      </c>
      <c r="L53" s="26"/>
      <c r="M53" s="26"/>
      <c r="N53" s="26">
        <f t="shared" si="0"/>
        <v>1140.0000000000002</v>
      </c>
      <c r="O53" s="26">
        <v>225.00000000000003</v>
      </c>
      <c r="P53" s="26"/>
      <c r="Q53" s="26"/>
      <c r="R53" s="26">
        <f t="shared" si="1"/>
        <v>1365.0000000000002</v>
      </c>
      <c r="S53" s="26">
        <v>225.00000000000003</v>
      </c>
      <c r="T53" s="26"/>
      <c r="U53" s="26"/>
      <c r="V53" s="26">
        <f t="shared" si="2"/>
        <v>1590.0000000000002</v>
      </c>
      <c r="W53" s="26">
        <v>232.50000000000003</v>
      </c>
      <c r="X53" s="80"/>
      <c r="Y53" s="26"/>
      <c r="Z53" s="26">
        <f t="shared" si="3"/>
        <v>1822.5000000000002</v>
      </c>
      <c r="AA53" s="26">
        <v>221.91780821917811</v>
      </c>
      <c r="AB53" s="80"/>
      <c r="AC53" s="26"/>
      <c r="AD53" s="26">
        <f t="shared" si="4"/>
        <v>2044.4178082191784</v>
      </c>
      <c r="AE53" s="347">
        <v>229.31506849315073</v>
      </c>
      <c r="AF53" s="347"/>
      <c r="AG53" s="347"/>
      <c r="AH53" s="347">
        <f t="shared" si="5"/>
        <v>2273.732876712329</v>
      </c>
      <c r="AI53" s="347">
        <f t="shared" si="7"/>
        <v>229.31506849315073</v>
      </c>
      <c r="AJ53" s="347"/>
      <c r="AK53" s="347"/>
      <c r="AL53" s="347">
        <f t="shared" si="8"/>
        <v>2503.0479452054797</v>
      </c>
      <c r="AM53" s="348"/>
    </row>
    <row r="54" spans="1:107" x14ac:dyDescent="0.3">
      <c r="A54" s="34">
        <v>5060</v>
      </c>
      <c r="B54" s="33" t="s">
        <v>16</v>
      </c>
      <c r="C54" s="33" t="s">
        <v>365</v>
      </c>
      <c r="D54" s="33" t="s">
        <v>364</v>
      </c>
      <c r="E54" s="349">
        <v>25000</v>
      </c>
      <c r="F54" s="240">
        <v>43748</v>
      </c>
      <c r="G54" s="240">
        <v>44114</v>
      </c>
      <c r="H54" s="26"/>
      <c r="I54" s="26">
        <v>1.9</v>
      </c>
      <c r="J54" s="26">
        <v>149.09722222222223</v>
      </c>
      <c r="K54" s="26">
        <v>39.583333333333336</v>
      </c>
      <c r="L54" s="26"/>
      <c r="M54" s="26"/>
      <c r="N54" s="26">
        <f t="shared" si="0"/>
        <v>188.68055555555557</v>
      </c>
      <c r="O54" s="26">
        <v>39.583333333333336</v>
      </c>
      <c r="P54" s="26"/>
      <c r="Q54" s="26"/>
      <c r="R54" s="26">
        <f t="shared" si="1"/>
        <v>228.26388888888891</v>
      </c>
      <c r="S54" s="26">
        <v>39.583333333333336</v>
      </c>
      <c r="T54" s="26"/>
      <c r="U54" s="26"/>
      <c r="V54" s="26">
        <f t="shared" si="2"/>
        <v>267.84722222222223</v>
      </c>
      <c r="W54" s="26">
        <v>40.902777777777779</v>
      </c>
      <c r="X54" s="80"/>
      <c r="Y54" s="26"/>
      <c r="Z54" s="26">
        <f t="shared" si="3"/>
        <v>308.75</v>
      </c>
      <c r="AA54" s="26">
        <v>39.041095890410965</v>
      </c>
      <c r="AB54" s="80"/>
      <c r="AC54" s="26"/>
      <c r="AD54" s="26">
        <f t="shared" si="4"/>
        <v>347.79109589041099</v>
      </c>
      <c r="AE54" s="347">
        <v>40.342465753424662</v>
      </c>
      <c r="AF54" s="347"/>
      <c r="AG54" s="347"/>
      <c r="AH54" s="347">
        <f t="shared" si="5"/>
        <v>388.13356164383566</v>
      </c>
      <c r="AI54" s="347">
        <f t="shared" si="7"/>
        <v>40.342465753424662</v>
      </c>
      <c r="AJ54" s="347"/>
      <c r="AK54" s="347"/>
      <c r="AL54" s="347">
        <f t="shared" si="8"/>
        <v>428.47602739726034</v>
      </c>
      <c r="AM54" s="348"/>
    </row>
    <row r="55" spans="1:107" x14ac:dyDescent="0.3">
      <c r="A55" s="34">
        <v>5060</v>
      </c>
      <c r="B55" s="33" t="s">
        <v>19</v>
      </c>
      <c r="C55" s="33" t="s">
        <v>363</v>
      </c>
      <c r="D55" s="33" t="s">
        <v>362</v>
      </c>
      <c r="E55" s="349">
        <v>25000</v>
      </c>
      <c r="F55" s="240">
        <v>43748</v>
      </c>
      <c r="G55" s="240">
        <v>44114</v>
      </c>
      <c r="H55" s="26"/>
      <c r="I55" s="26">
        <v>1.9</v>
      </c>
      <c r="J55" s="26">
        <v>149.09722222222223</v>
      </c>
      <c r="K55" s="26">
        <v>39.583333333333336</v>
      </c>
      <c r="L55" s="26"/>
      <c r="M55" s="26"/>
      <c r="N55" s="26">
        <f t="shared" si="0"/>
        <v>188.68055555555557</v>
      </c>
      <c r="O55" s="26">
        <v>39.583333333333336</v>
      </c>
      <c r="P55" s="26"/>
      <c r="Q55" s="26"/>
      <c r="R55" s="26">
        <f t="shared" si="1"/>
        <v>228.26388888888891</v>
      </c>
      <c r="S55" s="26">
        <v>39.583333333333336</v>
      </c>
      <c r="T55" s="26"/>
      <c r="U55" s="26"/>
      <c r="V55" s="26">
        <f t="shared" si="2"/>
        <v>267.84722222222223</v>
      </c>
      <c r="W55" s="26">
        <v>40.902777777777779</v>
      </c>
      <c r="X55" s="80"/>
      <c r="Y55" s="26"/>
      <c r="Z55" s="26">
        <f t="shared" si="3"/>
        <v>308.75</v>
      </c>
      <c r="AA55" s="26">
        <v>39.041095890410965</v>
      </c>
      <c r="AB55" s="80"/>
      <c r="AC55" s="26"/>
      <c r="AD55" s="26">
        <f t="shared" si="4"/>
        <v>347.79109589041099</v>
      </c>
      <c r="AE55" s="347">
        <v>40.342465753424662</v>
      </c>
      <c r="AF55" s="347"/>
      <c r="AG55" s="347"/>
      <c r="AH55" s="347">
        <f t="shared" si="5"/>
        <v>388.13356164383566</v>
      </c>
      <c r="AI55" s="347">
        <f t="shared" si="7"/>
        <v>40.342465753424662</v>
      </c>
      <c r="AJ55" s="347"/>
      <c r="AK55" s="347"/>
      <c r="AL55" s="347">
        <f t="shared" si="8"/>
        <v>428.47602739726034</v>
      </c>
      <c r="AM55" s="348"/>
    </row>
    <row r="56" spans="1:107" ht="28.8" x14ac:dyDescent="0.3">
      <c r="A56" s="34">
        <v>5031</v>
      </c>
      <c r="B56" s="33" t="s">
        <v>329</v>
      </c>
      <c r="C56" s="33" t="s">
        <v>361</v>
      </c>
      <c r="D56" s="33" t="s">
        <v>360</v>
      </c>
      <c r="E56" s="349"/>
      <c r="F56" s="240">
        <v>43748</v>
      </c>
      <c r="G56" s="240">
        <v>44114</v>
      </c>
      <c r="H56" s="26"/>
      <c r="I56" s="26">
        <v>5.5</v>
      </c>
      <c r="J56" s="26">
        <v>12947.916666666664</v>
      </c>
      <c r="K56" s="26">
        <v>3437.5</v>
      </c>
      <c r="L56" s="26"/>
      <c r="M56" s="26"/>
      <c r="N56" s="26">
        <f t="shared" si="0"/>
        <v>16385.416666666664</v>
      </c>
      <c r="O56" s="26">
        <v>3437.5</v>
      </c>
      <c r="P56" s="26"/>
      <c r="Q56" s="26"/>
      <c r="R56" s="26">
        <f t="shared" si="1"/>
        <v>19822.916666666664</v>
      </c>
      <c r="S56" s="26">
        <v>3437.5</v>
      </c>
      <c r="T56" s="26"/>
      <c r="U56" s="26"/>
      <c r="V56" s="26">
        <f t="shared" si="2"/>
        <v>23260.416666666664</v>
      </c>
      <c r="W56" s="26">
        <v>3552.083333333333</v>
      </c>
      <c r="X56" s="80"/>
      <c r="Y56" s="26"/>
      <c r="Z56" s="26">
        <f t="shared" si="3"/>
        <v>26812.499999999996</v>
      </c>
      <c r="AA56" s="26">
        <v>0</v>
      </c>
      <c r="AB56" s="80">
        <v>-26823.77</v>
      </c>
      <c r="AC56" s="26">
        <v>11.27</v>
      </c>
      <c r="AD56" s="26">
        <f t="shared" si="4"/>
        <v>-4.0749625895841746E-12</v>
      </c>
      <c r="AE56" s="347">
        <v>0</v>
      </c>
      <c r="AF56" s="347"/>
      <c r="AG56" s="347"/>
      <c r="AH56" s="347">
        <f t="shared" si="5"/>
        <v>-4.0749625895841746E-12</v>
      </c>
      <c r="AI56" s="347">
        <f t="shared" si="7"/>
        <v>0</v>
      </c>
      <c r="AJ56" s="347"/>
      <c r="AK56" s="347"/>
      <c r="AL56" s="347">
        <f t="shared" si="8"/>
        <v>-4.0749625895841746E-12</v>
      </c>
      <c r="AM56" s="348" t="s">
        <v>96</v>
      </c>
    </row>
    <row r="57" spans="1:107" s="254" customFormat="1" x14ac:dyDescent="0.3">
      <c r="A57" s="350">
        <v>5062</v>
      </c>
      <c r="B57" s="351" t="s">
        <v>359</v>
      </c>
      <c r="C57" s="351" t="s">
        <v>358</v>
      </c>
      <c r="D57" s="351" t="s">
        <v>357</v>
      </c>
      <c r="E57" s="352">
        <v>200000</v>
      </c>
      <c r="F57" s="260">
        <v>43750</v>
      </c>
      <c r="G57" s="260">
        <v>44116</v>
      </c>
      <c r="H57" s="353"/>
      <c r="I57" s="353">
        <v>6.4</v>
      </c>
      <c r="J57" s="26">
        <v>3946.6666666666665</v>
      </c>
      <c r="K57" s="26">
        <v>1066.6666666666667</v>
      </c>
      <c r="L57" s="26"/>
      <c r="M57" s="26"/>
      <c r="N57" s="26">
        <f t="shared" si="0"/>
        <v>5013.333333333333</v>
      </c>
      <c r="O57" s="26">
        <v>1066.6666666666667</v>
      </c>
      <c r="P57" s="26"/>
      <c r="Q57" s="26"/>
      <c r="R57" s="26">
        <f t="shared" si="1"/>
        <v>6080</v>
      </c>
      <c r="S57" s="26">
        <v>1066.6666666666667</v>
      </c>
      <c r="T57" s="26"/>
      <c r="U57" s="26"/>
      <c r="V57" s="26">
        <f t="shared" si="2"/>
        <v>7146.666666666667</v>
      </c>
      <c r="W57" s="26">
        <v>1102.2222222222222</v>
      </c>
      <c r="X57" s="80"/>
      <c r="Y57" s="26"/>
      <c r="Z57" s="26">
        <f t="shared" si="3"/>
        <v>8248.8888888888887</v>
      </c>
      <c r="AA57" s="26">
        <v>1052.0547945205478</v>
      </c>
      <c r="AB57" s="80"/>
      <c r="AC57" s="26"/>
      <c r="AD57" s="26">
        <f t="shared" si="4"/>
        <v>9300.9436834094358</v>
      </c>
      <c r="AE57" s="347">
        <v>1087.1232876712329</v>
      </c>
      <c r="AF57" s="347"/>
      <c r="AG57" s="347"/>
      <c r="AH57" s="354">
        <f t="shared" si="5"/>
        <v>10388.066971080669</v>
      </c>
      <c r="AI57" s="354">
        <f t="shared" si="7"/>
        <v>1087.1232876712329</v>
      </c>
      <c r="AJ57" s="354"/>
      <c r="AK57" s="354"/>
      <c r="AL57" s="354">
        <f t="shared" si="8"/>
        <v>11475.190258751902</v>
      </c>
      <c r="AM57" s="355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6"/>
      <c r="BA57" s="356"/>
      <c r="BB57" s="356"/>
      <c r="BC57" s="356"/>
      <c r="BD57" s="356"/>
      <c r="BE57" s="356"/>
      <c r="BF57" s="356"/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/>
      <c r="BU57" s="356"/>
      <c r="BV57" s="356"/>
      <c r="BW57" s="356"/>
      <c r="BX57" s="356"/>
      <c r="BY57" s="356"/>
      <c r="BZ57" s="356"/>
      <c r="CA57" s="356"/>
      <c r="CB57" s="356"/>
      <c r="CC57" s="356"/>
      <c r="CD57" s="356"/>
      <c r="CE57" s="356"/>
      <c r="CF57" s="356"/>
      <c r="CG57" s="356"/>
      <c r="CH57" s="356"/>
      <c r="CI57" s="356"/>
      <c r="CJ57" s="356"/>
      <c r="CK57" s="356"/>
      <c r="CL57" s="356"/>
      <c r="CM57" s="356"/>
      <c r="CN57" s="356"/>
      <c r="CO57" s="356"/>
      <c r="CP57" s="356"/>
      <c r="CQ57" s="356"/>
      <c r="CR57" s="356"/>
      <c r="CS57" s="356"/>
      <c r="CT57" s="356"/>
      <c r="CU57" s="356"/>
      <c r="CV57" s="356"/>
      <c r="CW57" s="356"/>
      <c r="CX57" s="356"/>
      <c r="CY57" s="356"/>
      <c r="CZ57" s="356"/>
      <c r="DA57" s="356"/>
      <c r="DB57" s="356"/>
      <c r="DC57" s="356"/>
    </row>
    <row r="58" spans="1:107" s="254" customFormat="1" x14ac:dyDescent="0.3">
      <c r="A58" s="350">
        <v>5057</v>
      </c>
      <c r="B58" s="351" t="s">
        <v>74</v>
      </c>
      <c r="C58" s="351" t="s">
        <v>356</v>
      </c>
      <c r="D58" s="351" t="s">
        <v>355</v>
      </c>
      <c r="E58" s="352"/>
      <c r="F58" s="260">
        <v>43763</v>
      </c>
      <c r="G58" s="260">
        <v>44129</v>
      </c>
      <c r="H58" s="353"/>
      <c r="I58" s="353">
        <v>3.4</v>
      </c>
      <c r="J58" s="26">
        <v>1240.2444444444445</v>
      </c>
      <c r="K58" s="26">
        <v>379.66666666666663</v>
      </c>
      <c r="L58" s="26"/>
      <c r="M58" s="26"/>
      <c r="N58" s="26">
        <f t="shared" si="0"/>
        <v>1619.911111111111</v>
      </c>
      <c r="O58" s="26">
        <v>379.66666666666663</v>
      </c>
      <c r="P58" s="26"/>
      <c r="Q58" s="26"/>
      <c r="R58" s="26">
        <f t="shared" si="1"/>
        <v>1999.5777777777776</v>
      </c>
      <c r="S58" s="26">
        <v>379.66666666666663</v>
      </c>
      <c r="T58" s="26"/>
      <c r="U58" s="26"/>
      <c r="V58" s="26">
        <f t="shared" si="2"/>
        <v>2379.2444444444441</v>
      </c>
      <c r="W58" s="26">
        <v>392.32222222222219</v>
      </c>
      <c r="X58" s="80"/>
      <c r="Y58" s="26"/>
      <c r="Z58" s="26">
        <f>+V58+W58+X58+Y58+0.02</f>
        <v>2771.5866666666661</v>
      </c>
      <c r="AA58" s="26">
        <v>0</v>
      </c>
      <c r="AB58" s="80">
        <v>-2912.85</v>
      </c>
      <c r="AC58" s="26">
        <v>141.28</v>
      </c>
      <c r="AD58" s="26">
        <f t="shared" si="4"/>
        <v>1.6666666666225183E-2</v>
      </c>
      <c r="AE58" s="347">
        <v>0</v>
      </c>
      <c r="AF58" s="347"/>
      <c r="AG58" s="347"/>
      <c r="AH58" s="354">
        <f t="shared" si="5"/>
        <v>1.6666666666225183E-2</v>
      </c>
      <c r="AI58" s="354">
        <f t="shared" si="7"/>
        <v>0</v>
      </c>
      <c r="AJ58" s="354"/>
      <c r="AK58" s="354"/>
      <c r="AL58" s="354">
        <f t="shared" si="8"/>
        <v>1.6666666666225183E-2</v>
      </c>
      <c r="AM58" s="355" t="s">
        <v>96</v>
      </c>
      <c r="AN58" s="356"/>
      <c r="AO58" s="356"/>
      <c r="AP58" s="356"/>
      <c r="AQ58" s="356"/>
      <c r="AR58" s="356"/>
      <c r="AS58" s="356"/>
      <c r="AT58" s="356"/>
      <c r="AU58" s="356"/>
      <c r="AV58" s="356"/>
      <c r="AW58" s="356"/>
      <c r="AX58" s="356"/>
      <c r="AY58" s="356"/>
      <c r="AZ58" s="356"/>
      <c r="BA58" s="356"/>
      <c r="BB58" s="356"/>
      <c r="BC58" s="356"/>
      <c r="BD58" s="356"/>
      <c r="BE58" s="356"/>
      <c r="BF58" s="356"/>
      <c r="BG58" s="356"/>
      <c r="BH58" s="356"/>
      <c r="BI58" s="356"/>
      <c r="BJ58" s="356"/>
      <c r="BK58" s="356"/>
      <c r="BL58" s="356"/>
      <c r="BM58" s="356"/>
      <c r="BN58" s="356"/>
      <c r="BO58" s="356"/>
      <c r="BP58" s="356"/>
      <c r="BQ58" s="356"/>
      <c r="BR58" s="356"/>
      <c r="BS58" s="356"/>
      <c r="BT58" s="356"/>
      <c r="BU58" s="356"/>
      <c r="BV58" s="356"/>
      <c r="BW58" s="356"/>
      <c r="BX58" s="356"/>
      <c r="BY58" s="356"/>
      <c r="BZ58" s="356"/>
      <c r="CA58" s="356"/>
      <c r="CB58" s="356"/>
      <c r="CC58" s="356"/>
      <c r="CD58" s="356"/>
      <c r="CE58" s="356"/>
      <c r="CF58" s="356"/>
      <c r="CG58" s="356"/>
      <c r="CH58" s="356"/>
      <c r="CI58" s="356"/>
      <c r="CJ58" s="356"/>
      <c r="CK58" s="356"/>
      <c r="CL58" s="356"/>
      <c r="CM58" s="356"/>
      <c r="CN58" s="356"/>
      <c r="CO58" s="356"/>
      <c r="CP58" s="356"/>
      <c r="CQ58" s="356"/>
      <c r="CR58" s="356"/>
      <c r="CS58" s="356"/>
      <c r="CT58" s="356"/>
      <c r="CU58" s="356"/>
      <c r="CV58" s="356"/>
      <c r="CW58" s="356"/>
      <c r="CX58" s="356"/>
      <c r="CY58" s="356"/>
      <c r="CZ58" s="356"/>
      <c r="DA58" s="356"/>
      <c r="DB58" s="356"/>
      <c r="DC58" s="356"/>
    </row>
    <row r="59" spans="1:107" s="254" customFormat="1" x14ac:dyDescent="0.3">
      <c r="A59" s="350">
        <v>5057</v>
      </c>
      <c r="B59" s="351" t="s">
        <v>74</v>
      </c>
      <c r="C59" s="351" t="s">
        <v>354</v>
      </c>
      <c r="D59" s="351" t="s">
        <v>353</v>
      </c>
      <c r="E59" s="352">
        <v>118000</v>
      </c>
      <c r="F59" s="260">
        <v>43768</v>
      </c>
      <c r="G59" s="260">
        <v>44134</v>
      </c>
      <c r="H59" s="353"/>
      <c r="I59" s="353">
        <v>3.4</v>
      </c>
      <c r="J59" s="26">
        <v>1036.4333333333334</v>
      </c>
      <c r="K59" s="26">
        <v>334.33333333333337</v>
      </c>
      <c r="L59" s="26"/>
      <c r="M59" s="26"/>
      <c r="N59" s="26">
        <f t="shared" si="0"/>
        <v>1370.7666666666669</v>
      </c>
      <c r="O59" s="26">
        <v>334.33333333333337</v>
      </c>
      <c r="P59" s="26"/>
      <c r="Q59" s="26"/>
      <c r="R59" s="26">
        <f t="shared" si="1"/>
        <v>1705.1000000000004</v>
      </c>
      <c r="S59" s="26">
        <v>334.33333333333337</v>
      </c>
      <c r="T59" s="26"/>
      <c r="U59" s="26"/>
      <c r="V59" s="26">
        <f t="shared" si="2"/>
        <v>2039.4333333333338</v>
      </c>
      <c r="W59" s="26">
        <v>345.47777777777782</v>
      </c>
      <c r="X59" s="80"/>
      <c r="Y59" s="26"/>
      <c r="Z59" s="26">
        <f t="shared" si="3"/>
        <v>2384.9111111111115</v>
      </c>
      <c r="AA59" s="26">
        <v>329.75342465753425</v>
      </c>
      <c r="AB59" s="80"/>
      <c r="AC59" s="26"/>
      <c r="AD59" s="26">
        <f t="shared" si="4"/>
        <v>2714.6645357686457</v>
      </c>
      <c r="AE59" s="347">
        <v>340.74520547945207</v>
      </c>
      <c r="AF59" s="347"/>
      <c r="AG59" s="347"/>
      <c r="AH59" s="354">
        <f t="shared" si="5"/>
        <v>3055.4097412480978</v>
      </c>
      <c r="AI59" s="354">
        <f t="shared" si="7"/>
        <v>340.74520547945207</v>
      </c>
      <c r="AJ59" s="354"/>
      <c r="AK59" s="354"/>
      <c r="AL59" s="354">
        <f t="shared" si="8"/>
        <v>3396.1549467275499</v>
      </c>
      <c r="AM59" s="355"/>
      <c r="AN59" s="356"/>
      <c r="AO59" s="356"/>
      <c r="AP59" s="356"/>
      <c r="AQ59" s="356"/>
      <c r="AR59" s="356"/>
      <c r="AS59" s="356"/>
      <c r="AT59" s="356"/>
      <c r="AU59" s="356"/>
      <c r="AV59" s="356"/>
      <c r="AW59" s="356"/>
      <c r="AX59" s="356"/>
      <c r="AY59" s="356"/>
      <c r="AZ59" s="356"/>
      <c r="BA59" s="356"/>
      <c r="BB59" s="356"/>
      <c r="BC59" s="356"/>
      <c r="BD59" s="356"/>
      <c r="BE59" s="356"/>
      <c r="BF59" s="356"/>
      <c r="BG59" s="356"/>
      <c r="BH59" s="356"/>
      <c r="BI59" s="356"/>
      <c r="BJ59" s="356"/>
      <c r="BK59" s="356"/>
      <c r="BL59" s="356"/>
      <c r="BM59" s="356"/>
      <c r="BN59" s="356"/>
      <c r="BO59" s="356"/>
      <c r="BP59" s="356"/>
      <c r="BQ59" s="356"/>
      <c r="BR59" s="356"/>
      <c r="BS59" s="356"/>
      <c r="BT59" s="356"/>
      <c r="BU59" s="356"/>
      <c r="BV59" s="356"/>
      <c r="BW59" s="356"/>
      <c r="BX59" s="356"/>
      <c r="BY59" s="356"/>
      <c r="BZ59" s="356"/>
      <c r="CA59" s="356"/>
      <c r="CB59" s="356"/>
      <c r="CC59" s="356"/>
      <c r="CD59" s="356"/>
      <c r="CE59" s="356"/>
      <c r="CF59" s="356"/>
      <c r="CG59" s="356"/>
      <c r="CH59" s="356"/>
      <c r="CI59" s="356"/>
      <c r="CJ59" s="356"/>
      <c r="CK59" s="356"/>
      <c r="CL59" s="356"/>
      <c r="CM59" s="356"/>
      <c r="CN59" s="356"/>
      <c r="CO59" s="356"/>
      <c r="CP59" s="356"/>
      <c r="CQ59" s="356"/>
      <c r="CR59" s="356"/>
      <c r="CS59" s="356"/>
      <c r="CT59" s="356"/>
      <c r="CU59" s="356"/>
      <c r="CV59" s="356"/>
      <c r="CW59" s="356"/>
      <c r="CX59" s="356"/>
      <c r="CY59" s="356"/>
      <c r="CZ59" s="356"/>
      <c r="DA59" s="356"/>
      <c r="DB59" s="356"/>
      <c r="DC59" s="356"/>
    </row>
    <row r="60" spans="1:107" s="254" customFormat="1" x14ac:dyDescent="0.3">
      <c r="A60" s="350">
        <v>5063</v>
      </c>
      <c r="B60" s="351" t="s">
        <v>77</v>
      </c>
      <c r="C60" s="351" t="s">
        <v>352</v>
      </c>
      <c r="D60" s="351" t="s">
        <v>351</v>
      </c>
      <c r="E60" s="352">
        <v>120000</v>
      </c>
      <c r="F60" s="260">
        <v>43768</v>
      </c>
      <c r="G60" s="260">
        <v>44134</v>
      </c>
      <c r="H60" s="353"/>
      <c r="I60" s="353">
        <v>5.4</v>
      </c>
      <c r="J60" s="26">
        <v>1674.0000000000005</v>
      </c>
      <c r="K60" s="26">
        <v>540.00000000000011</v>
      </c>
      <c r="L60" s="26"/>
      <c r="M60" s="26"/>
      <c r="N60" s="26">
        <f t="shared" si="0"/>
        <v>2214.0000000000005</v>
      </c>
      <c r="O60" s="26">
        <v>540.00000000000011</v>
      </c>
      <c r="P60" s="26"/>
      <c r="Q60" s="26"/>
      <c r="R60" s="26">
        <f t="shared" si="1"/>
        <v>2754.0000000000005</v>
      </c>
      <c r="S60" s="26">
        <v>540.00000000000011</v>
      </c>
      <c r="T60" s="26"/>
      <c r="U60" s="26"/>
      <c r="V60" s="26">
        <f t="shared" si="2"/>
        <v>3294.0000000000005</v>
      </c>
      <c r="W60" s="26">
        <v>558.00000000000011</v>
      </c>
      <c r="X60" s="80"/>
      <c r="Y60" s="26"/>
      <c r="Z60" s="26">
        <f t="shared" si="3"/>
        <v>3852.0000000000005</v>
      </c>
      <c r="AA60" s="26">
        <v>532.60273972602749</v>
      </c>
      <c r="AB60" s="80"/>
      <c r="AC60" s="26"/>
      <c r="AD60" s="26">
        <f t="shared" si="4"/>
        <v>4384.6027397260277</v>
      </c>
      <c r="AE60" s="347">
        <v>550.3561643835618</v>
      </c>
      <c r="AF60" s="347"/>
      <c r="AG60" s="347"/>
      <c r="AH60" s="354">
        <f t="shared" si="5"/>
        <v>4934.9589041095896</v>
      </c>
      <c r="AI60" s="354">
        <f t="shared" si="7"/>
        <v>550.3561643835618</v>
      </c>
      <c r="AJ60" s="354"/>
      <c r="AK60" s="354"/>
      <c r="AL60" s="354">
        <f t="shared" si="8"/>
        <v>5485.3150684931516</v>
      </c>
      <c r="AM60" s="355"/>
      <c r="AN60" s="356"/>
      <c r="AO60" s="356"/>
      <c r="AP60" s="356"/>
      <c r="AQ60" s="356"/>
      <c r="AR60" s="356"/>
      <c r="AS60" s="356"/>
      <c r="AT60" s="356"/>
      <c r="AU60" s="356"/>
      <c r="AV60" s="356"/>
      <c r="AW60" s="356"/>
      <c r="AX60" s="356"/>
      <c r="AY60" s="356"/>
      <c r="AZ60" s="356"/>
      <c r="BA60" s="356"/>
      <c r="BB60" s="356"/>
      <c r="BC60" s="356"/>
      <c r="BD60" s="356"/>
      <c r="BE60" s="356"/>
      <c r="BF60" s="356"/>
      <c r="BG60" s="356"/>
      <c r="BH60" s="356"/>
      <c r="BI60" s="356"/>
      <c r="BJ60" s="356"/>
      <c r="BK60" s="356"/>
      <c r="BL60" s="356"/>
      <c r="BM60" s="356"/>
      <c r="BN60" s="356"/>
      <c r="BO60" s="356"/>
      <c r="BP60" s="356"/>
      <c r="BQ60" s="356"/>
      <c r="BR60" s="356"/>
      <c r="BS60" s="356"/>
      <c r="BT60" s="356"/>
      <c r="BU60" s="356"/>
      <c r="BV60" s="356"/>
      <c r="BW60" s="356"/>
      <c r="BX60" s="356"/>
      <c r="BY60" s="356"/>
      <c r="BZ60" s="356"/>
      <c r="CA60" s="356"/>
      <c r="CB60" s="356"/>
      <c r="CC60" s="356"/>
      <c r="CD60" s="356"/>
      <c r="CE60" s="356"/>
      <c r="CF60" s="356"/>
      <c r="CG60" s="356"/>
      <c r="CH60" s="356"/>
      <c r="CI60" s="356"/>
      <c r="CJ60" s="356"/>
      <c r="CK60" s="356"/>
      <c r="CL60" s="356"/>
      <c r="CM60" s="356"/>
      <c r="CN60" s="356"/>
      <c r="CO60" s="356"/>
      <c r="CP60" s="356"/>
      <c r="CQ60" s="356"/>
      <c r="CR60" s="356"/>
      <c r="CS60" s="356"/>
      <c r="CT60" s="356"/>
      <c r="CU60" s="356"/>
      <c r="CV60" s="356"/>
      <c r="CW60" s="356"/>
      <c r="CX60" s="356"/>
      <c r="CY60" s="356"/>
      <c r="CZ60" s="356"/>
      <c r="DA60" s="356"/>
      <c r="DB60" s="356"/>
      <c r="DC60" s="356"/>
    </row>
    <row r="61" spans="1:107" ht="28.8" hidden="1" x14ac:dyDescent="0.3">
      <c r="A61" s="34">
        <v>5005</v>
      </c>
      <c r="B61" s="33" t="s">
        <v>10</v>
      </c>
      <c r="C61" s="33" t="s">
        <v>350</v>
      </c>
      <c r="D61" s="33" t="s">
        <v>349</v>
      </c>
      <c r="E61" s="349">
        <v>1030000</v>
      </c>
      <c r="F61" s="240">
        <v>43775</v>
      </c>
      <c r="G61" s="240">
        <v>44099</v>
      </c>
      <c r="H61" s="26"/>
      <c r="I61" s="26">
        <v>0.4</v>
      </c>
      <c r="J61" s="26">
        <v>1464.8888888888889</v>
      </c>
      <c r="K61" s="26">
        <v>343.33333333333331</v>
      </c>
      <c r="L61" s="26"/>
      <c r="M61" s="26"/>
      <c r="N61" s="26">
        <f t="shared" si="0"/>
        <v>1808.2222222222222</v>
      </c>
      <c r="O61" s="26">
        <v>343.33333333333331</v>
      </c>
      <c r="P61" s="26"/>
      <c r="Q61" s="26"/>
      <c r="R61" s="26">
        <f t="shared" si="1"/>
        <v>2151.5555555555557</v>
      </c>
      <c r="S61" s="26">
        <v>343.33333333333331</v>
      </c>
      <c r="T61" s="26"/>
      <c r="U61" s="26"/>
      <c r="V61" s="26">
        <f t="shared" si="2"/>
        <v>2494.8888888888891</v>
      </c>
      <c r="W61" s="26">
        <v>354.77777777777777</v>
      </c>
      <c r="X61" s="80"/>
      <c r="Y61" s="26"/>
      <c r="Z61" s="26">
        <f t="shared" si="3"/>
        <v>2849.666666666667</v>
      </c>
      <c r="AA61" s="26">
        <v>338.63013698630141</v>
      </c>
      <c r="AB61" s="80"/>
      <c r="AC61" s="26"/>
      <c r="AD61" s="26">
        <f t="shared" si="4"/>
        <v>3188.2968036529683</v>
      </c>
      <c r="AE61" s="347">
        <v>349.91780821917808</v>
      </c>
      <c r="AF61" s="347"/>
      <c r="AG61" s="347"/>
      <c r="AH61" s="347">
        <f t="shared" si="5"/>
        <v>3538.2146118721462</v>
      </c>
      <c r="AI61" s="347">
        <f t="shared" si="7"/>
        <v>349.91780821917808</v>
      </c>
      <c r="AJ61" s="347"/>
      <c r="AK61" s="347"/>
      <c r="AL61" s="347">
        <f t="shared" si="8"/>
        <v>3888.1324200913241</v>
      </c>
      <c r="AM61" s="348"/>
    </row>
    <row r="62" spans="1:107" hidden="1" x14ac:dyDescent="0.3">
      <c r="A62" s="34">
        <v>5004</v>
      </c>
      <c r="B62" s="33" t="s">
        <v>336</v>
      </c>
      <c r="C62" s="33" t="s">
        <v>348</v>
      </c>
      <c r="D62" s="33" t="s">
        <v>347</v>
      </c>
      <c r="E62" s="349">
        <v>38000</v>
      </c>
      <c r="F62" s="240">
        <v>43774</v>
      </c>
      <c r="G62" s="240">
        <v>44140</v>
      </c>
      <c r="H62" s="26"/>
      <c r="I62" s="26">
        <v>5.9</v>
      </c>
      <c r="J62" s="26">
        <v>541.81666666666672</v>
      </c>
      <c r="K62" s="26">
        <v>186.83333333333334</v>
      </c>
      <c r="L62" s="26"/>
      <c r="M62" s="26"/>
      <c r="N62" s="26">
        <f t="shared" si="0"/>
        <v>728.65000000000009</v>
      </c>
      <c r="O62" s="26">
        <v>186.83333333333334</v>
      </c>
      <c r="P62" s="26"/>
      <c r="Q62" s="26"/>
      <c r="R62" s="26">
        <f t="shared" si="1"/>
        <v>915.48333333333346</v>
      </c>
      <c r="S62" s="26">
        <v>186.83333333333334</v>
      </c>
      <c r="T62" s="26"/>
      <c r="U62" s="26"/>
      <c r="V62" s="26">
        <f t="shared" si="2"/>
        <v>1102.3166666666668</v>
      </c>
      <c r="W62" s="26">
        <v>193.0611111111111</v>
      </c>
      <c r="X62" s="80"/>
      <c r="Y62" s="26"/>
      <c r="Z62" s="26">
        <f t="shared" si="3"/>
        <v>1295.377777777778</v>
      </c>
      <c r="AA62" s="26">
        <v>184.27397260273972</v>
      </c>
      <c r="AB62" s="80"/>
      <c r="AC62" s="26"/>
      <c r="AD62" s="26">
        <f t="shared" si="4"/>
        <v>1479.6517503805176</v>
      </c>
      <c r="AE62" s="347">
        <v>190.41643835616438</v>
      </c>
      <c r="AF62" s="347"/>
      <c r="AG62" s="347"/>
      <c r="AH62" s="347">
        <f t="shared" si="5"/>
        <v>1670.068188736682</v>
      </c>
      <c r="AI62" s="347">
        <f t="shared" si="7"/>
        <v>190.41643835616438</v>
      </c>
      <c r="AJ62" s="347"/>
      <c r="AK62" s="347"/>
      <c r="AL62" s="347">
        <f t="shared" si="8"/>
        <v>1860.4846270928465</v>
      </c>
      <c r="AM62" s="348"/>
    </row>
    <row r="63" spans="1:107" hidden="1" x14ac:dyDescent="0.3">
      <c r="A63" s="34">
        <v>5063</v>
      </c>
      <c r="B63" s="33" t="s">
        <v>77</v>
      </c>
      <c r="C63" s="33" t="s">
        <v>346</v>
      </c>
      <c r="D63" s="33" t="s">
        <v>345</v>
      </c>
      <c r="E63" s="349">
        <v>80000</v>
      </c>
      <c r="F63" s="240">
        <v>43772</v>
      </c>
      <c r="G63" s="240">
        <v>44138</v>
      </c>
      <c r="H63" s="26"/>
      <c r="I63" s="26">
        <v>5.4</v>
      </c>
      <c r="J63" s="26">
        <v>1068.0000000000002</v>
      </c>
      <c r="K63" s="26">
        <v>360.00000000000006</v>
      </c>
      <c r="L63" s="26"/>
      <c r="M63" s="26"/>
      <c r="N63" s="26">
        <f t="shared" si="0"/>
        <v>1428.0000000000002</v>
      </c>
      <c r="O63" s="26">
        <v>360.00000000000006</v>
      </c>
      <c r="P63" s="26"/>
      <c r="Q63" s="26"/>
      <c r="R63" s="26">
        <f t="shared" si="1"/>
        <v>1788.0000000000002</v>
      </c>
      <c r="S63" s="26">
        <v>360.00000000000006</v>
      </c>
      <c r="T63" s="26"/>
      <c r="U63" s="26"/>
      <c r="V63" s="26">
        <f t="shared" si="2"/>
        <v>2148.0000000000005</v>
      </c>
      <c r="W63" s="26">
        <v>372.00000000000006</v>
      </c>
      <c r="X63" s="80"/>
      <c r="Y63" s="26"/>
      <c r="Z63" s="26">
        <f t="shared" si="3"/>
        <v>2520.0000000000005</v>
      </c>
      <c r="AA63" s="26">
        <v>355.06849315068501</v>
      </c>
      <c r="AB63" s="80"/>
      <c r="AC63" s="26"/>
      <c r="AD63" s="26">
        <f t="shared" si="4"/>
        <v>2875.0684931506853</v>
      </c>
      <c r="AE63" s="347">
        <v>366.90410958904118</v>
      </c>
      <c r="AF63" s="347"/>
      <c r="AG63" s="347"/>
      <c r="AH63" s="347">
        <f t="shared" si="5"/>
        <v>3241.9726027397264</v>
      </c>
      <c r="AI63" s="347">
        <f t="shared" si="7"/>
        <v>366.90410958904118</v>
      </c>
      <c r="AJ63" s="347"/>
      <c r="AK63" s="347"/>
      <c r="AL63" s="347">
        <f t="shared" si="8"/>
        <v>3608.8767123287676</v>
      </c>
      <c r="AM63" s="348"/>
    </row>
    <row r="64" spans="1:107" hidden="1" x14ac:dyDescent="0.3">
      <c r="A64" s="34">
        <v>5060</v>
      </c>
      <c r="B64" s="33" t="s">
        <v>19</v>
      </c>
      <c r="C64" s="33" t="s">
        <v>344</v>
      </c>
      <c r="D64" s="33" t="s">
        <v>343</v>
      </c>
      <c r="E64" s="349">
        <v>78000</v>
      </c>
      <c r="F64" s="240">
        <v>43771</v>
      </c>
      <c r="G64" s="240">
        <v>44137</v>
      </c>
      <c r="H64" s="26"/>
      <c r="I64" s="26">
        <v>1.9</v>
      </c>
      <c r="J64" s="26">
        <v>370.5</v>
      </c>
      <c r="K64" s="26">
        <v>123.49999999999999</v>
      </c>
      <c r="L64" s="26"/>
      <c r="M64" s="26"/>
      <c r="N64" s="26">
        <f t="shared" si="0"/>
        <v>494</v>
      </c>
      <c r="O64" s="26">
        <v>123.49999999999999</v>
      </c>
      <c r="P64" s="26"/>
      <c r="Q64" s="26"/>
      <c r="R64" s="26">
        <f t="shared" si="1"/>
        <v>617.5</v>
      </c>
      <c r="S64" s="26">
        <v>123.49999999999999</v>
      </c>
      <c r="T64" s="26"/>
      <c r="U64" s="26"/>
      <c r="V64" s="26">
        <f t="shared" si="2"/>
        <v>741</v>
      </c>
      <c r="W64" s="26">
        <v>127.61666666666666</v>
      </c>
      <c r="X64" s="80"/>
      <c r="Y64" s="26"/>
      <c r="Z64" s="26">
        <f t="shared" si="3"/>
        <v>868.61666666666667</v>
      </c>
      <c r="AA64" s="26">
        <v>121.8082191780822</v>
      </c>
      <c r="AB64" s="80"/>
      <c r="AC64" s="26"/>
      <c r="AD64" s="26">
        <f t="shared" si="4"/>
        <v>990.42488584474881</v>
      </c>
      <c r="AE64" s="347">
        <v>125.86849315068494</v>
      </c>
      <c r="AF64" s="347"/>
      <c r="AG64" s="347"/>
      <c r="AH64" s="347">
        <f t="shared" si="5"/>
        <v>1116.2933789954338</v>
      </c>
      <c r="AI64" s="347">
        <f t="shared" si="7"/>
        <v>125.86849315068494</v>
      </c>
      <c r="AJ64" s="347"/>
      <c r="AK64" s="347"/>
      <c r="AL64" s="347">
        <f t="shared" si="8"/>
        <v>1242.1618721461189</v>
      </c>
      <c r="AM64" s="348"/>
    </row>
    <row r="65" spans="1:39" hidden="1" x14ac:dyDescent="0.3">
      <c r="A65" s="34">
        <v>5063</v>
      </c>
      <c r="B65" s="33" t="s">
        <v>25</v>
      </c>
      <c r="C65" s="33" t="s">
        <v>342</v>
      </c>
      <c r="D65" s="33" t="s">
        <v>341</v>
      </c>
      <c r="E65" s="349">
        <v>138000</v>
      </c>
      <c r="F65" s="240">
        <v>43770</v>
      </c>
      <c r="G65" s="240">
        <v>44136</v>
      </c>
      <c r="H65" s="26"/>
      <c r="I65" s="26">
        <v>4.4000000000000004</v>
      </c>
      <c r="J65" s="26">
        <v>1534.866666666667</v>
      </c>
      <c r="K65" s="26">
        <v>506.00000000000011</v>
      </c>
      <c r="L65" s="26"/>
      <c r="M65" s="26"/>
      <c r="N65" s="26">
        <f t="shared" si="0"/>
        <v>2040.8666666666672</v>
      </c>
      <c r="O65" s="26">
        <v>506.00000000000011</v>
      </c>
      <c r="P65" s="26"/>
      <c r="Q65" s="26"/>
      <c r="R65" s="26">
        <f t="shared" si="1"/>
        <v>2546.8666666666672</v>
      </c>
      <c r="S65" s="26">
        <v>506.00000000000011</v>
      </c>
      <c r="T65" s="26"/>
      <c r="U65" s="26"/>
      <c r="V65" s="26">
        <f t="shared" si="2"/>
        <v>3052.8666666666672</v>
      </c>
      <c r="W65" s="26">
        <v>522.86666666666679</v>
      </c>
      <c r="X65" s="80"/>
      <c r="Y65" s="26"/>
      <c r="Z65" s="26">
        <f t="shared" si="3"/>
        <v>3575.733333333334</v>
      </c>
      <c r="AA65" s="26">
        <v>499.06849315068496</v>
      </c>
      <c r="AB65" s="80"/>
      <c r="AC65" s="26"/>
      <c r="AD65" s="26">
        <f t="shared" si="4"/>
        <v>4074.8018264840189</v>
      </c>
      <c r="AE65" s="347">
        <v>515.7041095890412</v>
      </c>
      <c r="AF65" s="347"/>
      <c r="AG65" s="347"/>
      <c r="AH65" s="347">
        <f t="shared" si="5"/>
        <v>4590.5059360730602</v>
      </c>
      <c r="AI65" s="347">
        <f t="shared" si="7"/>
        <v>515.7041095890412</v>
      </c>
      <c r="AJ65" s="347"/>
      <c r="AK65" s="347"/>
      <c r="AL65" s="347">
        <f t="shared" si="8"/>
        <v>5106.210045662101</v>
      </c>
      <c r="AM65" s="348"/>
    </row>
    <row r="66" spans="1:39" hidden="1" x14ac:dyDescent="0.3">
      <c r="A66" s="34">
        <v>5060</v>
      </c>
      <c r="B66" s="33" t="s">
        <v>40</v>
      </c>
      <c r="C66" s="33" t="s">
        <v>340</v>
      </c>
      <c r="D66" s="33" t="s">
        <v>339</v>
      </c>
      <c r="E66" s="349">
        <v>727000</v>
      </c>
      <c r="F66" s="240">
        <v>43784</v>
      </c>
      <c r="G66" s="240">
        <v>44150</v>
      </c>
      <c r="H66" s="26"/>
      <c r="I66" s="26">
        <v>6.4</v>
      </c>
      <c r="J66" s="26">
        <v>9951.8222222222212</v>
      </c>
      <c r="K66" s="26">
        <v>3877.333333333333</v>
      </c>
      <c r="L66" s="26"/>
      <c r="M66" s="26"/>
      <c r="N66" s="26">
        <f t="shared" si="0"/>
        <v>13829.155555555553</v>
      </c>
      <c r="O66" s="26">
        <v>3877.333333333333</v>
      </c>
      <c r="P66" s="26"/>
      <c r="Q66" s="26"/>
      <c r="R66" s="26">
        <f t="shared" si="1"/>
        <v>17706.488888888885</v>
      </c>
      <c r="S66" s="26">
        <v>3877.333333333333</v>
      </c>
      <c r="T66" s="26"/>
      <c r="U66" s="26"/>
      <c r="V66" s="26">
        <f t="shared" si="2"/>
        <v>21583.822222222218</v>
      </c>
      <c r="W66" s="26">
        <v>4006.5777777777776</v>
      </c>
      <c r="X66" s="80"/>
      <c r="Y66" s="26"/>
      <c r="Z66" s="26">
        <f t="shared" si="3"/>
        <v>25590.399999999994</v>
      </c>
      <c r="AA66" s="26">
        <v>3824.2191780821918</v>
      </c>
      <c r="AB66" s="80"/>
      <c r="AC66" s="26"/>
      <c r="AD66" s="26">
        <f t="shared" si="4"/>
        <v>29414.619178082186</v>
      </c>
      <c r="AE66" s="347">
        <v>3951.6931506849314</v>
      </c>
      <c r="AF66" s="347"/>
      <c r="AG66" s="347"/>
      <c r="AH66" s="347">
        <f t="shared" si="5"/>
        <v>33366.312328767119</v>
      </c>
      <c r="AI66" s="347">
        <f t="shared" si="7"/>
        <v>3951.6931506849314</v>
      </c>
      <c r="AJ66" s="347"/>
      <c r="AK66" s="347"/>
      <c r="AL66" s="347">
        <f t="shared" si="8"/>
        <v>37318.005479452047</v>
      </c>
      <c r="AM66" s="348"/>
    </row>
    <row r="67" spans="1:39" hidden="1" x14ac:dyDescent="0.3">
      <c r="A67" s="34">
        <v>5004</v>
      </c>
      <c r="B67" s="33" t="s">
        <v>336</v>
      </c>
      <c r="C67" s="33" t="s">
        <v>338</v>
      </c>
      <c r="D67" s="33" t="s">
        <v>337</v>
      </c>
      <c r="E67" s="349">
        <v>100000</v>
      </c>
      <c r="F67" s="240">
        <v>43792</v>
      </c>
      <c r="G67" s="240">
        <v>44158</v>
      </c>
      <c r="H67" s="26"/>
      <c r="I67" s="26">
        <v>5.9</v>
      </c>
      <c r="J67" s="26">
        <v>1294.7222222222222</v>
      </c>
      <c r="K67" s="26">
        <v>491.66666666666669</v>
      </c>
      <c r="L67" s="26"/>
      <c r="M67" s="26"/>
      <c r="N67" s="26">
        <f t="shared" si="0"/>
        <v>1786.3888888888889</v>
      </c>
      <c r="O67" s="26">
        <v>491.66666666666669</v>
      </c>
      <c r="P67" s="26"/>
      <c r="Q67" s="26"/>
      <c r="R67" s="26">
        <f t="shared" si="1"/>
        <v>2278.0555555555557</v>
      </c>
      <c r="S67" s="26">
        <v>491.66666666666669</v>
      </c>
      <c r="T67" s="26"/>
      <c r="U67" s="26"/>
      <c r="V67" s="26">
        <f t="shared" si="2"/>
        <v>2769.7222222222222</v>
      </c>
      <c r="W67" s="26">
        <v>508.05555555555554</v>
      </c>
      <c r="X67" s="80"/>
      <c r="Y67" s="26"/>
      <c r="Z67" s="26">
        <f t="shared" si="3"/>
        <v>3277.7777777777778</v>
      </c>
      <c r="AA67" s="26">
        <v>484.93150684931504</v>
      </c>
      <c r="AB67" s="80"/>
      <c r="AC67" s="26"/>
      <c r="AD67" s="26">
        <f t="shared" si="4"/>
        <v>3762.709284627093</v>
      </c>
      <c r="AE67" s="347">
        <v>501.09589041095887</v>
      </c>
      <c r="AF67" s="347"/>
      <c r="AG67" s="347"/>
      <c r="AH67" s="347">
        <f t="shared" si="5"/>
        <v>4263.8051750380519</v>
      </c>
      <c r="AI67" s="347">
        <f t="shared" si="7"/>
        <v>501.09589041095887</v>
      </c>
      <c r="AJ67" s="347"/>
      <c r="AK67" s="347"/>
      <c r="AL67" s="347">
        <f t="shared" si="8"/>
        <v>4764.9010654490103</v>
      </c>
      <c r="AM67" s="348"/>
    </row>
    <row r="68" spans="1:39" hidden="1" x14ac:dyDescent="0.3">
      <c r="A68" s="34">
        <v>5004</v>
      </c>
      <c r="B68" s="33" t="s">
        <v>336</v>
      </c>
      <c r="C68" s="33" t="s">
        <v>335</v>
      </c>
      <c r="D68" s="33" t="s">
        <v>334</v>
      </c>
      <c r="E68" s="349">
        <v>94477.4</v>
      </c>
      <c r="F68" s="240">
        <v>43792</v>
      </c>
      <c r="G68" s="240">
        <v>44158</v>
      </c>
      <c r="H68" s="26"/>
      <c r="I68" s="26">
        <v>5.9</v>
      </c>
      <c r="J68" s="26">
        <v>1223.2198927777779</v>
      </c>
      <c r="K68" s="26">
        <v>464.51388333333341</v>
      </c>
      <c r="L68" s="26"/>
      <c r="M68" s="26"/>
      <c r="N68" s="26">
        <f t="shared" si="0"/>
        <v>1687.7337761111112</v>
      </c>
      <c r="O68" s="26">
        <v>464.51388333333341</v>
      </c>
      <c r="P68" s="26"/>
      <c r="Q68" s="26"/>
      <c r="R68" s="26">
        <f t="shared" si="1"/>
        <v>2152.2476594444447</v>
      </c>
      <c r="S68" s="26">
        <v>464.51388333333341</v>
      </c>
      <c r="T68" s="26"/>
      <c r="U68" s="26"/>
      <c r="V68" s="26">
        <f t="shared" si="2"/>
        <v>2616.7615427777782</v>
      </c>
      <c r="W68" s="26">
        <v>479.99767944444449</v>
      </c>
      <c r="X68" s="80"/>
      <c r="Y68" s="26"/>
      <c r="Z68" s="26">
        <f t="shared" si="3"/>
        <v>3096.7592222222229</v>
      </c>
      <c r="AA68" s="26">
        <v>458.15067945205482</v>
      </c>
      <c r="AB68" s="80"/>
      <c r="AC68" s="26"/>
      <c r="AD68" s="26">
        <f t="shared" si="4"/>
        <v>3554.9099016742775</v>
      </c>
      <c r="AE68" s="347">
        <v>473.42236876712332</v>
      </c>
      <c r="AF68" s="347"/>
      <c r="AG68" s="347"/>
      <c r="AH68" s="347">
        <f t="shared" si="5"/>
        <v>4028.3322704414009</v>
      </c>
      <c r="AI68" s="347">
        <f t="shared" si="7"/>
        <v>473.42236876712332</v>
      </c>
      <c r="AJ68" s="347"/>
      <c r="AK68" s="347"/>
      <c r="AL68" s="347">
        <f t="shared" si="8"/>
        <v>4501.7546392085242</v>
      </c>
      <c r="AM68" s="348"/>
    </row>
    <row r="69" spans="1:39" hidden="1" x14ac:dyDescent="0.3">
      <c r="A69" s="34">
        <v>5004</v>
      </c>
      <c r="B69" s="33" t="s">
        <v>117</v>
      </c>
      <c r="C69" s="33" t="s">
        <v>333</v>
      </c>
      <c r="D69" s="33" t="s">
        <v>332</v>
      </c>
      <c r="E69" s="349">
        <v>100000</v>
      </c>
      <c r="F69" s="240">
        <v>43792</v>
      </c>
      <c r="G69" s="240">
        <v>44158</v>
      </c>
      <c r="H69" s="26"/>
      <c r="I69" s="26">
        <v>5.85</v>
      </c>
      <c r="J69" s="26">
        <v>1283.75</v>
      </c>
      <c r="K69" s="26">
        <v>487.5</v>
      </c>
      <c r="L69" s="26"/>
      <c r="M69" s="26"/>
      <c r="N69" s="26">
        <f t="shared" si="0"/>
        <v>1771.25</v>
      </c>
      <c r="O69" s="26">
        <v>487.5</v>
      </c>
      <c r="P69" s="26"/>
      <c r="Q69" s="26"/>
      <c r="R69" s="26">
        <f t="shared" si="1"/>
        <v>2258.75</v>
      </c>
      <c r="S69" s="26">
        <v>487.5</v>
      </c>
      <c r="T69" s="26"/>
      <c r="U69" s="26"/>
      <c r="V69" s="26">
        <f t="shared" si="2"/>
        <v>2746.25</v>
      </c>
      <c r="W69" s="26">
        <v>503.75</v>
      </c>
      <c r="X69" s="80"/>
      <c r="Y69" s="26"/>
      <c r="Z69" s="26">
        <f t="shared" si="3"/>
        <v>3250</v>
      </c>
      <c r="AA69" s="26">
        <v>480.82191780821915</v>
      </c>
      <c r="AB69" s="80"/>
      <c r="AC69" s="26"/>
      <c r="AD69" s="26">
        <f t="shared" si="4"/>
        <v>3730.821917808219</v>
      </c>
      <c r="AE69" s="347">
        <v>496.84931506849313</v>
      </c>
      <c r="AF69" s="347"/>
      <c r="AG69" s="347"/>
      <c r="AH69" s="347">
        <f t="shared" si="5"/>
        <v>4227.6712328767126</v>
      </c>
      <c r="AI69" s="347">
        <f t="shared" si="7"/>
        <v>496.84931506849313</v>
      </c>
      <c r="AJ69" s="347"/>
      <c r="AK69" s="347"/>
      <c r="AL69" s="347">
        <f t="shared" si="8"/>
        <v>4724.5205479452061</v>
      </c>
      <c r="AM69" s="348"/>
    </row>
    <row r="70" spans="1:39" hidden="1" x14ac:dyDescent="0.3">
      <c r="A70" s="34">
        <v>5004</v>
      </c>
      <c r="B70" s="33" t="s">
        <v>117</v>
      </c>
      <c r="C70" s="33" t="s">
        <v>331</v>
      </c>
      <c r="D70" s="33" t="s">
        <v>330</v>
      </c>
      <c r="E70" s="349">
        <v>150000</v>
      </c>
      <c r="F70" s="240">
        <v>43793</v>
      </c>
      <c r="G70" s="240">
        <v>44159</v>
      </c>
      <c r="H70" s="26"/>
      <c r="I70" s="26">
        <v>5.85</v>
      </c>
      <c r="J70" s="26">
        <v>1901.25</v>
      </c>
      <c r="K70" s="26">
        <v>731.25</v>
      </c>
      <c r="L70" s="26"/>
      <c r="M70" s="26"/>
      <c r="N70" s="26">
        <f t="shared" ref="N70:N126" si="9">+J70+K70+L70+M70</f>
        <v>2632.5</v>
      </c>
      <c r="O70" s="26">
        <v>731.25</v>
      </c>
      <c r="P70" s="26"/>
      <c r="Q70" s="26"/>
      <c r="R70" s="26">
        <f t="shared" ref="R70:R126" si="10">+N70+O70+P70+Q70</f>
        <v>3363.75</v>
      </c>
      <c r="S70" s="26">
        <v>731.25</v>
      </c>
      <c r="T70" s="26"/>
      <c r="U70" s="26"/>
      <c r="V70" s="26">
        <f t="shared" ref="V70:V133" si="11">+R70+S70+T70+U70</f>
        <v>4095</v>
      </c>
      <c r="W70" s="26">
        <v>755.625</v>
      </c>
      <c r="X70" s="80"/>
      <c r="Y70" s="26"/>
      <c r="Z70" s="26">
        <f t="shared" ref="Z70:Z133" si="12">+V70+W70+X70+Y70</f>
        <v>4850.625</v>
      </c>
      <c r="AA70" s="26">
        <v>721.23287671232879</v>
      </c>
      <c r="AB70" s="80"/>
      <c r="AC70" s="26"/>
      <c r="AD70" s="26">
        <f t="shared" ref="AD70:AD133" si="13">+Z70+AA70+AB70+AC70</f>
        <v>5571.857876712329</v>
      </c>
      <c r="AE70" s="347">
        <v>745.27397260273972</v>
      </c>
      <c r="AF70" s="347"/>
      <c r="AG70" s="347"/>
      <c r="AH70" s="347">
        <f t="shared" ref="AH70:AH133" si="14">+AD70+AE70+AF70+AG70</f>
        <v>6317.1318493150684</v>
      </c>
      <c r="AI70" s="347">
        <f t="shared" si="7"/>
        <v>745.27397260273972</v>
      </c>
      <c r="AJ70" s="347"/>
      <c r="AK70" s="347"/>
      <c r="AL70" s="347">
        <f t="shared" si="8"/>
        <v>7062.4058219178078</v>
      </c>
      <c r="AM70" s="348"/>
    </row>
    <row r="71" spans="1:39" hidden="1" x14ac:dyDescent="0.3">
      <c r="A71" s="236">
        <v>5031</v>
      </c>
      <c r="B71" s="237" t="s">
        <v>329</v>
      </c>
      <c r="C71" s="237" t="s">
        <v>328</v>
      </c>
      <c r="D71" s="237" t="s">
        <v>327</v>
      </c>
      <c r="E71" s="80"/>
      <c r="F71" s="240">
        <v>43801</v>
      </c>
      <c r="G71" s="240">
        <v>44166</v>
      </c>
      <c r="H71" s="26"/>
      <c r="I71" s="26">
        <v>6.4</v>
      </c>
      <c r="J71" s="26">
        <v>1418.7401671111111</v>
      </c>
      <c r="K71" s="26">
        <v>1330.0689066666666</v>
      </c>
      <c r="L71" s="26"/>
      <c r="M71" s="26"/>
      <c r="N71" s="26">
        <f t="shared" si="9"/>
        <v>2748.8090737777775</v>
      </c>
      <c r="O71" s="26">
        <v>1330.0689066666666</v>
      </c>
      <c r="P71" s="26"/>
      <c r="Q71" s="26"/>
      <c r="R71" s="26">
        <f t="shared" si="10"/>
        <v>4078.8779804444439</v>
      </c>
      <c r="S71" s="26">
        <v>1330.0689066666666</v>
      </c>
      <c r="T71" s="26"/>
      <c r="U71" s="26"/>
      <c r="V71" s="26">
        <f t="shared" si="11"/>
        <v>5408.9468871111103</v>
      </c>
      <c r="W71" s="26">
        <v>1374.4045368888887</v>
      </c>
      <c r="X71" s="80">
        <v>-7718.76</v>
      </c>
      <c r="Y71" s="26">
        <v>935.41</v>
      </c>
      <c r="Z71" s="26">
        <f t="shared" si="12"/>
        <v>1.4239999983374219E-3</v>
      </c>
      <c r="AA71" s="26">
        <v>0</v>
      </c>
      <c r="AB71" s="80">
        <v>-211.08</v>
      </c>
      <c r="AC71" s="26">
        <v>211.08</v>
      </c>
      <c r="AD71" s="26">
        <f t="shared" si="13"/>
        <v>1.4239999983374219E-3</v>
      </c>
      <c r="AE71" s="347">
        <v>0</v>
      </c>
      <c r="AF71" s="347"/>
      <c r="AG71" s="347"/>
      <c r="AH71" s="347">
        <f t="shared" si="14"/>
        <v>1.4239999983374219E-3</v>
      </c>
      <c r="AI71" s="347">
        <f t="shared" si="7"/>
        <v>0</v>
      </c>
      <c r="AJ71" s="347"/>
      <c r="AK71" s="347"/>
      <c r="AL71" s="347">
        <f t="shared" si="8"/>
        <v>1.4239999983374219E-3</v>
      </c>
      <c r="AM71" s="348" t="s">
        <v>96</v>
      </c>
    </row>
    <row r="72" spans="1:39" hidden="1" x14ac:dyDescent="0.3">
      <c r="A72" s="236">
        <v>5063</v>
      </c>
      <c r="B72" s="237" t="s">
        <v>25</v>
      </c>
      <c r="C72" s="237" t="s">
        <v>326</v>
      </c>
      <c r="D72" s="237" t="s">
        <v>325</v>
      </c>
      <c r="E72" s="80">
        <v>138000</v>
      </c>
      <c r="F72" s="240">
        <v>43800</v>
      </c>
      <c r="G72" s="240">
        <v>44166</v>
      </c>
      <c r="H72" s="26"/>
      <c r="I72" s="26">
        <v>4.4000000000000004</v>
      </c>
      <c r="J72" s="26">
        <v>539.73333333333346</v>
      </c>
      <c r="K72" s="26">
        <v>506.00000000000011</v>
      </c>
      <c r="L72" s="26"/>
      <c r="M72" s="26"/>
      <c r="N72" s="26">
        <f t="shared" si="9"/>
        <v>1045.7333333333336</v>
      </c>
      <c r="O72" s="26">
        <v>506.00000000000011</v>
      </c>
      <c r="P72" s="26"/>
      <c r="Q72" s="26"/>
      <c r="R72" s="26">
        <f t="shared" si="10"/>
        <v>1551.7333333333336</v>
      </c>
      <c r="S72" s="26">
        <v>506.00000000000011</v>
      </c>
      <c r="T72" s="26"/>
      <c r="U72" s="26"/>
      <c r="V72" s="26">
        <f t="shared" si="11"/>
        <v>2057.7333333333336</v>
      </c>
      <c r="W72" s="26">
        <v>522.86666666666679</v>
      </c>
      <c r="X72" s="80"/>
      <c r="Y72" s="26"/>
      <c r="Z72" s="26">
        <f t="shared" si="12"/>
        <v>2580.6000000000004</v>
      </c>
      <c r="AA72" s="26">
        <v>499.06849315068496</v>
      </c>
      <c r="AB72" s="80"/>
      <c r="AC72" s="26"/>
      <c r="AD72" s="26">
        <f t="shared" si="13"/>
        <v>3079.6684931506852</v>
      </c>
      <c r="AE72" s="347">
        <v>515.7041095890412</v>
      </c>
      <c r="AF72" s="347"/>
      <c r="AG72" s="347"/>
      <c r="AH72" s="347">
        <f t="shared" si="14"/>
        <v>3595.3726027397265</v>
      </c>
      <c r="AI72" s="347">
        <f t="shared" si="7"/>
        <v>515.7041095890412</v>
      </c>
      <c r="AJ72" s="347"/>
      <c r="AK72" s="347"/>
      <c r="AL72" s="347">
        <f t="shared" si="8"/>
        <v>4111.0767123287678</v>
      </c>
      <c r="AM72" s="348"/>
    </row>
    <row r="73" spans="1:39" hidden="1" x14ac:dyDescent="0.3">
      <c r="A73" s="236">
        <v>5005</v>
      </c>
      <c r="B73" s="237" t="s">
        <v>10</v>
      </c>
      <c r="C73" s="237" t="s">
        <v>324</v>
      </c>
      <c r="D73" s="237" t="s">
        <v>323</v>
      </c>
      <c r="E73" s="80">
        <v>1400000</v>
      </c>
      <c r="F73" s="240">
        <v>43803</v>
      </c>
      <c r="G73" s="240">
        <v>44169</v>
      </c>
      <c r="H73" s="26"/>
      <c r="I73" s="26">
        <v>0.4</v>
      </c>
      <c r="J73" s="26">
        <v>544.44444444444446</v>
      </c>
      <c r="K73" s="26">
        <v>466.66666666666669</v>
      </c>
      <c r="L73" s="26"/>
      <c r="M73" s="26"/>
      <c r="N73" s="26">
        <f t="shared" si="9"/>
        <v>1011.1111111111111</v>
      </c>
      <c r="O73" s="26">
        <v>466.66666666666669</v>
      </c>
      <c r="P73" s="26"/>
      <c r="Q73" s="26"/>
      <c r="R73" s="26">
        <f t="shared" si="10"/>
        <v>1477.7777777777778</v>
      </c>
      <c r="S73" s="26">
        <v>466.66666666666669</v>
      </c>
      <c r="T73" s="26"/>
      <c r="U73" s="26"/>
      <c r="V73" s="26">
        <f t="shared" si="11"/>
        <v>1944.4444444444446</v>
      </c>
      <c r="W73" s="26">
        <v>482.22222222222223</v>
      </c>
      <c r="X73" s="80"/>
      <c r="Y73" s="26"/>
      <c r="Z73" s="26">
        <f t="shared" si="12"/>
        <v>2426.666666666667</v>
      </c>
      <c r="AA73" s="26">
        <v>460.27397260273972</v>
      </c>
      <c r="AB73" s="80"/>
      <c r="AC73" s="26"/>
      <c r="AD73" s="26">
        <f t="shared" si="13"/>
        <v>2886.9406392694068</v>
      </c>
      <c r="AE73" s="347">
        <v>475.61643835616434</v>
      </c>
      <c r="AF73" s="347"/>
      <c r="AG73" s="347"/>
      <c r="AH73" s="347">
        <f t="shared" si="14"/>
        <v>3362.5570776255713</v>
      </c>
      <c r="AI73" s="347">
        <f t="shared" si="7"/>
        <v>475.61643835616434</v>
      </c>
      <c r="AJ73" s="347"/>
      <c r="AK73" s="347"/>
      <c r="AL73" s="347">
        <f t="shared" si="8"/>
        <v>3838.1735159817358</v>
      </c>
      <c r="AM73" s="348"/>
    </row>
    <row r="74" spans="1:39" hidden="1" x14ac:dyDescent="0.3">
      <c r="A74" s="236">
        <v>5056</v>
      </c>
      <c r="B74" s="237" t="s">
        <v>322</v>
      </c>
      <c r="C74" s="237" t="s">
        <v>321</v>
      </c>
      <c r="D74" s="237" t="s">
        <v>320</v>
      </c>
      <c r="E74" s="80">
        <v>33000</v>
      </c>
      <c r="F74" s="240">
        <v>43811</v>
      </c>
      <c r="G74" s="240">
        <v>44177</v>
      </c>
      <c r="H74" s="26"/>
      <c r="I74" s="26">
        <v>6.4</v>
      </c>
      <c r="J74" s="26">
        <v>252.26666666666665</v>
      </c>
      <c r="K74" s="26">
        <v>176</v>
      </c>
      <c r="L74" s="26"/>
      <c r="M74" s="26"/>
      <c r="N74" s="26">
        <f t="shared" si="9"/>
        <v>428.26666666666665</v>
      </c>
      <c r="O74" s="26">
        <v>176</v>
      </c>
      <c r="P74" s="26"/>
      <c r="Q74" s="26"/>
      <c r="R74" s="26">
        <f t="shared" si="10"/>
        <v>604.26666666666665</v>
      </c>
      <c r="S74" s="26">
        <v>176</v>
      </c>
      <c r="T74" s="26"/>
      <c r="U74" s="26"/>
      <c r="V74" s="26">
        <f t="shared" si="11"/>
        <v>780.26666666666665</v>
      </c>
      <c r="W74" s="26">
        <v>181.86666666666665</v>
      </c>
      <c r="X74" s="80"/>
      <c r="Y74" s="26"/>
      <c r="Z74" s="26">
        <f t="shared" si="12"/>
        <v>962.13333333333333</v>
      </c>
      <c r="AA74" s="26">
        <v>173.58904109589042</v>
      </c>
      <c r="AB74" s="80"/>
      <c r="AC74" s="26"/>
      <c r="AD74" s="26">
        <f t="shared" si="13"/>
        <v>1135.7223744292237</v>
      </c>
      <c r="AE74" s="347">
        <v>179.37534246575342</v>
      </c>
      <c r="AF74" s="347"/>
      <c r="AG74" s="347"/>
      <c r="AH74" s="347">
        <f t="shared" si="14"/>
        <v>1315.0977168949771</v>
      </c>
      <c r="AI74" s="347">
        <f t="shared" si="7"/>
        <v>179.37534246575342</v>
      </c>
      <c r="AJ74" s="347"/>
      <c r="AK74" s="347"/>
      <c r="AL74" s="347">
        <f t="shared" si="8"/>
        <v>1494.4730593607305</v>
      </c>
      <c r="AM74" s="348"/>
    </row>
    <row r="75" spans="1:39" hidden="1" x14ac:dyDescent="0.3">
      <c r="A75" s="236">
        <v>5005</v>
      </c>
      <c r="B75" s="237" t="s">
        <v>265</v>
      </c>
      <c r="C75" s="237" t="s">
        <v>319</v>
      </c>
      <c r="D75" s="237" t="s">
        <v>318</v>
      </c>
      <c r="E75" s="80">
        <v>30000</v>
      </c>
      <c r="F75" s="240">
        <v>43815</v>
      </c>
      <c r="G75" s="240">
        <v>44181</v>
      </c>
      <c r="H75" s="26"/>
      <c r="I75" s="26">
        <v>6.9</v>
      </c>
      <c r="J75" s="26">
        <v>270.25</v>
      </c>
      <c r="K75" s="26">
        <v>172.5</v>
      </c>
      <c r="L75" s="26"/>
      <c r="M75" s="26"/>
      <c r="N75" s="26">
        <f t="shared" si="9"/>
        <v>442.75</v>
      </c>
      <c r="O75" s="26">
        <v>172.5</v>
      </c>
      <c r="P75" s="26"/>
      <c r="Q75" s="26"/>
      <c r="R75" s="26">
        <f t="shared" si="10"/>
        <v>615.25</v>
      </c>
      <c r="S75" s="26">
        <v>172.5</v>
      </c>
      <c r="T75" s="26"/>
      <c r="U75" s="26"/>
      <c r="V75" s="26">
        <f t="shared" si="11"/>
        <v>787.75</v>
      </c>
      <c r="W75" s="26">
        <v>178.25</v>
      </c>
      <c r="X75" s="80"/>
      <c r="Y75" s="26"/>
      <c r="Z75" s="26">
        <f t="shared" si="12"/>
        <v>966</v>
      </c>
      <c r="AA75" s="26">
        <v>170.13698630136986</v>
      </c>
      <c r="AB75" s="80"/>
      <c r="AC75" s="26"/>
      <c r="AD75" s="26">
        <f t="shared" si="13"/>
        <v>1136.1369863013699</v>
      </c>
      <c r="AE75" s="347">
        <v>175.80821917808217</v>
      </c>
      <c r="AF75" s="347"/>
      <c r="AG75" s="347"/>
      <c r="AH75" s="347">
        <f t="shared" si="14"/>
        <v>1311.9452054794522</v>
      </c>
      <c r="AI75" s="347">
        <f t="shared" si="7"/>
        <v>175.80821917808217</v>
      </c>
      <c r="AJ75" s="347"/>
      <c r="AK75" s="347"/>
      <c r="AL75" s="347">
        <f t="shared" si="8"/>
        <v>1487.7534246575344</v>
      </c>
      <c r="AM75" s="348"/>
    </row>
    <row r="76" spans="1:39" hidden="1" x14ac:dyDescent="0.3">
      <c r="A76" s="236">
        <v>5061</v>
      </c>
      <c r="B76" s="237" t="s">
        <v>317</v>
      </c>
      <c r="C76" s="237" t="s">
        <v>316</v>
      </c>
      <c r="D76" s="237" t="s">
        <v>315</v>
      </c>
      <c r="E76" s="80">
        <v>200000</v>
      </c>
      <c r="F76" s="240">
        <v>43816</v>
      </c>
      <c r="G76" s="240">
        <v>44182</v>
      </c>
      <c r="H76" s="26"/>
      <c r="I76" s="26">
        <v>5.65</v>
      </c>
      <c r="J76" s="26">
        <v>1506.6666666666665</v>
      </c>
      <c r="K76" s="26">
        <v>941.66666666666663</v>
      </c>
      <c r="L76" s="26"/>
      <c r="M76" s="26"/>
      <c r="N76" s="26">
        <f t="shared" si="9"/>
        <v>2448.333333333333</v>
      </c>
      <c r="O76" s="26">
        <v>941.66666666666663</v>
      </c>
      <c r="P76" s="26"/>
      <c r="Q76" s="26"/>
      <c r="R76" s="26">
        <f t="shared" si="10"/>
        <v>3389.9999999999995</v>
      </c>
      <c r="S76" s="26">
        <v>941.66666666666663</v>
      </c>
      <c r="T76" s="26"/>
      <c r="U76" s="26"/>
      <c r="V76" s="26">
        <f t="shared" si="11"/>
        <v>4331.6666666666661</v>
      </c>
      <c r="W76" s="26">
        <v>973.05555555555554</v>
      </c>
      <c r="X76" s="80"/>
      <c r="Y76" s="26"/>
      <c r="Z76" s="26">
        <f t="shared" si="12"/>
        <v>5304.7222222222217</v>
      </c>
      <c r="AA76" s="26">
        <v>928.76712328767121</v>
      </c>
      <c r="AB76" s="80"/>
      <c r="AC76" s="26"/>
      <c r="AD76" s="26">
        <f t="shared" si="13"/>
        <v>6233.4893455098927</v>
      </c>
      <c r="AE76" s="347">
        <v>959.72602739726028</v>
      </c>
      <c r="AF76" s="347"/>
      <c r="AG76" s="347"/>
      <c r="AH76" s="347">
        <f t="shared" si="14"/>
        <v>7193.2153729071533</v>
      </c>
      <c r="AI76" s="347">
        <f t="shared" si="7"/>
        <v>959.72602739726028</v>
      </c>
      <c r="AJ76" s="347"/>
      <c r="AK76" s="347"/>
      <c r="AL76" s="347">
        <f t="shared" si="8"/>
        <v>8152.9414003044139</v>
      </c>
      <c r="AM76" s="348"/>
    </row>
    <row r="77" spans="1:39" hidden="1" x14ac:dyDescent="0.3">
      <c r="A77" s="236">
        <v>5060</v>
      </c>
      <c r="B77" s="237" t="s">
        <v>233</v>
      </c>
      <c r="C77" s="237" t="s">
        <v>314</v>
      </c>
      <c r="D77" s="237" t="s">
        <v>313</v>
      </c>
      <c r="E77" s="80">
        <v>170000</v>
      </c>
      <c r="F77" s="240">
        <v>43822</v>
      </c>
      <c r="G77" s="240">
        <v>44186</v>
      </c>
      <c r="H77" s="26"/>
      <c r="I77" s="26">
        <v>5.65</v>
      </c>
      <c r="J77" s="26">
        <v>1387.3888888888891</v>
      </c>
      <c r="K77" s="26">
        <v>800.41666666666674</v>
      </c>
      <c r="L77" s="26"/>
      <c r="M77" s="26"/>
      <c r="N77" s="26">
        <f t="shared" si="9"/>
        <v>2187.8055555555557</v>
      </c>
      <c r="O77" s="26">
        <v>800.41666666666674</v>
      </c>
      <c r="P77" s="26"/>
      <c r="Q77" s="26"/>
      <c r="R77" s="26">
        <f t="shared" si="10"/>
        <v>2988.2222222222226</v>
      </c>
      <c r="S77" s="26">
        <v>800.41666666666674</v>
      </c>
      <c r="T77" s="26"/>
      <c r="U77" s="26"/>
      <c r="V77" s="26">
        <f t="shared" si="11"/>
        <v>3788.6388888888896</v>
      </c>
      <c r="W77" s="26">
        <v>827.09722222222229</v>
      </c>
      <c r="X77" s="80"/>
      <c r="Y77" s="26"/>
      <c r="Z77" s="26">
        <f t="shared" si="12"/>
        <v>4615.7361111111122</v>
      </c>
      <c r="AA77" s="26">
        <v>789.45205479452056</v>
      </c>
      <c r="AB77" s="80"/>
      <c r="AC77" s="26"/>
      <c r="AD77" s="26">
        <f t="shared" si="13"/>
        <v>5405.1881659056326</v>
      </c>
      <c r="AE77" s="347">
        <v>815.76712328767132</v>
      </c>
      <c r="AF77" s="347"/>
      <c r="AG77" s="347"/>
      <c r="AH77" s="347">
        <f t="shared" si="14"/>
        <v>6220.9552891933035</v>
      </c>
      <c r="AI77" s="347">
        <f t="shared" si="7"/>
        <v>815.76712328767132</v>
      </c>
      <c r="AJ77" s="347"/>
      <c r="AK77" s="347"/>
      <c r="AL77" s="347">
        <f t="shared" si="8"/>
        <v>7036.7224124809745</v>
      </c>
      <c r="AM77" s="348"/>
    </row>
    <row r="78" spans="1:39" hidden="1" x14ac:dyDescent="0.3">
      <c r="A78" s="236">
        <v>5060</v>
      </c>
      <c r="B78" s="237" t="s">
        <v>233</v>
      </c>
      <c r="C78" s="237" t="s">
        <v>312</v>
      </c>
      <c r="D78" s="237" t="s">
        <v>311</v>
      </c>
      <c r="E78" s="80">
        <v>254800</v>
      </c>
      <c r="F78" s="240">
        <v>43822</v>
      </c>
      <c r="G78" s="240">
        <v>44186</v>
      </c>
      <c r="H78" s="26"/>
      <c r="I78" s="26">
        <v>5.65</v>
      </c>
      <c r="J78" s="26">
        <v>2079.451111111111</v>
      </c>
      <c r="K78" s="26">
        <v>1199.6833333333334</v>
      </c>
      <c r="L78" s="26"/>
      <c r="M78" s="26"/>
      <c r="N78" s="26">
        <f t="shared" si="9"/>
        <v>3279.1344444444444</v>
      </c>
      <c r="O78" s="26">
        <v>1199.6833333333334</v>
      </c>
      <c r="P78" s="26"/>
      <c r="Q78" s="26"/>
      <c r="R78" s="26">
        <f t="shared" si="10"/>
        <v>4478.8177777777782</v>
      </c>
      <c r="S78" s="26">
        <v>1199.6833333333334</v>
      </c>
      <c r="T78" s="26"/>
      <c r="U78" s="26"/>
      <c r="V78" s="26">
        <f t="shared" si="11"/>
        <v>5678.5011111111116</v>
      </c>
      <c r="W78" s="26">
        <v>1239.6727777777778</v>
      </c>
      <c r="X78" s="80"/>
      <c r="Y78" s="26"/>
      <c r="Z78" s="26">
        <f t="shared" si="12"/>
        <v>6918.1738888888895</v>
      </c>
      <c r="AA78" s="26">
        <v>1183.2493150684932</v>
      </c>
      <c r="AB78" s="80"/>
      <c r="AC78" s="26"/>
      <c r="AD78" s="26">
        <f t="shared" si="13"/>
        <v>8101.4232039573826</v>
      </c>
      <c r="AE78" s="347">
        <v>1222.6909589041097</v>
      </c>
      <c r="AF78" s="347"/>
      <c r="AG78" s="347"/>
      <c r="AH78" s="347">
        <f t="shared" si="14"/>
        <v>9324.1141628614932</v>
      </c>
      <c r="AI78" s="347">
        <f t="shared" si="7"/>
        <v>1222.6909589041097</v>
      </c>
      <c r="AJ78" s="347"/>
      <c r="AK78" s="347"/>
      <c r="AL78" s="347">
        <f t="shared" si="8"/>
        <v>10546.805121765603</v>
      </c>
      <c r="AM78" s="348"/>
    </row>
    <row r="79" spans="1:39" hidden="1" x14ac:dyDescent="0.3">
      <c r="A79" s="236">
        <v>5060</v>
      </c>
      <c r="B79" s="237" t="s">
        <v>233</v>
      </c>
      <c r="C79" s="237" t="s">
        <v>310</v>
      </c>
      <c r="D79" s="237" t="s">
        <v>309</v>
      </c>
      <c r="E79" s="80">
        <v>126000</v>
      </c>
      <c r="F79" s="240">
        <v>43822</v>
      </c>
      <c r="G79" s="240">
        <v>44186</v>
      </c>
      <c r="H79" s="26"/>
      <c r="I79" s="26">
        <v>5.65</v>
      </c>
      <c r="J79" s="26">
        <v>1028.3</v>
      </c>
      <c r="K79" s="26">
        <v>593.25</v>
      </c>
      <c r="L79" s="26"/>
      <c r="M79" s="26"/>
      <c r="N79" s="26">
        <f t="shared" si="9"/>
        <v>1621.55</v>
      </c>
      <c r="O79" s="26">
        <v>593.25</v>
      </c>
      <c r="P79" s="26"/>
      <c r="Q79" s="26"/>
      <c r="R79" s="26">
        <f t="shared" si="10"/>
        <v>2214.8000000000002</v>
      </c>
      <c r="S79" s="26">
        <v>593.25</v>
      </c>
      <c r="T79" s="26"/>
      <c r="U79" s="26"/>
      <c r="V79" s="26">
        <f t="shared" si="11"/>
        <v>2808.05</v>
      </c>
      <c r="W79" s="26">
        <v>613.02499999999998</v>
      </c>
      <c r="X79" s="80"/>
      <c r="Y79" s="26"/>
      <c r="Z79" s="26">
        <f t="shared" si="12"/>
        <v>3421.0750000000003</v>
      </c>
      <c r="AA79" s="26">
        <v>585.1232876712329</v>
      </c>
      <c r="AB79" s="80"/>
      <c r="AC79" s="26"/>
      <c r="AD79" s="26">
        <f t="shared" si="13"/>
        <v>4006.1982876712332</v>
      </c>
      <c r="AE79" s="347">
        <v>604.62739726027394</v>
      </c>
      <c r="AF79" s="347"/>
      <c r="AG79" s="347"/>
      <c r="AH79" s="347">
        <f t="shared" si="14"/>
        <v>4610.8256849315076</v>
      </c>
      <c r="AI79" s="347">
        <f t="shared" si="7"/>
        <v>604.62739726027394</v>
      </c>
      <c r="AJ79" s="347"/>
      <c r="AK79" s="347"/>
      <c r="AL79" s="347">
        <f t="shared" si="8"/>
        <v>5215.4530821917815</v>
      </c>
      <c r="AM79" s="348"/>
    </row>
    <row r="80" spans="1:39" hidden="1" x14ac:dyDescent="0.3">
      <c r="A80" s="236">
        <v>5060</v>
      </c>
      <c r="B80" s="237" t="s">
        <v>233</v>
      </c>
      <c r="C80" s="237" t="s">
        <v>308</v>
      </c>
      <c r="D80" s="237" t="s">
        <v>307</v>
      </c>
      <c r="E80" s="80">
        <v>275000</v>
      </c>
      <c r="F80" s="240">
        <v>43822</v>
      </c>
      <c r="G80" s="240">
        <v>44186</v>
      </c>
      <c r="H80" s="26"/>
      <c r="I80" s="26">
        <v>5.65</v>
      </c>
      <c r="J80" s="26">
        <v>2244.3055555555557</v>
      </c>
      <c r="K80" s="26">
        <v>1294.7916666666667</v>
      </c>
      <c r="L80" s="26"/>
      <c r="M80" s="26"/>
      <c r="N80" s="26">
        <f t="shared" si="9"/>
        <v>3539.0972222222226</v>
      </c>
      <c r="O80" s="26">
        <v>1294.7916666666667</v>
      </c>
      <c r="P80" s="26"/>
      <c r="Q80" s="26"/>
      <c r="R80" s="26">
        <f t="shared" si="10"/>
        <v>4833.8888888888896</v>
      </c>
      <c r="S80" s="26">
        <v>1294.7916666666667</v>
      </c>
      <c r="T80" s="26"/>
      <c r="U80" s="26"/>
      <c r="V80" s="26">
        <f t="shared" si="11"/>
        <v>6128.6805555555566</v>
      </c>
      <c r="W80" s="26">
        <v>1337.9513888888889</v>
      </c>
      <c r="X80" s="80"/>
      <c r="Y80" s="26"/>
      <c r="Z80" s="26">
        <f t="shared" si="12"/>
        <v>7466.6319444444453</v>
      </c>
      <c r="AA80" s="26">
        <v>1277.0547945205478</v>
      </c>
      <c r="AB80" s="80"/>
      <c r="AC80" s="26"/>
      <c r="AD80" s="26">
        <f t="shared" si="13"/>
        <v>8743.6867389649924</v>
      </c>
      <c r="AE80" s="347">
        <v>1319.6232876712329</v>
      </c>
      <c r="AF80" s="347"/>
      <c r="AG80" s="347"/>
      <c r="AH80" s="347">
        <f t="shared" si="14"/>
        <v>10063.310026636225</v>
      </c>
      <c r="AI80" s="347">
        <f t="shared" si="7"/>
        <v>1319.6232876712329</v>
      </c>
      <c r="AJ80" s="347"/>
      <c r="AK80" s="347"/>
      <c r="AL80" s="347">
        <f t="shared" si="8"/>
        <v>11382.933314307458</v>
      </c>
      <c r="AM80" s="348"/>
    </row>
    <row r="81" spans="1:39" hidden="1" x14ac:dyDescent="0.3">
      <c r="A81" s="236">
        <v>5060</v>
      </c>
      <c r="B81" s="237" t="s">
        <v>233</v>
      </c>
      <c r="C81" s="237" t="s">
        <v>306</v>
      </c>
      <c r="D81" s="237" t="s">
        <v>305</v>
      </c>
      <c r="E81" s="80">
        <v>206000</v>
      </c>
      <c r="F81" s="240">
        <v>43822</v>
      </c>
      <c r="G81" s="240">
        <v>44186</v>
      </c>
      <c r="H81" s="26"/>
      <c r="I81" s="26">
        <v>5.65</v>
      </c>
      <c r="J81" s="26">
        <v>1681.1888888888889</v>
      </c>
      <c r="K81" s="26">
        <v>969.91666666666663</v>
      </c>
      <c r="L81" s="26"/>
      <c r="M81" s="26"/>
      <c r="N81" s="26">
        <f t="shared" si="9"/>
        <v>2651.1055555555554</v>
      </c>
      <c r="O81" s="26">
        <v>969.91666666666663</v>
      </c>
      <c r="P81" s="26"/>
      <c r="Q81" s="26"/>
      <c r="R81" s="26">
        <f t="shared" si="10"/>
        <v>3621.0222222222219</v>
      </c>
      <c r="S81" s="26">
        <v>969.91666666666663</v>
      </c>
      <c r="T81" s="26"/>
      <c r="U81" s="26"/>
      <c r="V81" s="26">
        <f t="shared" si="11"/>
        <v>4590.9388888888889</v>
      </c>
      <c r="W81" s="26">
        <v>1002.2472222222223</v>
      </c>
      <c r="X81" s="80"/>
      <c r="Y81" s="26"/>
      <c r="Z81" s="26">
        <f t="shared" si="12"/>
        <v>5593.1861111111111</v>
      </c>
      <c r="AA81" s="26">
        <v>956.63013698630141</v>
      </c>
      <c r="AB81" s="80"/>
      <c r="AC81" s="26"/>
      <c r="AD81" s="26">
        <f t="shared" si="13"/>
        <v>6549.8162480974124</v>
      </c>
      <c r="AE81" s="347">
        <v>988.51780821917805</v>
      </c>
      <c r="AF81" s="347"/>
      <c r="AG81" s="347"/>
      <c r="AH81" s="347">
        <f t="shared" si="14"/>
        <v>7538.3340563165902</v>
      </c>
      <c r="AI81" s="347">
        <f t="shared" si="7"/>
        <v>988.51780821917805</v>
      </c>
      <c r="AJ81" s="347"/>
      <c r="AK81" s="347"/>
      <c r="AL81" s="347">
        <f t="shared" si="8"/>
        <v>8526.851864535769</v>
      </c>
      <c r="AM81" s="348"/>
    </row>
    <row r="82" spans="1:39" hidden="1" x14ac:dyDescent="0.3">
      <c r="A82" s="236">
        <v>5060</v>
      </c>
      <c r="B82" s="237" t="s">
        <v>233</v>
      </c>
      <c r="C82" s="237" t="s">
        <v>304</v>
      </c>
      <c r="D82" s="237" t="s">
        <v>303</v>
      </c>
      <c r="E82" s="80">
        <v>130000</v>
      </c>
      <c r="F82" s="240">
        <v>43822</v>
      </c>
      <c r="G82" s="240">
        <v>44186</v>
      </c>
      <c r="H82" s="26"/>
      <c r="I82" s="26">
        <v>5.65</v>
      </c>
      <c r="J82" s="26">
        <v>1060.9444444444443</v>
      </c>
      <c r="K82" s="26">
        <v>612.08333333333337</v>
      </c>
      <c r="L82" s="26"/>
      <c r="M82" s="26"/>
      <c r="N82" s="26">
        <f t="shared" si="9"/>
        <v>1673.0277777777778</v>
      </c>
      <c r="O82" s="26">
        <v>612.08333333333337</v>
      </c>
      <c r="P82" s="26"/>
      <c r="Q82" s="26"/>
      <c r="R82" s="26">
        <f t="shared" si="10"/>
        <v>2285.1111111111113</v>
      </c>
      <c r="S82" s="26">
        <v>612.08333333333337</v>
      </c>
      <c r="T82" s="26"/>
      <c r="U82" s="26"/>
      <c r="V82" s="26">
        <f t="shared" si="11"/>
        <v>2897.1944444444448</v>
      </c>
      <c r="W82" s="26">
        <v>632.48611111111109</v>
      </c>
      <c r="X82" s="80"/>
      <c r="Y82" s="26"/>
      <c r="Z82" s="26">
        <f t="shared" si="12"/>
        <v>3529.6805555555557</v>
      </c>
      <c r="AA82" s="26">
        <v>603.69863013698625</v>
      </c>
      <c r="AB82" s="80"/>
      <c r="AC82" s="26"/>
      <c r="AD82" s="26">
        <f t="shared" si="13"/>
        <v>4133.3791856925418</v>
      </c>
      <c r="AE82" s="347">
        <v>623.82191780821915</v>
      </c>
      <c r="AF82" s="347"/>
      <c r="AG82" s="347"/>
      <c r="AH82" s="347">
        <f t="shared" si="14"/>
        <v>4757.2011035007608</v>
      </c>
      <c r="AI82" s="347">
        <f t="shared" si="7"/>
        <v>623.82191780821915</v>
      </c>
      <c r="AJ82" s="347"/>
      <c r="AK82" s="347"/>
      <c r="AL82" s="347">
        <f t="shared" si="8"/>
        <v>5381.0230213089799</v>
      </c>
      <c r="AM82" s="348"/>
    </row>
    <row r="83" spans="1:39" hidden="1" x14ac:dyDescent="0.3">
      <c r="A83" s="236">
        <v>5060</v>
      </c>
      <c r="B83" s="237" t="s">
        <v>233</v>
      </c>
      <c r="C83" s="237" t="s">
        <v>302</v>
      </c>
      <c r="D83" s="237" t="s">
        <v>301</v>
      </c>
      <c r="E83" s="80">
        <v>51138.69</v>
      </c>
      <c r="F83" s="240">
        <v>43822</v>
      </c>
      <c r="G83" s="240">
        <v>44186</v>
      </c>
      <c r="H83" s="26"/>
      <c r="I83" s="26">
        <v>5.65</v>
      </c>
      <c r="J83" s="26">
        <v>417.3485311666667</v>
      </c>
      <c r="K83" s="26">
        <v>240.77799875000005</v>
      </c>
      <c r="L83" s="26"/>
      <c r="M83" s="26"/>
      <c r="N83" s="26">
        <f t="shared" si="9"/>
        <v>658.12652991666675</v>
      </c>
      <c r="O83" s="26">
        <v>240.77799875000005</v>
      </c>
      <c r="P83" s="26"/>
      <c r="Q83" s="26"/>
      <c r="R83" s="26">
        <f t="shared" si="10"/>
        <v>898.90452866666681</v>
      </c>
      <c r="S83" s="26">
        <v>240.77799875000005</v>
      </c>
      <c r="T83" s="26"/>
      <c r="U83" s="26"/>
      <c r="V83" s="26">
        <f t="shared" si="11"/>
        <v>1139.6825274166667</v>
      </c>
      <c r="W83" s="26">
        <v>248.80393204166671</v>
      </c>
      <c r="X83" s="80"/>
      <c r="Y83" s="26"/>
      <c r="Z83" s="26">
        <f t="shared" si="12"/>
        <v>1388.4864594583335</v>
      </c>
      <c r="AA83" s="26">
        <v>237.47967000000003</v>
      </c>
      <c r="AB83" s="80"/>
      <c r="AC83" s="26"/>
      <c r="AD83" s="26">
        <f t="shared" si="13"/>
        <v>1625.9661294583334</v>
      </c>
      <c r="AE83" s="347">
        <v>245.39565900000002</v>
      </c>
      <c r="AF83" s="347"/>
      <c r="AG83" s="347"/>
      <c r="AH83" s="347">
        <f t="shared" si="14"/>
        <v>1871.3617884583334</v>
      </c>
      <c r="AI83" s="347">
        <f t="shared" si="7"/>
        <v>245.39565900000002</v>
      </c>
      <c r="AJ83" s="347"/>
      <c r="AK83" s="347"/>
      <c r="AL83" s="347">
        <f t="shared" si="8"/>
        <v>2116.7574474583334</v>
      </c>
      <c r="AM83" s="348"/>
    </row>
    <row r="84" spans="1:39" hidden="1" x14ac:dyDescent="0.3">
      <c r="A84" s="236">
        <v>5060</v>
      </c>
      <c r="B84" s="237" t="s">
        <v>233</v>
      </c>
      <c r="C84" s="237" t="s">
        <v>300</v>
      </c>
      <c r="D84" s="237" t="s">
        <v>299</v>
      </c>
      <c r="E84" s="80">
        <v>200000</v>
      </c>
      <c r="F84" s="240">
        <v>43822</v>
      </c>
      <c r="G84" s="240">
        <v>44186</v>
      </c>
      <c r="H84" s="26"/>
      <c r="I84" s="26">
        <v>5.65</v>
      </c>
      <c r="J84" s="26">
        <v>1632.2222222222222</v>
      </c>
      <c r="K84" s="26">
        <v>941.66666666666663</v>
      </c>
      <c r="L84" s="26"/>
      <c r="M84" s="26"/>
      <c r="N84" s="26">
        <f t="shared" si="9"/>
        <v>2573.8888888888887</v>
      </c>
      <c r="O84" s="26">
        <v>941.66666666666663</v>
      </c>
      <c r="P84" s="26"/>
      <c r="Q84" s="26"/>
      <c r="R84" s="26">
        <f t="shared" si="10"/>
        <v>3515.5555555555552</v>
      </c>
      <c r="S84" s="26">
        <v>941.66666666666663</v>
      </c>
      <c r="T84" s="26"/>
      <c r="U84" s="26"/>
      <c r="V84" s="26">
        <f t="shared" si="11"/>
        <v>4457.2222222222217</v>
      </c>
      <c r="W84" s="26">
        <v>973.05555555555554</v>
      </c>
      <c r="X84" s="80"/>
      <c r="Y84" s="26"/>
      <c r="Z84" s="26">
        <f t="shared" si="12"/>
        <v>5430.2777777777774</v>
      </c>
      <c r="AA84" s="26">
        <v>928.76712328767121</v>
      </c>
      <c r="AB84" s="80"/>
      <c r="AC84" s="26"/>
      <c r="AD84" s="26">
        <f t="shared" si="13"/>
        <v>6359.0449010654484</v>
      </c>
      <c r="AE84" s="347">
        <v>959.72602739726028</v>
      </c>
      <c r="AF84" s="347"/>
      <c r="AG84" s="347"/>
      <c r="AH84" s="347">
        <f t="shared" si="14"/>
        <v>7318.770928462709</v>
      </c>
      <c r="AI84" s="347">
        <f t="shared" si="7"/>
        <v>959.72602739726028</v>
      </c>
      <c r="AJ84" s="347"/>
      <c r="AK84" s="347"/>
      <c r="AL84" s="347">
        <f t="shared" si="8"/>
        <v>8278.4969558599696</v>
      </c>
      <c r="AM84" s="348"/>
    </row>
    <row r="85" spans="1:39" hidden="1" x14ac:dyDescent="0.3">
      <c r="A85" s="236">
        <v>5063</v>
      </c>
      <c r="B85" s="237" t="s">
        <v>25</v>
      </c>
      <c r="C85" s="237" t="s">
        <v>298</v>
      </c>
      <c r="D85" s="237" t="s">
        <v>297</v>
      </c>
      <c r="E85" s="80">
        <v>160000</v>
      </c>
      <c r="F85" s="240">
        <v>43832</v>
      </c>
      <c r="G85" s="240">
        <v>44198</v>
      </c>
      <c r="H85" s="26"/>
      <c r="I85" s="26">
        <v>4.4000000000000004</v>
      </c>
      <c r="J85" s="26">
        <v>567.1111111111112</v>
      </c>
      <c r="K85" s="26">
        <v>586.66666666666674</v>
      </c>
      <c r="L85" s="26"/>
      <c r="M85" s="26"/>
      <c r="N85" s="26">
        <f t="shared" si="9"/>
        <v>1153.7777777777778</v>
      </c>
      <c r="O85" s="26">
        <v>586.66666666666674</v>
      </c>
      <c r="P85" s="26"/>
      <c r="Q85" s="26"/>
      <c r="R85" s="26">
        <f t="shared" si="10"/>
        <v>1740.4444444444446</v>
      </c>
      <c r="S85" s="26">
        <v>586.66666666666674</v>
      </c>
      <c r="T85" s="26"/>
      <c r="U85" s="26"/>
      <c r="V85" s="26">
        <f t="shared" si="11"/>
        <v>2327.1111111111113</v>
      </c>
      <c r="W85" s="26">
        <v>606.22222222222229</v>
      </c>
      <c r="X85" s="80"/>
      <c r="Y85" s="26"/>
      <c r="Z85" s="26">
        <f t="shared" si="12"/>
        <v>2933.3333333333335</v>
      </c>
      <c r="AA85" s="26">
        <v>578.63013698630141</v>
      </c>
      <c r="AB85" s="80"/>
      <c r="AC85" s="26"/>
      <c r="AD85" s="26">
        <f t="shared" si="13"/>
        <v>3511.9634703196348</v>
      </c>
      <c r="AE85" s="347">
        <v>597.91780821917814</v>
      </c>
      <c r="AF85" s="347"/>
      <c r="AG85" s="347"/>
      <c r="AH85" s="347">
        <f t="shared" si="14"/>
        <v>4109.8812785388127</v>
      </c>
      <c r="AI85" s="347">
        <f t="shared" si="7"/>
        <v>597.91780821917814</v>
      </c>
      <c r="AJ85" s="347"/>
      <c r="AK85" s="347"/>
      <c r="AL85" s="347">
        <f t="shared" si="8"/>
        <v>4707.7990867579911</v>
      </c>
      <c r="AM85" s="348"/>
    </row>
    <row r="86" spans="1:39" hidden="1" x14ac:dyDescent="0.3">
      <c r="A86" s="236">
        <v>5060</v>
      </c>
      <c r="B86" s="237" t="s">
        <v>19</v>
      </c>
      <c r="C86" s="237" t="s">
        <v>296</v>
      </c>
      <c r="D86" s="237" t="s">
        <v>295</v>
      </c>
      <c r="E86" s="80">
        <v>60000</v>
      </c>
      <c r="F86" s="240">
        <v>43837</v>
      </c>
      <c r="G86" s="240">
        <v>44203</v>
      </c>
      <c r="H86" s="26"/>
      <c r="I86" s="26">
        <v>1.9</v>
      </c>
      <c r="J86" s="26">
        <v>76</v>
      </c>
      <c r="K86" s="26">
        <v>95</v>
      </c>
      <c r="L86" s="26"/>
      <c r="M86" s="26"/>
      <c r="N86" s="26">
        <f t="shared" si="9"/>
        <v>171</v>
      </c>
      <c r="O86" s="26">
        <v>95</v>
      </c>
      <c r="P86" s="26"/>
      <c r="Q86" s="26"/>
      <c r="R86" s="26">
        <f t="shared" si="10"/>
        <v>266</v>
      </c>
      <c r="S86" s="26">
        <v>95</v>
      </c>
      <c r="T86" s="26"/>
      <c r="U86" s="26"/>
      <c r="V86" s="26">
        <f t="shared" si="11"/>
        <v>361</v>
      </c>
      <c r="W86" s="26">
        <v>98.166666666666657</v>
      </c>
      <c r="X86" s="80"/>
      <c r="Y86" s="26"/>
      <c r="Z86" s="26">
        <f t="shared" si="12"/>
        <v>459.16666666666663</v>
      </c>
      <c r="AA86" s="26">
        <v>93.69863013698631</v>
      </c>
      <c r="AB86" s="80"/>
      <c r="AC86" s="26"/>
      <c r="AD86" s="26">
        <f t="shared" si="13"/>
        <v>552.86529680365288</v>
      </c>
      <c r="AE86" s="347">
        <v>96.821917808219183</v>
      </c>
      <c r="AF86" s="347"/>
      <c r="AG86" s="347"/>
      <c r="AH86" s="347">
        <f t="shared" si="14"/>
        <v>649.68721461187204</v>
      </c>
      <c r="AI86" s="347">
        <f t="shared" si="7"/>
        <v>96.821917808219183</v>
      </c>
      <c r="AJ86" s="347"/>
      <c r="AK86" s="347"/>
      <c r="AL86" s="347">
        <f t="shared" si="8"/>
        <v>746.50913242009119</v>
      </c>
      <c r="AM86" s="348"/>
    </row>
    <row r="87" spans="1:39" hidden="1" x14ac:dyDescent="0.3">
      <c r="A87" s="236">
        <v>5060</v>
      </c>
      <c r="B87" s="237" t="s">
        <v>16</v>
      </c>
      <c r="C87" s="237" t="s">
        <v>294</v>
      </c>
      <c r="D87" s="237" t="s">
        <v>293</v>
      </c>
      <c r="E87" s="80">
        <v>60000</v>
      </c>
      <c r="F87" s="240">
        <v>43838</v>
      </c>
      <c r="G87" s="240">
        <v>44204</v>
      </c>
      <c r="H87" s="26"/>
      <c r="I87" s="26">
        <v>1.9</v>
      </c>
      <c r="J87" s="26">
        <v>72.833333333333329</v>
      </c>
      <c r="K87" s="26">
        <v>95</v>
      </c>
      <c r="L87" s="26"/>
      <c r="M87" s="26"/>
      <c r="N87" s="26">
        <f t="shared" si="9"/>
        <v>167.83333333333331</v>
      </c>
      <c r="O87" s="26">
        <v>95</v>
      </c>
      <c r="P87" s="26"/>
      <c r="Q87" s="26"/>
      <c r="R87" s="26">
        <f t="shared" si="10"/>
        <v>262.83333333333331</v>
      </c>
      <c r="S87" s="26">
        <v>95</v>
      </c>
      <c r="T87" s="26"/>
      <c r="U87" s="26"/>
      <c r="V87" s="26">
        <f t="shared" si="11"/>
        <v>357.83333333333331</v>
      </c>
      <c r="W87" s="26">
        <v>98.166666666666657</v>
      </c>
      <c r="X87" s="80"/>
      <c r="Y87" s="26"/>
      <c r="Z87" s="26">
        <f t="shared" si="12"/>
        <v>456</v>
      </c>
      <c r="AA87" s="26">
        <v>93.69863013698631</v>
      </c>
      <c r="AB87" s="80"/>
      <c r="AC87" s="26"/>
      <c r="AD87" s="26">
        <f t="shared" si="13"/>
        <v>549.69863013698637</v>
      </c>
      <c r="AE87" s="347">
        <v>96.821917808219183</v>
      </c>
      <c r="AF87" s="347"/>
      <c r="AG87" s="347"/>
      <c r="AH87" s="347">
        <f t="shared" si="14"/>
        <v>646.52054794520552</v>
      </c>
      <c r="AI87" s="347">
        <f t="shared" si="7"/>
        <v>96.821917808219183</v>
      </c>
      <c r="AJ87" s="347"/>
      <c r="AK87" s="347"/>
      <c r="AL87" s="347">
        <f t="shared" si="8"/>
        <v>743.34246575342468</v>
      </c>
      <c r="AM87" s="348"/>
    </row>
    <row r="88" spans="1:39" hidden="1" x14ac:dyDescent="0.3">
      <c r="A88" s="236">
        <v>5060</v>
      </c>
      <c r="B88" s="237" t="s">
        <v>233</v>
      </c>
      <c r="C88" s="237" t="s">
        <v>292</v>
      </c>
      <c r="D88" s="237" t="s">
        <v>291</v>
      </c>
      <c r="E88" s="80">
        <v>59000</v>
      </c>
      <c r="F88" s="240">
        <v>43846</v>
      </c>
      <c r="G88" s="240">
        <v>44212</v>
      </c>
      <c r="H88" s="26"/>
      <c r="I88" s="26">
        <v>5.65</v>
      </c>
      <c r="J88" s="26">
        <v>231.49305555555557</v>
      </c>
      <c r="K88" s="26">
        <v>277.79166666666669</v>
      </c>
      <c r="L88" s="26"/>
      <c r="M88" s="26"/>
      <c r="N88" s="26">
        <f t="shared" si="9"/>
        <v>509.28472222222229</v>
      </c>
      <c r="O88" s="26">
        <v>277.79166666666669</v>
      </c>
      <c r="P88" s="26"/>
      <c r="Q88" s="26"/>
      <c r="R88" s="26">
        <f t="shared" si="10"/>
        <v>787.07638888888891</v>
      </c>
      <c r="S88" s="26">
        <v>277.79166666666669</v>
      </c>
      <c r="T88" s="26"/>
      <c r="U88" s="26"/>
      <c r="V88" s="26">
        <f t="shared" si="11"/>
        <v>1064.8680555555557</v>
      </c>
      <c r="W88" s="26">
        <v>287.05138888888894</v>
      </c>
      <c r="X88" s="80"/>
      <c r="Y88" s="26"/>
      <c r="Z88" s="26">
        <f t="shared" si="12"/>
        <v>1351.9194444444447</v>
      </c>
      <c r="AA88" s="26">
        <v>273.98630136986304</v>
      </c>
      <c r="AB88" s="80"/>
      <c r="AC88" s="26"/>
      <c r="AD88" s="26">
        <f t="shared" si="13"/>
        <v>1625.9057458143077</v>
      </c>
      <c r="AE88" s="347">
        <v>283.11917808219181</v>
      </c>
      <c r="AF88" s="347"/>
      <c r="AG88" s="347"/>
      <c r="AH88" s="347">
        <f t="shared" si="14"/>
        <v>1909.0249238964996</v>
      </c>
      <c r="AI88" s="347">
        <f t="shared" si="7"/>
        <v>283.11917808219181</v>
      </c>
      <c r="AJ88" s="347"/>
      <c r="AK88" s="347"/>
      <c r="AL88" s="347">
        <f t="shared" si="8"/>
        <v>2192.1441019786912</v>
      </c>
      <c r="AM88" s="348"/>
    </row>
    <row r="89" spans="1:39" hidden="1" x14ac:dyDescent="0.3">
      <c r="A89" s="236">
        <v>5060</v>
      </c>
      <c r="B89" s="237" t="s">
        <v>19</v>
      </c>
      <c r="C89" s="237" t="s">
        <v>290</v>
      </c>
      <c r="D89" s="237" t="s">
        <v>289</v>
      </c>
      <c r="E89" s="80">
        <v>50000</v>
      </c>
      <c r="F89" s="240">
        <v>43846</v>
      </c>
      <c r="G89" s="240">
        <v>44212</v>
      </c>
      <c r="H89" s="26"/>
      <c r="I89" s="26">
        <v>1.9</v>
      </c>
      <c r="J89" s="26">
        <v>65.972222222222214</v>
      </c>
      <c r="K89" s="26">
        <v>79.166666666666671</v>
      </c>
      <c r="L89" s="26"/>
      <c r="M89" s="26"/>
      <c r="N89" s="26">
        <f t="shared" si="9"/>
        <v>145.13888888888889</v>
      </c>
      <c r="O89" s="26">
        <v>79.166666666666671</v>
      </c>
      <c r="P89" s="26"/>
      <c r="Q89" s="26"/>
      <c r="R89" s="26">
        <f t="shared" si="10"/>
        <v>224.30555555555554</v>
      </c>
      <c r="S89" s="26">
        <v>79.166666666666671</v>
      </c>
      <c r="T89" s="26"/>
      <c r="U89" s="26"/>
      <c r="V89" s="26">
        <f t="shared" si="11"/>
        <v>303.47222222222223</v>
      </c>
      <c r="W89" s="26">
        <v>81.805555555555557</v>
      </c>
      <c r="X89" s="80"/>
      <c r="Y89" s="26"/>
      <c r="Z89" s="26">
        <f t="shared" si="12"/>
        <v>385.27777777777777</v>
      </c>
      <c r="AA89" s="26">
        <v>78.08219178082193</v>
      </c>
      <c r="AB89" s="80"/>
      <c r="AC89" s="26"/>
      <c r="AD89" s="26">
        <f t="shared" si="13"/>
        <v>463.35996955859969</v>
      </c>
      <c r="AE89" s="347">
        <v>80.684931506849324</v>
      </c>
      <c r="AF89" s="347"/>
      <c r="AG89" s="347"/>
      <c r="AH89" s="347">
        <f t="shared" si="14"/>
        <v>544.04490106544904</v>
      </c>
      <c r="AI89" s="347">
        <f t="shared" si="7"/>
        <v>80.684931506849324</v>
      </c>
      <c r="AJ89" s="347"/>
      <c r="AK89" s="347"/>
      <c r="AL89" s="347">
        <f t="shared" si="8"/>
        <v>624.72983257229839</v>
      </c>
      <c r="AM89" s="348"/>
    </row>
    <row r="90" spans="1:39" hidden="1" x14ac:dyDescent="0.3">
      <c r="A90" s="236">
        <v>5055</v>
      </c>
      <c r="B90" s="237" t="s">
        <v>159</v>
      </c>
      <c r="C90" s="237" t="s">
        <v>288</v>
      </c>
      <c r="D90" s="237" t="s">
        <v>287</v>
      </c>
      <c r="E90" s="80">
        <v>746000</v>
      </c>
      <c r="F90" s="240">
        <v>43851</v>
      </c>
      <c r="G90" s="240">
        <v>44206</v>
      </c>
      <c r="H90" s="26"/>
      <c r="I90" s="26">
        <v>7.55</v>
      </c>
      <c r="J90" s="26">
        <v>3285.5083333333332</v>
      </c>
      <c r="K90" s="26">
        <v>4693.5833333333339</v>
      </c>
      <c r="L90" s="26"/>
      <c r="M90" s="26"/>
      <c r="N90" s="26">
        <f t="shared" si="9"/>
        <v>7979.0916666666672</v>
      </c>
      <c r="O90" s="26">
        <v>4693.5833333333339</v>
      </c>
      <c r="P90" s="26"/>
      <c r="Q90" s="26"/>
      <c r="R90" s="26">
        <f t="shared" si="10"/>
        <v>12672.675000000001</v>
      </c>
      <c r="S90" s="26">
        <v>4693.5833333333339</v>
      </c>
      <c r="T90" s="26"/>
      <c r="U90" s="26"/>
      <c r="V90" s="26">
        <f t="shared" si="11"/>
        <v>17366.258333333335</v>
      </c>
      <c r="W90" s="26">
        <v>4850.0361111111115</v>
      </c>
      <c r="X90" s="80"/>
      <c r="Y90" s="26"/>
      <c r="Z90" s="26">
        <f t="shared" si="12"/>
        <v>22216.294444444447</v>
      </c>
      <c r="AA90" s="26">
        <v>4629.2876712328771</v>
      </c>
      <c r="AB90" s="80"/>
      <c r="AC90" s="26"/>
      <c r="AD90" s="26">
        <f t="shared" si="13"/>
        <v>26845.582115677324</v>
      </c>
      <c r="AE90" s="347">
        <v>4783.597260273973</v>
      </c>
      <c r="AF90" s="347"/>
      <c r="AG90" s="347"/>
      <c r="AH90" s="347">
        <f t="shared" si="14"/>
        <v>31629.179375951295</v>
      </c>
      <c r="AI90" s="347">
        <f t="shared" si="7"/>
        <v>4783.597260273973</v>
      </c>
      <c r="AJ90" s="347"/>
      <c r="AK90" s="347"/>
      <c r="AL90" s="347">
        <f t="shared" si="8"/>
        <v>36412.776636225266</v>
      </c>
      <c r="AM90" s="348"/>
    </row>
    <row r="91" spans="1:39" hidden="1" x14ac:dyDescent="0.3">
      <c r="A91" s="236">
        <v>5055</v>
      </c>
      <c r="B91" s="237" t="s">
        <v>159</v>
      </c>
      <c r="C91" s="237" t="s">
        <v>286</v>
      </c>
      <c r="D91" s="237" t="s">
        <v>285</v>
      </c>
      <c r="E91" s="80">
        <v>50000</v>
      </c>
      <c r="F91" s="240">
        <v>43851</v>
      </c>
      <c r="G91" s="240">
        <v>44210</v>
      </c>
      <c r="H91" s="26"/>
      <c r="I91" s="26">
        <v>5.65</v>
      </c>
      <c r="J91" s="26">
        <v>133.40277777777777</v>
      </c>
      <c r="K91" s="26">
        <v>235.41666666666666</v>
      </c>
      <c r="L91" s="26"/>
      <c r="M91" s="26"/>
      <c r="N91" s="26">
        <f t="shared" si="9"/>
        <v>368.81944444444446</v>
      </c>
      <c r="O91" s="26">
        <v>235.41666666666666</v>
      </c>
      <c r="P91" s="26"/>
      <c r="Q91" s="26"/>
      <c r="R91" s="26">
        <f t="shared" si="10"/>
        <v>604.23611111111109</v>
      </c>
      <c r="S91" s="26">
        <v>235.41666666666666</v>
      </c>
      <c r="T91" s="26"/>
      <c r="U91" s="26"/>
      <c r="V91" s="26">
        <f t="shared" si="11"/>
        <v>839.65277777777771</v>
      </c>
      <c r="W91" s="26">
        <v>243.26388888888889</v>
      </c>
      <c r="X91" s="80"/>
      <c r="Y91" s="26"/>
      <c r="Z91" s="26">
        <f t="shared" si="12"/>
        <v>1082.9166666666665</v>
      </c>
      <c r="AA91" s="26">
        <v>232.1917808219178</v>
      </c>
      <c r="AB91" s="80"/>
      <c r="AC91" s="26"/>
      <c r="AD91" s="26">
        <f t="shared" si="13"/>
        <v>1315.1084474885843</v>
      </c>
      <c r="AE91" s="347">
        <v>239.93150684931507</v>
      </c>
      <c r="AF91" s="347"/>
      <c r="AG91" s="347"/>
      <c r="AH91" s="347">
        <f t="shared" si="14"/>
        <v>1555.0399543378994</v>
      </c>
      <c r="AI91" s="347">
        <f t="shared" si="7"/>
        <v>239.93150684931507</v>
      </c>
      <c r="AJ91" s="347"/>
      <c r="AK91" s="347"/>
      <c r="AL91" s="347">
        <f t="shared" si="8"/>
        <v>1794.9714611872146</v>
      </c>
      <c r="AM91" s="348"/>
    </row>
    <row r="92" spans="1:39" hidden="1" x14ac:dyDescent="0.3">
      <c r="A92" s="236">
        <v>5055</v>
      </c>
      <c r="B92" s="237" t="s">
        <v>159</v>
      </c>
      <c r="C92" s="237" t="s">
        <v>284</v>
      </c>
      <c r="D92" s="237" t="s">
        <v>283</v>
      </c>
      <c r="E92" s="80">
        <v>220000</v>
      </c>
      <c r="F92" s="240">
        <v>43852</v>
      </c>
      <c r="G92" s="240">
        <v>44218</v>
      </c>
      <c r="H92" s="26"/>
      <c r="I92" s="26">
        <v>5.65</v>
      </c>
      <c r="J92" s="26">
        <v>310.75</v>
      </c>
      <c r="K92" s="26">
        <v>1035.8333333333333</v>
      </c>
      <c r="L92" s="26"/>
      <c r="M92" s="26"/>
      <c r="N92" s="26">
        <f t="shared" si="9"/>
        <v>1346.5833333333333</v>
      </c>
      <c r="O92" s="26">
        <v>1035.8333333333333</v>
      </c>
      <c r="P92" s="26"/>
      <c r="Q92" s="26"/>
      <c r="R92" s="26">
        <f t="shared" si="10"/>
        <v>2382.4166666666665</v>
      </c>
      <c r="S92" s="26">
        <v>1035.8333333333333</v>
      </c>
      <c r="T92" s="26"/>
      <c r="U92" s="26"/>
      <c r="V92" s="26">
        <f t="shared" si="11"/>
        <v>3418.25</v>
      </c>
      <c r="W92" s="26">
        <v>1070.3611111111111</v>
      </c>
      <c r="X92" s="80"/>
      <c r="Y92" s="26"/>
      <c r="Z92" s="26">
        <f t="shared" si="12"/>
        <v>4488.6111111111113</v>
      </c>
      <c r="AA92" s="26">
        <v>1021.6438356164383</v>
      </c>
      <c r="AB92" s="80"/>
      <c r="AC92" s="26"/>
      <c r="AD92" s="26">
        <f t="shared" si="13"/>
        <v>5510.2549467275494</v>
      </c>
      <c r="AE92" s="347">
        <v>1055.6986301369861</v>
      </c>
      <c r="AF92" s="347"/>
      <c r="AG92" s="347"/>
      <c r="AH92" s="347">
        <f t="shared" si="14"/>
        <v>6565.9535768645355</v>
      </c>
      <c r="AI92" s="347">
        <f t="shared" si="7"/>
        <v>1055.6986301369861</v>
      </c>
      <c r="AJ92" s="347"/>
      <c r="AK92" s="347"/>
      <c r="AL92" s="347">
        <f t="shared" si="8"/>
        <v>7621.6522070015217</v>
      </c>
      <c r="AM92" s="348"/>
    </row>
    <row r="93" spans="1:39" hidden="1" x14ac:dyDescent="0.3">
      <c r="A93" s="236">
        <v>5060</v>
      </c>
      <c r="B93" s="237" t="s">
        <v>16</v>
      </c>
      <c r="C93" s="237" t="s">
        <v>282</v>
      </c>
      <c r="D93" s="237" t="s">
        <v>281</v>
      </c>
      <c r="E93" s="80">
        <v>60000</v>
      </c>
      <c r="F93" s="240">
        <v>43852</v>
      </c>
      <c r="G93" s="240">
        <v>44218</v>
      </c>
      <c r="H93" s="26"/>
      <c r="I93" s="26">
        <v>1.9</v>
      </c>
      <c r="J93" s="26">
        <v>28.5</v>
      </c>
      <c r="K93" s="26">
        <v>95</v>
      </c>
      <c r="L93" s="26"/>
      <c r="M93" s="26"/>
      <c r="N93" s="26">
        <f t="shared" si="9"/>
        <v>123.5</v>
      </c>
      <c r="O93" s="26">
        <v>95</v>
      </c>
      <c r="P93" s="26"/>
      <c r="Q93" s="26"/>
      <c r="R93" s="26">
        <f t="shared" si="10"/>
        <v>218.5</v>
      </c>
      <c r="S93" s="26">
        <v>95</v>
      </c>
      <c r="T93" s="26"/>
      <c r="U93" s="26"/>
      <c r="V93" s="26">
        <f t="shared" si="11"/>
        <v>313.5</v>
      </c>
      <c r="W93" s="26">
        <v>98.166666666666657</v>
      </c>
      <c r="X93" s="80"/>
      <c r="Y93" s="26"/>
      <c r="Z93" s="26">
        <f t="shared" si="12"/>
        <v>411.66666666666663</v>
      </c>
      <c r="AA93" s="26">
        <v>93.69863013698631</v>
      </c>
      <c r="AB93" s="80"/>
      <c r="AC93" s="26"/>
      <c r="AD93" s="26">
        <f t="shared" si="13"/>
        <v>505.36529680365294</v>
      </c>
      <c r="AE93" s="347">
        <v>96.821917808219183</v>
      </c>
      <c r="AF93" s="347"/>
      <c r="AG93" s="347"/>
      <c r="AH93" s="347">
        <f t="shared" si="14"/>
        <v>602.18721461187215</v>
      </c>
      <c r="AI93" s="347">
        <f t="shared" si="7"/>
        <v>96.821917808219183</v>
      </c>
      <c r="AJ93" s="347"/>
      <c r="AK93" s="347"/>
      <c r="AL93" s="347">
        <f t="shared" si="8"/>
        <v>699.0091324200913</v>
      </c>
      <c r="AM93" s="348"/>
    </row>
    <row r="94" spans="1:39" hidden="1" x14ac:dyDescent="0.3">
      <c r="A94" s="236">
        <v>5055</v>
      </c>
      <c r="B94" s="237" t="s">
        <v>159</v>
      </c>
      <c r="C94" s="237" t="s">
        <v>280</v>
      </c>
      <c r="D94" s="237" t="s">
        <v>279</v>
      </c>
      <c r="E94" s="80">
        <v>2200000</v>
      </c>
      <c r="F94" s="240">
        <v>43848</v>
      </c>
      <c r="G94" s="240">
        <v>44214</v>
      </c>
      <c r="H94" s="26"/>
      <c r="I94" s="26">
        <v>6.85</v>
      </c>
      <c r="J94" s="26">
        <v>5441.9444444444434</v>
      </c>
      <c r="K94" s="26">
        <v>12558.33333333333</v>
      </c>
      <c r="L94" s="26"/>
      <c r="M94" s="26"/>
      <c r="N94" s="26">
        <f t="shared" si="9"/>
        <v>18000.277777777774</v>
      </c>
      <c r="O94" s="26">
        <v>12558.33333333333</v>
      </c>
      <c r="P94" s="26"/>
      <c r="Q94" s="26"/>
      <c r="R94" s="26">
        <f t="shared" si="10"/>
        <v>30558.611111111102</v>
      </c>
      <c r="S94" s="26">
        <v>12558.33333333333</v>
      </c>
      <c r="T94" s="26"/>
      <c r="U94" s="26"/>
      <c r="V94" s="26">
        <f t="shared" si="11"/>
        <v>43116.944444444431</v>
      </c>
      <c r="W94" s="26">
        <v>12976.944444444442</v>
      </c>
      <c r="X94" s="80"/>
      <c r="Y94" s="26"/>
      <c r="Z94" s="26">
        <f t="shared" si="12"/>
        <v>56093.888888888876</v>
      </c>
      <c r="AA94" s="26">
        <v>12386.301369863011</v>
      </c>
      <c r="AB94" s="80"/>
      <c r="AC94" s="26"/>
      <c r="AD94" s="26">
        <f t="shared" si="13"/>
        <v>68480.190258751885</v>
      </c>
      <c r="AE94" s="347">
        <v>12799.178082191778</v>
      </c>
      <c r="AF94" s="347"/>
      <c r="AG94" s="347"/>
      <c r="AH94" s="347">
        <f t="shared" si="14"/>
        <v>81279.368340943663</v>
      </c>
      <c r="AI94" s="347">
        <f t="shared" si="7"/>
        <v>12799.178082191778</v>
      </c>
      <c r="AJ94" s="347"/>
      <c r="AK94" s="347"/>
      <c r="AL94" s="347">
        <f t="shared" si="8"/>
        <v>94078.546423135442</v>
      </c>
      <c r="AM94" s="348"/>
    </row>
    <row r="95" spans="1:39" hidden="1" x14ac:dyDescent="0.3">
      <c r="A95" s="236">
        <v>5063</v>
      </c>
      <c r="B95" s="237" t="s">
        <v>25</v>
      </c>
      <c r="C95" s="237" t="s">
        <v>278</v>
      </c>
      <c r="D95" s="237" t="s">
        <v>277</v>
      </c>
      <c r="E95" s="2">
        <v>175000</v>
      </c>
      <c r="F95" s="240">
        <v>43862</v>
      </c>
      <c r="G95" s="240">
        <v>44228</v>
      </c>
      <c r="H95" s="26"/>
      <c r="I95" s="30">
        <f>VLOOKUP(C95,[9]Hoja1!$G:$H,2,FALSE)</f>
        <v>4.4000000000000004</v>
      </c>
      <c r="J95" s="27"/>
      <c r="K95" s="26">
        <v>0</v>
      </c>
      <c r="L95" s="27"/>
      <c r="M95" s="27"/>
      <c r="N95" s="27"/>
      <c r="O95" s="26">
        <v>1283.3333333333335</v>
      </c>
      <c r="P95" s="27"/>
      <c r="Q95" s="27"/>
      <c r="R95" s="26">
        <f t="shared" si="10"/>
        <v>1283.3333333333335</v>
      </c>
      <c r="S95" s="26">
        <v>641.66666666666697</v>
      </c>
      <c r="T95" s="26"/>
      <c r="U95" s="26"/>
      <c r="V95" s="26">
        <f t="shared" si="11"/>
        <v>1925.0000000000005</v>
      </c>
      <c r="W95" s="26">
        <v>663.055555555556</v>
      </c>
      <c r="X95" s="80"/>
      <c r="Y95" s="26"/>
      <c r="Z95" s="26">
        <f>+V95+W95+X95+Y95</f>
        <v>2588.0555555555566</v>
      </c>
      <c r="AA95" s="26">
        <v>632.8767123287671</v>
      </c>
      <c r="AB95" s="80"/>
      <c r="AC95" s="26"/>
      <c r="AD95" s="26">
        <f t="shared" si="13"/>
        <v>3220.9322678843237</v>
      </c>
      <c r="AE95" s="347">
        <v>653.97260273972609</v>
      </c>
      <c r="AF95" s="347"/>
      <c r="AG95" s="347"/>
      <c r="AH95" s="347">
        <f t="shared" si="14"/>
        <v>3874.9048706240496</v>
      </c>
      <c r="AI95" s="347">
        <f t="shared" si="7"/>
        <v>653.97260273972609</v>
      </c>
      <c r="AJ95" s="347"/>
      <c r="AK95" s="347"/>
      <c r="AL95" s="347">
        <f t="shared" si="8"/>
        <v>4528.8774733637756</v>
      </c>
      <c r="AM95" s="348"/>
    </row>
    <row r="96" spans="1:39" hidden="1" x14ac:dyDescent="0.3">
      <c r="A96" s="236">
        <v>5005</v>
      </c>
      <c r="B96" s="237" t="s">
        <v>265</v>
      </c>
      <c r="C96" s="237" t="s">
        <v>276</v>
      </c>
      <c r="D96" s="237" t="s">
        <v>275</v>
      </c>
      <c r="E96" s="2">
        <v>15300</v>
      </c>
      <c r="F96" s="240">
        <v>43865</v>
      </c>
      <c r="G96" s="240">
        <v>44231</v>
      </c>
      <c r="H96" s="26"/>
      <c r="I96" s="30">
        <f>VLOOKUP(C96,[9]Hoja1!$G:$H,2,FALSE)</f>
        <v>6.9</v>
      </c>
      <c r="J96" s="27"/>
      <c r="K96" s="26">
        <v>0</v>
      </c>
      <c r="L96" s="27"/>
      <c r="M96" s="27"/>
      <c r="N96" s="27"/>
      <c r="O96" s="26">
        <v>164.22</v>
      </c>
      <c r="P96" s="27"/>
      <c r="Q96" s="27"/>
      <c r="R96" s="26">
        <f t="shared" si="10"/>
        <v>164.22</v>
      </c>
      <c r="S96" s="26">
        <v>87.975000000000009</v>
      </c>
      <c r="T96" s="26"/>
      <c r="U96" s="26"/>
      <c r="V96" s="26">
        <f t="shared" si="11"/>
        <v>252.19499999999999</v>
      </c>
      <c r="W96" s="26">
        <v>90.907499999999999</v>
      </c>
      <c r="X96" s="80"/>
      <c r="Y96" s="26"/>
      <c r="Z96" s="26">
        <f t="shared" si="12"/>
        <v>343.10249999999996</v>
      </c>
      <c r="AA96" s="26">
        <v>86.76986301369864</v>
      </c>
      <c r="AB96" s="80"/>
      <c r="AC96" s="26"/>
      <c r="AD96" s="26">
        <f t="shared" si="13"/>
        <v>429.87236301369859</v>
      </c>
      <c r="AE96" s="347">
        <v>89.662191780821928</v>
      </c>
      <c r="AF96" s="347"/>
      <c r="AG96" s="347"/>
      <c r="AH96" s="347">
        <f t="shared" si="14"/>
        <v>519.53455479452055</v>
      </c>
      <c r="AI96" s="347">
        <f t="shared" si="7"/>
        <v>89.662191780821928</v>
      </c>
      <c r="AJ96" s="347"/>
      <c r="AK96" s="347"/>
      <c r="AL96" s="347">
        <f t="shared" si="8"/>
        <v>609.19674657534244</v>
      </c>
      <c r="AM96" s="348"/>
    </row>
    <row r="97" spans="1:39" hidden="1" x14ac:dyDescent="0.3">
      <c r="A97" s="236">
        <v>5028</v>
      </c>
      <c r="B97" s="237" t="s">
        <v>274</v>
      </c>
      <c r="C97" s="237" t="s">
        <v>273</v>
      </c>
      <c r="D97" s="237" t="s">
        <v>272</v>
      </c>
      <c r="E97" s="2">
        <v>1400000</v>
      </c>
      <c r="F97" s="240">
        <v>43865</v>
      </c>
      <c r="G97" s="240">
        <v>44231</v>
      </c>
      <c r="H97" s="26"/>
      <c r="I97" s="30">
        <f>VLOOKUP(C97,[9]Hoja1!$G:$H,2,FALSE)</f>
        <v>7.9</v>
      </c>
      <c r="J97" s="27"/>
      <c r="K97" s="26">
        <v>0</v>
      </c>
      <c r="L97" s="27"/>
      <c r="M97" s="27"/>
      <c r="N97" s="27"/>
      <c r="O97" s="26">
        <v>17204.444444444445</v>
      </c>
      <c r="P97" s="27"/>
      <c r="Q97" s="27"/>
      <c r="R97" s="26">
        <f t="shared" si="10"/>
        <v>17204.444444444445</v>
      </c>
      <c r="S97" s="26">
        <v>9216.6666666666661</v>
      </c>
      <c r="T97" s="26"/>
      <c r="U97" s="26"/>
      <c r="V97" s="26">
        <f t="shared" si="11"/>
        <v>26421.111111111109</v>
      </c>
      <c r="W97" s="26">
        <v>9523.8888888888887</v>
      </c>
      <c r="X97" s="80"/>
      <c r="Y97" s="26"/>
      <c r="Z97" s="26">
        <f t="shared" si="12"/>
        <v>35945</v>
      </c>
      <c r="AA97" s="26">
        <v>9090.4109589041109</v>
      </c>
      <c r="AB97" s="80"/>
      <c r="AC97" s="26"/>
      <c r="AD97" s="26">
        <f t="shared" si="13"/>
        <v>45035.410958904111</v>
      </c>
      <c r="AE97" s="347">
        <v>9393.4246575342477</v>
      </c>
      <c r="AF97" s="347"/>
      <c r="AG97" s="347"/>
      <c r="AH97" s="347">
        <f t="shared" si="14"/>
        <v>54428.835616438359</v>
      </c>
      <c r="AI97" s="347">
        <f t="shared" si="7"/>
        <v>9393.4246575342477</v>
      </c>
      <c r="AJ97" s="347"/>
      <c r="AK97" s="347"/>
      <c r="AL97" s="347">
        <f t="shared" si="8"/>
        <v>63822.260273972606</v>
      </c>
      <c r="AM97" s="348"/>
    </row>
    <row r="98" spans="1:39" hidden="1" x14ac:dyDescent="0.3">
      <c r="A98" s="236">
        <v>5060</v>
      </c>
      <c r="B98" s="237" t="s">
        <v>37</v>
      </c>
      <c r="C98" s="237" t="s">
        <v>270</v>
      </c>
      <c r="D98" s="237" t="s">
        <v>271</v>
      </c>
      <c r="E98" s="2"/>
      <c r="F98" s="240">
        <v>43866</v>
      </c>
      <c r="G98" s="240">
        <v>44018</v>
      </c>
      <c r="H98" s="26"/>
      <c r="I98" s="30">
        <f>VLOOKUP(C98,[9]Hoja1!$G:$H,2,FALSE)</f>
        <v>2.9</v>
      </c>
      <c r="J98" s="27"/>
      <c r="K98" s="26">
        <v>0</v>
      </c>
      <c r="L98" s="27"/>
      <c r="M98" s="27"/>
      <c r="N98" s="27"/>
      <c r="O98" s="26">
        <v>575.97222222222217</v>
      </c>
      <c r="P98" s="27"/>
      <c r="Q98" s="27"/>
      <c r="R98" s="26">
        <f t="shared" si="10"/>
        <v>575.97222222222217</v>
      </c>
      <c r="S98" s="26">
        <v>314.16666666666663</v>
      </c>
      <c r="T98" s="26"/>
      <c r="U98" s="26"/>
      <c r="V98" s="26">
        <f t="shared" si="11"/>
        <v>890.1388888888888</v>
      </c>
      <c r="W98" s="26">
        <v>324.63888888888886</v>
      </c>
      <c r="X98" s="80"/>
      <c r="Y98" s="26"/>
      <c r="Z98" s="26">
        <f t="shared" si="12"/>
        <v>1214.7777777777776</v>
      </c>
      <c r="AA98" s="26">
        <v>309.86301369863014</v>
      </c>
      <c r="AB98" s="80"/>
      <c r="AC98" s="26"/>
      <c r="AD98" s="26">
        <f t="shared" si="13"/>
        <v>1524.6407914764077</v>
      </c>
      <c r="AE98" s="347">
        <v>0</v>
      </c>
      <c r="AF98" s="347">
        <v>-1569.97</v>
      </c>
      <c r="AG98" s="347">
        <v>45.33</v>
      </c>
      <c r="AH98" s="347">
        <f t="shared" si="14"/>
        <v>7.9147640765597771E-4</v>
      </c>
      <c r="AI98" s="347"/>
      <c r="AJ98" s="347"/>
      <c r="AK98" s="347"/>
      <c r="AL98" s="347">
        <f t="shared" si="8"/>
        <v>7.9147640765597771E-4</v>
      </c>
      <c r="AM98" s="348" t="s">
        <v>198</v>
      </c>
    </row>
    <row r="99" spans="1:39" hidden="1" x14ac:dyDescent="0.3">
      <c r="A99" s="236">
        <v>5060</v>
      </c>
      <c r="B99" s="237" t="s">
        <v>37</v>
      </c>
      <c r="C99" s="237" t="s">
        <v>270</v>
      </c>
      <c r="D99" s="237" t="s">
        <v>269</v>
      </c>
      <c r="E99" s="80">
        <v>2035.56</v>
      </c>
      <c r="F99" s="240">
        <v>44018</v>
      </c>
      <c r="G99" s="240">
        <v>44232</v>
      </c>
      <c r="H99" s="26"/>
      <c r="I99" s="30">
        <v>2.9</v>
      </c>
      <c r="J99" s="27"/>
      <c r="K99" s="26"/>
      <c r="L99" s="27"/>
      <c r="M99" s="27"/>
      <c r="N99" s="27"/>
      <c r="O99" s="26"/>
      <c r="P99" s="27"/>
      <c r="Q99" s="27"/>
      <c r="R99" s="26"/>
      <c r="S99" s="26"/>
      <c r="T99" s="26"/>
      <c r="U99" s="26"/>
      <c r="V99" s="26"/>
      <c r="W99" s="26"/>
      <c r="X99" s="80"/>
      <c r="Y99" s="26"/>
      <c r="Z99" s="26"/>
      <c r="AA99" s="26"/>
      <c r="AB99" s="80"/>
      <c r="AC99" s="26"/>
      <c r="AD99" s="26"/>
      <c r="AE99" s="347">
        <v>4.0432356164383556</v>
      </c>
      <c r="AF99" s="347"/>
      <c r="AG99" s="347"/>
      <c r="AH99" s="347">
        <f t="shared" si="14"/>
        <v>4.0432356164383556</v>
      </c>
      <c r="AI99" s="347">
        <f t="shared" si="7"/>
        <v>5.0136121643835612</v>
      </c>
      <c r="AJ99" s="227">
        <v>-8.41</v>
      </c>
      <c r="AK99" s="347">
        <v>-0.65</v>
      </c>
      <c r="AL99" s="347">
        <f t="shared" si="8"/>
        <v>-3.152219178083393E-3</v>
      </c>
      <c r="AM99" s="348" t="s">
        <v>96</v>
      </c>
    </row>
    <row r="100" spans="1:39" hidden="1" x14ac:dyDescent="0.3">
      <c r="A100" s="236">
        <v>5057</v>
      </c>
      <c r="B100" s="237" t="s">
        <v>268</v>
      </c>
      <c r="C100" s="237" t="s">
        <v>267</v>
      </c>
      <c r="D100" s="237" t="s">
        <v>266</v>
      </c>
      <c r="E100" s="2">
        <v>500000</v>
      </c>
      <c r="F100" s="240">
        <v>43866</v>
      </c>
      <c r="G100" s="240">
        <v>44232</v>
      </c>
      <c r="H100" s="26"/>
      <c r="I100" s="30">
        <f>VLOOKUP(C100,[9]Hoja1!$G:$H,2,FALSE)</f>
        <v>3.4</v>
      </c>
      <c r="J100" s="27"/>
      <c r="K100" s="26">
        <v>0</v>
      </c>
      <c r="L100" s="27"/>
      <c r="M100" s="27"/>
      <c r="N100" s="27"/>
      <c r="O100" s="26">
        <v>2597.2222222222222</v>
      </c>
      <c r="P100" s="27"/>
      <c r="Q100" s="27"/>
      <c r="R100" s="26">
        <f t="shared" si="10"/>
        <v>2597.2222222222222</v>
      </c>
      <c r="S100" s="26">
        <v>1416.6666666666667</v>
      </c>
      <c r="T100" s="26"/>
      <c r="U100" s="26"/>
      <c r="V100" s="26">
        <f t="shared" si="11"/>
        <v>4013.8888888888887</v>
      </c>
      <c r="W100" s="26">
        <v>1463.8888888888889</v>
      </c>
      <c r="X100" s="80"/>
      <c r="Y100" s="26"/>
      <c r="Z100" s="26">
        <f t="shared" si="12"/>
        <v>5477.7777777777774</v>
      </c>
      <c r="AA100" s="26">
        <v>1397.2602739726026</v>
      </c>
      <c r="AB100" s="80"/>
      <c r="AC100" s="26"/>
      <c r="AD100" s="26">
        <f t="shared" si="13"/>
        <v>6875.03805175038</v>
      </c>
      <c r="AE100" s="347">
        <v>1443.8356164383561</v>
      </c>
      <c r="AF100" s="347"/>
      <c r="AG100" s="347"/>
      <c r="AH100" s="347">
        <f t="shared" si="14"/>
        <v>8318.8736681887367</v>
      </c>
      <c r="AI100" s="347">
        <f t="shared" si="7"/>
        <v>1443.8356164383561</v>
      </c>
      <c r="AJ100" s="347"/>
      <c r="AK100" s="347"/>
      <c r="AL100" s="347">
        <f t="shared" si="8"/>
        <v>9762.7092846270934</v>
      </c>
      <c r="AM100" s="348"/>
    </row>
    <row r="101" spans="1:39" hidden="1" x14ac:dyDescent="0.3">
      <c r="A101" s="236">
        <v>5005</v>
      </c>
      <c r="B101" s="237" t="s">
        <v>265</v>
      </c>
      <c r="C101" s="237" t="s">
        <v>264</v>
      </c>
      <c r="D101" s="237" t="s">
        <v>263</v>
      </c>
      <c r="E101" s="2">
        <v>188600</v>
      </c>
      <c r="F101" s="240">
        <v>43867</v>
      </c>
      <c r="G101" s="240">
        <v>44233</v>
      </c>
      <c r="H101" s="26"/>
      <c r="I101" s="30">
        <f>VLOOKUP(C101,[9]Hoja1!$G:$H,2,FALSE)</f>
        <v>6.9</v>
      </c>
      <c r="J101" s="27"/>
      <c r="K101" s="26">
        <v>0</v>
      </c>
      <c r="L101" s="27"/>
      <c r="M101" s="27"/>
      <c r="N101" s="27"/>
      <c r="O101" s="26">
        <v>1952.0100000000004</v>
      </c>
      <c r="P101" s="27"/>
      <c r="Q101" s="27"/>
      <c r="R101" s="26">
        <f t="shared" si="10"/>
        <v>1952.0100000000004</v>
      </c>
      <c r="S101" s="26">
        <v>1084.4500000000003</v>
      </c>
      <c r="T101" s="26"/>
      <c r="U101" s="26"/>
      <c r="V101" s="26">
        <f t="shared" si="11"/>
        <v>3036.4600000000009</v>
      </c>
      <c r="W101" s="26">
        <v>1120.5983333333336</v>
      </c>
      <c r="X101" s="80"/>
      <c r="Y101" s="26"/>
      <c r="Z101" s="26">
        <f t="shared" si="12"/>
        <v>4157.0583333333343</v>
      </c>
      <c r="AA101" s="26">
        <v>1069.5945205479454</v>
      </c>
      <c r="AB101" s="80"/>
      <c r="AC101" s="26"/>
      <c r="AD101" s="26">
        <f t="shared" si="13"/>
        <v>5226.65285388128</v>
      </c>
      <c r="AE101" s="347">
        <v>1105.2476712328769</v>
      </c>
      <c r="AF101" s="347"/>
      <c r="AG101" s="347"/>
      <c r="AH101" s="347">
        <f t="shared" si="14"/>
        <v>6331.9005251141571</v>
      </c>
      <c r="AI101" s="347">
        <f t="shared" si="7"/>
        <v>1105.2476712328769</v>
      </c>
      <c r="AJ101" s="347"/>
      <c r="AK101" s="347"/>
      <c r="AL101" s="347">
        <f t="shared" si="8"/>
        <v>7437.1481963470342</v>
      </c>
      <c r="AM101" s="348"/>
    </row>
    <row r="102" spans="1:39" hidden="1" x14ac:dyDescent="0.3">
      <c r="A102" s="236">
        <v>5028</v>
      </c>
      <c r="B102" s="237" t="s">
        <v>262</v>
      </c>
      <c r="C102" s="237" t="s">
        <v>261</v>
      </c>
      <c r="D102" s="237" t="s">
        <v>260</v>
      </c>
      <c r="E102" s="80">
        <v>300000</v>
      </c>
      <c r="F102" s="240">
        <v>43865</v>
      </c>
      <c r="G102" s="240">
        <v>44231</v>
      </c>
      <c r="H102" s="26"/>
      <c r="I102" s="30">
        <f>VLOOKUP(C102,[9]Hoja1!$G:$H,2,FALSE)</f>
        <v>7.9</v>
      </c>
      <c r="J102" s="27"/>
      <c r="K102" s="26">
        <v>0</v>
      </c>
      <c r="L102" s="27"/>
      <c r="M102" s="27"/>
      <c r="N102" s="27"/>
      <c r="O102" s="26">
        <v>3686.6666666666665</v>
      </c>
      <c r="P102" s="27"/>
      <c r="Q102" s="27"/>
      <c r="R102" s="26">
        <f t="shared" si="10"/>
        <v>3686.6666666666665</v>
      </c>
      <c r="S102" s="26">
        <v>1974.9999999999998</v>
      </c>
      <c r="T102" s="26"/>
      <c r="U102" s="26"/>
      <c r="V102" s="26">
        <f t="shared" si="11"/>
        <v>5661.6666666666661</v>
      </c>
      <c r="W102" s="26">
        <v>2040.8333333333333</v>
      </c>
      <c r="X102" s="80"/>
      <c r="Y102" s="26"/>
      <c r="Z102" s="26">
        <f t="shared" si="12"/>
        <v>7702.4999999999991</v>
      </c>
      <c r="AA102" s="26">
        <v>1947.9452054794522</v>
      </c>
      <c r="AB102" s="80"/>
      <c r="AC102" s="26"/>
      <c r="AD102" s="26">
        <f t="shared" si="13"/>
        <v>9650.445205479451</v>
      </c>
      <c r="AE102" s="347">
        <v>2012.8767123287671</v>
      </c>
      <c r="AF102" s="347"/>
      <c r="AG102" s="347"/>
      <c r="AH102" s="347">
        <f t="shared" si="14"/>
        <v>11663.321917808218</v>
      </c>
      <c r="AI102" s="347">
        <f t="shared" si="7"/>
        <v>2012.8767123287671</v>
      </c>
      <c r="AJ102" s="347">
        <v>-12921.37</v>
      </c>
      <c r="AK102" s="347">
        <v>-754.83</v>
      </c>
      <c r="AL102" s="347">
        <f t="shared" si="8"/>
        <v>-1.3698630156113722E-3</v>
      </c>
      <c r="AM102" s="348" t="s">
        <v>96</v>
      </c>
    </row>
    <row r="103" spans="1:39" hidden="1" x14ac:dyDescent="0.3">
      <c r="A103" s="236">
        <v>5060</v>
      </c>
      <c r="B103" s="237" t="s">
        <v>19</v>
      </c>
      <c r="C103" s="237" t="s">
        <v>259</v>
      </c>
      <c r="D103" s="237" t="s">
        <v>258</v>
      </c>
      <c r="E103" s="2">
        <v>72500</v>
      </c>
      <c r="F103" s="240">
        <v>43864</v>
      </c>
      <c r="G103" s="240">
        <v>44230</v>
      </c>
      <c r="H103" s="26"/>
      <c r="I103" s="30">
        <f>VLOOKUP(C103,[9]Hoja1!$G:$H,2,FALSE)</f>
        <v>1.9</v>
      </c>
      <c r="J103" s="27"/>
      <c r="K103" s="26">
        <v>0</v>
      </c>
      <c r="L103" s="27"/>
      <c r="M103" s="27"/>
      <c r="N103" s="27"/>
      <c r="O103" s="26">
        <v>218.10416666666666</v>
      </c>
      <c r="P103" s="27"/>
      <c r="Q103" s="27"/>
      <c r="R103" s="26">
        <f t="shared" si="10"/>
        <v>218.10416666666666</v>
      </c>
      <c r="S103" s="26">
        <v>114.79166666666667</v>
      </c>
      <c r="T103" s="26"/>
      <c r="U103" s="26"/>
      <c r="V103" s="26">
        <f t="shared" si="11"/>
        <v>332.89583333333331</v>
      </c>
      <c r="W103" s="26">
        <v>118.61805555555556</v>
      </c>
      <c r="X103" s="80"/>
      <c r="Y103" s="26"/>
      <c r="Z103" s="26">
        <f t="shared" si="12"/>
        <v>451.51388888888886</v>
      </c>
      <c r="AA103" s="26">
        <v>113.21917808219179</v>
      </c>
      <c r="AB103" s="80"/>
      <c r="AC103" s="26"/>
      <c r="AD103" s="26">
        <f t="shared" si="13"/>
        <v>564.73306697108069</v>
      </c>
      <c r="AE103" s="347">
        <v>116.99315068493151</v>
      </c>
      <c r="AF103" s="347"/>
      <c r="AG103" s="347"/>
      <c r="AH103" s="347">
        <f t="shared" si="14"/>
        <v>681.72621765601218</v>
      </c>
      <c r="AI103" s="347">
        <f t="shared" ref="AI103:AI166" si="15">+E103*I103%/365*31</f>
        <v>116.99315068493151</v>
      </c>
      <c r="AJ103" s="347"/>
      <c r="AK103" s="347"/>
      <c r="AL103" s="347">
        <f t="shared" ref="AL103:AL166" si="16">+AH103+AI103+AJ103+AK103</f>
        <v>798.71936834094367</v>
      </c>
      <c r="AM103" s="348"/>
    </row>
    <row r="104" spans="1:39" hidden="1" x14ac:dyDescent="0.3">
      <c r="A104" s="236">
        <v>5060</v>
      </c>
      <c r="B104" s="237" t="s">
        <v>19</v>
      </c>
      <c r="C104" s="237" t="s">
        <v>257</v>
      </c>
      <c r="D104" s="237" t="s">
        <v>256</v>
      </c>
      <c r="E104" s="2">
        <v>90000</v>
      </c>
      <c r="F104" s="240">
        <v>43864</v>
      </c>
      <c r="G104" s="240">
        <v>44230</v>
      </c>
      <c r="H104" s="26"/>
      <c r="I104" s="30">
        <f>VLOOKUP(C104,[9]Hoja1!$G:$H,2,FALSE)</f>
        <v>1.9</v>
      </c>
      <c r="J104" s="27"/>
      <c r="K104" s="26">
        <v>0</v>
      </c>
      <c r="L104" s="27"/>
      <c r="M104" s="27"/>
      <c r="N104" s="27"/>
      <c r="O104" s="26">
        <v>270.75</v>
      </c>
      <c r="P104" s="27"/>
      <c r="Q104" s="27"/>
      <c r="R104" s="26">
        <f t="shared" si="10"/>
        <v>270.75</v>
      </c>
      <c r="S104" s="26">
        <v>142.5</v>
      </c>
      <c r="T104" s="26"/>
      <c r="U104" s="26"/>
      <c r="V104" s="26">
        <f t="shared" si="11"/>
        <v>413.25</v>
      </c>
      <c r="W104" s="26">
        <v>147.25</v>
      </c>
      <c r="X104" s="80"/>
      <c r="Y104" s="26"/>
      <c r="Z104" s="26">
        <f t="shared" si="12"/>
        <v>560.5</v>
      </c>
      <c r="AA104" s="26">
        <v>140.54794520547946</v>
      </c>
      <c r="AB104" s="80"/>
      <c r="AC104" s="26"/>
      <c r="AD104" s="26">
        <f t="shared" si="13"/>
        <v>701.04794520547944</v>
      </c>
      <c r="AE104" s="347">
        <v>145.23287671232876</v>
      </c>
      <c r="AF104" s="347"/>
      <c r="AG104" s="347"/>
      <c r="AH104" s="347">
        <f t="shared" si="14"/>
        <v>846.28082191780823</v>
      </c>
      <c r="AI104" s="347">
        <f t="shared" si="15"/>
        <v>145.23287671232876</v>
      </c>
      <c r="AJ104" s="347"/>
      <c r="AK104" s="347"/>
      <c r="AL104" s="347">
        <f t="shared" si="16"/>
        <v>991.51369863013701</v>
      </c>
      <c r="AM104" s="348"/>
    </row>
    <row r="105" spans="1:39" hidden="1" x14ac:dyDescent="0.3">
      <c r="A105" s="236">
        <v>5055</v>
      </c>
      <c r="B105" s="237" t="s">
        <v>56</v>
      </c>
      <c r="C105" s="237" t="s">
        <v>255</v>
      </c>
      <c r="D105" s="237" t="s">
        <v>254</v>
      </c>
      <c r="E105" s="2">
        <v>1000000</v>
      </c>
      <c r="F105" s="240">
        <v>43878</v>
      </c>
      <c r="G105" s="240">
        <v>44244</v>
      </c>
      <c r="H105" s="26"/>
      <c r="I105" s="30">
        <f>VLOOKUP(C105,[9]Hoja1!$G:$H,2,FALSE)</f>
        <v>5.4</v>
      </c>
      <c r="J105" s="27"/>
      <c r="K105" s="26">
        <v>0</v>
      </c>
      <c r="L105" s="27"/>
      <c r="M105" s="27"/>
      <c r="N105" s="27"/>
      <c r="O105" s="26">
        <v>6450.0000000000009</v>
      </c>
      <c r="P105" s="27"/>
      <c r="Q105" s="27"/>
      <c r="R105" s="26">
        <f t="shared" si="10"/>
        <v>6450.0000000000009</v>
      </c>
      <c r="S105" s="26">
        <v>4500.0000000000009</v>
      </c>
      <c r="T105" s="26"/>
      <c r="U105" s="26"/>
      <c r="V105" s="26">
        <f t="shared" si="11"/>
        <v>10950.000000000002</v>
      </c>
      <c r="W105" s="26">
        <v>4650.0000000000009</v>
      </c>
      <c r="X105" s="80"/>
      <c r="Y105" s="26"/>
      <c r="Z105" s="26">
        <f t="shared" si="12"/>
        <v>15600.000000000004</v>
      </c>
      <c r="AA105" s="26">
        <v>4438.3561643835628</v>
      </c>
      <c r="AB105" s="80"/>
      <c r="AC105" s="26"/>
      <c r="AD105" s="26">
        <f t="shared" si="13"/>
        <v>20038.356164383567</v>
      </c>
      <c r="AE105" s="347">
        <v>4586.3013698630148</v>
      </c>
      <c r="AF105" s="347"/>
      <c r="AG105" s="347"/>
      <c r="AH105" s="347">
        <f t="shared" si="14"/>
        <v>24624.65753424658</v>
      </c>
      <c r="AI105" s="347">
        <f t="shared" si="15"/>
        <v>4586.3013698630148</v>
      </c>
      <c r="AJ105" s="347"/>
      <c r="AK105" s="347"/>
      <c r="AL105" s="347">
        <f t="shared" si="16"/>
        <v>29210.958904109597</v>
      </c>
      <c r="AM105" s="348"/>
    </row>
    <row r="106" spans="1:39" hidden="1" x14ac:dyDescent="0.3">
      <c r="A106" s="236">
        <v>5055</v>
      </c>
      <c r="B106" s="237" t="s">
        <v>56</v>
      </c>
      <c r="C106" s="237" t="s">
        <v>253</v>
      </c>
      <c r="D106" s="237" t="s">
        <v>252</v>
      </c>
      <c r="E106" s="2">
        <v>1500000</v>
      </c>
      <c r="F106" s="240">
        <v>43879</v>
      </c>
      <c r="G106" s="240">
        <v>44245</v>
      </c>
      <c r="H106" s="26"/>
      <c r="I106" s="30">
        <f>VLOOKUP(C106,[9]Hoja1!$G:$H,2,FALSE)</f>
        <v>6.9</v>
      </c>
      <c r="J106" s="27"/>
      <c r="K106" s="26">
        <v>0</v>
      </c>
      <c r="L106" s="27"/>
      <c r="M106" s="27"/>
      <c r="N106" s="27"/>
      <c r="O106" s="26">
        <v>12075.000000000002</v>
      </c>
      <c r="P106" s="27"/>
      <c r="Q106" s="27"/>
      <c r="R106" s="26">
        <f t="shared" si="10"/>
        <v>12075.000000000002</v>
      </c>
      <c r="S106" s="26">
        <v>8625.0000000000018</v>
      </c>
      <c r="T106" s="26"/>
      <c r="U106" s="26"/>
      <c r="V106" s="26">
        <f t="shared" si="11"/>
        <v>20700.000000000004</v>
      </c>
      <c r="W106" s="26">
        <v>8912.5000000000018</v>
      </c>
      <c r="X106" s="80"/>
      <c r="Y106" s="26"/>
      <c r="Z106" s="26">
        <f t="shared" si="12"/>
        <v>29612.500000000007</v>
      </c>
      <c r="AA106" s="26">
        <v>8506.8493150684935</v>
      </c>
      <c r="AB106" s="80"/>
      <c r="AC106" s="26"/>
      <c r="AD106" s="26">
        <f t="shared" si="13"/>
        <v>38119.349315068503</v>
      </c>
      <c r="AE106" s="347">
        <v>8790.4109589041109</v>
      </c>
      <c r="AF106" s="347"/>
      <c r="AG106" s="347"/>
      <c r="AH106" s="347">
        <f t="shared" si="14"/>
        <v>46909.760273972614</v>
      </c>
      <c r="AI106" s="347">
        <f t="shared" si="15"/>
        <v>8790.4109589041109</v>
      </c>
      <c r="AJ106" s="347"/>
      <c r="AK106" s="347"/>
      <c r="AL106" s="347">
        <f t="shared" si="16"/>
        <v>55700.171232876724</v>
      </c>
      <c r="AM106" s="348"/>
    </row>
    <row r="107" spans="1:39" hidden="1" x14ac:dyDescent="0.3">
      <c r="A107" s="236">
        <v>5063</v>
      </c>
      <c r="B107" s="237" t="s">
        <v>77</v>
      </c>
      <c r="C107" s="237" t="s">
        <v>251</v>
      </c>
      <c r="D107" s="237" t="s">
        <v>250</v>
      </c>
      <c r="E107" s="2">
        <v>23000</v>
      </c>
      <c r="F107" s="240">
        <v>43880</v>
      </c>
      <c r="G107" s="240">
        <v>44246</v>
      </c>
      <c r="H107" s="26"/>
      <c r="I107" s="30">
        <f>VLOOKUP(C107,[9]Hoja1!$G:$H,2,FALSE)</f>
        <v>5.4</v>
      </c>
      <c r="J107" s="27"/>
      <c r="K107" s="26">
        <v>0</v>
      </c>
      <c r="L107" s="27"/>
      <c r="M107" s="27"/>
      <c r="N107" s="27"/>
      <c r="O107" s="26">
        <v>144.90000000000003</v>
      </c>
      <c r="P107" s="27"/>
      <c r="Q107" s="27"/>
      <c r="R107" s="26">
        <f t="shared" si="10"/>
        <v>144.90000000000003</v>
      </c>
      <c r="S107" s="26">
        <v>103.50000000000001</v>
      </c>
      <c r="T107" s="26"/>
      <c r="U107" s="26"/>
      <c r="V107" s="26">
        <f t="shared" si="11"/>
        <v>248.40000000000003</v>
      </c>
      <c r="W107" s="26">
        <v>106.95000000000002</v>
      </c>
      <c r="X107" s="80"/>
      <c r="Y107" s="26"/>
      <c r="Z107" s="26">
        <f t="shared" si="12"/>
        <v>355.35</v>
      </c>
      <c r="AA107" s="26">
        <v>102.08219178082193</v>
      </c>
      <c r="AB107" s="80"/>
      <c r="AC107" s="26"/>
      <c r="AD107" s="26">
        <f t="shared" si="13"/>
        <v>457.43219178082194</v>
      </c>
      <c r="AE107" s="347">
        <v>105.48493150684934</v>
      </c>
      <c r="AF107" s="347"/>
      <c r="AG107" s="347"/>
      <c r="AH107" s="347">
        <f t="shared" si="14"/>
        <v>562.9171232876713</v>
      </c>
      <c r="AI107" s="347">
        <f t="shared" si="15"/>
        <v>105.48493150684934</v>
      </c>
      <c r="AJ107" s="347"/>
      <c r="AK107" s="347"/>
      <c r="AL107" s="347">
        <f t="shared" si="16"/>
        <v>668.40205479452061</v>
      </c>
      <c r="AM107" s="348"/>
    </row>
    <row r="108" spans="1:39" hidden="1" x14ac:dyDescent="0.3">
      <c r="A108" s="236">
        <v>5060</v>
      </c>
      <c r="B108" s="237" t="s">
        <v>16</v>
      </c>
      <c r="C108" s="237" t="s">
        <v>249</v>
      </c>
      <c r="D108" s="237" t="s">
        <v>248</v>
      </c>
      <c r="E108" s="2">
        <v>87500</v>
      </c>
      <c r="F108" s="240">
        <v>43880</v>
      </c>
      <c r="G108" s="240">
        <v>44246</v>
      </c>
      <c r="H108" s="26"/>
      <c r="I108" s="30">
        <f>VLOOKUP(C108,[9]Hoja1!$G:$H,2,FALSE)</f>
        <v>1.9</v>
      </c>
      <c r="J108" s="27"/>
      <c r="K108" s="26">
        <v>0</v>
      </c>
      <c r="L108" s="27"/>
      <c r="M108" s="27"/>
      <c r="N108" s="27"/>
      <c r="O108" s="26">
        <v>189.34027777777777</v>
      </c>
      <c r="P108" s="27"/>
      <c r="Q108" s="27"/>
      <c r="R108" s="26">
        <f t="shared" si="10"/>
        <v>189.34027777777777</v>
      </c>
      <c r="S108" s="26">
        <v>138.54166666666666</v>
      </c>
      <c r="T108" s="26"/>
      <c r="U108" s="26"/>
      <c r="V108" s="26">
        <f t="shared" si="11"/>
        <v>327.88194444444446</v>
      </c>
      <c r="W108" s="26">
        <v>143.15972222222223</v>
      </c>
      <c r="X108" s="80"/>
      <c r="Y108" s="26"/>
      <c r="Z108" s="26">
        <f t="shared" si="12"/>
        <v>471.04166666666669</v>
      </c>
      <c r="AA108" s="26">
        <v>136.64383561643837</v>
      </c>
      <c r="AB108" s="80"/>
      <c r="AC108" s="26"/>
      <c r="AD108" s="26">
        <f t="shared" si="13"/>
        <v>607.68550228310505</v>
      </c>
      <c r="AE108" s="347">
        <v>141.19863013698631</v>
      </c>
      <c r="AF108" s="347"/>
      <c r="AG108" s="347"/>
      <c r="AH108" s="347">
        <f t="shared" si="14"/>
        <v>748.88413242009142</v>
      </c>
      <c r="AI108" s="347">
        <f t="shared" si="15"/>
        <v>141.19863013698631</v>
      </c>
      <c r="AJ108" s="347"/>
      <c r="AK108" s="347"/>
      <c r="AL108" s="347">
        <f t="shared" si="16"/>
        <v>890.08276255707779</v>
      </c>
      <c r="AM108" s="348"/>
    </row>
    <row r="109" spans="1:39" hidden="1" x14ac:dyDescent="0.3">
      <c r="A109" s="236">
        <v>5060</v>
      </c>
      <c r="B109" s="237" t="s">
        <v>19</v>
      </c>
      <c r="C109" s="237" t="s">
        <v>247</v>
      </c>
      <c r="D109" s="237" t="s">
        <v>246</v>
      </c>
      <c r="E109" s="2">
        <v>87500</v>
      </c>
      <c r="F109" s="240">
        <v>43880</v>
      </c>
      <c r="G109" s="240">
        <v>44246</v>
      </c>
      <c r="H109" s="26"/>
      <c r="I109" s="30">
        <f>VLOOKUP(C109,[9]Hoja1!$G:$H,2,FALSE)</f>
        <v>1.9</v>
      </c>
      <c r="J109" s="27"/>
      <c r="K109" s="26">
        <v>0</v>
      </c>
      <c r="L109" s="27"/>
      <c r="M109" s="27"/>
      <c r="N109" s="27"/>
      <c r="O109" s="26">
        <v>189.34027777777777</v>
      </c>
      <c r="P109" s="27"/>
      <c r="Q109" s="27"/>
      <c r="R109" s="26">
        <f t="shared" si="10"/>
        <v>189.34027777777777</v>
      </c>
      <c r="S109" s="26">
        <v>138.54166666666666</v>
      </c>
      <c r="T109" s="26"/>
      <c r="U109" s="26"/>
      <c r="V109" s="26">
        <f t="shared" si="11"/>
        <v>327.88194444444446</v>
      </c>
      <c r="W109" s="26">
        <v>143.15972222222223</v>
      </c>
      <c r="X109" s="80"/>
      <c r="Y109" s="26"/>
      <c r="Z109" s="26">
        <f t="shared" si="12"/>
        <v>471.04166666666669</v>
      </c>
      <c r="AA109" s="26">
        <v>136.64383561643837</v>
      </c>
      <c r="AB109" s="80"/>
      <c r="AC109" s="26"/>
      <c r="AD109" s="26">
        <f t="shared" si="13"/>
        <v>607.68550228310505</v>
      </c>
      <c r="AE109" s="347">
        <v>141.19863013698631</v>
      </c>
      <c r="AF109" s="347"/>
      <c r="AG109" s="347"/>
      <c r="AH109" s="347">
        <f t="shared" si="14"/>
        <v>748.88413242009142</v>
      </c>
      <c r="AI109" s="347">
        <f t="shared" si="15"/>
        <v>141.19863013698631</v>
      </c>
      <c r="AJ109" s="347"/>
      <c r="AK109" s="347"/>
      <c r="AL109" s="347">
        <f t="shared" si="16"/>
        <v>890.08276255707779</v>
      </c>
      <c r="AM109" s="348"/>
    </row>
    <row r="110" spans="1:39" hidden="1" x14ac:dyDescent="0.3">
      <c r="A110" s="46">
        <v>5063</v>
      </c>
      <c r="B110" s="241" t="s">
        <v>13</v>
      </c>
      <c r="C110" s="241" t="s">
        <v>245</v>
      </c>
      <c r="D110" s="241" t="s">
        <v>244</v>
      </c>
      <c r="E110" s="2">
        <v>100000</v>
      </c>
      <c r="F110" s="242">
        <v>43881</v>
      </c>
      <c r="G110" s="242">
        <v>44247</v>
      </c>
      <c r="H110" s="44"/>
      <c r="I110" s="357">
        <f>VLOOKUP(C110,[9]Hoja1!$G:$H,2,FALSE)</f>
        <v>8.9</v>
      </c>
      <c r="J110" s="358"/>
      <c r="K110" s="44">
        <v>0</v>
      </c>
      <c r="L110" s="358"/>
      <c r="M110" s="358"/>
      <c r="N110" s="358"/>
      <c r="O110" s="44">
        <v>988.88888888888914</v>
      </c>
      <c r="P110" s="358"/>
      <c r="Q110" s="358"/>
      <c r="R110" s="44">
        <f t="shared" si="10"/>
        <v>988.88888888888914</v>
      </c>
      <c r="S110" s="44">
        <v>741.66666666666686</v>
      </c>
      <c r="T110" s="44"/>
      <c r="U110" s="44"/>
      <c r="V110" s="44">
        <f t="shared" si="11"/>
        <v>1730.5555555555561</v>
      </c>
      <c r="W110" s="44">
        <v>766.38888888888914</v>
      </c>
      <c r="X110" s="359"/>
      <c r="Y110" s="44"/>
      <c r="Z110" s="44">
        <f t="shared" si="12"/>
        <v>2496.9444444444453</v>
      </c>
      <c r="AA110" s="44">
        <v>731.50684931506862</v>
      </c>
      <c r="AB110" s="359"/>
      <c r="AC110" s="44"/>
      <c r="AD110" s="44">
        <f t="shared" si="13"/>
        <v>3228.4512937595136</v>
      </c>
      <c r="AE110" s="347">
        <v>755.89041095890423</v>
      </c>
      <c r="AF110" s="347"/>
      <c r="AG110" s="347"/>
      <c r="AH110" s="347">
        <f t="shared" si="14"/>
        <v>3984.341704718418</v>
      </c>
      <c r="AI110" s="347">
        <f t="shared" si="15"/>
        <v>755.89041095890423</v>
      </c>
      <c r="AJ110" s="360"/>
      <c r="AK110" s="360"/>
      <c r="AL110" s="347">
        <f t="shared" si="16"/>
        <v>4740.2321156773223</v>
      </c>
      <c r="AM110" s="361"/>
    </row>
    <row r="111" spans="1:39" hidden="1" x14ac:dyDescent="0.3">
      <c r="A111" s="236">
        <v>5063</v>
      </c>
      <c r="B111" s="237" t="s">
        <v>25</v>
      </c>
      <c r="C111" s="237" t="s">
        <v>243</v>
      </c>
      <c r="D111" s="237" t="s">
        <v>242</v>
      </c>
      <c r="E111" s="80">
        <v>122500</v>
      </c>
      <c r="F111" s="240">
        <v>43891</v>
      </c>
      <c r="G111" s="240">
        <v>44256</v>
      </c>
      <c r="H111" s="26"/>
      <c r="I111" s="26">
        <f>VLOOKUP(C111,[9]Hoja1!$G:$H,2,FALSE)</f>
        <v>4.4000000000000004</v>
      </c>
      <c r="J111" s="26"/>
      <c r="K111" s="26"/>
      <c r="L111" s="26"/>
      <c r="M111" s="26"/>
      <c r="N111" s="26"/>
      <c r="O111" s="26">
        <v>434.19444444444451</v>
      </c>
      <c r="P111" s="26"/>
      <c r="Q111" s="26"/>
      <c r="R111" s="26">
        <f t="shared" si="10"/>
        <v>434.19444444444451</v>
      </c>
      <c r="S111" s="26">
        <v>449.16666666666674</v>
      </c>
      <c r="T111" s="26"/>
      <c r="U111" s="26"/>
      <c r="V111" s="26">
        <f t="shared" si="11"/>
        <v>883.36111111111131</v>
      </c>
      <c r="W111" s="26">
        <v>464.13888888888897</v>
      </c>
      <c r="X111" s="80"/>
      <c r="Y111" s="26"/>
      <c r="Z111" s="26">
        <f t="shared" si="12"/>
        <v>1347.5000000000002</v>
      </c>
      <c r="AA111" s="26">
        <v>443.01369863013707</v>
      </c>
      <c r="AB111" s="80"/>
      <c r="AC111" s="26"/>
      <c r="AD111" s="26">
        <f t="shared" si="13"/>
        <v>1790.5136986301372</v>
      </c>
      <c r="AE111" s="347">
        <v>457.78082191780834</v>
      </c>
      <c r="AF111" s="347"/>
      <c r="AG111" s="347"/>
      <c r="AH111" s="347">
        <f t="shared" si="14"/>
        <v>2248.2945205479455</v>
      </c>
      <c r="AI111" s="347">
        <f t="shared" si="15"/>
        <v>457.78082191780834</v>
      </c>
      <c r="AJ111" s="347"/>
      <c r="AK111" s="347"/>
      <c r="AL111" s="347">
        <f t="shared" si="16"/>
        <v>2706.0753424657537</v>
      </c>
      <c r="AM111" s="348"/>
    </row>
    <row r="112" spans="1:39" hidden="1" x14ac:dyDescent="0.3">
      <c r="A112" s="236">
        <v>5056</v>
      </c>
      <c r="B112" s="237" t="s">
        <v>124</v>
      </c>
      <c r="C112" s="237" t="s">
        <v>241</v>
      </c>
      <c r="D112" s="237" t="s">
        <v>240</v>
      </c>
      <c r="E112" s="80">
        <v>200000</v>
      </c>
      <c r="F112" s="240">
        <v>43892</v>
      </c>
      <c r="G112" s="240">
        <v>44257</v>
      </c>
      <c r="H112" s="26"/>
      <c r="I112" s="26">
        <f>VLOOKUP(C112,[9]Hoja1!$G:$H,2,FALSE)</f>
        <v>5.9</v>
      </c>
      <c r="J112" s="26"/>
      <c r="K112" s="26"/>
      <c r="L112" s="26"/>
      <c r="M112" s="26"/>
      <c r="N112" s="26"/>
      <c r="O112" s="26">
        <v>917.77777777777783</v>
      </c>
      <c r="P112" s="26"/>
      <c r="Q112" s="26"/>
      <c r="R112" s="26">
        <f t="shared" si="10"/>
        <v>917.77777777777783</v>
      </c>
      <c r="S112" s="26">
        <v>983.33333333333337</v>
      </c>
      <c r="T112" s="26"/>
      <c r="U112" s="26"/>
      <c r="V112" s="26">
        <f t="shared" si="11"/>
        <v>1901.1111111111113</v>
      </c>
      <c r="W112" s="26">
        <v>1016.1111111111111</v>
      </c>
      <c r="X112" s="80"/>
      <c r="Y112" s="26"/>
      <c r="Z112" s="26">
        <f t="shared" si="12"/>
        <v>2917.2222222222226</v>
      </c>
      <c r="AA112" s="26">
        <v>969.86301369863008</v>
      </c>
      <c r="AB112" s="80"/>
      <c r="AC112" s="26"/>
      <c r="AD112" s="26">
        <f t="shared" si="13"/>
        <v>3887.0852359208529</v>
      </c>
      <c r="AE112" s="347">
        <v>1002.1917808219177</v>
      </c>
      <c r="AF112" s="347"/>
      <c r="AG112" s="347"/>
      <c r="AH112" s="347">
        <f t="shared" si="14"/>
        <v>4889.2770167427707</v>
      </c>
      <c r="AI112" s="347">
        <f t="shared" si="15"/>
        <v>1002.1917808219177</v>
      </c>
      <c r="AJ112" s="347"/>
      <c r="AK112" s="347"/>
      <c r="AL112" s="347">
        <f t="shared" si="16"/>
        <v>5891.4687975646884</v>
      </c>
      <c r="AM112" s="348"/>
    </row>
    <row r="113" spans="1:39" hidden="1" x14ac:dyDescent="0.3">
      <c r="A113" s="236">
        <v>5040</v>
      </c>
      <c r="B113" s="237" t="s">
        <v>82</v>
      </c>
      <c r="C113" s="237" t="s">
        <v>239</v>
      </c>
      <c r="D113" s="237" t="s">
        <v>238</v>
      </c>
      <c r="E113" s="80">
        <v>22652.99</v>
      </c>
      <c r="F113" s="240">
        <v>43894</v>
      </c>
      <c r="G113" s="240">
        <v>44259</v>
      </c>
      <c r="H113" s="26"/>
      <c r="I113" s="26">
        <f>VLOOKUP(C113,[9]Hoja1!$G:$H,2,FALSE)</f>
        <v>6.15</v>
      </c>
      <c r="J113" s="26"/>
      <c r="K113" s="26"/>
      <c r="L113" s="26"/>
      <c r="M113" s="26"/>
      <c r="N113" s="26"/>
      <c r="O113" s="26">
        <v>100.61703058333335</v>
      </c>
      <c r="P113" s="26"/>
      <c r="Q113" s="26"/>
      <c r="R113" s="26">
        <f t="shared" si="10"/>
        <v>100.61703058333335</v>
      </c>
      <c r="S113" s="26">
        <v>116.09657375000002</v>
      </c>
      <c r="T113" s="26"/>
      <c r="U113" s="26"/>
      <c r="V113" s="26">
        <f t="shared" si="11"/>
        <v>216.71360433333336</v>
      </c>
      <c r="W113" s="26">
        <v>119.96645954166669</v>
      </c>
      <c r="X113" s="80"/>
      <c r="Y113" s="26"/>
      <c r="Z113" s="26">
        <f t="shared" si="12"/>
        <v>336.68006387500009</v>
      </c>
      <c r="AA113" s="26">
        <v>114.50620972602742</v>
      </c>
      <c r="AB113" s="80"/>
      <c r="AC113" s="26"/>
      <c r="AD113" s="26">
        <f t="shared" si="13"/>
        <v>451.18627360102749</v>
      </c>
      <c r="AE113" s="347">
        <v>118.32308338356167</v>
      </c>
      <c r="AF113" s="347"/>
      <c r="AG113" s="347"/>
      <c r="AH113" s="347">
        <f t="shared" si="14"/>
        <v>569.5093569845892</v>
      </c>
      <c r="AI113" s="347">
        <f t="shared" si="15"/>
        <v>118.32308338356167</v>
      </c>
      <c r="AJ113" s="347"/>
      <c r="AK113" s="347"/>
      <c r="AL113" s="347">
        <f t="shared" si="16"/>
        <v>687.83244036815086</v>
      </c>
      <c r="AM113" s="348"/>
    </row>
    <row r="114" spans="1:39" hidden="1" x14ac:dyDescent="0.3">
      <c r="A114" s="236">
        <v>5056</v>
      </c>
      <c r="B114" s="237" t="s">
        <v>124</v>
      </c>
      <c r="C114" s="237" t="s">
        <v>237</v>
      </c>
      <c r="D114" s="237" t="s">
        <v>236</v>
      </c>
      <c r="E114" s="80">
        <v>50000</v>
      </c>
      <c r="F114" s="240">
        <v>43902</v>
      </c>
      <c r="G114" s="240">
        <v>44267</v>
      </c>
      <c r="H114" s="26"/>
      <c r="I114" s="26">
        <f>VLOOKUP(C114,[9]Hoja1!$G:$H,2,FALSE)</f>
        <v>4.9000000000000004</v>
      </c>
      <c r="J114" s="26"/>
      <c r="K114" s="26"/>
      <c r="L114" s="26"/>
      <c r="M114" s="26"/>
      <c r="N114" s="26"/>
      <c r="O114" s="26">
        <v>122.5</v>
      </c>
      <c r="P114" s="26"/>
      <c r="Q114" s="26"/>
      <c r="R114" s="26">
        <f t="shared" si="10"/>
        <v>122.5</v>
      </c>
      <c r="S114" s="26">
        <v>204.16666666666666</v>
      </c>
      <c r="T114" s="26"/>
      <c r="U114" s="26"/>
      <c r="V114" s="26">
        <f t="shared" si="11"/>
        <v>326.66666666666663</v>
      </c>
      <c r="W114" s="26">
        <v>210.97222222222223</v>
      </c>
      <c r="X114" s="80"/>
      <c r="Y114" s="26"/>
      <c r="Z114" s="26">
        <f t="shared" si="12"/>
        <v>537.63888888888891</v>
      </c>
      <c r="AA114" s="26">
        <v>201.36986301369865</v>
      </c>
      <c r="AB114" s="80"/>
      <c r="AC114" s="26"/>
      <c r="AD114" s="26">
        <f t="shared" si="13"/>
        <v>739.00875190258762</v>
      </c>
      <c r="AE114" s="347">
        <v>208.08219178082192</v>
      </c>
      <c r="AF114" s="347"/>
      <c r="AG114" s="347"/>
      <c r="AH114" s="347">
        <f t="shared" si="14"/>
        <v>947.09094368340948</v>
      </c>
      <c r="AI114" s="347">
        <f t="shared" si="15"/>
        <v>208.08219178082192</v>
      </c>
      <c r="AJ114" s="347"/>
      <c r="AK114" s="347"/>
      <c r="AL114" s="347">
        <f t="shared" si="16"/>
        <v>1155.1731354642313</v>
      </c>
      <c r="AM114" s="348"/>
    </row>
    <row r="115" spans="1:39" hidden="1" x14ac:dyDescent="0.3">
      <c r="A115" s="236">
        <v>5060</v>
      </c>
      <c r="B115" s="237" t="s">
        <v>16</v>
      </c>
      <c r="C115" s="237" t="s">
        <v>235</v>
      </c>
      <c r="D115" s="237" t="s">
        <v>234</v>
      </c>
      <c r="E115" s="80">
        <v>72500</v>
      </c>
      <c r="F115" s="240">
        <v>43903</v>
      </c>
      <c r="G115" s="240">
        <v>44268</v>
      </c>
      <c r="H115" s="26"/>
      <c r="I115" s="26">
        <f>VLOOKUP(C115,[9]Hoja1!$G:$H,2,FALSE)</f>
        <v>1.9</v>
      </c>
      <c r="J115" s="26"/>
      <c r="K115" s="26"/>
      <c r="L115" s="26"/>
      <c r="M115" s="26"/>
      <c r="N115" s="26"/>
      <c r="O115" s="26">
        <v>65.048611111111114</v>
      </c>
      <c r="P115" s="26"/>
      <c r="Q115" s="26"/>
      <c r="R115" s="26">
        <f t="shared" si="10"/>
        <v>65.048611111111114</v>
      </c>
      <c r="S115" s="26">
        <v>114.79166666666667</v>
      </c>
      <c r="T115" s="26"/>
      <c r="U115" s="26"/>
      <c r="V115" s="26">
        <f t="shared" si="11"/>
        <v>179.84027777777777</v>
      </c>
      <c r="W115" s="26">
        <v>118.61805555555556</v>
      </c>
      <c r="X115" s="80"/>
      <c r="Y115" s="26"/>
      <c r="Z115" s="26">
        <f>+V115+W115+X115+Y115</f>
        <v>298.45833333333331</v>
      </c>
      <c r="AA115" s="26">
        <v>113.21917808219179</v>
      </c>
      <c r="AB115" s="80"/>
      <c r="AC115" s="26"/>
      <c r="AD115" s="26">
        <f t="shared" si="13"/>
        <v>411.67751141552509</v>
      </c>
      <c r="AE115" s="347">
        <v>116.99315068493151</v>
      </c>
      <c r="AF115" s="347"/>
      <c r="AG115" s="347"/>
      <c r="AH115" s="347">
        <f t="shared" si="14"/>
        <v>528.67066210045664</v>
      </c>
      <c r="AI115" s="347">
        <f t="shared" si="15"/>
        <v>116.99315068493151</v>
      </c>
      <c r="AJ115" s="347"/>
      <c r="AK115" s="347"/>
      <c r="AL115" s="347">
        <f t="shared" si="16"/>
        <v>645.66381278538813</v>
      </c>
      <c r="AM115" s="348"/>
    </row>
    <row r="116" spans="1:39" hidden="1" x14ac:dyDescent="0.3">
      <c r="A116" s="236">
        <v>5060</v>
      </c>
      <c r="B116" s="237" t="s">
        <v>233</v>
      </c>
      <c r="C116" s="237" t="s">
        <v>232</v>
      </c>
      <c r="D116" s="237" t="s">
        <v>231</v>
      </c>
      <c r="E116" s="80">
        <v>80000</v>
      </c>
      <c r="F116" s="240">
        <v>43903</v>
      </c>
      <c r="G116" s="240">
        <v>44268</v>
      </c>
      <c r="H116" s="26"/>
      <c r="I116" s="26">
        <f>VLOOKUP(C116,[9]Hoja1!$G:$H,2,FALSE)</f>
        <v>5.65</v>
      </c>
      <c r="J116" s="26"/>
      <c r="K116" s="26"/>
      <c r="L116" s="26"/>
      <c r="M116" s="26"/>
      <c r="N116" s="26"/>
      <c r="O116" s="26">
        <v>213.44444444444443</v>
      </c>
      <c r="P116" s="26"/>
      <c r="Q116" s="26"/>
      <c r="R116" s="26">
        <f t="shared" si="10"/>
        <v>213.44444444444443</v>
      </c>
      <c r="S116" s="26">
        <v>376.66666666666669</v>
      </c>
      <c r="T116" s="26"/>
      <c r="U116" s="26"/>
      <c r="V116" s="26">
        <f t="shared" si="11"/>
        <v>590.11111111111109</v>
      </c>
      <c r="W116" s="26">
        <v>389.22222222222223</v>
      </c>
      <c r="X116" s="80"/>
      <c r="Y116" s="26"/>
      <c r="Z116" s="26">
        <f t="shared" si="12"/>
        <v>979.33333333333326</v>
      </c>
      <c r="AA116" s="26">
        <v>371.50684931506851</v>
      </c>
      <c r="AB116" s="80"/>
      <c r="AC116" s="26"/>
      <c r="AD116" s="26">
        <f t="shared" si="13"/>
        <v>1350.8401826484019</v>
      </c>
      <c r="AE116" s="347">
        <v>383.89041095890411</v>
      </c>
      <c r="AF116" s="347"/>
      <c r="AG116" s="347"/>
      <c r="AH116" s="347">
        <f t="shared" si="14"/>
        <v>1734.730593607306</v>
      </c>
      <c r="AI116" s="347">
        <f t="shared" si="15"/>
        <v>383.89041095890411</v>
      </c>
      <c r="AJ116" s="347"/>
      <c r="AK116" s="347"/>
      <c r="AL116" s="347">
        <f t="shared" si="16"/>
        <v>2118.6210045662101</v>
      </c>
      <c r="AM116" s="348"/>
    </row>
    <row r="117" spans="1:39" hidden="1" x14ac:dyDescent="0.3">
      <c r="A117" s="236">
        <v>5063</v>
      </c>
      <c r="B117" s="237" t="s">
        <v>13</v>
      </c>
      <c r="C117" s="237" t="s">
        <v>230</v>
      </c>
      <c r="D117" s="237" t="s">
        <v>229</v>
      </c>
      <c r="E117" s="359">
        <v>100000</v>
      </c>
      <c r="F117" s="240">
        <v>43904</v>
      </c>
      <c r="G117" s="240">
        <v>44269</v>
      </c>
      <c r="H117" s="26"/>
      <c r="I117" s="26">
        <f>VLOOKUP(C117,[9]Hoja1!$G:$H,2,FALSE)</f>
        <v>4.6500000000000004</v>
      </c>
      <c r="J117" s="26"/>
      <c r="K117" s="26"/>
      <c r="L117" s="26"/>
      <c r="M117" s="26"/>
      <c r="N117" s="26"/>
      <c r="O117" s="26">
        <v>206.66666666666671</v>
      </c>
      <c r="P117" s="26"/>
      <c r="Q117" s="26"/>
      <c r="R117" s="26">
        <f t="shared" si="10"/>
        <v>206.66666666666671</v>
      </c>
      <c r="S117" s="26">
        <v>387.50000000000011</v>
      </c>
      <c r="T117" s="26"/>
      <c r="U117" s="26"/>
      <c r="V117" s="26">
        <f t="shared" si="11"/>
        <v>594.16666666666686</v>
      </c>
      <c r="W117" s="26">
        <v>400.41666666666674</v>
      </c>
      <c r="X117" s="80"/>
      <c r="Y117" s="26"/>
      <c r="Z117" s="26">
        <f t="shared" si="12"/>
        <v>994.5833333333336</v>
      </c>
      <c r="AA117" s="26">
        <v>382.19178082191786</v>
      </c>
      <c r="AB117" s="80"/>
      <c r="AC117" s="26"/>
      <c r="AD117" s="26">
        <f t="shared" si="13"/>
        <v>1376.7751141552515</v>
      </c>
      <c r="AE117" s="347">
        <v>394.93150684931516</v>
      </c>
      <c r="AF117" s="347"/>
      <c r="AG117" s="347"/>
      <c r="AH117" s="347">
        <f t="shared" si="14"/>
        <v>1771.7066210045666</v>
      </c>
      <c r="AI117" s="347">
        <f t="shared" si="15"/>
        <v>394.93150684931516</v>
      </c>
      <c r="AJ117" s="347"/>
      <c r="AK117" s="347"/>
      <c r="AL117" s="347">
        <f t="shared" si="16"/>
        <v>2166.638127853882</v>
      </c>
      <c r="AM117" s="348"/>
    </row>
    <row r="118" spans="1:39" hidden="1" x14ac:dyDescent="0.3">
      <c r="A118" s="236">
        <v>5057</v>
      </c>
      <c r="B118" s="237" t="s">
        <v>74</v>
      </c>
      <c r="C118" s="237" t="s">
        <v>228</v>
      </c>
      <c r="D118" s="237" t="s">
        <v>227</v>
      </c>
      <c r="E118" s="80">
        <v>100000</v>
      </c>
      <c r="F118" s="240">
        <v>43910</v>
      </c>
      <c r="G118" s="240">
        <v>44275</v>
      </c>
      <c r="H118" s="26"/>
      <c r="I118" s="26">
        <f>VLOOKUP(C118,[9]Hoja1!$G:$H,2,FALSE)</f>
        <v>3.4</v>
      </c>
      <c r="J118" s="26"/>
      <c r="K118" s="26"/>
      <c r="L118" s="26"/>
      <c r="M118" s="26"/>
      <c r="N118" s="26"/>
      <c r="O118" s="26">
        <v>94.444444444444457</v>
      </c>
      <c r="P118" s="26"/>
      <c r="Q118" s="26"/>
      <c r="R118" s="26">
        <f t="shared" si="10"/>
        <v>94.444444444444457</v>
      </c>
      <c r="S118" s="26">
        <v>283.33333333333337</v>
      </c>
      <c r="T118" s="26"/>
      <c r="U118" s="26"/>
      <c r="V118" s="26">
        <f t="shared" si="11"/>
        <v>377.77777777777783</v>
      </c>
      <c r="W118" s="26">
        <v>292.77777777777783</v>
      </c>
      <c r="X118" s="80"/>
      <c r="Y118" s="26"/>
      <c r="Z118" s="26">
        <f t="shared" si="12"/>
        <v>670.55555555555566</v>
      </c>
      <c r="AA118" s="26">
        <v>279.45205479452062</v>
      </c>
      <c r="AB118" s="80"/>
      <c r="AC118" s="26"/>
      <c r="AD118" s="26">
        <f t="shared" si="13"/>
        <v>950.00761035007622</v>
      </c>
      <c r="AE118" s="347">
        <v>288.76712328767127</v>
      </c>
      <c r="AF118" s="347"/>
      <c r="AG118" s="347"/>
      <c r="AH118" s="347">
        <f t="shared" si="14"/>
        <v>1238.7747336377474</v>
      </c>
      <c r="AI118" s="347">
        <f t="shared" si="15"/>
        <v>288.76712328767127</v>
      </c>
      <c r="AJ118" s="324">
        <v>-1481.1</v>
      </c>
      <c r="AK118" s="347">
        <v>-46.44</v>
      </c>
      <c r="AL118" s="347">
        <f t="shared" si="16"/>
        <v>1.8569254187355E-3</v>
      </c>
      <c r="AM118" s="348" t="s">
        <v>96</v>
      </c>
    </row>
    <row r="119" spans="1:39" hidden="1" x14ac:dyDescent="0.3">
      <c r="A119" s="236">
        <v>5062</v>
      </c>
      <c r="B119" s="237" t="s">
        <v>85</v>
      </c>
      <c r="C119" s="237" t="s">
        <v>226</v>
      </c>
      <c r="D119" s="237" t="s">
        <v>225</v>
      </c>
      <c r="E119" s="362"/>
      <c r="F119" s="240">
        <v>43795</v>
      </c>
      <c r="G119" s="240">
        <v>44044</v>
      </c>
      <c r="H119" s="26"/>
      <c r="I119" s="80">
        <v>7.4</v>
      </c>
      <c r="J119" s="26"/>
      <c r="K119" s="26"/>
      <c r="L119" s="26"/>
      <c r="M119" s="26"/>
      <c r="N119" s="26"/>
      <c r="O119" s="237">
        <v>0</v>
      </c>
      <c r="P119" s="26"/>
      <c r="Q119" s="26">
        <v>8186.8209923499999</v>
      </c>
      <c r="R119" s="26">
        <f t="shared" si="10"/>
        <v>8186.8209923499999</v>
      </c>
      <c r="S119" s="26">
        <v>1949.2430934166669</v>
      </c>
      <c r="T119" s="26"/>
      <c r="U119" s="26"/>
      <c r="V119" s="26">
        <f t="shared" si="11"/>
        <v>10136.064085766666</v>
      </c>
      <c r="W119" s="26">
        <v>2008.7</v>
      </c>
      <c r="X119" s="80">
        <v>-17958.61</v>
      </c>
      <c r="Y119" s="26"/>
      <c r="Z119" s="26">
        <f t="shared" si="12"/>
        <v>-5813.845914233334</v>
      </c>
      <c r="AA119" s="26">
        <v>0</v>
      </c>
      <c r="AB119" s="80"/>
      <c r="AC119" s="26"/>
      <c r="AD119" s="26">
        <f t="shared" si="13"/>
        <v>-5813.845914233334</v>
      </c>
      <c r="AE119" s="347">
        <v>0</v>
      </c>
      <c r="AF119" s="347"/>
      <c r="AG119" s="347">
        <v>5813.85</v>
      </c>
      <c r="AH119" s="347">
        <f t="shared" si="14"/>
        <v>4.0857666663214331E-3</v>
      </c>
      <c r="AI119" s="347">
        <f t="shared" si="15"/>
        <v>0</v>
      </c>
      <c r="AJ119" s="347"/>
      <c r="AK119" s="347"/>
      <c r="AL119" s="347">
        <f t="shared" si="16"/>
        <v>4.0857666663214331E-3</v>
      </c>
      <c r="AM119" s="348"/>
    </row>
    <row r="120" spans="1:39" hidden="1" x14ac:dyDescent="0.3">
      <c r="A120" s="236">
        <v>5060</v>
      </c>
      <c r="B120" s="237" t="s">
        <v>16</v>
      </c>
      <c r="C120" s="237" t="s">
        <v>224</v>
      </c>
      <c r="D120" s="237" t="s">
        <v>223</v>
      </c>
      <c r="E120" s="80">
        <v>330000</v>
      </c>
      <c r="F120" s="240">
        <v>43733</v>
      </c>
      <c r="G120" s="240">
        <v>44099</v>
      </c>
      <c r="H120" s="26"/>
      <c r="I120" s="80">
        <v>1.9</v>
      </c>
      <c r="J120" s="26"/>
      <c r="K120" s="26"/>
      <c r="L120" s="26"/>
      <c r="M120" s="26"/>
      <c r="N120" s="26"/>
      <c r="O120" s="237">
        <v>0</v>
      </c>
      <c r="P120" s="26"/>
      <c r="Q120" s="26">
        <v>3274.3333333333335</v>
      </c>
      <c r="R120" s="26">
        <f t="shared" si="10"/>
        <v>3274.3333333333335</v>
      </c>
      <c r="S120" s="26">
        <v>522.5</v>
      </c>
      <c r="T120" s="26"/>
      <c r="U120" s="26"/>
      <c r="V120" s="26">
        <f t="shared" si="11"/>
        <v>3796.8333333333335</v>
      </c>
      <c r="W120" s="26">
        <v>539.91666666666674</v>
      </c>
      <c r="X120" s="80"/>
      <c r="Y120" s="26"/>
      <c r="Z120" s="26">
        <f t="shared" si="12"/>
        <v>4336.75</v>
      </c>
      <c r="AA120" s="26">
        <v>515.34246575342456</v>
      </c>
      <c r="AB120" s="80"/>
      <c r="AC120" s="26"/>
      <c r="AD120" s="26">
        <f t="shared" si="13"/>
        <v>4852.0924657534242</v>
      </c>
      <c r="AE120" s="347">
        <v>532.52054794520541</v>
      </c>
      <c r="AF120" s="347"/>
      <c r="AG120" s="347"/>
      <c r="AH120" s="347">
        <f t="shared" si="14"/>
        <v>5384.6130136986294</v>
      </c>
      <c r="AI120" s="347">
        <f t="shared" si="15"/>
        <v>532.52054794520541</v>
      </c>
      <c r="AJ120" s="347"/>
      <c r="AK120" s="347"/>
      <c r="AL120" s="347">
        <f t="shared" si="16"/>
        <v>5917.1335616438346</v>
      </c>
      <c r="AM120" s="348"/>
    </row>
    <row r="121" spans="1:39" hidden="1" x14ac:dyDescent="0.3">
      <c r="A121" s="236">
        <v>5060</v>
      </c>
      <c r="B121" s="237" t="s">
        <v>40</v>
      </c>
      <c r="C121" s="237" t="s">
        <v>222</v>
      </c>
      <c r="D121" s="237" t="s">
        <v>221</v>
      </c>
      <c r="E121" s="80"/>
      <c r="F121" s="240">
        <v>43665</v>
      </c>
      <c r="G121" s="240">
        <v>44031</v>
      </c>
      <c r="H121" s="26"/>
      <c r="I121" s="80">
        <v>6.4</v>
      </c>
      <c r="J121" s="26"/>
      <c r="K121" s="26"/>
      <c r="L121" s="26"/>
      <c r="M121" s="26"/>
      <c r="N121" s="26"/>
      <c r="O121" s="237">
        <v>0</v>
      </c>
      <c r="P121" s="26"/>
      <c r="Q121" s="26">
        <v>50062.222222222219</v>
      </c>
      <c r="R121" s="26">
        <f t="shared" si="10"/>
        <v>50062.222222222219</v>
      </c>
      <c r="S121" s="26">
        <v>5866.6666666666661</v>
      </c>
      <c r="T121" s="26"/>
      <c r="U121" s="26"/>
      <c r="V121" s="26">
        <f t="shared" si="11"/>
        <v>55928.888888888883</v>
      </c>
      <c r="W121" s="26">
        <v>6062.2222222222217</v>
      </c>
      <c r="X121" s="80"/>
      <c r="Y121" s="26"/>
      <c r="Z121" s="26">
        <f t="shared" si="12"/>
        <v>61991.111111111102</v>
      </c>
      <c r="AA121" s="26">
        <v>5786.3013698630139</v>
      </c>
      <c r="AB121" s="80"/>
      <c r="AC121" s="26"/>
      <c r="AD121" s="26">
        <f t="shared" si="13"/>
        <v>67777.412480974119</v>
      </c>
      <c r="AE121" s="347">
        <v>3664.6575342465753</v>
      </c>
      <c r="AF121" s="347">
        <v>-70400</v>
      </c>
      <c r="AG121" s="347">
        <v>-1042.07</v>
      </c>
      <c r="AH121" s="347">
        <f t="shared" si="14"/>
        <v>1.5220699197016074E-5</v>
      </c>
      <c r="AI121" s="347"/>
      <c r="AJ121" s="347"/>
      <c r="AK121" s="347"/>
      <c r="AL121" s="347">
        <f t="shared" si="16"/>
        <v>1.5220699197016074E-5</v>
      </c>
      <c r="AM121" s="348" t="s">
        <v>218</v>
      </c>
    </row>
    <row r="122" spans="1:39" hidden="1" x14ac:dyDescent="0.3">
      <c r="A122" s="236">
        <v>5031</v>
      </c>
      <c r="B122" s="237" t="s">
        <v>7</v>
      </c>
      <c r="C122" s="237" t="s">
        <v>220</v>
      </c>
      <c r="D122" s="237" t="s">
        <v>219</v>
      </c>
      <c r="E122" s="80">
        <v>465000</v>
      </c>
      <c r="F122" s="240">
        <v>43733</v>
      </c>
      <c r="G122" s="240">
        <v>44099</v>
      </c>
      <c r="H122" s="26"/>
      <c r="I122" s="80">
        <v>6.4</v>
      </c>
      <c r="J122" s="26"/>
      <c r="K122" s="26"/>
      <c r="L122" s="26"/>
      <c r="M122" s="26"/>
      <c r="N122" s="26"/>
      <c r="O122" s="237">
        <v>0</v>
      </c>
      <c r="P122" s="26"/>
      <c r="Q122" s="26">
        <v>15541.333333333334</v>
      </c>
      <c r="R122" s="26">
        <f t="shared" si="10"/>
        <v>15541.333333333334</v>
      </c>
      <c r="S122" s="26">
        <v>2480</v>
      </c>
      <c r="T122" s="26"/>
      <c r="U122" s="26"/>
      <c r="V122" s="26">
        <f t="shared" si="11"/>
        <v>18021.333333333336</v>
      </c>
      <c r="W122" s="26">
        <v>2562.666666666667</v>
      </c>
      <c r="X122" s="80"/>
      <c r="Y122" s="26"/>
      <c r="Z122" s="26">
        <f t="shared" si="12"/>
        <v>20584.000000000004</v>
      </c>
      <c r="AA122" s="26">
        <v>2446.027397260274</v>
      </c>
      <c r="AB122" s="80"/>
      <c r="AC122" s="26"/>
      <c r="AD122" s="26">
        <f t="shared" si="13"/>
        <v>23030.027397260277</v>
      </c>
      <c r="AE122" s="347">
        <v>2527.5616438356165</v>
      </c>
      <c r="AF122" s="347"/>
      <c r="AG122" s="347"/>
      <c r="AH122" s="347">
        <f t="shared" si="14"/>
        <v>25557.589041095893</v>
      </c>
      <c r="AI122" s="347">
        <f t="shared" si="15"/>
        <v>2527.5616438356165</v>
      </c>
      <c r="AJ122" s="347"/>
      <c r="AK122" s="347"/>
      <c r="AL122" s="347">
        <f t="shared" si="16"/>
        <v>28085.150684931508</v>
      </c>
      <c r="AM122" s="348"/>
    </row>
    <row r="123" spans="1:39" hidden="1" x14ac:dyDescent="0.3">
      <c r="A123" s="236">
        <v>5055</v>
      </c>
      <c r="B123" s="237" t="s">
        <v>53</v>
      </c>
      <c r="C123" s="237" t="s">
        <v>217</v>
      </c>
      <c r="D123" s="237" t="s">
        <v>216</v>
      </c>
      <c r="E123" s="80">
        <v>800000</v>
      </c>
      <c r="F123" s="240">
        <v>43829</v>
      </c>
      <c r="G123" s="240">
        <v>44195</v>
      </c>
      <c r="H123" s="26"/>
      <c r="I123" s="80">
        <v>6.85</v>
      </c>
      <c r="J123" s="26"/>
      <c r="K123" s="26"/>
      <c r="L123" s="26"/>
      <c r="M123" s="26"/>
      <c r="N123" s="26"/>
      <c r="O123" s="237">
        <v>0</v>
      </c>
      <c r="P123" s="26"/>
      <c r="Q123" s="26">
        <v>14004.444444444442</v>
      </c>
      <c r="R123" s="26">
        <f t="shared" si="10"/>
        <v>14004.444444444442</v>
      </c>
      <c r="S123" s="26">
        <v>4566.6666666666661</v>
      </c>
      <c r="T123" s="26"/>
      <c r="U123" s="26"/>
      <c r="V123" s="26">
        <f t="shared" si="11"/>
        <v>18571.111111111109</v>
      </c>
      <c r="W123" s="26">
        <v>4718.8888888888878</v>
      </c>
      <c r="X123" s="80"/>
      <c r="Y123" s="26"/>
      <c r="Z123" s="26">
        <f t="shared" si="12"/>
        <v>23289.999999999996</v>
      </c>
      <c r="AA123" s="26">
        <v>4504.1095890410952</v>
      </c>
      <c r="AB123" s="80"/>
      <c r="AC123" s="26"/>
      <c r="AD123" s="26">
        <f t="shared" si="13"/>
        <v>27794.109589041091</v>
      </c>
      <c r="AE123" s="347">
        <v>4654.2465753424649</v>
      </c>
      <c r="AF123" s="347"/>
      <c r="AG123" s="347"/>
      <c r="AH123" s="347">
        <f t="shared" si="14"/>
        <v>32448.356164383556</v>
      </c>
      <c r="AI123" s="347">
        <f t="shared" si="15"/>
        <v>4654.2465753424649</v>
      </c>
      <c r="AJ123" s="347"/>
      <c r="AK123" s="347"/>
      <c r="AL123" s="347">
        <f t="shared" si="16"/>
        <v>37102.602739726019</v>
      </c>
      <c r="AM123" s="348"/>
    </row>
    <row r="124" spans="1:39" ht="28.8" hidden="1" x14ac:dyDescent="0.3">
      <c r="A124" s="34">
        <v>5063</v>
      </c>
      <c r="B124" s="33" t="s">
        <v>25</v>
      </c>
      <c r="C124" s="33" t="s">
        <v>215</v>
      </c>
      <c r="D124" s="33" t="s">
        <v>214</v>
      </c>
      <c r="E124" s="349">
        <v>122500</v>
      </c>
      <c r="F124" s="240">
        <v>43922</v>
      </c>
      <c r="G124" s="240">
        <v>44287</v>
      </c>
      <c r="H124" s="26"/>
      <c r="I124" s="80">
        <v>4.4000000000000004</v>
      </c>
      <c r="J124" s="26"/>
      <c r="K124" s="26"/>
      <c r="L124" s="26"/>
      <c r="M124" s="26"/>
      <c r="N124" s="26"/>
      <c r="O124" s="237"/>
      <c r="P124" s="26"/>
      <c r="Q124" s="26"/>
      <c r="R124" s="26"/>
      <c r="S124" s="26">
        <v>434.19444444444451</v>
      </c>
      <c r="T124" s="26"/>
      <c r="U124" s="26"/>
      <c r="V124" s="26">
        <f t="shared" si="11"/>
        <v>434.19444444444451</v>
      </c>
      <c r="W124" s="26">
        <v>464.13888888888897</v>
      </c>
      <c r="X124" s="80"/>
      <c r="Y124" s="26"/>
      <c r="Z124" s="26">
        <f t="shared" si="12"/>
        <v>898.33333333333348</v>
      </c>
      <c r="AA124" s="26">
        <v>443.01369863013707</v>
      </c>
      <c r="AB124" s="80"/>
      <c r="AC124" s="26"/>
      <c r="AD124" s="26">
        <f t="shared" si="13"/>
        <v>1341.3470319634705</v>
      </c>
      <c r="AE124" s="347">
        <v>457.78082191780834</v>
      </c>
      <c r="AF124" s="347"/>
      <c r="AG124" s="347"/>
      <c r="AH124" s="347">
        <f t="shared" si="14"/>
        <v>1799.127853881279</v>
      </c>
      <c r="AI124" s="347">
        <f t="shared" si="15"/>
        <v>457.78082191780834</v>
      </c>
      <c r="AJ124" s="347"/>
      <c r="AK124" s="347"/>
      <c r="AL124" s="347">
        <f t="shared" si="16"/>
        <v>2256.9086757990872</v>
      </c>
      <c r="AM124" s="348"/>
    </row>
    <row r="125" spans="1:39" hidden="1" x14ac:dyDescent="0.3">
      <c r="A125" s="34">
        <v>5060</v>
      </c>
      <c r="B125" s="33" t="s">
        <v>16</v>
      </c>
      <c r="C125" s="33" t="s">
        <v>213</v>
      </c>
      <c r="D125" s="33" t="s">
        <v>212</v>
      </c>
      <c r="E125" s="349">
        <v>90000</v>
      </c>
      <c r="F125" s="240">
        <v>43925</v>
      </c>
      <c r="G125" s="240">
        <v>44290</v>
      </c>
      <c r="H125" s="26"/>
      <c r="I125" s="80">
        <v>1.9</v>
      </c>
      <c r="J125" s="26"/>
      <c r="K125" s="26"/>
      <c r="L125" s="26"/>
      <c r="M125" s="26"/>
      <c r="N125" s="26"/>
      <c r="O125" s="237"/>
      <c r="P125" s="26"/>
      <c r="Q125" s="26"/>
      <c r="R125" s="26"/>
      <c r="S125" s="26">
        <v>137.75</v>
      </c>
      <c r="T125" s="26"/>
      <c r="U125" s="26"/>
      <c r="V125" s="26">
        <f t="shared" si="11"/>
        <v>137.75</v>
      </c>
      <c r="W125" s="26">
        <v>147.25</v>
      </c>
      <c r="X125" s="80"/>
      <c r="Y125" s="26"/>
      <c r="Z125" s="26">
        <f t="shared" si="12"/>
        <v>285</v>
      </c>
      <c r="AA125" s="26">
        <v>140.54794520547946</v>
      </c>
      <c r="AB125" s="80"/>
      <c r="AC125" s="26"/>
      <c r="AD125" s="26">
        <f t="shared" si="13"/>
        <v>425.54794520547944</v>
      </c>
      <c r="AE125" s="347">
        <v>145.23287671232876</v>
      </c>
      <c r="AF125" s="347"/>
      <c r="AG125" s="347"/>
      <c r="AH125" s="347">
        <f t="shared" si="14"/>
        <v>570.78082191780823</v>
      </c>
      <c r="AI125" s="347">
        <f t="shared" si="15"/>
        <v>145.23287671232876</v>
      </c>
      <c r="AJ125" s="347"/>
      <c r="AK125" s="347"/>
      <c r="AL125" s="347">
        <f t="shared" si="16"/>
        <v>716.01369863013701</v>
      </c>
      <c r="AM125" s="348"/>
    </row>
    <row r="126" spans="1:39" hidden="1" x14ac:dyDescent="0.3">
      <c r="A126" s="34">
        <v>5005</v>
      </c>
      <c r="B126" s="33" t="s">
        <v>211</v>
      </c>
      <c r="C126" s="33" t="s">
        <v>210</v>
      </c>
      <c r="D126" s="33" t="s">
        <v>209</v>
      </c>
      <c r="E126" s="349">
        <v>1100000</v>
      </c>
      <c r="F126" s="240">
        <v>43927</v>
      </c>
      <c r="G126" s="240">
        <v>44292</v>
      </c>
      <c r="H126" s="26"/>
      <c r="I126" s="80">
        <v>5.92</v>
      </c>
      <c r="J126" s="26"/>
      <c r="K126" s="26"/>
      <c r="L126" s="26"/>
      <c r="M126" s="26"/>
      <c r="N126" s="26"/>
      <c r="O126" s="237"/>
      <c r="P126" s="26"/>
      <c r="Q126" s="26"/>
      <c r="R126" s="26"/>
      <c r="S126" s="26">
        <v>4341.333333333333</v>
      </c>
      <c r="T126" s="26"/>
      <c r="U126" s="26"/>
      <c r="V126" s="26">
        <f t="shared" si="11"/>
        <v>4341.333333333333</v>
      </c>
      <c r="W126" s="26">
        <v>5607.5555555555557</v>
      </c>
      <c r="X126" s="80"/>
      <c r="Y126" s="26"/>
      <c r="Z126" s="26">
        <f t="shared" si="12"/>
        <v>9948.8888888888887</v>
      </c>
      <c r="AA126" s="26">
        <v>5352.3287671232874</v>
      </c>
      <c r="AB126" s="80"/>
      <c r="AC126" s="26"/>
      <c r="AD126" s="26">
        <f t="shared" si="13"/>
        <v>15301.217656012177</v>
      </c>
      <c r="AE126" s="347">
        <v>5530.7397260273965</v>
      </c>
      <c r="AF126" s="347"/>
      <c r="AG126" s="347"/>
      <c r="AH126" s="347">
        <f t="shared" si="14"/>
        <v>20831.957382039574</v>
      </c>
      <c r="AI126" s="347">
        <f t="shared" si="15"/>
        <v>5530.7397260273965</v>
      </c>
      <c r="AJ126" s="347"/>
      <c r="AK126" s="347"/>
      <c r="AL126" s="347">
        <f t="shared" si="16"/>
        <v>26362.697108066972</v>
      </c>
      <c r="AM126" s="348"/>
    </row>
    <row r="127" spans="1:39" hidden="1" x14ac:dyDescent="0.3">
      <c r="A127" s="34">
        <v>5057</v>
      </c>
      <c r="B127" s="33" t="s">
        <v>74</v>
      </c>
      <c r="C127" s="33" t="s">
        <v>208</v>
      </c>
      <c r="D127" s="33" t="s">
        <v>207</v>
      </c>
      <c r="E127" s="349">
        <v>120000</v>
      </c>
      <c r="F127" s="240">
        <v>43930</v>
      </c>
      <c r="G127" s="240">
        <v>44295</v>
      </c>
      <c r="H127" s="26"/>
      <c r="I127" s="80">
        <v>3.4</v>
      </c>
      <c r="J127" s="26"/>
      <c r="K127" s="26"/>
      <c r="L127" s="26"/>
      <c r="M127" s="26"/>
      <c r="N127" s="26"/>
      <c r="O127" s="237"/>
      <c r="P127" s="26"/>
      <c r="Q127" s="26"/>
      <c r="R127" s="26"/>
      <c r="S127" s="26">
        <v>238</v>
      </c>
      <c r="T127" s="26"/>
      <c r="U127" s="26"/>
      <c r="V127" s="26">
        <f t="shared" si="11"/>
        <v>238</v>
      </c>
      <c r="W127" s="26">
        <v>351.33333333333337</v>
      </c>
      <c r="X127" s="80"/>
      <c r="Y127" s="26"/>
      <c r="Z127" s="26">
        <f t="shared" si="12"/>
        <v>589.33333333333337</v>
      </c>
      <c r="AA127" s="26">
        <v>335.34246575342473</v>
      </c>
      <c r="AB127" s="80"/>
      <c r="AC127" s="26"/>
      <c r="AD127" s="26">
        <f t="shared" si="13"/>
        <v>924.67579908675816</v>
      </c>
      <c r="AE127" s="347">
        <v>346.52054794520552</v>
      </c>
      <c r="AF127" s="347"/>
      <c r="AG127" s="347"/>
      <c r="AH127" s="347">
        <f t="shared" si="14"/>
        <v>1271.1963470319638</v>
      </c>
      <c r="AI127" s="347">
        <f t="shared" si="15"/>
        <v>346.52054794520552</v>
      </c>
      <c r="AJ127" s="347"/>
      <c r="AK127" s="347"/>
      <c r="AL127" s="347">
        <f t="shared" si="16"/>
        <v>1617.7168949771694</v>
      </c>
      <c r="AM127" s="348"/>
    </row>
    <row r="128" spans="1:39" hidden="1" x14ac:dyDescent="0.3">
      <c r="A128" s="34">
        <v>5004</v>
      </c>
      <c r="B128" s="33" t="s">
        <v>174</v>
      </c>
      <c r="C128" s="33" t="s">
        <v>206</v>
      </c>
      <c r="D128" s="33" t="s">
        <v>205</v>
      </c>
      <c r="E128" s="349">
        <v>810000</v>
      </c>
      <c r="F128" s="240">
        <v>43936</v>
      </c>
      <c r="G128" s="240">
        <v>44301</v>
      </c>
      <c r="H128" s="26"/>
      <c r="I128" s="80">
        <v>5.65</v>
      </c>
      <c r="J128" s="26"/>
      <c r="K128" s="26"/>
      <c r="L128" s="26"/>
      <c r="M128" s="26"/>
      <c r="N128" s="26"/>
      <c r="O128" s="237"/>
      <c r="P128" s="26"/>
      <c r="Q128" s="26"/>
      <c r="R128" s="26"/>
      <c r="S128" s="26">
        <v>1906.875</v>
      </c>
      <c r="T128" s="26"/>
      <c r="U128" s="26"/>
      <c r="V128" s="26">
        <f t="shared" si="11"/>
        <v>1906.875</v>
      </c>
      <c r="W128" s="26">
        <v>3940.875</v>
      </c>
      <c r="X128" s="80"/>
      <c r="Y128" s="26"/>
      <c r="Z128" s="26">
        <f t="shared" si="12"/>
        <v>5847.75</v>
      </c>
      <c r="AA128" s="26">
        <v>3761.5068493150684</v>
      </c>
      <c r="AB128" s="80"/>
      <c r="AC128" s="26"/>
      <c r="AD128" s="26">
        <f t="shared" si="13"/>
        <v>9609.2568493150684</v>
      </c>
      <c r="AE128" s="347">
        <v>3886.8904109589043</v>
      </c>
      <c r="AF128" s="347"/>
      <c r="AG128" s="347"/>
      <c r="AH128" s="347">
        <f t="shared" si="14"/>
        <v>13496.147260273972</v>
      </c>
      <c r="AI128" s="347">
        <f t="shared" si="15"/>
        <v>3886.8904109589043</v>
      </c>
      <c r="AJ128" s="347"/>
      <c r="AK128" s="347"/>
      <c r="AL128" s="347">
        <f t="shared" si="16"/>
        <v>17383.037671232876</v>
      </c>
      <c r="AM128" s="348"/>
    </row>
    <row r="129" spans="1:39" hidden="1" x14ac:dyDescent="0.3">
      <c r="A129" s="34">
        <v>5031</v>
      </c>
      <c r="B129" s="33" t="s">
        <v>204</v>
      </c>
      <c r="C129" s="33" t="s">
        <v>203</v>
      </c>
      <c r="D129" s="33" t="s">
        <v>202</v>
      </c>
      <c r="E129" s="349">
        <v>330000</v>
      </c>
      <c r="F129" s="240">
        <v>43937</v>
      </c>
      <c r="G129" s="240">
        <v>44302</v>
      </c>
      <c r="H129" s="26"/>
      <c r="I129" s="80">
        <v>4.9000000000000004</v>
      </c>
      <c r="J129" s="26"/>
      <c r="K129" s="26"/>
      <c r="L129" s="26"/>
      <c r="M129" s="26"/>
      <c r="N129" s="26"/>
      <c r="O129" s="237"/>
      <c r="P129" s="26"/>
      <c r="Q129" s="26"/>
      <c r="R129" s="26"/>
      <c r="S129" s="26">
        <v>628.83333333333326</v>
      </c>
      <c r="T129" s="26"/>
      <c r="U129" s="26"/>
      <c r="V129" s="26">
        <f t="shared" si="11"/>
        <v>628.83333333333326</v>
      </c>
      <c r="W129" s="26">
        <v>1392.4166666666665</v>
      </c>
      <c r="X129" s="80"/>
      <c r="Y129" s="26"/>
      <c r="Z129" s="26">
        <f t="shared" si="12"/>
        <v>2021.2499999999998</v>
      </c>
      <c r="AA129" s="26">
        <v>1329.0410958904108</v>
      </c>
      <c r="AB129" s="80"/>
      <c r="AC129" s="26"/>
      <c r="AD129" s="26">
        <f t="shared" si="13"/>
        <v>3350.2910958904104</v>
      </c>
      <c r="AE129" s="347">
        <v>1373.3424657534247</v>
      </c>
      <c r="AF129" s="347"/>
      <c r="AG129" s="347"/>
      <c r="AH129" s="347">
        <f t="shared" si="14"/>
        <v>4723.6335616438355</v>
      </c>
      <c r="AI129" s="347">
        <f t="shared" si="15"/>
        <v>1373.3424657534247</v>
      </c>
      <c r="AJ129" s="347"/>
      <c r="AK129" s="347"/>
      <c r="AL129" s="347">
        <f t="shared" si="16"/>
        <v>6096.9760273972606</v>
      </c>
      <c r="AM129" s="348"/>
    </row>
    <row r="130" spans="1:39" hidden="1" x14ac:dyDescent="0.3">
      <c r="A130" s="34">
        <v>5060</v>
      </c>
      <c r="B130" s="33" t="s">
        <v>177</v>
      </c>
      <c r="C130" s="33" t="s">
        <v>201</v>
      </c>
      <c r="D130" s="33" t="s">
        <v>200</v>
      </c>
      <c r="E130" s="349">
        <v>33000</v>
      </c>
      <c r="F130" s="240">
        <v>43942</v>
      </c>
      <c r="G130" s="240">
        <v>44307</v>
      </c>
      <c r="H130" s="26"/>
      <c r="I130" s="80">
        <v>6.4</v>
      </c>
      <c r="J130" s="26"/>
      <c r="K130" s="26"/>
      <c r="L130" s="26"/>
      <c r="M130" s="26"/>
      <c r="N130" s="26"/>
      <c r="O130" s="237"/>
      <c r="P130" s="26"/>
      <c r="Q130" s="26"/>
      <c r="R130" s="26"/>
      <c r="S130" s="26">
        <v>52.8</v>
      </c>
      <c r="T130" s="26"/>
      <c r="U130" s="26"/>
      <c r="V130" s="26">
        <f t="shared" si="11"/>
        <v>52.8</v>
      </c>
      <c r="W130" s="26">
        <v>181.86666666666665</v>
      </c>
      <c r="X130" s="80"/>
      <c r="Y130" s="26"/>
      <c r="Z130" s="26">
        <f t="shared" si="12"/>
        <v>234.66666666666663</v>
      </c>
      <c r="AA130" s="26">
        <v>173.58904109589042</v>
      </c>
      <c r="AB130" s="80"/>
      <c r="AC130" s="26"/>
      <c r="AD130" s="26">
        <f t="shared" si="13"/>
        <v>408.25570776255705</v>
      </c>
      <c r="AE130" s="347">
        <v>179.37534246575342</v>
      </c>
      <c r="AF130" s="347"/>
      <c r="AG130" s="347"/>
      <c r="AH130" s="347">
        <f t="shared" si="14"/>
        <v>587.63105022831041</v>
      </c>
      <c r="AI130" s="347">
        <f t="shared" si="15"/>
        <v>179.37534246575342</v>
      </c>
      <c r="AJ130" s="347"/>
      <c r="AK130" s="347"/>
      <c r="AL130" s="347">
        <f t="shared" si="16"/>
        <v>767.00639269406383</v>
      </c>
      <c r="AM130" s="348"/>
    </row>
    <row r="131" spans="1:39" ht="28.8" hidden="1" x14ac:dyDescent="0.3">
      <c r="A131" s="34">
        <v>5004</v>
      </c>
      <c r="B131" s="33" t="s">
        <v>174</v>
      </c>
      <c r="C131" s="33" t="s">
        <v>197</v>
      </c>
      <c r="D131" s="33" t="s">
        <v>199</v>
      </c>
      <c r="E131" s="349">
        <v>1050000</v>
      </c>
      <c r="F131" s="240">
        <v>43943</v>
      </c>
      <c r="G131" s="240">
        <v>44308</v>
      </c>
      <c r="H131" s="26"/>
      <c r="I131" s="80">
        <v>5.65</v>
      </c>
      <c r="J131" s="26"/>
      <c r="K131" s="26"/>
      <c r="L131" s="26"/>
      <c r="M131" s="26"/>
      <c r="N131" s="26"/>
      <c r="O131" s="237"/>
      <c r="P131" s="26"/>
      <c r="Q131" s="26"/>
      <c r="R131" s="26"/>
      <c r="S131" s="26">
        <v>1318.3333333333333</v>
      </c>
      <c r="T131" s="26"/>
      <c r="U131" s="26"/>
      <c r="V131" s="26">
        <f t="shared" si="11"/>
        <v>1318.3333333333333</v>
      </c>
      <c r="W131" s="26">
        <v>5108.5416666666661</v>
      </c>
      <c r="X131" s="80"/>
      <c r="Y131" s="26"/>
      <c r="Z131" s="26">
        <f t="shared" si="12"/>
        <v>6426.8749999999991</v>
      </c>
      <c r="AA131" s="26">
        <v>4876.0273972602745</v>
      </c>
      <c r="AB131" s="80"/>
      <c r="AC131" s="26"/>
      <c r="AD131" s="26">
        <f t="shared" si="13"/>
        <v>11302.902397260274</v>
      </c>
      <c r="AE131" s="347">
        <v>5038.5616438356165</v>
      </c>
      <c r="AF131" s="347"/>
      <c r="AG131" s="347"/>
      <c r="AH131" s="347">
        <f t="shared" si="14"/>
        <v>16341.464041095889</v>
      </c>
      <c r="AI131" s="347">
        <f t="shared" si="15"/>
        <v>5038.5616438356165</v>
      </c>
      <c r="AJ131" s="347"/>
      <c r="AK131" s="347"/>
      <c r="AL131" s="347">
        <f t="shared" si="16"/>
        <v>21380.025684931505</v>
      </c>
      <c r="AM131" s="348"/>
    </row>
    <row r="132" spans="1:39" hidden="1" x14ac:dyDescent="0.3">
      <c r="A132" s="34">
        <v>5057</v>
      </c>
      <c r="B132" s="33" t="s">
        <v>74</v>
      </c>
      <c r="C132" s="33" t="s">
        <v>195</v>
      </c>
      <c r="D132" s="33" t="s">
        <v>194</v>
      </c>
      <c r="E132" s="349">
        <v>100000</v>
      </c>
      <c r="F132" s="240">
        <v>43946</v>
      </c>
      <c r="G132" s="240">
        <v>44311</v>
      </c>
      <c r="H132" s="26"/>
      <c r="I132" s="80">
        <v>3.4</v>
      </c>
      <c r="J132" s="26"/>
      <c r="K132" s="26"/>
      <c r="L132" s="26"/>
      <c r="M132" s="26"/>
      <c r="N132" s="26"/>
      <c r="O132" s="237"/>
      <c r="P132" s="26"/>
      <c r="Q132" s="26"/>
      <c r="R132" s="26"/>
      <c r="S132" s="26">
        <v>47.222222222222229</v>
      </c>
      <c r="T132" s="26"/>
      <c r="U132" s="26"/>
      <c r="V132" s="26">
        <f t="shared" si="11"/>
        <v>47.222222222222229</v>
      </c>
      <c r="W132" s="26">
        <v>292.77777777777783</v>
      </c>
      <c r="X132" s="80"/>
      <c r="Y132" s="26"/>
      <c r="Z132" s="26">
        <f t="shared" si="12"/>
        <v>340.00000000000006</v>
      </c>
      <c r="AA132" s="26">
        <v>279.45205479452062</v>
      </c>
      <c r="AB132" s="80"/>
      <c r="AC132" s="26"/>
      <c r="AD132" s="26">
        <f t="shared" si="13"/>
        <v>619.45205479452068</v>
      </c>
      <c r="AE132" s="347">
        <v>288.76712328767127</v>
      </c>
      <c r="AF132" s="347"/>
      <c r="AG132" s="347"/>
      <c r="AH132" s="347">
        <f t="shared" si="14"/>
        <v>908.219178082192</v>
      </c>
      <c r="AI132" s="347">
        <f t="shared" si="15"/>
        <v>288.76712328767127</v>
      </c>
      <c r="AJ132" s="347"/>
      <c r="AK132" s="347"/>
      <c r="AL132" s="347">
        <f t="shared" si="16"/>
        <v>1196.9863013698632</v>
      </c>
      <c r="AM132" s="348"/>
    </row>
    <row r="133" spans="1:39" hidden="1" x14ac:dyDescent="0.3">
      <c r="A133" s="34">
        <v>5063</v>
      </c>
      <c r="B133" s="33" t="s">
        <v>77</v>
      </c>
      <c r="C133" s="33" t="s">
        <v>193</v>
      </c>
      <c r="D133" s="33" t="s">
        <v>192</v>
      </c>
      <c r="E133" s="349">
        <v>191200</v>
      </c>
      <c r="F133" s="240">
        <v>43948</v>
      </c>
      <c r="G133" s="240">
        <v>44312</v>
      </c>
      <c r="H133" s="26"/>
      <c r="I133" s="80">
        <v>5.4</v>
      </c>
      <c r="J133" s="26"/>
      <c r="K133" s="26"/>
      <c r="L133" s="26"/>
      <c r="M133" s="26"/>
      <c r="N133" s="26"/>
      <c r="O133" s="237"/>
      <c r="P133" s="26"/>
      <c r="Q133" s="26"/>
      <c r="R133" s="26"/>
      <c r="S133" s="26">
        <v>86.04</v>
      </c>
      <c r="T133" s="26"/>
      <c r="U133" s="26"/>
      <c r="V133" s="26">
        <f t="shared" si="11"/>
        <v>86.04</v>
      </c>
      <c r="W133" s="26">
        <v>889.08000000000015</v>
      </c>
      <c r="X133" s="80"/>
      <c r="Y133" s="26"/>
      <c r="Z133" s="26">
        <f t="shared" si="12"/>
        <v>975.12000000000012</v>
      </c>
      <c r="AA133" s="26">
        <v>848.61369863013704</v>
      </c>
      <c r="AB133" s="80"/>
      <c r="AC133" s="26"/>
      <c r="AD133" s="26">
        <f t="shared" si="13"/>
        <v>1823.733698630137</v>
      </c>
      <c r="AE133" s="347">
        <v>876.90082191780834</v>
      </c>
      <c r="AF133" s="347"/>
      <c r="AG133" s="347"/>
      <c r="AH133" s="347">
        <f t="shared" si="14"/>
        <v>2700.6345205479456</v>
      </c>
      <c r="AI133" s="347">
        <f t="shared" si="15"/>
        <v>876.90082191780834</v>
      </c>
      <c r="AJ133" s="347"/>
      <c r="AK133" s="347"/>
      <c r="AL133" s="347">
        <f t="shared" si="16"/>
        <v>3577.5353424657542</v>
      </c>
      <c r="AM133" s="348"/>
    </row>
    <row r="134" spans="1:39" hidden="1" x14ac:dyDescent="0.3">
      <c r="A134" s="34">
        <v>5060</v>
      </c>
      <c r="B134" s="33" t="s">
        <v>177</v>
      </c>
      <c r="C134" s="33" t="s">
        <v>191</v>
      </c>
      <c r="D134" s="33" t="s">
        <v>190</v>
      </c>
      <c r="E134" s="349">
        <v>20000</v>
      </c>
      <c r="F134" s="240">
        <v>43946</v>
      </c>
      <c r="G134" s="240">
        <v>44311</v>
      </c>
      <c r="H134" s="26"/>
      <c r="I134" s="80">
        <v>6</v>
      </c>
      <c r="J134" s="26"/>
      <c r="K134" s="26"/>
      <c r="L134" s="26"/>
      <c r="M134" s="26"/>
      <c r="N134" s="26"/>
      <c r="O134" s="237"/>
      <c r="P134" s="26"/>
      <c r="Q134" s="26"/>
      <c r="R134" s="26"/>
      <c r="S134" s="26">
        <v>16.666666666666668</v>
      </c>
      <c r="T134" s="26"/>
      <c r="U134" s="26"/>
      <c r="V134" s="26">
        <f t="shared" ref="V134:V197" si="17">+R134+S134+T134+U134</f>
        <v>16.666666666666668</v>
      </c>
      <c r="W134" s="26">
        <v>103.33333333333334</v>
      </c>
      <c r="X134" s="80"/>
      <c r="Y134" s="26"/>
      <c r="Z134" s="26">
        <f t="shared" ref="Z134:Z197" si="18">+V134+W134+X134+Y134</f>
        <v>120.00000000000001</v>
      </c>
      <c r="AA134" s="26">
        <v>98.630136986301366</v>
      </c>
      <c r="AB134" s="80"/>
      <c r="AC134" s="26"/>
      <c r="AD134" s="26">
        <f t="shared" ref="AD134:AD197" si="19">+Z134+AA134+AB134+AC134</f>
        <v>218.63013698630138</v>
      </c>
      <c r="AE134" s="347">
        <v>101.91780821917807</v>
      </c>
      <c r="AF134" s="347"/>
      <c r="AG134" s="347"/>
      <c r="AH134" s="347">
        <f t="shared" ref="AH134:AH185" si="20">+AD134+AE134+AF134+AG134</f>
        <v>320.54794520547944</v>
      </c>
      <c r="AI134" s="347">
        <f t="shared" si="15"/>
        <v>101.91780821917807</v>
      </c>
      <c r="AJ134" s="347"/>
      <c r="AK134" s="347"/>
      <c r="AL134" s="347">
        <f t="shared" si="16"/>
        <v>422.46575342465752</v>
      </c>
      <c r="AM134" s="348"/>
    </row>
    <row r="135" spans="1:39" hidden="1" x14ac:dyDescent="0.3">
      <c r="A135" s="41">
        <v>5060</v>
      </c>
      <c r="B135" s="40" t="s">
        <v>177</v>
      </c>
      <c r="C135" s="40" t="s">
        <v>189</v>
      </c>
      <c r="D135" s="40" t="s">
        <v>188</v>
      </c>
      <c r="E135" s="363">
        <v>60000</v>
      </c>
      <c r="F135" s="240">
        <v>43946</v>
      </c>
      <c r="G135" s="240">
        <v>44311</v>
      </c>
      <c r="H135" s="26"/>
      <c r="I135" s="80">
        <v>6</v>
      </c>
      <c r="J135" s="26"/>
      <c r="K135" s="26"/>
      <c r="L135" s="26"/>
      <c r="M135" s="26"/>
      <c r="N135" s="26"/>
      <c r="O135" s="237"/>
      <c r="P135" s="26"/>
      <c r="Q135" s="26"/>
      <c r="R135" s="26"/>
      <c r="S135" s="26">
        <v>50</v>
      </c>
      <c r="T135" s="26"/>
      <c r="U135" s="26"/>
      <c r="V135" s="26">
        <f t="shared" si="17"/>
        <v>50</v>
      </c>
      <c r="W135" s="26">
        <v>310</v>
      </c>
      <c r="X135" s="80"/>
      <c r="Y135" s="26"/>
      <c r="Z135" s="26">
        <f t="shared" si="18"/>
        <v>360</v>
      </c>
      <c r="AA135" s="26">
        <v>295.89041095890411</v>
      </c>
      <c r="AB135" s="80"/>
      <c r="AC135" s="26"/>
      <c r="AD135" s="26">
        <f t="shared" si="19"/>
        <v>655.89041095890411</v>
      </c>
      <c r="AE135" s="347">
        <v>305.75342465753425</v>
      </c>
      <c r="AF135" s="347"/>
      <c r="AG135" s="347"/>
      <c r="AH135" s="347">
        <f t="shared" si="20"/>
        <v>961.64383561643831</v>
      </c>
      <c r="AI135" s="347">
        <f t="shared" si="15"/>
        <v>305.75342465753425</v>
      </c>
      <c r="AJ135" s="347"/>
      <c r="AK135" s="347"/>
      <c r="AL135" s="347">
        <f t="shared" si="16"/>
        <v>1267.3972602739725</v>
      </c>
      <c r="AM135" s="348"/>
    </row>
    <row r="136" spans="1:39" hidden="1" x14ac:dyDescent="0.3">
      <c r="A136" s="41">
        <v>5060</v>
      </c>
      <c r="B136" s="40" t="s">
        <v>177</v>
      </c>
      <c r="C136" s="40" t="s">
        <v>187</v>
      </c>
      <c r="D136" s="40" t="s">
        <v>186</v>
      </c>
      <c r="E136" s="363">
        <v>87995</v>
      </c>
      <c r="F136" s="240">
        <v>43946</v>
      </c>
      <c r="G136" s="240">
        <v>44311</v>
      </c>
      <c r="H136" s="26"/>
      <c r="I136" s="80">
        <v>6</v>
      </c>
      <c r="J136" s="26"/>
      <c r="K136" s="26"/>
      <c r="L136" s="26"/>
      <c r="M136" s="26"/>
      <c r="N136" s="26"/>
      <c r="O136" s="237"/>
      <c r="P136" s="26"/>
      <c r="Q136" s="26"/>
      <c r="R136" s="26"/>
      <c r="S136" s="26">
        <v>73.329166666666666</v>
      </c>
      <c r="T136" s="26"/>
      <c r="U136" s="26"/>
      <c r="V136" s="26">
        <f t="shared" si="17"/>
        <v>73.329166666666666</v>
      </c>
      <c r="W136" s="26">
        <v>454.64083333333332</v>
      </c>
      <c r="X136" s="80"/>
      <c r="Y136" s="26"/>
      <c r="Z136" s="26">
        <f t="shared" si="18"/>
        <v>527.97</v>
      </c>
      <c r="AA136" s="26">
        <v>433.94794520547941</v>
      </c>
      <c r="AB136" s="80"/>
      <c r="AC136" s="26"/>
      <c r="AD136" s="26">
        <f t="shared" si="19"/>
        <v>961.91794520547944</v>
      </c>
      <c r="AE136" s="347">
        <v>448.41287671232874</v>
      </c>
      <c r="AF136" s="347"/>
      <c r="AG136" s="347"/>
      <c r="AH136" s="347">
        <f t="shared" si="20"/>
        <v>1410.3308219178082</v>
      </c>
      <c r="AI136" s="347">
        <f t="shared" si="15"/>
        <v>448.41287671232874</v>
      </c>
      <c r="AJ136" s="347"/>
      <c r="AK136" s="347"/>
      <c r="AL136" s="347">
        <f t="shared" si="16"/>
        <v>1858.7436986301368</v>
      </c>
      <c r="AM136" s="348"/>
    </row>
    <row r="137" spans="1:39" hidden="1" x14ac:dyDescent="0.3">
      <c r="A137" s="41">
        <v>5060</v>
      </c>
      <c r="B137" s="40" t="s">
        <v>177</v>
      </c>
      <c r="C137" s="40" t="s">
        <v>185</v>
      </c>
      <c r="D137" s="40" t="s">
        <v>184</v>
      </c>
      <c r="E137" s="363">
        <v>17500</v>
      </c>
      <c r="F137" s="240">
        <v>43946</v>
      </c>
      <c r="G137" s="240">
        <v>44311</v>
      </c>
      <c r="H137" s="26"/>
      <c r="I137" s="80">
        <v>6</v>
      </c>
      <c r="J137" s="26"/>
      <c r="K137" s="26"/>
      <c r="L137" s="26"/>
      <c r="M137" s="26"/>
      <c r="N137" s="26"/>
      <c r="O137" s="237"/>
      <c r="P137" s="26"/>
      <c r="Q137" s="26"/>
      <c r="R137" s="26"/>
      <c r="S137" s="26">
        <v>14.583333333333332</v>
      </c>
      <c r="T137" s="26"/>
      <c r="U137" s="26"/>
      <c r="V137" s="26">
        <f t="shared" si="17"/>
        <v>14.583333333333332</v>
      </c>
      <c r="W137" s="26">
        <v>90.416666666666657</v>
      </c>
      <c r="X137" s="80"/>
      <c r="Y137" s="26"/>
      <c r="Z137" s="26">
        <f t="shared" si="18"/>
        <v>104.99999999999999</v>
      </c>
      <c r="AA137" s="26">
        <v>86.30136986301369</v>
      </c>
      <c r="AB137" s="80"/>
      <c r="AC137" s="26"/>
      <c r="AD137" s="26">
        <f t="shared" si="19"/>
        <v>191.30136986301369</v>
      </c>
      <c r="AE137" s="347">
        <v>89.178082191780817</v>
      </c>
      <c r="AF137" s="347"/>
      <c r="AG137" s="347"/>
      <c r="AH137" s="347">
        <f t="shared" si="20"/>
        <v>280.47945205479448</v>
      </c>
      <c r="AI137" s="347">
        <f t="shared" si="15"/>
        <v>89.178082191780817</v>
      </c>
      <c r="AJ137" s="347"/>
      <c r="AK137" s="347"/>
      <c r="AL137" s="347">
        <f t="shared" si="16"/>
        <v>369.65753424657532</v>
      </c>
      <c r="AM137" s="348"/>
    </row>
    <row r="138" spans="1:39" hidden="1" x14ac:dyDescent="0.3">
      <c r="A138" s="41">
        <v>5060</v>
      </c>
      <c r="B138" s="40" t="s">
        <v>177</v>
      </c>
      <c r="C138" s="40" t="s">
        <v>183</v>
      </c>
      <c r="D138" s="40" t="s">
        <v>182</v>
      </c>
      <c r="E138" s="363">
        <v>48500</v>
      </c>
      <c r="F138" s="240">
        <v>43946</v>
      </c>
      <c r="G138" s="240">
        <v>44311</v>
      </c>
      <c r="H138" s="26"/>
      <c r="I138" s="80">
        <v>6</v>
      </c>
      <c r="J138" s="26"/>
      <c r="K138" s="26"/>
      <c r="L138" s="26"/>
      <c r="M138" s="26"/>
      <c r="N138" s="26"/>
      <c r="O138" s="237"/>
      <c r="P138" s="26"/>
      <c r="Q138" s="26"/>
      <c r="R138" s="26"/>
      <c r="S138" s="26">
        <v>40.416666666666671</v>
      </c>
      <c r="T138" s="26"/>
      <c r="U138" s="26"/>
      <c r="V138" s="26">
        <f t="shared" si="17"/>
        <v>40.416666666666671</v>
      </c>
      <c r="W138" s="26">
        <v>250.58333333333334</v>
      </c>
      <c r="X138" s="80"/>
      <c r="Y138" s="26"/>
      <c r="Z138" s="26">
        <f t="shared" si="18"/>
        <v>291</v>
      </c>
      <c r="AA138" s="26">
        <v>239.17808219178082</v>
      </c>
      <c r="AB138" s="80"/>
      <c r="AC138" s="26"/>
      <c r="AD138" s="26">
        <f t="shared" si="19"/>
        <v>530.17808219178085</v>
      </c>
      <c r="AE138" s="347">
        <v>247.15068493150685</v>
      </c>
      <c r="AF138" s="347"/>
      <c r="AG138" s="347"/>
      <c r="AH138" s="347">
        <f t="shared" si="20"/>
        <v>777.32876712328766</v>
      </c>
      <c r="AI138" s="347">
        <f t="shared" si="15"/>
        <v>247.15068493150685</v>
      </c>
      <c r="AJ138" s="347"/>
      <c r="AK138" s="347"/>
      <c r="AL138" s="347">
        <f t="shared" si="16"/>
        <v>1024.4794520547946</v>
      </c>
      <c r="AM138" s="348"/>
    </row>
    <row r="139" spans="1:39" hidden="1" x14ac:dyDescent="0.3">
      <c r="A139" s="41">
        <v>5060</v>
      </c>
      <c r="B139" s="40" t="s">
        <v>177</v>
      </c>
      <c r="C139" s="40" t="s">
        <v>181</v>
      </c>
      <c r="D139" s="40" t="s">
        <v>180</v>
      </c>
      <c r="E139" s="363">
        <v>100000</v>
      </c>
      <c r="F139" s="240">
        <v>43946</v>
      </c>
      <c r="G139" s="240">
        <v>44311</v>
      </c>
      <c r="H139" s="26"/>
      <c r="I139" s="80">
        <v>6</v>
      </c>
      <c r="J139" s="26"/>
      <c r="K139" s="26"/>
      <c r="L139" s="26"/>
      <c r="M139" s="26"/>
      <c r="N139" s="26"/>
      <c r="O139" s="237"/>
      <c r="P139" s="26"/>
      <c r="Q139" s="26"/>
      <c r="R139" s="26"/>
      <c r="S139" s="26">
        <v>83.333333333333343</v>
      </c>
      <c r="T139" s="26"/>
      <c r="U139" s="26"/>
      <c r="V139" s="26">
        <f t="shared" si="17"/>
        <v>83.333333333333343</v>
      </c>
      <c r="W139" s="26">
        <v>516.66666666666674</v>
      </c>
      <c r="X139" s="80"/>
      <c r="Y139" s="26"/>
      <c r="Z139" s="26">
        <f t="shared" si="18"/>
        <v>600.00000000000011</v>
      </c>
      <c r="AA139" s="26">
        <v>493.15068493150693</v>
      </c>
      <c r="AB139" s="80"/>
      <c r="AC139" s="26"/>
      <c r="AD139" s="26">
        <f t="shared" si="19"/>
        <v>1093.1506849315069</v>
      </c>
      <c r="AE139" s="347">
        <v>509.58904109589048</v>
      </c>
      <c r="AF139" s="347"/>
      <c r="AG139" s="347"/>
      <c r="AH139" s="347">
        <f t="shared" si="20"/>
        <v>1602.7397260273974</v>
      </c>
      <c r="AI139" s="347">
        <f t="shared" si="15"/>
        <v>509.58904109589048</v>
      </c>
      <c r="AJ139" s="347"/>
      <c r="AK139" s="347"/>
      <c r="AL139" s="347">
        <f t="shared" si="16"/>
        <v>2112.3287671232879</v>
      </c>
      <c r="AM139" s="348"/>
    </row>
    <row r="140" spans="1:39" hidden="1" x14ac:dyDescent="0.3">
      <c r="A140" s="41">
        <v>5060</v>
      </c>
      <c r="B140" s="40" t="s">
        <v>177</v>
      </c>
      <c r="C140" s="40" t="s">
        <v>179</v>
      </c>
      <c r="D140" s="40" t="s">
        <v>178</v>
      </c>
      <c r="E140" s="363">
        <v>50000</v>
      </c>
      <c r="F140" s="240">
        <v>43946</v>
      </c>
      <c r="G140" s="240">
        <v>44311</v>
      </c>
      <c r="H140" s="26"/>
      <c r="I140" s="80">
        <v>6</v>
      </c>
      <c r="J140" s="26"/>
      <c r="K140" s="26"/>
      <c r="L140" s="26"/>
      <c r="M140" s="26"/>
      <c r="N140" s="26"/>
      <c r="O140" s="237"/>
      <c r="P140" s="26"/>
      <c r="Q140" s="26"/>
      <c r="R140" s="26"/>
      <c r="S140" s="26">
        <v>41.666666666666671</v>
      </c>
      <c r="T140" s="26"/>
      <c r="U140" s="26"/>
      <c r="V140" s="26">
        <f t="shared" si="17"/>
        <v>41.666666666666671</v>
      </c>
      <c r="W140" s="26">
        <v>258.33333333333337</v>
      </c>
      <c r="X140" s="80"/>
      <c r="Y140" s="26"/>
      <c r="Z140" s="26">
        <f t="shared" si="18"/>
        <v>300.00000000000006</v>
      </c>
      <c r="AA140" s="26">
        <v>246.57534246575347</v>
      </c>
      <c r="AB140" s="80"/>
      <c r="AC140" s="26"/>
      <c r="AD140" s="26">
        <f t="shared" si="19"/>
        <v>546.57534246575347</v>
      </c>
      <c r="AE140" s="347">
        <v>254.79452054794524</v>
      </c>
      <c r="AF140" s="347"/>
      <c r="AG140" s="347"/>
      <c r="AH140" s="347">
        <f t="shared" si="20"/>
        <v>801.3698630136987</v>
      </c>
      <c r="AI140" s="347">
        <f t="shared" si="15"/>
        <v>254.79452054794524</v>
      </c>
      <c r="AJ140" s="347"/>
      <c r="AK140" s="347"/>
      <c r="AL140" s="347">
        <f t="shared" si="16"/>
        <v>1056.1643835616439</v>
      </c>
      <c r="AM140" s="348"/>
    </row>
    <row r="141" spans="1:39" hidden="1" x14ac:dyDescent="0.3">
      <c r="A141" s="41">
        <v>5060</v>
      </c>
      <c r="B141" s="40" t="s">
        <v>177</v>
      </c>
      <c r="C141" s="40" t="s">
        <v>176</v>
      </c>
      <c r="D141" s="40" t="s">
        <v>175</v>
      </c>
      <c r="E141" s="363">
        <v>50000</v>
      </c>
      <c r="F141" s="240">
        <v>43946</v>
      </c>
      <c r="G141" s="240">
        <v>44311</v>
      </c>
      <c r="H141" s="26"/>
      <c r="I141" s="80">
        <v>6</v>
      </c>
      <c r="J141" s="26"/>
      <c r="K141" s="26"/>
      <c r="L141" s="26"/>
      <c r="M141" s="26"/>
      <c r="N141" s="26"/>
      <c r="O141" s="237"/>
      <c r="P141" s="26"/>
      <c r="Q141" s="26"/>
      <c r="R141" s="26"/>
      <c r="S141" s="26">
        <v>41.666666666666671</v>
      </c>
      <c r="T141" s="26"/>
      <c r="U141" s="26"/>
      <c r="V141" s="26">
        <f t="shared" si="17"/>
        <v>41.666666666666671</v>
      </c>
      <c r="W141" s="26">
        <v>258.33333333333337</v>
      </c>
      <c r="X141" s="80"/>
      <c r="Y141" s="26"/>
      <c r="Z141" s="26">
        <f t="shared" si="18"/>
        <v>300.00000000000006</v>
      </c>
      <c r="AA141" s="26">
        <v>246.57534246575347</v>
      </c>
      <c r="AB141" s="80"/>
      <c r="AC141" s="26"/>
      <c r="AD141" s="26">
        <f t="shared" si="19"/>
        <v>546.57534246575347</v>
      </c>
      <c r="AE141" s="347">
        <v>254.79452054794524</v>
      </c>
      <c r="AF141" s="347"/>
      <c r="AG141" s="347"/>
      <c r="AH141" s="347">
        <f t="shared" si="20"/>
        <v>801.3698630136987</v>
      </c>
      <c r="AI141" s="347">
        <f t="shared" si="15"/>
        <v>254.79452054794524</v>
      </c>
      <c r="AJ141" s="347"/>
      <c r="AK141" s="347"/>
      <c r="AL141" s="347">
        <f t="shared" si="16"/>
        <v>1056.1643835616439</v>
      </c>
      <c r="AM141" s="348"/>
    </row>
    <row r="142" spans="1:39" hidden="1" x14ac:dyDescent="0.3">
      <c r="A142" s="41">
        <v>5004</v>
      </c>
      <c r="B142" s="40" t="s">
        <v>174</v>
      </c>
      <c r="C142" s="40" t="s">
        <v>173</v>
      </c>
      <c r="D142" s="40" t="s">
        <v>172</v>
      </c>
      <c r="E142" s="363">
        <v>985000</v>
      </c>
      <c r="F142" s="240">
        <v>43950</v>
      </c>
      <c r="G142" s="240">
        <v>44315</v>
      </c>
      <c r="H142" s="26"/>
      <c r="I142" s="80">
        <v>6.15</v>
      </c>
      <c r="J142" s="26"/>
      <c r="K142" s="26"/>
      <c r="L142" s="26"/>
      <c r="M142" s="26"/>
      <c r="N142" s="26"/>
      <c r="O142" s="237"/>
      <c r="P142" s="26"/>
      <c r="Q142" s="26"/>
      <c r="R142" s="26"/>
      <c r="S142" s="26">
        <v>168.27083333333334</v>
      </c>
      <c r="T142" s="26"/>
      <c r="U142" s="26"/>
      <c r="V142" s="26">
        <f t="shared" si="17"/>
        <v>168.27083333333334</v>
      </c>
      <c r="W142" s="26">
        <v>5216.3958333333339</v>
      </c>
      <c r="X142" s="80"/>
      <c r="Y142" s="26"/>
      <c r="Z142" s="26">
        <f t="shared" si="18"/>
        <v>5384.666666666667</v>
      </c>
      <c r="AA142" s="26">
        <v>4978.9726027397264</v>
      </c>
      <c r="AB142" s="80"/>
      <c r="AC142" s="26"/>
      <c r="AD142" s="26">
        <f t="shared" si="19"/>
        <v>10363.639269406394</v>
      </c>
      <c r="AE142" s="347">
        <v>5144.9383561643845</v>
      </c>
      <c r="AF142" s="347"/>
      <c r="AG142" s="347"/>
      <c r="AH142" s="347">
        <f t="shared" si="20"/>
        <v>15508.577625570779</v>
      </c>
      <c r="AI142" s="347">
        <f t="shared" si="15"/>
        <v>5144.9383561643845</v>
      </c>
      <c r="AJ142" s="347"/>
      <c r="AK142" s="347"/>
      <c r="AL142" s="347">
        <f t="shared" si="16"/>
        <v>20653.515981735163</v>
      </c>
      <c r="AM142" s="348"/>
    </row>
    <row r="143" spans="1:39" hidden="1" x14ac:dyDescent="0.3">
      <c r="A143" s="236">
        <v>5063</v>
      </c>
      <c r="B143" s="237" t="s">
        <v>13</v>
      </c>
      <c r="C143" s="237" t="s">
        <v>171</v>
      </c>
      <c r="D143" s="237" t="s">
        <v>170</v>
      </c>
      <c r="E143" s="80">
        <v>100000</v>
      </c>
      <c r="F143" s="240">
        <v>43953</v>
      </c>
      <c r="G143" s="240">
        <v>44318</v>
      </c>
      <c r="H143" s="26"/>
      <c r="I143" s="237">
        <v>4.9000000000000004</v>
      </c>
      <c r="J143" s="26"/>
      <c r="K143" s="26"/>
      <c r="L143" s="26"/>
      <c r="M143" s="26"/>
      <c r="N143" s="26"/>
      <c r="O143" s="237"/>
      <c r="P143" s="26"/>
      <c r="Q143" s="26"/>
      <c r="R143" s="26"/>
      <c r="S143" s="26"/>
      <c r="T143" s="26"/>
      <c r="U143" s="26"/>
      <c r="V143" s="26">
        <f t="shared" si="17"/>
        <v>0</v>
      </c>
      <c r="W143" s="26">
        <v>394.72222222222223</v>
      </c>
      <c r="X143" s="80"/>
      <c r="Y143" s="26"/>
      <c r="Z143" s="26">
        <f t="shared" si="18"/>
        <v>394.72222222222223</v>
      </c>
      <c r="AA143" s="26">
        <v>402.7397260273973</v>
      </c>
      <c r="AB143" s="80"/>
      <c r="AC143" s="26"/>
      <c r="AD143" s="26">
        <f t="shared" si="19"/>
        <v>797.46194824961958</v>
      </c>
      <c r="AE143" s="347">
        <v>416.16438356164383</v>
      </c>
      <c r="AF143" s="347"/>
      <c r="AG143" s="347"/>
      <c r="AH143" s="347">
        <f t="shared" si="20"/>
        <v>1213.6263318112633</v>
      </c>
      <c r="AI143" s="347">
        <f t="shared" si="15"/>
        <v>416.16438356164383</v>
      </c>
      <c r="AJ143" s="347"/>
      <c r="AK143" s="347"/>
      <c r="AL143" s="347">
        <f t="shared" si="16"/>
        <v>1629.790715372907</v>
      </c>
      <c r="AM143" s="348"/>
    </row>
    <row r="144" spans="1:39" hidden="1" x14ac:dyDescent="0.3">
      <c r="A144" s="236">
        <v>5063</v>
      </c>
      <c r="B144" s="237" t="s">
        <v>25</v>
      </c>
      <c r="C144" s="237" t="s">
        <v>169</v>
      </c>
      <c r="D144" s="237" t="s">
        <v>168</v>
      </c>
      <c r="E144" s="80">
        <v>150000</v>
      </c>
      <c r="F144" s="240">
        <v>43953</v>
      </c>
      <c r="G144" s="240">
        <v>44318</v>
      </c>
      <c r="H144" s="26"/>
      <c r="I144" s="237">
        <v>4.4000000000000004</v>
      </c>
      <c r="J144" s="26"/>
      <c r="K144" s="26"/>
      <c r="L144" s="26"/>
      <c r="M144" s="26"/>
      <c r="N144" s="26"/>
      <c r="O144" s="237"/>
      <c r="P144" s="26"/>
      <c r="Q144" s="26"/>
      <c r="R144" s="26"/>
      <c r="S144" s="26"/>
      <c r="T144" s="26"/>
      <c r="U144" s="26"/>
      <c r="V144" s="26">
        <f t="shared" si="17"/>
        <v>0</v>
      </c>
      <c r="W144" s="26">
        <v>531.66666666666674</v>
      </c>
      <c r="X144" s="80"/>
      <c r="Y144" s="26"/>
      <c r="Z144" s="26">
        <f t="shared" si="18"/>
        <v>531.66666666666674</v>
      </c>
      <c r="AA144" s="26">
        <v>542.46575342465758</v>
      </c>
      <c r="AB144" s="80"/>
      <c r="AC144" s="26"/>
      <c r="AD144" s="26">
        <f t="shared" si="19"/>
        <v>1074.1324200913243</v>
      </c>
      <c r="AE144" s="347">
        <v>560.54794520547944</v>
      </c>
      <c r="AF144" s="347"/>
      <c r="AG144" s="347"/>
      <c r="AH144" s="347">
        <f t="shared" si="20"/>
        <v>1634.6803652968038</v>
      </c>
      <c r="AI144" s="347">
        <f t="shared" si="15"/>
        <v>560.54794520547944</v>
      </c>
      <c r="AJ144" s="347"/>
      <c r="AK144" s="347"/>
      <c r="AL144" s="347">
        <f t="shared" si="16"/>
        <v>2195.2283105022834</v>
      </c>
      <c r="AM144" s="348"/>
    </row>
    <row r="145" spans="1:39" hidden="1" x14ac:dyDescent="0.3">
      <c r="A145" s="236">
        <v>5040</v>
      </c>
      <c r="B145" s="237" t="s">
        <v>82</v>
      </c>
      <c r="C145" s="237" t="s">
        <v>167</v>
      </c>
      <c r="D145" s="237" t="s">
        <v>166</v>
      </c>
      <c r="E145" s="80">
        <v>41000</v>
      </c>
      <c r="F145" s="240">
        <v>43954</v>
      </c>
      <c r="G145" s="240">
        <v>44319</v>
      </c>
      <c r="H145" s="26"/>
      <c r="I145" s="237">
        <v>6.15</v>
      </c>
      <c r="J145" s="26"/>
      <c r="K145" s="26"/>
      <c r="L145" s="26"/>
      <c r="M145" s="26"/>
      <c r="N145" s="26"/>
      <c r="O145" s="237"/>
      <c r="P145" s="26"/>
      <c r="Q145" s="26"/>
      <c r="R145" s="26"/>
      <c r="S145" s="26"/>
      <c r="T145" s="26"/>
      <c r="U145" s="26"/>
      <c r="V145" s="26">
        <f t="shared" si="17"/>
        <v>0</v>
      </c>
      <c r="W145" s="26">
        <v>196.1166666666667</v>
      </c>
      <c r="X145" s="80"/>
      <c r="Y145" s="26"/>
      <c r="Z145" s="26">
        <f t="shared" si="18"/>
        <v>196.1166666666667</v>
      </c>
      <c r="AA145" s="26">
        <v>207.2465753424658</v>
      </c>
      <c r="AB145" s="80"/>
      <c r="AC145" s="26"/>
      <c r="AD145" s="26">
        <f t="shared" si="19"/>
        <v>403.36324200913248</v>
      </c>
      <c r="AE145" s="347">
        <v>214.15479452054799</v>
      </c>
      <c r="AF145" s="347"/>
      <c r="AG145" s="347"/>
      <c r="AH145" s="347">
        <f t="shared" si="20"/>
        <v>617.51803652968044</v>
      </c>
      <c r="AI145" s="347">
        <f t="shared" si="15"/>
        <v>214.15479452054799</v>
      </c>
      <c r="AJ145" s="347"/>
      <c r="AK145" s="347"/>
      <c r="AL145" s="347">
        <f t="shared" si="16"/>
        <v>831.67283105022841</v>
      </c>
      <c r="AM145" s="348"/>
    </row>
    <row r="146" spans="1:39" hidden="1" x14ac:dyDescent="0.3">
      <c r="A146" s="236">
        <v>5062</v>
      </c>
      <c r="B146" s="237" t="s">
        <v>85</v>
      </c>
      <c r="C146" s="237" t="s">
        <v>165</v>
      </c>
      <c r="D146" s="237" t="s">
        <v>164</v>
      </c>
      <c r="E146" s="80">
        <v>200000</v>
      </c>
      <c r="F146" s="240">
        <v>43959</v>
      </c>
      <c r="G146" s="240">
        <v>44324</v>
      </c>
      <c r="H146" s="26"/>
      <c r="I146" s="237">
        <v>4.4000000000000004</v>
      </c>
      <c r="J146" s="26"/>
      <c r="K146" s="26"/>
      <c r="L146" s="26"/>
      <c r="M146" s="26"/>
      <c r="N146" s="26"/>
      <c r="O146" s="237"/>
      <c r="P146" s="26"/>
      <c r="Q146" s="26"/>
      <c r="R146" s="26"/>
      <c r="S146" s="26"/>
      <c r="T146" s="26"/>
      <c r="U146" s="26"/>
      <c r="V146" s="26">
        <f t="shared" si="17"/>
        <v>0</v>
      </c>
      <c r="W146" s="26">
        <v>562.22222222222217</v>
      </c>
      <c r="X146" s="80"/>
      <c r="Y146" s="26"/>
      <c r="Z146" s="26">
        <f t="shared" si="18"/>
        <v>562.22222222222217</v>
      </c>
      <c r="AA146" s="26">
        <v>723.28767123287673</v>
      </c>
      <c r="AB146" s="80"/>
      <c r="AC146" s="26"/>
      <c r="AD146" s="26">
        <f t="shared" si="19"/>
        <v>1285.5098934550988</v>
      </c>
      <c r="AE146" s="347">
        <v>747.39726027397262</v>
      </c>
      <c r="AF146" s="347"/>
      <c r="AG146" s="347"/>
      <c r="AH146" s="347">
        <f t="shared" si="20"/>
        <v>2032.9071537290715</v>
      </c>
      <c r="AI146" s="347">
        <f t="shared" si="15"/>
        <v>747.39726027397262</v>
      </c>
      <c r="AJ146" s="347"/>
      <c r="AK146" s="347"/>
      <c r="AL146" s="347">
        <f t="shared" si="16"/>
        <v>2780.3044140030443</v>
      </c>
      <c r="AM146" s="348"/>
    </row>
    <row r="147" spans="1:39" hidden="1" x14ac:dyDescent="0.3">
      <c r="A147" s="236">
        <v>5062</v>
      </c>
      <c r="B147" s="237" t="s">
        <v>85</v>
      </c>
      <c r="C147" s="237" t="s">
        <v>163</v>
      </c>
      <c r="D147" s="237" t="s">
        <v>162</v>
      </c>
      <c r="E147" s="80">
        <v>145230</v>
      </c>
      <c r="F147" s="240">
        <v>43959</v>
      </c>
      <c r="G147" s="240">
        <v>44324</v>
      </c>
      <c r="H147" s="26"/>
      <c r="I147" s="237">
        <v>4.4000000000000004</v>
      </c>
      <c r="J147" s="26"/>
      <c r="K147" s="26"/>
      <c r="L147" s="26"/>
      <c r="M147" s="26"/>
      <c r="N147" s="26"/>
      <c r="O147" s="237"/>
      <c r="P147" s="26"/>
      <c r="Q147" s="26"/>
      <c r="R147" s="26"/>
      <c r="S147" s="26"/>
      <c r="T147" s="26"/>
      <c r="U147" s="26"/>
      <c r="V147" s="26">
        <f t="shared" si="17"/>
        <v>0</v>
      </c>
      <c r="W147" s="26">
        <v>408.25766666666675</v>
      </c>
      <c r="X147" s="80"/>
      <c r="Y147" s="26"/>
      <c r="Z147" s="26">
        <f t="shared" si="18"/>
        <v>408.25766666666675</v>
      </c>
      <c r="AA147" s="26">
        <v>525.21534246575345</v>
      </c>
      <c r="AB147" s="80"/>
      <c r="AC147" s="26"/>
      <c r="AD147" s="26">
        <f t="shared" si="19"/>
        <v>933.4730091324202</v>
      </c>
      <c r="AE147" s="347">
        <v>542.72252054794524</v>
      </c>
      <c r="AF147" s="347"/>
      <c r="AG147" s="347"/>
      <c r="AH147" s="347">
        <f t="shared" si="20"/>
        <v>1476.1955296803653</v>
      </c>
      <c r="AI147" s="347">
        <f t="shared" si="15"/>
        <v>542.72252054794524</v>
      </c>
      <c r="AJ147" s="347"/>
      <c r="AK147" s="347"/>
      <c r="AL147" s="347">
        <f t="shared" si="16"/>
        <v>2018.9180502283107</v>
      </c>
      <c r="AM147" s="348"/>
    </row>
    <row r="148" spans="1:39" hidden="1" x14ac:dyDescent="0.3">
      <c r="A148" s="236">
        <v>5057</v>
      </c>
      <c r="B148" s="237" t="s">
        <v>74</v>
      </c>
      <c r="C148" s="237" t="s">
        <v>161</v>
      </c>
      <c r="D148" s="237" t="s">
        <v>160</v>
      </c>
      <c r="E148" s="80">
        <v>75000</v>
      </c>
      <c r="F148" s="240">
        <v>43965</v>
      </c>
      <c r="G148" s="240">
        <v>44330</v>
      </c>
      <c r="H148" s="26"/>
      <c r="I148" s="237">
        <v>3.4</v>
      </c>
      <c r="J148" s="26"/>
      <c r="K148" s="26"/>
      <c r="L148" s="26"/>
      <c r="M148" s="26"/>
      <c r="N148" s="26"/>
      <c r="O148" s="237"/>
      <c r="P148" s="26"/>
      <c r="Q148" s="26"/>
      <c r="R148" s="26"/>
      <c r="S148" s="26"/>
      <c r="T148" s="26"/>
      <c r="U148" s="26"/>
      <c r="V148" s="26">
        <f t="shared" si="17"/>
        <v>0</v>
      </c>
      <c r="W148" s="26">
        <v>120.41666666666666</v>
      </c>
      <c r="X148" s="80"/>
      <c r="Y148" s="26"/>
      <c r="Z148" s="26">
        <f t="shared" si="18"/>
        <v>120.41666666666666</v>
      </c>
      <c r="AA148" s="26">
        <v>209.58904109589042</v>
      </c>
      <c r="AB148" s="80"/>
      <c r="AC148" s="26"/>
      <c r="AD148" s="26">
        <f t="shared" si="19"/>
        <v>330.00570776255711</v>
      </c>
      <c r="AE148" s="347">
        <v>216.57534246575344</v>
      </c>
      <c r="AF148" s="347"/>
      <c r="AG148" s="347"/>
      <c r="AH148" s="347">
        <f t="shared" si="20"/>
        <v>546.58105022831057</v>
      </c>
      <c r="AI148" s="347">
        <f t="shared" si="15"/>
        <v>216.57534246575344</v>
      </c>
      <c r="AJ148" s="347"/>
      <c r="AK148" s="347"/>
      <c r="AL148" s="347">
        <f t="shared" si="16"/>
        <v>763.15639269406404</v>
      </c>
      <c r="AM148" s="348"/>
    </row>
    <row r="149" spans="1:39" hidden="1" x14ac:dyDescent="0.3">
      <c r="A149" s="236">
        <v>5055</v>
      </c>
      <c r="B149" s="237" t="s">
        <v>159</v>
      </c>
      <c r="C149" s="237" t="s">
        <v>158</v>
      </c>
      <c r="D149" s="237" t="s">
        <v>157</v>
      </c>
      <c r="E149" s="80">
        <v>500000</v>
      </c>
      <c r="F149" s="240">
        <v>43966</v>
      </c>
      <c r="G149" s="240">
        <v>44331</v>
      </c>
      <c r="H149" s="26"/>
      <c r="I149" s="237">
        <v>7.55</v>
      </c>
      <c r="J149" s="26"/>
      <c r="K149" s="26"/>
      <c r="L149" s="26"/>
      <c r="M149" s="26"/>
      <c r="N149" s="26"/>
      <c r="O149" s="237"/>
      <c r="P149" s="26"/>
      <c r="Q149" s="26"/>
      <c r="R149" s="26"/>
      <c r="S149" s="26"/>
      <c r="T149" s="26"/>
      <c r="U149" s="26"/>
      <c r="V149" s="26">
        <f t="shared" si="17"/>
        <v>0</v>
      </c>
      <c r="W149" s="26">
        <v>1677.7777777777778</v>
      </c>
      <c r="X149" s="80"/>
      <c r="Y149" s="26"/>
      <c r="Z149" s="26">
        <f t="shared" si="18"/>
        <v>1677.7777777777778</v>
      </c>
      <c r="AA149" s="26">
        <v>3102.7397260273974</v>
      </c>
      <c r="AB149" s="80"/>
      <c r="AC149" s="26"/>
      <c r="AD149" s="26">
        <f t="shared" si="19"/>
        <v>4780.5175038051748</v>
      </c>
      <c r="AE149" s="347">
        <v>3206.1643835616437</v>
      </c>
      <c r="AF149" s="347"/>
      <c r="AG149" s="347"/>
      <c r="AH149" s="347">
        <f t="shared" si="20"/>
        <v>7986.681887366818</v>
      </c>
      <c r="AI149" s="347">
        <f t="shared" si="15"/>
        <v>3206.1643835616437</v>
      </c>
      <c r="AJ149" s="347"/>
      <c r="AK149" s="347"/>
      <c r="AL149" s="347">
        <f t="shared" si="16"/>
        <v>11192.846270928461</v>
      </c>
      <c r="AM149" s="348"/>
    </row>
    <row r="150" spans="1:39" hidden="1" x14ac:dyDescent="0.3">
      <c r="A150" s="236">
        <v>5055</v>
      </c>
      <c r="B150" s="237" t="s">
        <v>53</v>
      </c>
      <c r="C150" s="237" t="s">
        <v>156</v>
      </c>
      <c r="D150" s="237" t="s">
        <v>155</v>
      </c>
      <c r="E150" s="80">
        <v>500000</v>
      </c>
      <c r="F150" s="240">
        <v>43966</v>
      </c>
      <c r="G150" s="240">
        <v>44331</v>
      </c>
      <c r="H150" s="26"/>
      <c r="I150" s="237">
        <v>7.55</v>
      </c>
      <c r="J150" s="26"/>
      <c r="K150" s="26"/>
      <c r="L150" s="26"/>
      <c r="M150" s="26"/>
      <c r="N150" s="26"/>
      <c r="O150" s="237"/>
      <c r="P150" s="26"/>
      <c r="Q150" s="26"/>
      <c r="R150" s="26"/>
      <c r="S150" s="26"/>
      <c r="T150" s="26"/>
      <c r="U150" s="26"/>
      <c r="V150" s="26">
        <f t="shared" si="17"/>
        <v>0</v>
      </c>
      <c r="W150" s="26">
        <v>1677.7777777777778</v>
      </c>
      <c r="X150" s="80"/>
      <c r="Y150" s="26"/>
      <c r="Z150" s="26">
        <f t="shared" si="18"/>
        <v>1677.7777777777778</v>
      </c>
      <c r="AA150" s="26">
        <v>3102.7397260273974</v>
      </c>
      <c r="AB150" s="80"/>
      <c r="AC150" s="26"/>
      <c r="AD150" s="26">
        <f t="shared" si="19"/>
        <v>4780.5175038051748</v>
      </c>
      <c r="AE150" s="347">
        <v>3206.1643835616437</v>
      </c>
      <c r="AF150" s="347"/>
      <c r="AG150" s="347"/>
      <c r="AH150" s="347">
        <f t="shared" si="20"/>
        <v>7986.681887366818</v>
      </c>
      <c r="AI150" s="347">
        <f t="shared" si="15"/>
        <v>3206.1643835616437</v>
      </c>
      <c r="AJ150" s="347"/>
      <c r="AK150" s="347"/>
      <c r="AL150" s="347">
        <f t="shared" si="16"/>
        <v>11192.846270928461</v>
      </c>
      <c r="AM150" s="348"/>
    </row>
    <row r="151" spans="1:39" hidden="1" x14ac:dyDescent="0.3">
      <c r="A151" s="236">
        <v>5031</v>
      </c>
      <c r="B151" s="237" t="s">
        <v>7</v>
      </c>
      <c r="C151" s="237" t="s">
        <v>154</v>
      </c>
      <c r="D151" s="237" t="s">
        <v>153</v>
      </c>
      <c r="E151" s="80">
        <v>103000</v>
      </c>
      <c r="F151" s="240">
        <v>43967</v>
      </c>
      <c r="G151" s="240">
        <v>44332</v>
      </c>
      <c r="H151" s="26"/>
      <c r="I151" s="237">
        <v>6.4</v>
      </c>
      <c r="J151" s="26"/>
      <c r="K151" s="26"/>
      <c r="L151" s="26"/>
      <c r="M151" s="26"/>
      <c r="N151" s="26"/>
      <c r="O151" s="237"/>
      <c r="P151" s="26"/>
      <c r="Q151" s="26"/>
      <c r="R151" s="26"/>
      <c r="S151" s="26"/>
      <c r="T151" s="26"/>
      <c r="U151" s="26"/>
      <c r="V151" s="26">
        <f t="shared" si="17"/>
        <v>0</v>
      </c>
      <c r="W151" s="26">
        <v>274.66666666666663</v>
      </c>
      <c r="X151" s="80"/>
      <c r="Y151" s="26"/>
      <c r="Z151" s="26">
        <f t="shared" si="18"/>
        <v>274.66666666666663</v>
      </c>
      <c r="AA151" s="26">
        <v>541.80821917808225</v>
      </c>
      <c r="AB151" s="80"/>
      <c r="AC151" s="26"/>
      <c r="AD151" s="26">
        <f t="shared" si="19"/>
        <v>816.47488584474888</v>
      </c>
      <c r="AE151" s="347">
        <v>559.86849315068491</v>
      </c>
      <c r="AF151" s="347"/>
      <c r="AG151" s="347"/>
      <c r="AH151" s="347">
        <f t="shared" si="20"/>
        <v>1376.3433789954338</v>
      </c>
      <c r="AI151" s="347">
        <f t="shared" si="15"/>
        <v>559.86849315068491</v>
      </c>
      <c r="AJ151" s="347"/>
      <c r="AK151" s="347"/>
      <c r="AL151" s="347">
        <f t="shared" si="16"/>
        <v>1936.2118721461188</v>
      </c>
      <c r="AM151" s="348"/>
    </row>
    <row r="152" spans="1:39" hidden="1" x14ac:dyDescent="0.3">
      <c r="A152" s="236">
        <v>5031</v>
      </c>
      <c r="B152" s="237" t="s">
        <v>7</v>
      </c>
      <c r="C152" s="237" t="s">
        <v>152</v>
      </c>
      <c r="D152" s="237" t="s">
        <v>151</v>
      </c>
      <c r="E152" s="80">
        <v>200000</v>
      </c>
      <c r="F152" s="240">
        <v>43967</v>
      </c>
      <c r="G152" s="240">
        <v>44332</v>
      </c>
      <c r="H152" s="26"/>
      <c r="I152" s="237">
        <v>6.4</v>
      </c>
      <c r="J152" s="26"/>
      <c r="K152" s="26"/>
      <c r="L152" s="26"/>
      <c r="M152" s="26"/>
      <c r="N152" s="26"/>
      <c r="O152" s="237"/>
      <c r="P152" s="26"/>
      <c r="Q152" s="26"/>
      <c r="R152" s="26"/>
      <c r="S152" s="26"/>
      <c r="T152" s="26"/>
      <c r="U152" s="26"/>
      <c r="V152" s="26">
        <f t="shared" si="17"/>
        <v>0</v>
      </c>
      <c r="W152" s="26">
        <v>533.33333333333337</v>
      </c>
      <c r="X152" s="80"/>
      <c r="Y152" s="26"/>
      <c r="Z152" s="26">
        <f t="shared" si="18"/>
        <v>533.33333333333337</v>
      </c>
      <c r="AA152" s="26">
        <v>1052.0547945205478</v>
      </c>
      <c r="AB152" s="80"/>
      <c r="AC152" s="26"/>
      <c r="AD152" s="26">
        <f t="shared" si="19"/>
        <v>1585.3881278538811</v>
      </c>
      <c r="AE152" s="347">
        <v>1087.1232876712329</v>
      </c>
      <c r="AF152" s="347"/>
      <c r="AG152" s="347"/>
      <c r="AH152" s="347">
        <f t="shared" si="20"/>
        <v>2672.511415525114</v>
      </c>
      <c r="AI152" s="347">
        <f t="shared" si="15"/>
        <v>1087.1232876712329</v>
      </c>
      <c r="AJ152" s="347"/>
      <c r="AK152" s="347"/>
      <c r="AL152" s="347">
        <f t="shared" si="16"/>
        <v>3759.6347031963469</v>
      </c>
      <c r="AM152" s="348"/>
    </row>
    <row r="153" spans="1:39" hidden="1" x14ac:dyDescent="0.3">
      <c r="A153" s="236">
        <v>5005</v>
      </c>
      <c r="B153" s="237" t="s">
        <v>127</v>
      </c>
      <c r="C153" s="237" t="s">
        <v>150</v>
      </c>
      <c r="D153" s="237" t="s">
        <v>149</v>
      </c>
      <c r="E153" s="80">
        <v>110000</v>
      </c>
      <c r="F153" s="240">
        <v>43978</v>
      </c>
      <c r="G153" s="240">
        <v>44343</v>
      </c>
      <c r="H153" s="26"/>
      <c r="I153" s="237">
        <v>3.91</v>
      </c>
      <c r="J153" s="26"/>
      <c r="K153" s="26"/>
      <c r="L153" s="26"/>
      <c r="M153" s="26"/>
      <c r="N153" s="26"/>
      <c r="O153" s="237"/>
      <c r="P153" s="26"/>
      <c r="Q153" s="26"/>
      <c r="R153" s="26"/>
      <c r="S153" s="26"/>
      <c r="T153" s="26"/>
      <c r="U153" s="26"/>
      <c r="V153" s="26">
        <f t="shared" si="17"/>
        <v>0</v>
      </c>
      <c r="W153" s="26">
        <v>47.788888888888891</v>
      </c>
      <c r="X153" s="80"/>
      <c r="Y153" s="26"/>
      <c r="Z153" s="26">
        <f t="shared" si="18"/>
        <v>47.788888888888891</v>
      </c>
      <c r="AA153" s="26">
        <v>353.50684931506851</v>
      </c>
      <c r="AB153" s="80"/>
      <c r="AC153" s="26"/>
      <c r="AD153" s="26">
        <f t="shared" si="19"/>
        <v>401.2957382039574</v>
      </c>
      <c r="AE153" s="347">
        <v>365.29041095890409</v>
      </c>
      <c r="AF153" s="347"/>
      <c r="AG153" s="347"/>
      <c r="AH153" s="347">
        <f t="shared" si="20"/>
        <v>766.58614916286149</v>
      </c>
      <c r="AI153" s="347">
        <f t="shared" si="15"/>
        <v>365.29041095890409</v>
      </c>
      <c r="AJ153" s="347"/>
      <c r="AK153" s="347"/>
      <c r="AL153" s="347">
        <f t="shared" si="16"/>
        <v>1131.8765601217656</v>
      </c>
      <c r="AM153" s="348"/>
    </row>
    <row r="154" spans="1:39" hidden="1" x14ac:dyDescent="0.3">
      <c r="A154" s="41">
        <v>5003</v>
      </c>
      <c r="B154" s="40" t="s">
        <v>148</v>
      </c>
      <c r="C154" s="237" t="s">
        <v>147</v>
      </c>
      <c r="D154" s="237" t="s">
        <v>146</v>
      </c>
      <c r="E154" s="363">
        <v>150000</v>
      </c>
      <c r="F154" s="240">
        <v>43980</v>
      </c>
      <c r="G154" s="240">
        <v>44345</v>
      </c>
      <c r="H154" s="26"/>
      <c r="I154" s="80">
        <v>5.9</v>
      </c>
      <c r="J154" s="26"/>
      <c r="K154" s="26"/>
      <c r="L154" s="26"/>
      <c r="M154" s="26"/>
      <c r="N154" s="26"/>
      <c r="O154" s="237"/>
      <c r="P154" s="26"/>
      <c r="Q154" s="26"/>
      <c r="R154" s="26"/>
      <c r="S154" s="26"/>
      <c r="T154" s="26"/>
      <c r="U154" s="26"/>
      <c r="V154" s="26">
        <f t="shared" si="17"/>
        <v>0</v>
      </c>
      <c r="W154" s="26">
        <v>0</v>
      </c>
      <c r="X154" s="80"/>
      <c r="Y154" s="26"/>
      <c r="Z154" s="26">
        <f t="shared" si="18"/>
        <v>0</v>
      </c>
      <c r="AA154" s="26">
        <v>727.39726027397262</v>
      </c>
      <c r="AB154" s="80"/>
      <c r="AC154" s="26"/>
      <c r="AD154" s="26">
        <f t="shared" si="19"/>
        <v>727.39726027397262</v>
      </c>
      <c r="AE154" s="347">
        <v>751.64383561643831</v>
      </c>
      <c r="AF154" s="347"/>
      <c r="AG154" s="347"/>
      <c r="AH154" s="347">
        <f t="shared" si="20"/>
        <v>1479.0410958904108</v>
      </c>
      <c r="AI154" s="347">
        <f t="shared" si="15"/>
        <v>751.64383561643831</v>
      </c>
      <c r="AJ154" s="347"/>
      <c r="AK154" s="347"/>
      <c r="AL154" s="347">
        <f t="shared" si="16"/>
        <v>2230.6849315068494</v>
      </c>
      <c r="AM154" s="348"/>
    </row>
    <row r="155" spans="1:39" hidden="1" x14ac:dyDescent="0.3">
      <c r="A155" s="236">
        <v>5057</v>
      </c>
      <c r="B155" s="237" t="s">
        <v>22</v>
      </c>
      <c r="C155" s="237" t="s">
        <v>145</v>
      </c>
      <c r="D155" s="237" t="s">
        <v>144</v>
      </c>
      <c r="E155" s="80">
        <v>1100000</v>
      </c>
      <c r="F155" s="240">
        <v>43983</v>
      </c>
      <c r="G155" s="240">
        <v>44348</v>
      </c>
      <c r="H155" s="26"/>
      <c r="I155" s="80">
        <v>6.6</v>
      </c>
      <c r="J155" s="26"/>
      <c r="K155" s="26"/>
      <c r="L155" s="26"/>
      <c r="M155" s="26"/>
      <c r="N155" s="26"/>
      <c r="O155" s="237"/>
      <c r="P155" s="26"/>
      <c r="Q155" s="26"/>
      <c r="R155" s="26"/>
      <c r="S155" s="26"/>
      <c r="T155" s="26"/>
      <c r="U155" s="26"/>
      <c r="V155" s="26"/>
      <c r="W155" s="26"/>
      <c r="X155" s="80"/>
      <c r="Y155" s="26"/>
      <c r="Z155" s="26"/>
      <c r="AA155" s="26">
        <v>5768.2191780821922</v>
      </c>
      <c r="AB155" s="80"/>
      <c r="AC155" s="26"/>
      <c r="AD155" s="26">
        <f t="shared" si="19"/>
        <v>5768.2191780821922</v>
      </c>
      <c r="AE155" s="347">
        <v>6166.0273972602745</v>
      </c>
      <c r="AF155" s="347"/>
      <c r="AG155" s="347"/>
      <c r="AH155" s="347">
        <f t="shared" si="20"/>
        <v>11934.246575342466</v>
      </c>
      <c r="AI155" s="347">
        <f t="shared" si="15"/>
        <v>6166.0273972602745</v>
      </c>
      <c r="AJ155" s="347"/>
      <c r="AK155" s="347"/>
      <c r="AL155" s="347">
        <f t="shared" si="16"/>
        <v>18100.273972602739</v>
      </c>
      <c r="AM155" s="348"/>
    </row>
    <row r="156" spans="1:39" hidden="1" x14ac:dyDescent="0.3">
      <c r="A156" s="236">
        <v>5005</v>
      </c>
      <c r="B156" s="237" t="s">
        <v>143</v>
      </c>
      <c r="C156" s="237" t="s">
        <v>142</v>
      </c>
      <c r="D156" s="237" t="s">
        <v>141</v>
      </c>
      <c r="E156" s="80">
        <v>1400055.56</v>
      </c>
      <c r="F156" s="240">
        <v>43985</v>
      </c>
      <c r="G156" s="240">
        <v>44350</v>
      </c>
      <c r="H156" s="26"/>
      <c r="I156" s="80">
        <v>6.92</v>
      </c>
      <c r="J156" s="26"/>
      <c r="K156" s="26"/>
      <c r="L156" s="26"/>
      <c r="M156" s="26"/>
      <c r="N156" s="26"/>
      <c r="O156" s="237"/>
      <c r="P156" s="26"/>
      <c r="Q156" s="26"/>
      <c r="R156" s="26"/>
      <c r="S156" s="26"/>
      <c r="T156" s="26"/>
      <c r="U156" s="26"/>
      <c r="V156" s="26"/>
      <c r="W156" s="26"/>
      <c r="X156" s="80"/>
      <c r="Y156" s="26"/>
      <c r="Z156" s="26"/>
      <c r="AA156" s="26">
        <v>7166.7501597369865</v>
      </c>
      <c r="AB156" s="80"/>
      <c r="AC156" s="26"/>
      <c r="AD156" s="26">
        <f t="shared" si="19"/>
        <v>7166.7501597369865</v>
      </c>
      <c r="AE156" s="347">
        <v>8228.4909241424666</v>
      </c>
      <c r="AF156" s="347"/>
      <c r="AG156" s="347"/>
      <c r="AH156" s="347">
        <f t="shared" si="20"/>
        <v>15395.241083879453</v>
      </c>
      <c r="AI156" s="347">
        <f t="shared" si="15"/>
        <v>8228.4909241424666</v>
      </c>
      <c r="AJ156" s="347"/>
      <c r="AK156" s="347"/>
      <c r="AL156" s="347">
        <f t="shared" si="16"/>
        <v>23623.732008021922</v>
      </c>
      <c r="AM156" s="348"/>
    </row>
    <row r="157" spans="1:39" hidden="1" x14ac:dyDescent="0.3">
      <c r="A157" s="236">
        <v>5063</v>
      </c>
      <c r="B157" s="237" t="s">
        <v>77</v>
      </c>
      <c r="C157" s="237" t="s">
        <v>140</v>
      </c>
      <c r="D157" s="237" t="s">
        <v>139</v>
      </c>
      <c r="E157" s="80">
        <v>240000</v>
      </c>
      <c r="F157" s="240">
        <v>43988</v>
      </c>
      <c r="G157" s="240">
        <v>44353</v>
      </c>
      <c r="H157" s="26"/>
      <c r="I157" s="80">
        <v>5.4</v>
      </c>
      <c r="J157" s="26"/>
      <c r="K157" s="26"/>
      <c r="L157" s="26"/>
      <c r="M157" s="26"/>
      <c r="N157" s="26"/>
      <c r="O157" s="237"/>
      <c r="P157" s="26"/>
      <c r="Q157" s="26"/>
      <c r="R157" s="26"/>
      <c r="S157" s="26"/>
      <c r="T157" s="26"/>
      <c r="U157" s="26"/>
      <c r="V157" s="26"/>
      <c r="W157" s="26"/>
      <c r="X157" s="80"/>
      <c r="Y157" s="26"/>
      <c r="Z157" s="26"/>
      <c r="AA157" s="26">
        <v>852.16438356164394</v>
      </c>
      <c r="AB157" s="80"/>
      <c r="AC157" s="26"/>
      <c r="AD157" s="26">
        <f t="shared" si="19"/>
        <v>852.16438356164394</v>
      </c>
      <c r="AE157" s="347">
        <v>1100.7123287671236</v>
      </c>
      <c r="AF157" s="347"/>
      <c r="AG157" s="347"/>
      <c r="AH157" s="347">
        <f t="shared" si="20"/>
        <v>1952.8767123287676</v>
      </c>
      <c r="AI157" s="347">
        <f t="shared" si="15"/>
        <v>1100.7123287671236</v>
      </c>
      <c r="AJ157" s="347"/>
      <c r="AK157" s="347"/>
      <c r="AL157" s="347">
        <f t="shared" si="16"/>
        <v>3053.5890410958909</v>
      </c>
      <c r="AM157" s="348"/>
    </row>
    <row r="158" spans="1:39" hidden="1" x14ac:dyDescent="0.3">
      <c r="A158" s="236">
        <v>5031</v>
      </c>
      <c r="B158" s="237" t="s">
        <v>138</v>
      </c>
      <c r="C158" s="237" t="s">
        <v>137</v>
      </c>
      <c r="D158" s="237" t="s">
        <v>136</v>
      </c>
      <c r="E158" s="80">
        <v>150162.5</v>
      </c>
      <c r="F158" s="240">
        <v>43990</v>
      </c>
      <c r="G158" s="240">
        <v>44354</v>
      </c>
      <c r="H158" s="26"/>
      <c r="I158" s="80">
        <v>6.42</v>
      </c>
      <c r="J158" s="26"/>
      <c r="K158" s="26"/>
      <c r="L158" s="26"/>
      <c r="M158" s="26"/>
      <c r="N158" s="26"/>
      <c r="O158" s="237"/>
      <c r="P158" s="26"/>
      <c r="Q158" s="26"/>
      <c r="R158" s="26"/>
      <c r="S158" s="26"/>
      <c r="T158" s="26"/>
      <c r="U158" s="26"/>
      <c r="V158" s="26"/>
      <c r="W158" s="26"/>
      <c r="X158" s="80"/>
      <c r="Y158" s="26"/>
      <c r="Z158" s="26"/>
      <c r="AA158" s="26">
        <v>607.47930821917805</v>
      </c>
      <c r="AB158" s="80"/>
      <c r="AC158" s="26"/>
      <c r="AD158" s="26">
        <f t="shared" si="19"/>
        <v>607.47930821917805</v>
      </c>
      <c r="AE158" s="347">
        <v>818.77645890410952</v>
      </c>
      <c r="AF158" s="347"/>
      <c r="AG158" s="347"/>
      <c r="AH158" s="347">
        <f t="shared" si="20"/>
        <v>1426.2557671232876</v>
      </c>
      <c r="AI158" s="347">
        <f t="shared" si="15"/>
        <v>818.77645890410952</v>
      </c>
      <c r="AJ158" s="347"/>
      <c r="AK158" s="347"/>
      <c r="AL158" s="347">
        <f t="shared" si="16"/>
        <v>2245.032226027397</v>
      </c>
      <c r="AM158" s="348"/>
    </row>
    <row r="159" spans="1:39" hidden="1" x14ac:dyDescent="0.3">
      <c r="A159" s="236">
        <v>5060</v>
      </c>
      <c r="B159" s="237" t="s">
        <v>40</v>
      </c>
      <c r="C159" s="237" t="s">
        <v>135</v>
      </c>
      <c r="D159" s="237" t="s">
        <v>134</v>
      </c>
      <c r="E159" s="80">
        <v>350000</v>
      </c>
      <c r="F159" s="240">
        <v>43992</v>
      </c>
      <c r="G159" s="240">
        <v>44357</v>
      </c>
      <c r="H159" s="26"/>
      <c r="I159" s="80">
        <v>6.4</v>
      </c>
      <c r="J159" s="26"/>
      <c r="K159" s="26"/>
      <c r="L159" s="26"/>
      <c r="M159" s="26"/>
      <c r="N159" s="26"/>
      <c r="O159" s="237"/>
      <c r="P159" s="26"/>
      <c r="Q159" s="26"/>
      <c r="R159" s="26"/>
      <c r="S159" s="26"/>
      <c r="T159" s="26"/>
      <c r="U159" s="26"/>
      <c r="V159" s="26"/>
      <c r="W159" s="26"/>
      <c r="X159" s="80"/>
      <c r="Y159" s="26"/>
      <c r="Z159" s="26"/>
      <c r="AA159" s="26">
        <v>1227.3972602739725</v>
      </c>
      <c r="AB159" s="80"/>
      <c r="AC159" s="26"/>
      <c r="AD159" s="26">
        <f t="shared" si="19"/>
        <v>1227.3972602739725</v>
      </c>
      <c r="AE159" s="347">
        <v>1902.4657534246574</v>
      </c>
      <c r="AF159" s="347"/>
      <c r="AG159" s="347"/>
      <c r="AH159" s="347">
        <f t="shared" si="20"/>
        <v>3129.8630136986299</v>
      </c>
      <c r="AI159" s="347">
        <f t="shared" si="15"/>
        <v>1902.4657534246574</v>
      </c>
      <c r="AJ159" s="347"/>
      <c r="AK159" s="347"/>
      <c r="AL159" s="347">
        <f t="shared" si="16"/>
        <v>5032.3287671232874</v>
      </c>
      <c r="AM159" s="348"/>
    </row>
    <row r="160" spans="1:39" hidden="1" x14ac:dyDescent="0.3">
      <c r="A160" s="236">
        <v>5060</v>
      </c>
      <c r="B160" s="237" t="s">
        <v>40</v>
      </c>
      <c r="C160" s="237" t="s">
        <v>133</v>
      </c>
      <c r="D160" s="237" t="s">
        <v>132</v>
      </c>
      <c r="E160" s="80">
        <v>955000</v>
      </c>
      <c r="F160" s="240">
        <v>43992</v>
      </c>
      <c r="G160" s="240">
        <v>44357</v>
      </c>
      <c r="H160" s="26"/>
      <c r="I160" s="80">
        <v>6.4</v>
      </c>
      <c r="J160" s="26"/>
      <c r="K160" s="26"/>
      <c r="L160" s="26"/>
      <c r="M160" s="26"/>
      <c r="N160" s="26"/>
      <c r="O160" s="237"/>
      <c r="P160" s="26"/>
      <c r="Q160" s="26"/>
      <c r="R160" s="26"/>
      <c r="S160" s="26"/>
      <c r="T160" s="26"/>
      <c r="U160" s="26"/>
      <c r="V160" s="26"/>
      <c r="W160" s="26"/>
      <c r="X160" s="80"/>
      <c r="Y160" s="26"/>
      <c r="Z160" s="26"/>
      <c r="AA160" s="26">
        <v>3349.0410958904108</v>
      </c>
      <c r="AB160" s="80"/>
      <c r="AC160" s="26"/>
      <c r="AD160" s="26">
        <f t="shared" si="19"/>
        <v>3349.0410958904108</v>
      </c>
      <c r="AE160" s="347">
        <v>5191.0136986301368</v>
      </c>
      <c r="AF160" s="347"/>
      <c r="AG160" s="347"/>
      <c r="AH160" s="347">
        <f t="shared" si="20"/>
        <v>8540.0547945205471</v>
      </c>
      <c r="AI160" s="347">
        <f t="shared" si="15"/>
        <v>5191.0136986301368</v>
      </c>
      <c r="AJ160" s="347"/>
      <c r="AK160" s="347"/>
      <c r="AL160" s="347">
        <f t="shared" si="16"/>
        <v>13731.068493150684</v>
      </c>
      <c r="AM160" s="348"/>
    </row>
    <row r="161" spans="1:39" hidden="1" x14ac:dyDescent="0.3">
      <c r="A161" s="236">
        <v>5063</v>
      </c>
      <c r="B161" s="237" t="s">
        <v>13</v>
      </c>
      <c r="C161" s="237" t="s">
        <v>131</v>
      </c>
      <c r="D161" s="237" t="s">
        <v>130</v>
      </c>
      <c r="E161" s="80">
        <v>437500</v>
      </c>
      <c r="F161" s="240">
        <v>43993</v>
      </c>
      <c r="G161" s="240">
        <v>44358</v>
      </c>
      <c r="H161" s="26"/>
      <c r="I161" s="80">
        <v>8.9</v>
      </c>
      <c r="J161" s="26"/>
      <c r="K161" s="26"/>
      <c r="L161" s="26"/>
      <c r="M161" s="26"/>
      <c r="N161" s="26"/>
      <c r="O161" s="237"/>
      <c r="P161" s="26"/>
      <c r="Q161" s="26"/>
      <c r="R161" s="26"/>
      <c r="S161" s="26"/>
      <c r="T161" s="26"/>
      <c r="U161" s="26"/>
      <c r="V161" s="26"/>
      <c r="W161" s="26"/>
      <c r="X161" s="80"/>
      <c r="Y161" s="26"/>
      <c r="Z161" s="26"/>
      <c r="AA161" s="26">
        <v>2026.8835616438359</v>
      </c>
      <c r="AB161" s="80"/>
      <c r="AC161" s="26"/>
      <c r="AD161" s="26">
        <f t="shared" si="19"/>
        <v>2026.8835616438359</v>
      </c>
      <c r="AE161" s="347">
        <v>3307.0205479452061</v>
      </c>
      <c r="AF161" s="347"/>
      <c r="AG161" s="347"/>
      <c r="AH161" s="347">
        <f t="shared" si="20"/>
        <v>5333.9041095890425</v>
      </c>
      <c r="AI161" s="347">
        <f t="shared" si="15"/>
        <v>3307.0205479452061</v>
      </c>
      <c r="AJ161" s="347"/>
      <c r="AK161" s="347"/>
      <c r="AL161" s="347">
        <f t="shared" si="16"/>
        <v>8640.9246575342477</v>
      </c>
      <c r="AM161" s="348"/>
    </row>
    <row r="162" spans="1:39" hidden="1" x14ac:dyDescent="0.3">
      <c r="A162" s="236">
        <v>5005</v>
      </c>
      <c r="B162" s="237" t="s">
        <v>127</v>
      </c>
      <c r="C162" s="237" t="s">
        <v>129</v>
      </c>
      <c r="D162" s="237" t="s">
        <v>128</v>
      </c>
      <c r="E162" s="80">
        <v>400000</v>
      </c>
      <c r="F162" s="240">
        <v>43999</v>
      </c>
      <c r="G162" s="240">
        <v>44364</v>
      </c>
      <c r="H162" s="26"/>
      <c r="I162" s="80">
        <v>5.92</v>
      </c>
      <c r="J162" s="26"/>
      <c r="K162" s="26"/>
      <c r="L162" s="26"/>
      <c r="M162" s="26"/>
      <c r="N162" s="26"/>
      <c r="O162" s="237"/>
      <c r="P162" s="26"/>
      <c r="Q162" s="26"/>
      <c r="R162" s="26"/>
      <c r="S162" s="26"/>
      <c r="T162" s="26"/>
      <c r="U162" s="26"/>
      <c r="V162" s="26"/>
      <c r="W162" s="26"/>
      <c r="X162" s="80"/>
      <c r="Y162" s="26"/>
      <c r="Z162" s="26"/>
      <c r="AA162" s="26">
        <v>843.39726027397262</v>
      </c>
      <c r="AB162" s="80"/>
      <c r="AC162" s="26"/>
      <c r="AD162" s="26">
        <f t="shared" si="19"/>
        <v>843.39726027397262</v>
      </c>
      <c r="AE162" s="347">
        <v>2011.178082191781</v>
      </c>
      <c r="AF162" s="347"/>
      <c r="AG162" s="347"/>
      <c r="AH162" s="347">
        <f t="shared" si="20"/>
        <v>2854.5753424657537</v>
      </c>
      <c r="AI162" s="347">
        <f t="shared" si="15"/>
        <v>2011.178082191781</v>
      </c>
      <c r="AJ162" s="347"/>
      <c r="AK162" s="347"/>
      <c r="AL162" s="347">
        <f t="shared" si="16"/>
        <v>4865.7534246575342</v>
      </c>
      <c r="AM162" s="348"/>
    </row>
    <row r="163" spans="1:39" hidden="1" x14ac:dyDescent="0.3">
      <c r="A163" s="236">
        <v>5005</v>
      </c>
      <c r="B163" s="237" t="s">
        <v>127</v>
      </c>
      <c r="C163" s="237" t="s">
        <v>126</v>
      </c>
      <c r="D163" s="237" t="s">
        <v>125</v>
      </c>
      <c r="E163" s="80">
        <v>140000</v>
      </c>
      <c r="F163" s="240">
        <v>43999</v>
      </c>
      <c r="G163" s="240">
        <v>44364</v>
      </c>
      <c r="H163" s="26"/>
      <c r="I163" s="80">
        <v>5.92</v>
      </c>
      <c r="J163" s="26"/>
      <c r="K163" s="26"/>
      <c r="L163" s="26"/>
      <c r="M163" s="26"/>
      <c r="N163" s="26"/>
      <c r="O163" s="237"/>
      <c r="P163" s="26"/>
      <c r="Q163" s="26"/>
      <c r="R163" s="26"/>
      <c r="S163" s="26"/>
      <c r="T163" s="26"/>
      <c r="U163" s="26"/>
      <c r="V163" s="26"/>
      <c r="W163" s="26"/>
      <c r="X163" s="80"/>
      <c r="Y163" s="26"/>
      <c r="Z163" s="26"/>
      <c r="AA163" s="26">
        <v>295.18904109589039</v>
      </c>
      <c r="AB163" s="80"/>
      <c r="AC163" s="26"/>
      <c r="AD163" s="26">
        <f t="shared" si="19"/>
        <v>295.18904109589039</v>
      </c>
      <c r="AE163" s="347">
        <v>703.91232876712331</v>
      </c>
      <c r="AF163" s="347"/>
      <c r="AG163" s="347"/>
      <c r="AH163" s="347">
        <f t="shared" si="20"/>
        <v>999.1013698630137</v>
      </c>
      <c r="AI163" s="347">
        <f t="shared" si="15"/>
        <v>703.91232876712331</v>
      </c>
      <c r="AJ163" s="347"/>
      <c r="AK163" s="347"/>
      <c r="AL163" s="347">
        <f t="shared" si="16"/>
        <v>1703.013698630137</v>
      </c>
      <c r="AM163" s="348"/>
    </row>
    <row r="164" spans="1:39" hidden="1" x14ac:dyDescent="0.3">
      <c r="A164" s="236">
        <v>5056</v>
      </c>
      <c r="B164" s="237" t="s">
        <v>124</v>
      </c>
      <c r="C164" s="237" t="s">
        <v>123</v>
      </c>
      <c r="D164" s="237" t="s">
        <v>122</v>
      </c>
      <c r="E164" s="359">
        <v>158000</v>
      </c>
      <c r="F164" s="240">
        <v>43999</v>
      </c>
      <c r="G164" s="240">
        <v>44364</v>
      </c>
      <c r="H164" s="26"/>
      <c r="I164" s="80">
        <v>4.4000000000000004</v>
      </c>
      <c r="J164" s="26"/>
      <c r="K164" s="26"/>
      <c r="L164" s="26"/>
      <c r="M164" s="26"/>
      <c r="N164" s="26"/>
      <c r="O164" s="237"/>
      <c r="P164" s="26"/>
      <c r="Q164" s="26"/>
      <c r="R164" s="26"/>
      <c r="S164" s="26"/>
      <c r="T164" s="26"/>
      <c r="U164" s="26"/>
      <c r="V164" s="26"/>
      <c r="W164" s="26"/>
      <c r="X164" s="80"/>
      <c r="Y164" s="26"/>
      <c r="Z164" s="26"/>
      <c r="AA164" s="26">
        <v>247.60547945205479</v>
      </c>
      <c r="AB164" s="80"/>
      <c r="AC164" s="26"/>
      <c r="AD164" s="26">
        <f t="shared" si="19"/>
        <v>247.60547945205479</v>
      </c>
      <c r="AE164" s="347">
        <v>590.44383561643838</v>
      </c>
      <c r="AF164" s="347"/>
      <c r="AG164" s="347"/>
      <c r="AH164" s="347">
        <f t="shared" si="20"/>
        <v>838.04931506849312</v>
      </c>
      <c r="AI164" s="347">
        <f t="shared" si="15"/>
        <v>590.44383561643838</v>
      </c>
      <c r="AJ164" s="347"/>
      <c r="AK164" s="347"/>
      <c r="AL164" s="347">
        <f t="shared" si="16"/>
        <v>1428.4931506849316</v>
      </c>
      <c r="AM164" s="348"/>
    </row>
    <row r="165" spans="1:39" hidden="1" x14ac:dyDescent="0.3">
      <c r="A165" s="236">
        <v>5057</v>
      </c>
      <c r="B165" s="237" t="s">
        <v>74</v>
      </c>
      <c r="C165" s="237" t="s">
        <v>121</v>
      </c>
      <c r="D165" s="237" t="s">
        <v>120</v>
      </c>
      <c r="E165" s="80"/>
      <c r="F165" s="240">
        <v>43999</v>
      </c>
      <c r="G165" s="240">
        <v>44364</v>
      </c>
      <c r="H165" s="26"/>
      <c r="I165" s="80">
        <v>3.4</v>
      </c>
      <c r="J165" s="26"/>
      <c r="K165" s="26"/>
      <c r="L165" s="26"/>
      <c r="M165" s="26"/>
      <c r="N165" s="26"/>
      <c r="O165" s="237"/>
      <c r="P165" s="26"/>
      <c r="Q165" s="26"/>
      <c r="R165" s="26"/>
      <c r="S165" s="26"/>
      <c r="T165" s="26"/>
      <c r="U165" s="26"/>
      <c r="V165" s="26"/>
      <c r="W165" s="26"/>
      <c r="X165" s="80"/>
      <c r="Y165" s="26"/>
      <c r="Z165" s="26"/>
      <c r="AA165" s="26">
        <v>168.32328767123289</v>
      </c>
      <c r="AB165" s="80"/>
      <c r="AC165" s="26"/>
      <c r="AD165" s="26">
        <f t="shared" si="19"/>
        <v>168.32328767123289</v>
      </c>
      <c r="AE165" s="347">
        <v>401.38630136986302</v>
      </c>
      <c r="AF165" s="347">
        <v>-181.27</v>
      </c>
      <c r="AG165" s="347">
        <v>-388.44</v>
      </c>
      <c r="AH165" s="347">
        <f t="shared" si="20"/>
        <v>-4.1095890406950275E-4</v>
      </c>
      <c r="AI165" s="347"/>
      <c r="AJ165" s="347"/>
      <c r="AK165" s="347"/>
      <c r="AL165" s="347">
        <f t="shared" si="16"/>
        <v>-4.1095890406950275E-4</v>
      </c>
      <c r="AM165" s="348" t="s">
        <v>96</v>
      </c>
    </row>
    <row r="166" spans="1:39" hidden="1" x14ac:dyDescent="0.3">
      <c r="A166" s="236">
        <v>5004</v>
      </c>
      <c r="B166" s="237" t="s">
        <v>117</v>
      </c>
      <c r="C166" s="237" t="s">
        <v>119</v>
      </c>
      <c r="D166" s="237" t="s">
        <v>118</v>
      </c>
      <c r="E166" s="362">
        <v>60000</v>
      </c>
      <c r="F166" s="240">
        <v>44010</v>
      </c>
      <c r="G166" s="240">
        <v>44375</v>
      </c>
      <c r="H166" s="26"/>
      <c r="I166" s="80">
        <v>5.85</v>
      </c>
      <c r="J166" s="26"/>
      <c r="K166" s="26"/>
      <c r="L166" s="26"/>
      <c r="M166" s="26"/>
      <c r="N166" s="26"/>
      <c r="O166" s="237"/>
      <c r="P166" s="26"/>
      <c r="Q166" s="26"/>
      <c r="R166" s="26"/>
      <c r="S166" s="26"/>
      <c r="T166" s="26"/>
      <c r="U166" s="26"/>
      <c r="V166" s="26"/>
      <c r="W166" s="26"/>
      <c r="X166" s="80"/>
      <c r="Y166" s="26"/>
      <c r="Z166" s="26"/>
      <c r="AA166" s="26">
        <v>19.232876712328768</v>
      </c>
      <c r="AB166" s="80"/>
      <c r="AC166" s="26"/>
      <c r="AD166" s="26">
        <f t="shared" si="19"/>
        <v>19.232876712328768</v>
      </c>
      <c r="AE166" s="347">
        <v>298.10958904109589</v>
      </c>
      <c r="AF166" s="347"/>
      <c r="AG166" s="347"/>
      <c r="AH166" s="347">
        <f t="shared" si="20"/>
        <v>317.34246575342468</v>
      </c>
      <c r="AI166" s="347">
        <f t="shared" si="15"/>
        <v>298.10958904109589</v>
      </c>
      <c r="AJ166" s="347"/>
      <c r="AK166" s="347"/>
      <c r="AL166" s="347">
        <f t="shared" si="16"/>
        <v>615.45205479452056</v>
      </c>
      <c r="AM166" s="348"/>
    </row>
    <row r="167" spans="1:39" hidden="1" x14ac:dyDescent="0.3">
      <c r="A167" s="236">
        <v>5004</v>
      </c>
      <c r="B167" s="237" t="s">
        <v>117</v>
      </c>
      <c r="C167" s="237" t="s">
        <v>116</v>
      </c>
      <c r="D167" s="237" t="s">
        <v>115</v>
      </c>
      <c r="E167" s="80">
        <v>100000</v>
      </c>
      <c r="F167" s="240">
        <v>44010</v>
      </c>
      <c r="G167" s="240">
        <v>44375</v>
      </c>
      <c r="H167" s="26"/>
      <c r="I167" s="80">
        <v>5.85</v>
      </c>
      <c r="J167" s="26"/>
      <c r="K167" s="26"/>
      <c r="L167" s="26"/>
      <c r="M167" s="26"/>
      <c r="N167" s="26"/>
      <c r="O167" s="237"/>
      <c r="P167" s="26"/>
      <c r="Q167" s="26"/>
      <c r="R167" s="26"/>
      <c r="S167" s="26"/>
      <c r="T167" s="26"/>
      <c r="U167" s="26"/>
      <c r="V167" s="26"/>
      <c r="W167" s="26"/>
      <c r="X167" s="80"/>
      <c r="Y167" s="26"/>
      <c r="Z167" s="26"/>
      <c r="AA167" s="26">
        <v>32.054794520547944</v>
      </c>
      <c r="AB167" s="80"/>
      <c r="AC167" s="26"/>
      <c r="AD167" s="26">
        <f t="shared" si="19"/>
        <v>32.054794520547944</v>
      </c>
      <c r="AE167" s="347">
        <v>496.84931506849313</v>
      </c>
      <c r="AF167" s="347"/>
      <c r="AG167" s="347"/>
      <c r="AH167" s="347">
        <f t="shared" si="20"/>
        <v>528.90410958904113</v>
      </c>
      <c r="AI167" s="347">
        <f t="shared" ref="AI167:AI186" si="21">+E167*I167%/365*31</f>
        <v>496.84931506849313</v>
      </c>
      <c r="AJ167" s="347"/>
      <c r="AK167" s="347"/>
      <c r="AL167" s="347">
        <f t="shared" ref="AL167:AL195" si="22">+AH167+AI167+AJ167+AK167</f>
        <v>1025.7534246575342</v>
      </c>
      <c r="AM167" s="348"/>
    </row>
    <row r="168" spans="1:39" hidden="1" x14ac:dyDescent="0.3">
      <c r="A168" s="236">
        <v>5060</v>
      </c>
      <c r="B168" s="237" t="s">
        <v>40</v>
      </c>
      <c r="C168" s="237" t="s">
        <v>114</v>
      </c>
      <c r="D168" s="237" t="s">
        <v>113</v>
      </c>
      <c r="E168" s="80">
        <v>330000</v>
      </c>
      <c r="F168" s="240">
        <v>44012</v>
      </c>
      <c r="G168" s="240">
        <v>44377</v>
      </c>
      <c r="H168" s="26"/>
      <c r="I168" s="80">
        <v>6.4</v>
      </c>
      <c r="J168" s="26"/>
      <c r="K168" s="26"/>
      <c r="L168" s="26"/>
      <c r="M168" s="26"/>
      <c r="N168" s="26"/>
      <c r="O168" s="237"/>
      <c r="P168" s="26"/>
      <c r="Q168" s="26"/>
      <c r="R168" s="26"/>
      <c r="S168" s="26"/>
      <c r="T168" s="26"/>
      <c r="U168" s="26"/>
      <c r="V168" s="26"/>
      <c r="W168" s="26"/>
      <c r="X168" s="80"/>
      <c r="Y168" s="26"/>
      <c r="Z168" s="26"/>
      <c r="AA168" s="26"/>
      <c r="AB168" s="80"/>
      <c r="AC168" s="26"/>
      <c r="AD168" s="26"/>
      <c r="AE168" s="347">
        <v>1793.7534246575342</v>
      </c>
      <c r="AF168" s="347"/>
      <c r="AG168" s="347"/>
      <c r="AH168" s="347">
        <f t="shared" si="20"/>
        <v>1793.7534246575342</v>
      </c>
      <c r="AI168" s="347">
        <f t="shared" si="21"/>
        <v>1793.7534246575342</v>
      </c>
      <c r="AJ168" s="347"/>
      <c r="AK168" s="347"/>
      <c r="AL168" s="347">
        <f t="shared" si="22"/>
        <v>3587.5068493150684</v>
      </c>
      <c r="AM168" s="348"/>
    </row>
    <row r="169" spans="1:39" hidden="1" x14ac:dyDescent="0.3">
      <c r="A169" s="236">
        <v>5063</v>
      </c>
      <c r="B169" s="237" t="s">
        <v>13</v>
      </c>
      <c r="C169" s="237" t="s">
        <v>112</v>
      </c>
      <c r="D169" s="237" t="s">
        <v>111</v>
      </c>
      <c r="E169" s="80">
        <v>200000</v>
      </c>
      <c r="F169" s="240">
        <v>44006</v>
      </c>
      <c r="G169" s="240">
        <v>44371</v>
      </c>
      <c r="H169" s="26"/>
      <c r="I169" s="80">
        <v>4.9000000000000004</v>
      </c>
      <c r="J169" s="26"/>
      <c r="K169" s="26"/>
      <c r="L169" s="26"/>
      <c r="M169" s="26"/>
      <c r="N169" s="26"/>
      <c r="O169" s="237"/>
      <c r="P169" s="26"/>
      <c r="Q169" s="26"/>
      <c r="R169" s="26"/>
      <c r="S169" s="26"/>
      <c r="T169" s="26"/>
      <c r="U169" s="26"/>
      <c r="V169" s="26"/>
      <c r="W169" s="26"/>
      <c r="X169" s="80"/>
      <c r="Y169" s="26"/>
      <c r="Z169" s="26"/>
      <c r="AA169" s="26"/>
      <c r="AB169" s="80"/>
      <c r="AC169" s="26"/>
      <c r="AD169" s="26"/>
      <c r="AE169" s="347">
        <v>993.42465753424665</v>
      </c>
      <c r="AF169" s="347"/>
      <c r="AG169" s="347"/>
      <c r="AH169" s="347">
        <f t="shared" si="20"/>
        <v>993.42465753424665</v>
      </c>
      <c r="AI169" s="347">
        <f t="shared" si="21"/>
        <v>832.32876712328766</v>
      </c>
      <c r="AJ169" s="347"/>
      <c r="AK169" s="347"/>
      <c r="AL169" s="347">
        <f t="shared" si="22"/>
        <v>1825.7534246575342</v>
      </c>
      <c r="AM169" s="348"/>
    </row>
    <row r="170" spans="1:39" hidden="1" x14ac:dyDescent="0.3">
      <c r="A170" s="236">
        <v>5063</v>
      </c>
      <c r="B170" s="237" t="s">
        <v>25</v>
      </c>
      <c r="C170" s="237" t="s">
        <v>110</v>
      </c>
      <c r="D170" s="237" t="s">
        <v>109</v>
      </c>
      <c r="E170" s="80">
        <v>85425</v>
      </c>
      <c r="F170" s="240">
        <v>44013</v>
      </c>
      <c r="G170" s="240">
        <v>44378</v>
      </c>
      <c r="H170" s="26"/>
      <c r="I170" s="80">
        <v>4.4000000000000004</v>
      </c>
      <c r="J170" s="26"/>
      <c r="K170" s="26"/>
      <c r="L170" s="26"/>
      <c r="M170" s="26"/>
      <c r="N170" s="26"/>
      <c r="O170" s="237"/>
      <c r="P170" s="26"/>
      <c r="Q170" s="26"/>
      <c r="R170" s="26"/>
      <c r="S170" s="26"/>
      <c r="T170" s="26"/>
      <c r="U170" s="26"/>
      <c r="V170" s="26"/>
      <c r="W170" s="26"/>
      <c r="X170" s="80"/>
      <c r="Y170" s="26"/>
      <c r="Z170" s="26"/>
      <c r="AA170" s="26"/>
      <c r="AB170" s="80"/>
      <c r="AC170" s="26"/>
      <c r="AD170" s="26"/>
      <c r="AE170" s="347">
        <v>308.93424657534251</v>
      </c>
      <c r="AF170" s="347"/>
      <c r="AG170" s="347"/>
      <c r="AH170" s="347">
        <f t="shared" si="20"/>
        <v>308.93424657534251</v>
      </c>
      <c r="AI170" s="347">
        <f t="shared" si="21"/>
        <v>319.23205479452059</v>
      </c>
      <c r="AJ170" s="347"/>
      <c r="AK170" s="347"/>
      <c r="AL170" s="347">
        <f t="shared" si="22"/>
        <v>628.16630136986305</v>
      </c>
      <c r="AM170" s="348"/>
    </row>
    <row r="171" spans="1:39" hidden="1" x14ac:dyDescent="0.3">
      <c r="A171" s="236">
        <v>5060</v>
      </c>
      <c r="B171" s="237" t="s">
        <v>40</v>
      </c>
      <c r="C171" s="237" t="s">
        <v>108</v>
      </c>
      <c r="D171" s="237" t="s">
        <v>107</v>
      </c>
      <c r="E171" s="80">
        <v>1100000</v>
      </c>
      <c r="F171" s="240">
        <v>44024</v>
      </c>
      <c r="G171" s="240">
        <v>44389</v>
      </c>
      <c r="H171" s="26"/>
      <c r="I171" s="80">
        <v>6.4</v>
      </c>
      <c r="J171" s="26"/>
      <c r="K171" s="26"/>
      <c r="L171" s="26"/>
      <c r="M171" s="26"/>
      <c r="N171" s="26"/>
      <c r="O171" s="237"/>
      <c r="P171" s="26"/>
      <c r="Q171" s="26"/>
      <c r="R171" s="26"/>
      <c r="S171" s="26"/>
      <c r="T171" s="26"/>
      <c r="U171" s="26"/>
      <c r="V171" s="26"/>
      <c r="W171" s="26"/>
      <c r="X171" s="80"/>
      <c r="Y171" s="26"/>
      <c r="Z171" s="26"/>
      <c r="AA171" s="26"/>
      <c r="AB171" s="80"/>
      <c r="AC171" s="26"/>
      <c r="AD171" s="26"/>
      <c r="AE171" s="347">
        <v>3664.6575342465753</v>
      </c>
      <c r="AF171" s="347"/>
      <c r="AG171" s="347"/>
      <c r="AH171" s="347">
        <f t="shared" si="20"/>
        <v>3664.6575342465753</v>
      </c>
      <c r="AI171" s="347">
        <f t="shared" si="21"/>
        <v>5979.178082191781</v>
      </c>
      <c r="AJ171" s="347"/>
      <c r="AK171" s="347"/>
      <c r="AL171" s="347">
        <f t="shared" si="22"/>
        <v>9643.8356164383567</v>
      </c>
      <c r="AM171" s="348"/>
    </row>
    <row r="172" spans="1:39" hidden="1" x14ac:dyDescent="0.3">
      <c r="A172" s="236">
        <v>5065</v>
      </c>
      <c r="B172" s="237" t="s">
        <v>106</v>
      </c>
      <c r="C172" s="237" t="s">
        <v>105</v>
      </c>
      <c r="D172" s="237" t="s">
        <v>104</v>
      </c>
      <c r="E172" s="80">
        <v>462162.98</v>
      </c>
      <c r="F172" s="240">
        <v>44025</v>
      </c>
      <c r="G172" s="240">
        <v>44390</v>
      </c>
      <c r="H172" s="26"/>
      <c r="I172" s="80">
        <v>5.9</v>
      </c>
      <c r="J172" s="26"/>
      <c r="K172" s="26"/>
      <c r="L172" s="26"/>
      <c r="M172" s="26"/>
      <c r="N172" s="26"/>
      <c r="O172" s="237"/>
      <c r="P172" s="26"/>
      <c r="Q172" s="26"/>
      <c r="R172" s="26"/>
      <c r="S172" s="26"/>
      <c r="T172" s="26"/>
      <c r="U172" s="26"/>
      <c r="V172" s="26"/>
      <c r="W172" s="26"/>
      <c r="X172" s="80"/>
      <c r="Y172" s="26"/>
      <c r="Z172" s="26"/>
      <c r="AA172" s="26"/>
      <c r="AB172" s="80"/>
      <c r="AC172" s="26"/>
      <c r="AD172" s="26"/>
      <c r="AE172" s="347">
        <v>1344.7043418082192</v>
      </c>
      <c r="AF172" s="347"/>
      <c r="AG172" s="347"/>
      <c r="AH172" s="347">
        <f t="shared" si="20"/>
        <v>1344.7043418082192</v>
      </c>
      <c r="AI172" s="347">
        <f t="shared" si="21"/>
        <v>2315.8796997808217</v>
      </c>
      <c r="AJ172" s="347"/>
      <c r="AK172" s="347"/>
      <c r="AL172" s="347">
        <f t="shared" si="22"/>
        <v>3660.5840415890407</v>
      </c>
      <c r="AM172" s="348"/>
    </row>
    <row r="173" spans="1:39" hidden="1" x14ac:dyDescent="0.3">
      <c r="A173" s="236">
        <v>5065</v>
      </c>
      <c r="B173" s="237" t="s">
        <v>103</v>
      </c>
      <c r="C173" s="237" t="s">
        <v>102</v>
      </c>
      <c r="D173" s="237" t="s">
        <v>101</v>
      </c>
      <c r="E173" s="80">
        <v>462162.98</v>
      </c>
      <c r="F173" s="240">
        <v>44025</v>
      </c>
      <c r="G173" s="240">
        <v>44390</v>
      </c>
      <c r="H173" s="26"/>
      <c r="I173" s="80">
        <v>5.9</v>
      </c>
      <c r="J173" s="26"/>
      <c r="K173" s="26"/>
      <c r="L173" s="26"/>
      <c r="M173" s="26"/>
      <c r="N173" s="26"/>
      <c r="O173" s="237"/>
      <c r="P173" s="26"/>
      <c r="Q173" s="26"/>
      <c r="R173" s="26"/>
      <c r="S173" s="26"/>
      <c r="T173" s="26"/>
      <c r="U173" s="26"/>
      <c r="V173" s="26"/>
      <c r="W173" s="26"/>
      <c r="X173" s="80"/>
      <c r="Y173" s="26"/>
      <c r="Z173" s="26"/>
      <c r="AA173" s="26"/>
      <c r="AB173" s="80"/>
      <c r="AC173" s="26"/>
      <c r="AD173" s="26"/>
      <c r="AE173" s="347">
        <v>1344.7043418082192</v>
      </c>
      <c r="AF173" s="347"/>
      <c r="AG173" s="347"/>
      <c r="AH173" s="347">
        <f t="shared" si="20"/>
        <v>1344.7043418082192</v>
      </c>
      <c r="AI173" s="347">
        <f t="shared" si="21"/>
        <v>2315.8796997808217</v>
      </c>
      <c r="AJ173" s="347"/>
      <c r="AK173" s="347"/>
      <c r="AL173" s="347">
        <f t="shared" si="22"/>
        <v>3660.5840415890407</v>
      </c>
      <c r="AM173" s="348"/>
    </row>
    <row r="174" spans="1:39" hidden="1" x14ac:dyDescent="0.3">
      <c r="A174" s="236">
        <v>5060</v>
      </c>
      <c r="B174" s="237" t="s">
        <v>16</v>
      </c>
      <c r="C174" s="237" t="s">
        <v>100</v>
      </c>
      <c r="D174" s="237" t="s">
        <v>99</v>
      </c>
      <c r="E174" s="359">
        <v>50000</v>
      </c>
      <c r="F174" s="240">
        <v>44027</v>
      </c>
      <c r="G174" s="240">
        <v>44392</v>
      </c>
      <c r="H174" s="26"/>
      <c r="I174" s="80">
        <v>1.9</v>
      </c>
      <c r="J174" s="26"/>
      <c r="K174" s="26"/>
      <c r="L174" s="26"/>
      <c r="M174" s="26"/>
      <c r="N174" s="26"/>
      <c r="O174" s="237"/>
      <c r="P174" s="26"/>
      <c r="Q174" s="26"/>
      <c r="R174" s="26"/>
      <c r="S174" s="26"/>
      <c r="T174" s="26"/>
      <c r="U174" s="26"/>
      <c r="V174" s="26"/>
      <c r="W174" s="26"/>
      <c r="X174" s="80"/>
      <c r="Y174" s="26"/>
      <c r="Z174" s="26"/>
      <c r="AA174" s="26"/>
      <c r="AB174" s="80"/>
      <c r="AC174" s="26"/>
      <c r="AD174" s="26"/>
      <c r="AE174" s="347">
        <v>41.643835616438359</v>
      </c>
      <c r="AF174" s="347"/>
      <c r="AG174" s="347"/>
      <c r="AH174" s="347">
        <f t="shared" si="20"/>
        <v>41.643835616438359</v>
      </c>
      <c r="AI174" s="347">
        <f t="shared" si="21"/>
        <v>80.684931506849324</v>
      </c>
      <c r="AJ174" s="347"/>
      <c r="AK174" s="347"/>
      <c r="AL174" s="347">
        <f t="shared" si="22"/>
        <v>122.32876712328769</v>
      </c>
      <c r="AM174" s="348"/>
    </row>
    <row r="175" spans="1:39" hidden="1" x14ac:dyDescent="0.3">
      <c r="A175" s="236">
        <v>5060</v>
      </c>
      <c r="B175" s="237" t="s">
        <v>40</v>
      </c>
      <c r="C175" s="237" t="s">
        <v>98</v>
      </c>
      <c r="D175" s="237" t="s">
        <v>97</v>
      </c>
      <c r="E175" s="80">
        <v>1100000</v>
      </c>
      <c r="F175" s="240">
        <v>44031</v>
      </c>
      <c r="G175" s="240">
        <v>44396</v>
      </c>
      <c r="H175" s="26"/>
      <c r="I175" s="80">
        <v>6.4</v>
      </c>
      <c r="J175" s="26"/>
      <c r="K175" s="26"/>
      <c r="L175" s="26"/>
      <c r="M175" s="26"/>
      <c r="N175" s="26"/>
      <c r="O175" s="237"/>
      <c r="P175" s="26"/>
      <c r="Q175" s="26"/>
      <c r="R175" s="26"/>
      <c r="S175" s="26"/>
      <c r="T175" s="26"/>
      <c r="U175" s="26"/>
      <c r="V175" s="26"/>
      <c r="W175" s="26"/>
      <c r="X175" s="80"/>
      <c r="Y175" s="26"/>
      <c r="Z175" s="26"/>
      <c r="AA175" s="26"/>
      <c r="AB175" s="80"/>
      <c r="AC175" s="26"/>
      <c r="AD175" s="26"/>
      <c r="AE175" s="347">
        <v>2314.5205479452056</v>
      </c>
      <c r="AF175" s="347"/>
      <c r="AG175" s="347"/>
      <c r="AH175" s="347">
        <f t="shared" si="20"/>
        <v>2314.5205479452056</v>
      </c>
      <c r="AI175" s="347">
        <f t="shared" si="21"/>
        <v>5979.178082191781</v>
      </c>
      <c r="AJ175" s="347">
        <v>-7136.44</v>
      </c>
      <c r="AK175" s="347">
        <v>-1157.26</v>
      </c>
      <c r="AL175" s="347">
        <f t="shared" si="22"/>
        <v>-1.3698630125418276E-3</v>
      </c>
      <c r="AM175" s="348" t="s">
        <v>96</v>
      </c>
    </row>
    <row r="176" spans="1:39" hidden="1" x14ac:dyDescent="0.3">
      <c r="A176" s="236">
        <v>5060</v>
      </c>
      <c r="B176" s="237" t="s">
        <v>19</v>
      </c>
      <c r="C176" s="237" t="s">
        <v>95</v>
      </c>
      <c r="D176" s="237" t="s">
        <v>94</v>
      </c>
      <c r="E176" s="362">
        <v>60000</v>
      </c>
      <c r="F176" s="240">
        <v>44032</v>
      </c>
      <c r="G176" s="240">
        <v>44397</v>
      </c>
      <c r="H176" s="26"/>
      <c r="I176" s="80">
        <v>1.9</v>
      </c>
      <c r="J176" s="26"/>
      <c r="K176" s="26"/>
      <c r="L176" s="26"/>
      <c r="M176" s="26"/>
      <c r="N176" s="26"/>
      <c r="O176" s="237"/>
      <c r="P176" s="26"/>
      <c r="Q176" s="26"/>
      <c r="R176" s="26"/>
      <c r="S176" s="26"/>
      <c r="T176" s="26"/>
      <c r="U176" s="26"/>
      <c r="V176" s="26"/>
      <c r="W176" s="26"/>
      <c r="X176" s="80"/>
      <c r="Y176" s="26"/>
      <c r="Z176" s="26"/>
      <c r="AA176" s="26"/>
      <c r="AB176" s="80"/>
      <c r="AC176" s="26"/>
      <c r="AD176" s="26"/>
      <c r="AE176" s="347">
        <v>34.356164383561648</v>
      </c>
      <c r="AF176" s="347"/>
      <c r="AG176" s="347"/>
      <c r="AH176" s="347">
        <f t="shared" si="20"/>
        <v>34.356164383561648</v>
      </c>
      <c r="AI176" s="347">
        <f t="shared" si="21"/>
        <v>96.821917808219183</v>
      </c>
      <c r="AJ176" s="347"/>
      <c r="AK176" s="347"/>
      <c r="AL176" s="347">
        <f t="shared" si="22"/>
        <v>131.17808219178085</v>
      </c>
      <c r="AM176" s="348"/>
    </row>
    <row r="177" spans="1:39" hidden="1" x14ac:dyDescent="0.3">
      <c r="A177" s="236">
        <v>5063</v>
      </c>
      <c r="B177" s="237" t="s">
        <v>13</v>
      </c>
      <c r="C177" s="237" t="s">
        <v>93</v>
      </c>
      <c r="D177" s="237" t="s">
        <v>90</v>
      </c>
      <c r="E177" s="80">
        <v>10000</v>
      </c>
      <c r="F177" s="240">
        <v>44028</v>
      </c>
      <c r="G177" s="240">
        <v>44393</v>
      </c>
      <c r="H177" s="26"/>
      <c r="I177" s="80">
        <v>5.15</v>
      </c>
      <c r="J177" s="26"/>
      <c r="K177" s="26"/>
      <c r="L177" s="26"/>
      <c r="M177" s="26"/>
      <c r="N177" s="26"/>
      <c r="O177" s="237"/>
      <c r="P177" s="26"/>
      <c r="Q177" s="26"/>
      <c r="R177" s="26"/>
      <c r="S177" s="26"/>
      <c r="T177" s="26"/>
      <c r="U177" s="26"/>
      <c r="V177" s="26"/>
      <c r="W177" s="26"/>
      <c r="X177" s="80"/>
      <c r="Y177" s="26"/>
      <c r="Z177" s="26"/>
      <c r="AA177" s="26"/>
      <c r="AB177" s="80"/>
      <c r="AC177" s="26"/>
      <c r="AD177" s="26"/>
      <c r="AE177" s="347">
        <v>21.164383561643838</v>
      </c>
      <c r="AF177" s="347"/>
      <c r="AG177" s="347"/>
      <c r="AH177" s="347">
        <f t="shared" si="20"/>
        <v>21.164383561643838</v>
      </c>
      <c r="AI177" s="347">
        <f t="shared" si="21"/>
        <v>43.739726027397261</v>
      </c>
      <c r="AJ177" s="347"/>
      <c r="AK177" s="347"/>
      <c r="AL177" s="347">
        <f t="shared" si="22"/>
        <v>64.904109589041099</v>
      </c>
      <c r="AM177" s="348"/>
    </row>
    <row r="178" spans="1:39" hidden="1" x14ac:dyDescent="0.3">
      <c r="A178" s="236">
        <v>5063</v>
      </c>
      <c r="B178" s="237" t="s">
        <v>13</v>
      </c>
      <c r="C178" s="237" t="s">
        <v>92</v>
      </c>
      <c r="D178" s="237" t="s">
        <v>90</v>
      </c>
      <c r="E178" s="80">
        <v>10000</v>
      </c>
      <c r="F178" s="240">
        <v>44028</v>
      </c>
      <c r="G178" s="240">
        <v>44393</v>
      </c>
      <c r="H178" s="26"/>
      <c r="I178" s="80">
        <v>5.15</v>
      </c>
      <c r="J178" s="26"/>
      <c r="K178" s="26"/>
      <c r="L178" s="26"/>
      <c r="M178" s="26"/>
      <c r="N178" s="26"/>
      <c r="O178" s="237"/>
      <c r="P178" s="26"/>
      <c r="Q178" s="26"/>
      <c r="R178" s="26"/>
      <c r="S178" s="26"/>
      <c r="T178" s="26"/>
      <c r="U178" s="26"/>
      <c r="V178" s="26"/>
      <c r="W178" s="26"/>
      <c r="X178" s="80"/>
      <c r="Y178" s="26"/>
      <c r="Z178" s="26"/>
      <c r="AA178" s="26"/>
      <c r="AB178" s="80"/>
      <c r="AC178" s="26"/>
      <c r="AD178" s="26"/>
      <c r="AE178" s="347">
        <v>21.164383561643838</v>
      </c>
      <c r="AF178" s="347"/>
      <c r="AG178" s="347"/>
      <c r="AH178" s="347">
        <f t="shared" si="20"/>
        <v>21.164383561643838</v>
      </c>
      <c r="AI178" s="347">
        <f t="shared" si="21"/>
        <v>43.739726027397261</v>
      </c>
      <c r="AJ178" s="347"/>
      <c r="AK178" s="347"/>
      <c r="AL178" s="347">
        <f t="shared" si="22"/>
        <v>64.904109589041099</v>
      </c>
      <c r="AM178" s="348"/>
    </row>
    <row r="179" spans="1:39" hidden="1" x14ac:dyDescent="0.3">
      <c r="A179" s="236">
        <v>5063</v>
      </c>
      <c r="B179" s="237" t="s">
        <v>13</v>
      </c>
      <c r="C179" s="237" t="s">
        <v>91</v>
      </c>
      <c r="D179" s="237" t="s">
        <v>90</v>
      </c>
      <c r="E179" s="80">
        <v>10000</v>
      </c>
      <c r="F179" s="240">
        <v>44028</v>
      </c>
      <c r="G179" s="240">
        <v>44393</v>
      </c>
      <c r="H179" s="26"/>
      <c r="I179" s="80">
        <v>5.15</v>
      </c>
      <c r="J179" s="26"/>
      <c r="K179" s="26"/>
      <c r="L179" s="26"/>
      <c r="M179" s="26"/>
      <c r="N179" s="26"/>
      <c r="O179" s="237"/>
      <c r="P179" s="26"/>
      <c r="Q179" s="26"/>
      <c r="R179" s="26"/>
      <c r="S179" s="26"/>
      <c r="T179" s="26"/>
      <c r="U179" s="26"/>
      <c r="V179" s="26"/>
      <c r="W179" s="26"/>
      <c r="X179" s="80"/>
      <c r="Y179" s="26"/>
      <c r="Z179" s="26"/>
      <c r="AA179" s="26"/>
      <c r="AB179" s="80"/>
      <c r="AC179" s="26"/>
      <c r="AD179" s="26"/>
      <c r="AE179" s="347">
        <v>21.164383561643838</v>
      </c>
      <c r="AF179" s="347"/>
      <c r="AG179" s="347"/>
      <c r="AH179" s="347">
        <f t="shared" si="20"/>
        <v>21.164383561643838</v>
      </c>
      <c r="AI179" s="347">
        <f t="shared" si="21"/>
        <v>43.739726027397261</v>
      </c>
      <c r="AJ179" s="347"/>
      <c r="AK179" s="347"/>
      <c r="AL179" s="347">
        <f t="shared" si="22"/>
        <v>64.904109589041099</v>
      </c>
      <c r="AM179" s="348"/>
    </row>
    <row r="180" spans="1:39" hidden="1" x14ac:dyDescent="0.3">
      <c r="A180" s="236">
        <v>5063</v>
      </c>
      <c r="B180" s="237" t="s">
        <v>13</v>
      </c>
      <c r="C180" s="237" t="s">
        <v>89</v>
      </c>
      <c r="D180" s="237" t="s">
        <v>88</v>
      </c>
      <c r="E180" s="80">
        <v>13000</v>
      </c>
      <c r="F180" s="240">
        <v>44028</v>
      </c>
      <c r="G180" s="240">
        <v>44393</v>
      </c>
      <c r="H180" s="26"/>
      <c r="I180" s="80">
        <v>5.15</v>
      </c>
      <c r="J180" s="26"/>
      <c r="K180" s="26"/>
      <c r="L180" s="26"/>
      <c r="M180" s="26"/>
      <c r="N180" s="26"/>
      <c r="O180" s="237"/>
      <c r="P180" s="26"/>
      <c r="Q180" s="26"/>
      <c r="R180" s="26"/>
      <c r="S180" s="26"/>
      <c r="T180" s="26"/>
      <c r="U180" s="26"/>
      <c r="V180" s="26"/>
      <c r="W180" s="26"/>
      <c r="X180" s="80"/>
      <c r="Y180" s="26"/>
      <c r="Z180" s="26"/>
      <c r="AA180" s="26"/>
      <c r="AB180" s="80"/>
      <c r="AC180" s="26"/>
      <c r="AD180" s="26"/>
      <c r="AE180" s="347">
        <v>27.513698630136986</v>
      </c>
      <c r="AF180" s="347"/>
      <c r="AG180" s="347"/>
      <c r="AH180" s="347">
        <f t="shared" si="20"/>
        <v>27.513698630136986</v>
      </c>
      <c r="AI180" s="347">
        <f t="shared" si="21"/>
        <v>56.861643835616434</v>
      </c>
      <c r="AJ180" s="347"/>
      <c r="AK180" s="347"/>
      <c r="AL180" s="347">
        <f t="shared" si="22"/>
        <v>84.37534246575342</v>
      </c>
      <c r="AM180" s="348"/>
    </row>
    <row r="181" spans="1:39" hidden="1" x14ac:dyDescent="0.3">
      <c r="A181" s="236">
        <v>5062</v>
      </c>
      <c r="B181" s="237" t="s">
        <v>85</v>
      </c>
      <c r="C181" s="237" t="s">
        <v>87</v>
      </c>
      <c r="D181" s="237" t="s">
        <v>86</v>
      </c>
      <c r="E181" s="80">
        <v>75139</v>
      </c>
      <c r="F181" s="240">
        <v>44036</v>
      </c>
      <c r="G181" s="240">
        <v>44401</v>
      </c>
      <c r="H181" s="26"/>
      <c r="I181" s="80">
        <v>3.4</v>
      </c>
      <c r="J181" s="26"/>
      <c r="K181" s="26"/>
      <c r="L181" s="26"/>
      <c r="M181" s="26"/>
      <c r="N181" s="26"/>
      <c r="O181" s="237"/>
      <c r="P181" s="26"/>
      <c r="Q181" s="26"/>
      <c r="R181" s="26"/>
      <c r="S181" s="26"/>
      <c r="T181" s="26"/>
      <c r="U181" s="26"/>
      <c r="V181" s="26"/>
      <c r="W181" s="26"/>
      <c r="X181" s="80"/>
      <c r="Y181" s="26"/>
      <c r="Z181" s="26"/>
      <c r="AA181" s="26"/>
      <c r="AB181" s="80"/>
      <c r="AC181" s="26"/>
      <c r="AD181" s="26"/>
      <c r="AE181" s="347">
        <v>41.995495890410965</v>
      </c>
      <c r="AF181" s="347"/>
      <c r="AG181" s="347"/>
      <c r="AH181" s="347">
        <f t="shared" si="20"/>
        <v>41.995495890410965</v>
      </c>
      <c r="AI181" s="347">
        <f t="shared" si="21"/>
        <v>216.97672876712332</v>
      </c>
      <c r="AJ181" s="347"/>
      <c r="AK181" s="347"/>
      <c r="AL181" s="347">
        <f t="shared" si="22"/>
        <v>258.9722246575343</v>
      </c>
      <c r="AM181" s="348"/>
    </row>
    <row r="182" spans="1:39" hidden="1" x14ac:dyDescent="0.3">
      <c r="A182" s="236">
        <v>5062</v>
      </c>
      <c r="B182" s="237" t="s">
        <v>85</v>
      </c>
      <c r="C182" s="237" t="s">
        <v>84</v>
      </c>
      <c r="D182" s="237" t="s">
        <v>83</v>
      </c>
      <c r="E182" s="80">
        <v>220000</v>
      </c>
      <c r="F182" s="240">
        <v>44036</v>
      </c>
      <c r="G182" s="240">
        <v>44401</v>
      </c>
      <c r="H182" s="26"/>
      <c r="I182" s="80">
        <v>3.4</v>
      </c>
      <c r="J182" s="26"/>
      <c r="K182" s="26"/>
      <c r="L182" s="26"/>
      <c r="M182" s="26"/>
      <c r="N182" s="26"/>
      <c r="O182" s="237"/>
      <c r="P182" s="26"/>
      <c r="Q182" s="26"/>
      <c r="R182" s="26"/>
      <c r="S182" s="26"/>
      <c r="T182" s="26"/>
      <c r="U182" s="26"/>
      <c r="V182" s="26"/>
      <c r="W182" s="26"/>
      <c r="X182" s="80"/>
      <c r="Y182" s="26"/>
      <c r="Z182" s="26"/>
      <c r="AA182" s="26"/>
      <c r="AB182" s="80"/>
      <c r="AC182" s="26"/>
      <c r="AD182" s="26"/>
      <c r="AE182" s="347">
        <v>122.95890410958907</v>
      </c>
      <c r="AF182" s="347"/>
      <c r="AG182" s="347"/>
      <c r="AH182" s="347">
        <f t="shared" si="20"/>
        <v>122.95890410958907</v>
      </c>
      <c r="AI182" s="347">
        <f t="shared" si="21"/>
        <v>635.28767123287685</v>
      </c>
      <c r="AJ182" s="347"/>
      <c r="AK182" s="347"/>
      <c r="AL182" s="347">
        <f t="shared" si="22"/>
        <v>758.24657534246592</v>
      </c>
      <c r="AM182" s="348"/>
    </row>
    <row r="183" spans="1:39" hidden="1" x14ac:dyDescent="0.3">
      <c r="A183" s="236">
        <v>5040</v>
      </c>
      <c r="B183" s="237" t="s">
        <v>82</v>
      </c>
      <c r="C183" s="237" t="s">
        <v>81</v>
      </c>
      <c r="D183" s="237" t="s">
        <v>80</v>
      </c>
      <c r="E183" s="80">
        <v>53900</v>
      </c>
      <c r="F183" s="240">
        <v>44038</v>
      </c>
      <c r="G183" s="240">
        <v>44403</v>
      </c>
      <c r="H183" s="26"/>
      <c r="I183" s="80">
        <v>6.15</v>
      </c>
      <c r="J183" s="26"/>
      <c r="K183" s="26"/>
      <c r="L183" s="26"/>
      <c r="M183" s="26"/>
      <c r="N183" s="26"/>
      <c r="O183" s="237"/>
      <c r="P183" s="26"/>
      <c r="Q183" s="26"/>
      <c r="R183" s="26"/>
      <c r="S183" s="26"/>
      <c r="T183" s="26"/>
      <c r="U183" s="26"/>
      <c r="V183" s="26"/>
      <c r="W183" s="26"/>
      <c r="X183" s="80"/>
      <c r="Y183" s="26"/>
      <c r="Z183" s="26"/>
      <c r="AA183" s="26"/>
      <c r="AB183" s="80"/>
      <c r="AC183" s="26"/>
      <c r="AD183" s="26"/>
      <c r="AE183" s="347">
        <v>45.408904109589045</v>
      </c>
      <c r="AF183" s="347"/>
      <c r="AG183" s="347"/>
      <c r="AH183" s="347">
        <f t="shared" si="20"/>
        <v>45.408904109589045</v>
      </c>
      <c r="AI183" s="347">
        <f t="shared" si="21"/>
        <v>281.53520547945209</v>
      </c>
      <c r="AJ183" s="347"/>
      <c r="AK183" s="347"/>
      <c r="AL183" s="347">
        <f t="shared" si="22"/>
        <v>326.94410958904115</v>
      </c>
      <c r="AM183" s="348"/>
    </row>
    <row r="184" spans="1:39" hidden="1" x14ac:dyDescent="0.3">
      <c r="A184" s="236">
        <v>5031</v>
      </c>
      <c r="B184" s="237" t="s">
        <v>7</v>
      </c>
      <c r="C184" s="237" t="s">
        <v>79</v>
      </c>
      <c r="D184" s="237" t="s">
        <v>78</v>
      </c>
      <c r="E184" s="80">
        <v>541000</v>
      </c>
      <c r="F184" s="240">
        <v>44037</v>
      </c>
      <c r="G184" s="240">
        <v>44402</v>
      </c>
      <c r="H184" s="26"/>
      <c r="I184" s="80">
        <v>6.9</v>
      </c>
      <c r="J184" s="26"/>
      <c r="K184" s="26"/>
      <c r="L184" s="26"/>
      <c r="M184" s="26"/>
      <c r="N184" s="26"/>
      <c r="O184" s="237"/>
      <c r="P184" s="26"/>
      <c r="Q184" s="26"/>
      <c r="R184" s="26"/>
      <c r="S184" s="26"/>
      <c r="T184" s="26"/>
      <c r="U184" s="26"/>
      <c r="V184" s="26"/>
      <c r="W184" s="26"/>
      <c r="X184" s="80"/>
      <c r="Y184" s="26"/>
      <c r="Z184" s="26"/>
      <c r="AA184" s="26"/>
      <c r="AB184" s="80"/>
      <c r="AC184" s="26"/>
      <c r="AD184" s="26"/>
      <c r="AE184" s="347">
        <v>613.62739726027394</v>
      </c>
      <c r="AF184" s="347"/>
      <c r="AG184" s="347"/>
      <c r="AH184" s="347">
        <f t="shared" si="20"/>
        <v>613.62739726027394</v>
      </c>
      <c r="AI184" s="347">
        <f t="shared" si="21"/>
        <v>3170.4082191780822</v>
      </c>
      <c r="AJ184" s="347"/>
      <c r="AK184" s="347"/>
      <c r="AL184" s="347">
        <f t="shared" si="22"/>
        <v>3784.0356164383561</v>
      </c>
      <c r="AM184" s="348"/>
    </row>
    <row r="185" spans="1:39" hidden="1" x14ac:dyDescent="0.3">
      <c r="A185" s="236"/>
      <c r="B185" s="237" t="s">
        <v>77</v>
      </c>
      <c r="C185" s="237" t="s">
        <v>76</v>
      </c>
      <c r="D185" s="237" t="s">
        <v>75</v>
      </c>
      <c r="E185" s="80">
        <v>240000</v>
      </c>
      <c r="F185" s="240">
        <v>44034</v>
      </c>
      <c r="G185" s="240">
        <v>44399</v>
      </c>
      <c r="H185" s="26"/>
      <c r="I185" s="364">
        <v>5.4</v>
      </c>
      <c r="J185" s="27"/>
      <c r="K185" s="27"/>
      <c r="L185" s="27"/>
      <c r="M185" s="27"/>
      <c r="N185" s="27"/>
      <c r="O185" s="237"/>
      <c r="P185" s="27"/>
      <c r="Q185" s="27"/>
      <c r="R185" s="26"/>
      <c r="S185" s="26"/>
      <c r="T185" s="26"/>
      <c r="U185" s="26"/>
      <c r="V185" s="26"/>
      <c r="W185" s="26"/>
      <c r="X185" s="80"/>
      <c r="Y185" s="26"/>
      <c r="Z185" s="26"/>
      <c r="AA185" s="26"/>
      <c r="AB185" s="80"/>
      <c r="AC185" s="26"/>
      <c r="AD185" s="26"/>
      <c r="AE185" s="347">
        <v>213.04109589041099</v>
      </c>
      <c r="AF185" s="347"/>
      <c r="AG185" s="347"/>
      <c r="AH185" s="347">
        <f t="shared" si="20"/>
        <v>213.04109589041099</v>
      </c>
      <c r="AI185" s="347">
        <f t="shared" si="21"/>
        <v>1100.7123287671236</v>
      </c>
      <c r="AJ185" s="347"/>
      <c r="AK185" s="347"/>
      <c r="AL185" s="347">
        <f t="shared" si="22"/>
        <v>1313.7534246575347</v>
      </c>
      <c r="AM185" s="348"/>
    </row>
    <row r="186" spans="1:39" hidden="1" x14ac:dyDescent="0.3">
      <c r="A186" s="236">
        <v>5057</v>
      </c>
      <c r="B186" s="237" t="s">
        <v>74</v>
      </c>
      <c r="C186" s="237" t="s">
        <v>73</v>
      </c>
      <c r="D186" s="237" t="s">
        <v>72</v>
      </c>
      <c r="E186" s="80">
        <v>139000</v>
      </c>
      <c r="F186" s="240">
        <v>44042</v>
      </c>
      <c r="G186" s="240">
        <v>44407</v>
      </c>
      <c r="H186" s="26"/>
      <c r="I186" s="364">
        <v>3.4</v>
      </c>
      <c r="J186" s="27"/>
      <c r="K186" s="27"/>
      <c r="L186" s="27"/>
      <c r="M186" s="27"/>
      <c r="N186" s="27"/>
      <c r="O186" s="237"/>
      <c r="P186" s="27"/>
      <c r="Q186" s="27"/>
      <c r="R186" s="26"/>
      <c r="S186" s="26"/>
      <c r="T186" s="26"/>
      <c r="U186" s="26"/>
      <c r="V186" s="26"/>
      <c r="W186" s="26"/>
      <c r="X186" s="80"/>
      <c r="Y186" s="26"/>
      <c r="Z186" s="26"/>
      <c r="AA186" s="26"/>
      <c r="AB186" s="80"/>
      <c r="AC186" s="26"/>
      <c r="AD186" s="26"/>
      <c r="AE186" s="347"/>
      <c r="AF186" s="347"/>
      <c r="AG186" s="347"/>
      <c r="AH186" s="347"/>
      <c r="AI186" s="347">
        <f t="shared" si="21"/>
        <v>401.38630136986302</v>
      </c>
      <c r="AJ186" s="347"/>
      <c r="AK186" s="347"/>
      <c r="AL186" s="347">
        <f t="shared" si="22"/>
        <v>401.38630136986302</v>
      </c>
      <c r="AM186" s="348"/>
    </row>
    <row r="187" spans="1:39" hidden="1" x14ac:dyDescent="0.3">
      <c r="A187" s="236">
        <v>5062</v>
      </c>
      <c r="B187" s="237" t="s">
        <v>71</v>
      </c>
      <c r="C187" s="237" t="s">
        <v>70</v>
      </c>
      <c r="D187" s="237" t="s">
        <v>69</v>
      </c>
      <c r="E187" s="80">
        <v>100000</v>
      </c>
      <c r="F187" s="240">
        <v>44044</v>
      </c>
      <c r="G187" s="240">
        <v>44409</v>
      </c>
      <c r="H187" s="26"/>
      <c r="I187" s="364">
        <v>7.4</v>
      </c>
      <c r="J187" s="27"/>
      <c r="K187" s="27"/>
      <c r="L187" s="27"/>
      <c r="M187" s="27"/>
      <c r="N187" s="27"/>
      <c r="O187" s="237"/>
      <c r="P187" s="27"/>
      <c r="Q187" s="27"/>
      <c r="R187" s="26"/>
      <c r="S187" s="26"/>
      <c r="T187" s="26"/>
      <c r="U187" s="26"/>
      <c r="V187" s="26"/>
      <c r="W187" s="26"/>
      <c r="X187" s="80"/>
      <c r="Y187" s="26"/>
      <c r="Z187" s="26"/>
      <c r="AA187" s="26"/>
      <c r="AB187" s="80"/>
      <c r="AC187" s="26"/>
      <c r="AD187" s="26"/>
      <c r="AE187" s="347"/>
      <c r="AF187" s="347"/>
      <c r="AG187" s="347"/>
      <c r="AH187" s="347"/>
      <c r="AI187" s="347">
        <f>+E187*I187%/365*30</f>
        <v>608.21917808219189</v>
      </c>
      <c r="AJ187" s="347"/>
      <c r="AK187" s="347"/>
      <c r="AL187" s="347">
        <f t="shared" si="22"/>
        <v>608.21917808219189</v>
      </c>
      <c r="AM187" s="348"/>
    </row>
    <row r="188" spans="1:39" hidden="1" x14ac:dyDescent="0.3">
      <c r="A188" s="236">
        <v>5063</v>
      </c>
      <c r="B188" s="237" t="s">
        <v>25</v>
      </c>
      <c r="C188" s="237" t="s">
        <v>68</v>
      </c>
      <c r="D188" s="237" t="s">
        <v>67</v>
      </c>
      <c r="E188" s="80">
        <v>100000</v>
      </c>
      <c r="F188" s="240">
        <v>44044</v>
      </c>
      <c r="G188" s="240">
        <v>44409</v>
      </c>
      <c r="H188" s="26"/>
      <c r="I188" s="364">
        <v>4.4000000000000004</v>
      </c>
      <c r="J188" s="27"/>
      <c r="K188" s="27"/>
      <c r="L188" s="27"/>
      <c r="M188" s="27"/>
      <c r="N188" s="27"/>
      <c r="O188" s="237"/>
      <c r="P188" s="27"/>
      <c r="Q188" s="27"/>
      <c r="R188" s="26"/>
      <c r="S188" s="26"/>
      <c r="T188" s="26"/>
      <c r="U188" s="26"/>
      <c r="V188" s="26"/>
      <c r="W188" s="26"/>
      <c r="X188" s="80"/>
      <c r="Y188" s="26"/>
      <c r="Z188" s="26"/>
      <c r="AA188" s="26"/>
      <c r="AB188" s="80"/>
      <c r="AC188" s="26"/>
      <c r="AD188" s="26"/>
      <c r="AE188" s="347"/>
      <c r="AF188" s="347"/>
      <c r="AG188" s="347"/>
      <c r="AH188" s="347"/>
      <c r="AI188" s="347">
        <f>+E188*I188%/365*30</f>
        <v>361.64383561643837</v>
      </c>
      <c r="AJ188" s="347"/>
      <c r="AK188" s="347"/>
      <c r="AL188" s="347">
        <f t="shared" si="22"/>
        <v>361.64383561643837</v>
      </c>
      <c r="AM188" s="348"/>
    </row>
    <row r="189" spans="1:39" hidden="1" x14ac:dyDescent="0.3">
      <c r="A189" s="236">
        <v>5060</v>
      </c>
      <c r="B189" s="237" t="s">
        <v>40</v>
      </c>
      <c r="C189" s="237" t="s">
        <v>66</v>
      </c>
      <c r="D189" s="237" t="s">
        <v>65</v>
      </c>
      <c r="E189" s="80">
        <v>2170000</v>
      </c>
      <c r="F189" s="240">
        <v>44058</v>
      </c>
      <c r="G189" s="240">
        <v>44423</v>
      </c>
      <c r="H189" s="26"/>
      <c r="I189" s="364">
        <v>6.4</v>
      </c>
      <c r="J189" s="27"/>
      <c r="K189" s="27"/>
      <c r="L189" s="27"/>
      <c r="M189" s="27"/>
      <c r="N189" s="27"/>
      <c r="O189" s="237"/>
      <c r="P189" s="27"/>
      <c r="Q189" s="27"/>
      <c r="R189" s="26"/>
      <c r="S189" s="26"/>
      <c r="T189" s="26"/>
      <c r="U189" s="26"/>
      <c r="V189" s="26"/>
      <c r="W189" s="26"/>
      <c r="X189" s="80"/>
      <c r="Y189" s="26"/>
      <c r="Z189" s="26"/>
      <c r="AA189" s="26"/>
      <c r="AB189" s="80"/>
      <c r="AC189" s="26"/>
      <c r="AD189" s="26"/>
      <c r="AE189" s="347"/>
      <c r="AF189" s="347"/>
      <c r="AG189" s="347"/>
      <c r="AH189" s="347"/>
      <c r="AI189" s="347">
        <f>+E189*I189%/365*16</f>
        <v>6087.8904109589039</v>
      </c>
      <c r="AJ189" s="347"/>
      <c r="AK189" s="347"/>
      <c r="AL189" s="347">
        <f t="shared" si="22"/>
        <v>6087.8904109589039</v>
      </c>
      <c r="AM189" s="348"/>
    </row>
    <row r="190" spans="1:39" hidden="1" x14ac:dyDescent="0.3">
      <c r="A190" s="236">
        <v>5001</v>
      </c>
      <c r="B190" s="237" t="s">
        <v>64</v>
      </c>
      <c r="C190" s="237" t="s">
        <v>63</v>
      </c>
      <c r="D190" s="237" t="s">
        <v>62</v>
      </c>
      <c r="E190" s="80">
        <v>250000</v>
      </c>
      <c r="F190" s="240">
        <v>44068</v>
      </c>
      <c r="G190" s="240">
        <v>44433</v>
      </c>
      <c r="H190" s="26"/>
      <c r="I190" s="364">
        <v>4.9000000000000004</v>
      </c>
      <c r="J190" s="27"/>
      <c r="K190" s="27"/>
      <c r="L190" s="27"/>
      <c r="M190" s="27"/>
      <c r="N190" s="27"/>
      <c r="O190" s="237"/>
      <c r="P190" s="27"/>
      <c r="Q190" s="27"/>
      <c r="R190" s="26"/>
      <c r="S190" s="26"/>
      <c r="T190" s="26"/>
      <c r="U190" s="26"/>
      <c r="V190" s="26"/>
      <c r="W190" s="26"/>
      <c r="X190" s="80"/>
      <c r="Y190" s="26"/>
      <c r="Z190" s="26"/>
      <c r="AA190" s="26"/>
      <c r="AB190" s="80"/>
      <c r="AC190" s="26"/>
      <c r="AD190" s="26"/>
      <c r="AE190" s="347"/>
      <c r="AF190" s="347"/>
      <c r="AG190" s="347"/>
      <c r="AH190" s="347"/>
      <c r="AI190" s="347">
        <f>+E190*I190%/365*6</f>
        <v>201.36986301369862</v>
      </c>
      <c r="AJ190" s="347"/>
      <c r="AK190" s="347"/>
      <c r="AL190" s="347">
        <f t="shared" si="22"/>
        <v>201.36986301369862</v>
      </c>
      <c r="AM190" s="348"/>
    </row>
    <row r="191" spans="1:39" hidden="1" x14ac:dyDescent="0.3">
      <c r="A191" s="236">
        <v>5031</v>
      </c>
      <c r="B191" s="237" t="s">
        <v>7</v>
      </c>
      <c r="C191" s="237" t="s">
        <v>61</v>
      </c>
      <c r="D191" s="237" t="s">
        <v>60</v>
      </c>
      <c r="E191" s="80">
        <v>325000</v>
      </c>
      <c r="F191" s="240">
        <v>44069</v>
      </c>
      <c r="G191" s="240">
        <v>44434</v>
      </c>
      <c r="H191" s="26"/>
      <c r="I191" s="364">
        <v>6.9</v>
      </c>
      <c r="J191" s="27"/>
      <c r="K191" s="27"/>
      <c r="L191" s="27"/>
      <c r="M191" s="27"/>
      <c r="N191" s="27"/>
      <c r="O191" s="237"/>
      <c r="P191" s="27"/>
      <c r="Q191" s="27"/>
      <c r="R191" s="26"/>
      <c r="S191" s="26"/>
      <c r="T191" s="26"/>
      <c r="U191" s="26"/>
      <c r="V191" s="26"/>
      <c r="W191" s="26"/>
      <c r="X191" s="80"/>
      <c r="Y191" s="26"/>
      <c r="Z191" s="26"/>
      <c r="AA191" s="26"/>
      <c r="AB191" s="80"/>
      <c r="AC191" s="26"/>
      <c r="AD191" s="26"/>
      <c r="AE191" s="347"/>
      <c r="AF191" s="347"/>
      <c r="AG191" s="347"/>
      <c r="AH191" s="347"/>
      <c r="AI191" s="347">
        <f>+E191*I191%/365*5</f>
        <v>307.19178082191786</v>
      </c>
      <c r="AJ191" s="347"/>
      <c r="AK191" s="347"/>
      <c r="AL191" s="347">
        <f t="shared" si="22"/>
        <v>307.19178082191786</v>
      </c>
      <c r="AM191" s="348"/>
    </row>
    <row r="192" spans="1:39" hidden="1" x14ac:dyDescent="0.3">
      <c r="A192" s="236">
        <v>5040</v>
      </c>
      <c r="B192" s="237" t="s">
        <v>59</v>
      </c>
      <c r="C192" s="237" t="s">
        <v>58</v>
      </c>
      <c r="D192" s="237" t="s">
        <v>57</v>
      </c>
      <c r="E192" s="80">
        <v>100000</v>
      </c>
      <c r="F192" s="240">
        <v>44070</v>
      </c>
      <c r="G192" s="240">
        <v>44435</v>
      </c>
      <c r="H192" s="26"/>
      <c r="I192" s="364">
        <v>6.4</v>
      </c>
      <c r="J192" s="27"/>
      <c r="K192" s="27"/>
      <c r="L192" s="27"/>
      <c r="M192" s="27"/>
      <c r="N192" s="27"/>
      <c r="O192" s="237"/>
      <c r="P192" s="27"/>
      <c r="Q192" s="27"/>
      <c r="R192" s="26"/>
      <c r="S192" s="26"/>
      <c r="T192" s="26"/>
      <c r="U192" s="26"/>
      <c r="V192" s="26"/>
      <c r="W192" s="26"/>
      <c r="X192" s="80"/>
      <c r="Y192" s="26"/>
      <c r="Z192" s="26"/>
      <c r="AA192" s="26"/>
      <c r="AB192" s="80"/>
      <c r="AC192" s="26"/>
      <c r="AD192" s="26"/>
      <c r="AE192" s="347"/>
      <c r="AF192" s="347"/>
      <c r="AG192" s="347"/>
      <c r="AH192" s="347"/>
      <c r="AI192" s="347">
        <f>+E192*I192%/365*4</f>
        <v>70.136986301369859</v>
      </c>
      <c r="AJ192" s="347"/>
      <c r="AK192" s="347"/>
      <c r="AL192" s="347">
        <f t="shared" si="22"/>
        <v>70.136986301369859</v>
      </c>
      <c r="AM192" s="348"/>
    </row>
    <row r="193" spans="1:39" hidden="1" x14ac:dyDescent="0.3">
      <c r="A193" s="236"/>
      <c r="B193" s="237" t="s">
        <v>56</v>
      </c>
      <c r="C193" s="237" t="s">
        <v>55</v>
      </c>
      <c r="D193" s="237" t="s">
        <v>54</v>
      </c>
      <c r="E193" s="80">
        <v>60250</v>
      </c>
      <c r="F193" s="240">
        <v>44055</v>
      </c>
      <c r="G193" s="240">
        <v>44420</v>
      </c>
      <c r="H193" s="26"/>
      <c r="I193" s="364">
        <v>5.67</v>
      </c>
      <c r="J193" s="27"/>
      <c r="K193" s="27"/>
      <c r="L193" s="27"/>
      <c r="M193" s="27"/>
      <c r="N193" s="27"/>
      <c r="O193" s="237"/>
      <c r="P193" s="27"/>
      <c r="Q193" s="27"/>
      <c r="R193" s="26"/>
      <c r="S193" s="26"/>
      <c r="T193" s="26"/>
      <c r="U193" s="26"/>
      <c r="V193" s="26"/>
      <c r="W193" s="26"/>
      <c r="X193" s="80"/>
      <c r="Y193" s="26"/>
      <c r="Z193" s="26"/>
      <c r="AA193" s="26"/>
      <c r="AB193" s="80"/>
      <c r="AC193" s="26"/>
      <c r="AD193" s="26"/>
      <c r="AE193" s="347">
        <v>0</v>
      </c>
      <c r="AF193" s="347"/>
      <c r="AG193" s="347"/>
      <c r="AH193" s="347">
        <f>+AD193+AE193+AF193+AG193</f>
        <v>0</v>
      </c>
      <c r="AI193" s="347">
        <f>+E193*I193%/365*10</f>
        <v>93.593835616438369</v>
      </c>
      <c r="AJ193" s="347"/>
      <c r="AK193" s="347"/>
      <c r="AL193" s="347">
        <f t="shared" si="22"/>
        <v>93.593835616438369</v>
      </c>
      <c r="AM193" s="348"/>
    </row>
    <row r="194" spans="1:39" hidden="1" x14ac:dyDescent="0.3">
      <c r="A194" s="236"/>
      <c r="B194" s="237" t="s">
        <v>53</v>
      </c>
      <c r="C194" s="237" t="s">
        <v>52</v>
      </c>
      <c r="D194" s="237" t="s">
        <v>51</v>
      </c>
      <c r="E194" s="80">
        <v>60250</v>
      </c>
      <c r="F194" s="240">
        <v>44055</v>
      </c>
      <c r="G194" s="240">
        <v>44420</v>
      </c>
      <c r="H194" s="26"/>
      <c r="I194" s="364">
        <v>5.67</v>
      </c>
      <c r="J194" s="27"/>
      <c r="K194" s="27"/>
      <c r="L194" s="27"/>
      <c r="M194" s="27"/>
      <c r="N194" s="27"/>
      <c r="O194" s="237"/>
      <c r="P194" s="27"/>
      <c r="Q194" s="27"/>
      <c r="R194" s="26"/>
      <c r="S194" s="26"/>
      <c r="T194" s="26"/>
      <c r="U194" s="26"/>
      <c r="V194" s="26"/>
      <c r="W194" s="26"/>
      <c r="X194" s="80"/>
      <c r="Y194" s="26"/>
      <c r="Z194" s="26"/>
      <c r="AA194" s="26"/>
      <c r="AB194" s="80"/>
      <c r="AC194" s="26"/>
      <c r="AD194" s="26"/>
      <c r="AE194" s="347"/>
      <c r="AF194" s="347"/>
      <c r="AG194" s="347"/>
      <c r="AH194" s="347"/>
      <c r="AI194" s="347">
        <f>+E194*I194%/365*10</f>
        <v>93.593835616438369</v>
      </c>
      <c r="AJ194" s="347"/>
      <c r="AK194" s="347"/>
      <c r="AL194" s="347">
        <f t="shared" si="22"/>
        <v>93.593835616438369</v>
      </c>
      <c r="AM194" s="348"/>
    </row>
    <row r="195" spans="1:39" hidden="1" x14ac:dyDescent="0.3">
      <c r="A195" s="236"/>
      <c r="B195" s="237" t="s">
        <v>50</v>
      </c>
      <c r="C195" s="237" t="s">
        <v>49</v>
      </c>
      <c r="D195" s="237" t="s">
        <v>48</v>
      </c>
      <c r="E195" s="80">
        <v>150000</v>
      </c>
      <c r="F195" s="240">
        <v>44066</v>
      </c>
      <c r="G195" s="240">
        <v>44431</v>
      </c>
      <c r="H195" s="26"/>
      <c r="I195" s="364">
        <v>4.9000000000000004</v>
      </c>
      <c r="J195" s="27"/>
      <c r="K195" s="27"/>
      <c r="L195" s="27"/>
      <c r="M195" s="27"/>
      <c r="N195" s="27"/>
      <c r="O195" s="237"/>
      <c r="P195" s="27"/>
      <c r="Q195" s="27"/>
      <c r="R195" s="26"/>
      <c r="S195" s="26"/>
      <c r="T195" s="26"/>
      <c r="U195" s="26"/>
      <c r="V195" s="26"/>
      <c r="W195" s="26"/>
      <c r="X195" s="80"/>
      <c r="Y195" s="26"/>
      <c r="Z195" s="26"/>
      <c r="AA195" s="26"/>
      <c r="AB195" s="80"/>
      <c r="AC195" s="26"/>
      <c r="AD195" s="26"/>
      <c r="AE195" s="347"/>
      <c r="AF195" s="347"/>
      <c r="AG195" s="347"/>
      <c r="AH195" s="347"/>
      <c r="AI195" s="347">
        <f>+E195*I195%/365*18</f>
        <v>362.46575342465752</v>
      </c>
      <c r="AJ195" s="347"/>
      <c r="AK195" s="347"/>
      <c r="AL195" s="347">
        <f t="shared" si="22"/>
        <v>362.46575342465752</v>
      </c>
      <c r="AM195" s="348"/>
    </row>
    <row r="196" spans="1:39" x14ac:dyDescent="0.3">
      <c r="A196" s="236"/>
      <c r="B196" s="237"/>
      <c r="C196" s="237"/>
      <c r="D196" s="237"/>
      <c r="E196" s="80"/>
      <c r="F196" s="240"/>
      <c r="G196" s="240"/>
      <c r="H196" s="26"/>
      <c r="I196" s="364"/>
      <c r="J196" s="27"/>
      <c r="K196" s="27"/>
      <c r="L196" s="27"/>
      <c r="M196" s="27"/>
      <c r="N196" s="27"/>
      <c r="O196" s="237"/>
      <c r="P196" s="27"/>
      <c r="Q196" s="27"/>
      <c r="R196" s="26"/>
      <c r="S196" s="26"/>
      <c r="T196" s="26"/>
      <c r="U196" s="26"/>
      <c r="V196" s="26"/>
      <c r="W196" s="26"/>
      <c r="X196" s="80"/>
      <c r="Y196" s="26"/>
      <c r="Z196" s="26"/>
      <c r="AA196" s="26"/>
      <c r="AB196" s="80"/>
      <c r="AC196" s="26"/>
      <c r="AD196" s="26"/>
      <c r="AE196" s="347"/>
      <c r="AF196" s="347"/>
      <c r="AG196" s="347"/>
      <c r="AH196" s="347"/>
      <c r="AI196" s="347"/>
      <c r="AJ196" s="347"/>
      <c r="AK196" s="347"/>
      <c r="AL196" s="347"/>
      <c r="AM196" s="348"/>
    </row>
    <row r="197" spans="1:39" x14ac:dyDescent="0.3">
      <c r="A197" s="34"/>
      <c r="B197" s="33"/>
      <c r="C197" s="33"/>
      <c r="D197" s="33"/>
      <c r="E197" s="349"/>
      <c r="F197" s="240"/>
      <c r="G197" s="240"/>
      <c r="H197" s="26"/>
      <c r="I197" s="30"/>
      <c r="J197" s="27">
        <v>0</v>
      </c>
      <c r="K197" s="27"/>
      <c r="L197" s="27"/>
      <c r="M197" s="27"/>
      <c r="N197" s="27">
        <f t="shared" ref="N197:N308" si="23">+J197+K197+L197+M197</f>
        <v>0</v>
      </c>
      <c r="O197" s="26"/>
      <c r="P197" s="27"/>
      <c r="Q197" s="27"/>
      <c r="R197" s="26">
        <f t="shared" ref="R197:R308" si="24">+N197+O197+P197+Q197</f>
        <v>0</v>
      </c>
      <c r="S197" s="26"/>
      <c r="T197" s="26"/>
      <c r="U197" s="26"/>
      <c r="V197" s="26">
        <f t="shared" si="17"/>
        <v>0</v>
      </c>
      <c r="W197" s="26"/>
      <c r="X197" s="365"/>
      <c r="Y197" s="26"/>
      <c r="Z197" s="26">
        <f t="shared" si="18"/>
        <v>0</v>
      </c>
      <c r="AA197" s="26">
        <v>0</v>
      </c>
      <c r="AB197" s="80"/>
      <c r="AC197" s="26"/>
      <c r="AD197" s="26">
        <f t="shared" si="19"/>
        <v>0</v>
      </c>
      <c r="AE197" s="347">
        <v>0</v>
      </c>
      <c r="AF197" s="347"/>
      <c r="AG197" s="347"/>
      <c r="AH197" s="347">
        <f>+AD197+AE197+AF197+AG197</f>
        <v>0</v>
      </c>
      <c r="AI197" s="347"/>
      <c r="AJ197" s="347"/>
      <c r="AK197" s="347"/>
      <c r="AL197" s="347"/>
      <c r="AM197" s="348"/>
    </row>
    <row r="198" spans="1:39" ht="15" thickBot="1" x14ac:dyDescent="0.35">
      <c r="A198" s="301" t="s">
        <v>4</v>
      </c>
      <c r="B198" s="243"/>
      <c r="C198" s="243"/>
      <c r="D198" s="20"/>
      <c r="E198" s="22">
        <f>SUM(E29:E197)-E175-E118-E102-E99-E46-E29-E30-E31-E32-E33-E34-E35-E36-E37</f>
        <v>41683402.099999994</v>
      </c>
      <c r="F198" s="246"/>
      <c r="G198" s="246"/>
      <c r="H198" s="20"/>
      <c r="I198" s="16">
        <f>AVERAGE(I6:I28)</f>
        <v>6.1034782608695659</v>
      </c>
      <c r="J198" s="16">
        <f t="shared" ref="J198:AD198" si="25">SUM(J6:J197)</f>
        <v>634864.88402892789</v>
      </c>
      <c r="K198" s="16">
        <f t="shared" si="25"/>
        <v>129870.58138125</v>
      </c>
      <c r="L198" s="16">
        <f t="shared" si="25"/>
        <v>0</v>
      </c>
      <c r="M198" s="16">
        <f t="shared" si="25"/>
        <v>0</v>
      </c>
      <c r="N198" s="16">
        <f t="shared" si="25"/>
        <v>764735.46541017795</v>
      </c>
      <c r="O198" s="16">
        <f t="shared" si="25"/>
        <v>180015.46730072217</v>
      </c>
      <c r="P198" s="19">
        <f t="shared" si="25"/>
        <v>0</v>
      </c>
      <c r="Q198" s="16">
        <f t="shared" si="25"/>
        <v>91069.154325683325</v>
      </c>
      <c r="R198" s="16">
        <f t="shared" si="25"/>
        <v>1035820.0870365833</v>
      </c>
      <c r="S198" s="16">
        <f t="shared" si="25"/>
        <v>187681.25389108324</v>
      </c>
      <c r="T198" s="16">
        <f t="shared" si="25"/>
        <v>0</v>
      </c>
      <c r="U198" s="16">
        <f t="shared" si="25"/>
        <v>0</v>
      </c>
      <c r="V198" s="16">
        <f t="shared" si="25"/>
        <v>1223501.3409276658</v>
      </c>
      <c r="W198" s="16">
        <f t="shared" si="25"/>
        <v>217912.0182632778</v>
      </c>
      <c r="X198" s="366">
        <f t="shared" si="25"/>
        <v>-32078.47</v>
      </c>
      <c r="Y198" s="16">
        <f t="shared" si="25"/>
        <v>935.41</v>
      </c>
      <c r="Z198" s="16">
        <f t="shared" si="25"/>
        <v>1410270.3191909445</v>
      </c>
      <c r="AA198" s="16">
        <f t="shared" si="25"/>
        <v>195842.85326466858</v>
      </c>
      <c r="AB198" s="367">
        <f t="shared" si="25"/>
        <v>-423577.63</v>
      </c>
      <c r="AC198" s="16">
        <f t="shared" si="25"/>
        <v>3330.3500000000004</v>
      </c>
      <c r="AD198" s="16">
        <f t="shared" si="25"/>
        <v>1185865.8924556128</v>
      </c>
      <c r="AE198" s="368">
        <v>211567.46896775893</v>
      </c>
      <c r="AF198" s="368">
        <v>-278424.93000000005</v>
      </c>
      <c r="AG198" s="368">
        <v>1367.5600000000002</v>
      </c>
      <c r="AH198" s="368">
        <f>SUM(AH6:AH197)</f>
        <v>1120375.9914233722</v>
      </c>
      <c r="AI198" s="368">
        <f>SUM(AI6:AI197)</f>
        <v>210426.00172466296</v>
      </c>
      <c r="AJ198" s="368">
        <f>SUM(AJ6:AJ197)</f>
        <v>-263316.33999999997</v>
      </c>
      <c r="AK198" s="368">
        <f>SUM(AK6:AK197)</f>
        <v>-12152.86</v>
      </c>
      <c r="AL198" s="368">
        <f>SUM(AL6:AL197)</f>
        <v>1055332.7896988939</v>
      </c>
    </row>
    <row r="199" spans="1:39" ht="15" thickTop="1" x14ac:dyDescent="0.3"/>
    <row r="200" spans="1:39" x14ac:dyDescent="0.3">
      <c r="B200" s="227" t="s">
        <v>3</v>
      </c>
      <c r="E200" s="3"/>
      <c r="F200" s="3"/>
      <c r="I200" s="227" t="s">
        <v>1</v>
      </c>
      <c r="L200" s="6"/>
      <c r="M200" s="227" t="s">
        <v>2</v>
      </c>
      <c r="N200" s="3">
        <v>1346787.82</v>
      </c>
      <c r="P200" s="6"/>
      <c r="Q200" s="227" t="s">
        <v>2</v>
      </c>
      <c r="R200" s="3">
        <v>1473310.06</v>
      </c>
      <c r="S200" s="3"/>
      <c r="T200" s="3"/>
      <c r="U200" s="227" t="s">
        <v>2</v>
      </c>
      <c r="V200" s="3">
        <v>1363849.45</v>
      </c>
      <c r="W200" s="3"/>
      <c r="Y200" s="227" t="s">
        <v>2</v>
      </c>
      <c r="Z200" s="3">
        <v>1410270.32</v>
      </c>
      <c r="AA200" s="2"/>
      <c r="AC200" s="227" t="s">
        <v>2</v>
      </c>
      <c r="AD200" s="3">
        <v>1185865.8899999999</v>
      </c>
      <c r="AF200" s="369"/>
      <c r="AG200" s="227" t="s">
        <v>1</v>
      </c>
      <c r="AH200" s="369">
        <v>1120375.99</v>
      </c>
      <c r="AI200" s="369"/>
      <c r="AJ200" s="369"/>
      <c r="AK200" s="227" t="s">
        <v>1</v>
      </c>
      <c r="AL200" s="369">
        <v>1055332.79</v>
      </c>
    </row>
    <row r="201" spans="1:39" ht="15" thickBot="1" x14ac:dyDescent="0.35">
      <c r="E201" s="6"/>
      <c r="F201" s="230"/>
      <c r="I201" s="227" t="s">
        <v>0</v>
      </c>
      <c r="K201" s="11"/>
      <c r="M201" s="3"/>
      <c r="O201" s="11"/>
      <c r="Q201" s="3"/>
      <c r="R201" s="12">
        <f>+R200-R198</f>
        <v>437489.97296341672</v>
      </c>
      <c r="S201" s="11"/>
      <c r="T201" s="11"/>
      <c r="U201" s="3"/>
      <c r="V201" s="12">
        <f>+V200-V198</f>
        <v>140348.10907233413</v>
      </c>
      <c r="W201" s="11"/>
      <c r="X201" s="370"/>
      <c r="Y201" s="3"/>
      <c r="Z201" s="12">
        <f>+Z200-Z198</f>
        <v>8.09055520221591E-4</v>
      </c>
      <c r="AA201" s="11"/>
      <c r="AB201" s="371"/>
      <c r="AC201" s="2"/>
      <c r="AD201" s="12">
        <f>+AD200-AD198</f>
        <v>-2.4556128773838282E-3</v>
      </c>
      <c r="AF201" s="5"/>
      <c r="AG201" s="227" t="s">
        <v>0</v>
      </c>
      <c r="AH201" s="372">
        <f>+AH200-AH198</f>
        <v>-1.4233721885830164E-3</v>
      </c>
      <c r="AI201" s="373"/>
      <c r="AJ201" s="373"/>
      <c r="AK201" s="227" t="s">
        <v>0</v>
      </c>
      <c r="AL201" s="373">
        <f>+AL200-AL198</f>
        <v>3.0110613442957401E-4</v>
      </c>
    </row>
    <row r="202" spans="1:39" ht="15" thickTop="1" x14ac:dyDescent="0.3">
      <c r="F202" s="261"/>
      <c r="J202" s="6"/>
      <c r="M202" s="6"/>
      <c r="N202" s="6"/>
      <c r="Q202" s="6"/>
      <c r="R202" s="6"/>
      <c r="S202" s="6"/>
      <c r="T202" s="6"/>
      <c r="U202" s="6"/>
      <c r="V202" s="6"/>
      <c r="W202" s="6"/>
      <c r="Y202" s="6"/>
      <c r="Z202" s="6"/>
      <c r="AA202" s="6"/>
      <c r="AC202" s="6"/>
      <c r="AD202" s="6"/>
    </row>
    <row r="203" spans="1:39" x14ac:dyDescent="0.3">
      <c r="J203" s="6"/>
      <c r="N203" s="6"/>
      <c r="R203" s="6"/>
      <c r="S203" s="6"/>
      <c r="T203" s="6"/>
      <c r="U203" s="6"/>
      <c r="V203" s="6"/>
      <c r="W203" s="6"/>
      <c r="Y203" s="6"/>
      <c r="Z203" s="6"/>
      <c r="AA203" s="6"/>
      <c r="AC203" s="6"/>
      <c r="AD203" s="6"/>
    </row>
    <row r="204" spans="1:39" x14ac:dyDescent="0.3">
      <c r="Z204" s="6"/>
    </row>
    <row r="205" spans="1:39" x14ac:dyDescent="0.3">
      <c r="W205" s="6"/>
      <c r="AA205" s="6"/>
    </row>
    <row r="206" spans="1:39" x14ac:dyDescent="0.3">
      <c r="H206" s="3"/>
      <c r="I206" s="253"/>
      <c r="W206" s="6"/>
      <c r="AA206" s="6"/>
    </row>
    <row r="208" spans="1:39" x14ac:dyDescent="0.3">
      <c r="H208" s="6"/>
      <c r="I208" s="3"/>
    </row>
  </sheetData>
  <sheetProtection algorithmName="SHA-512" hashValue="zq5i0xtdMouVrz4zLX5G16lO2WPyAJJaZ+l3aECI+ENE6lOxuKQwQUF8AlR1WGqt5tLijNqLuS547Ex2cmJYYw==" saltValue="4O4mYWhuhRcs0VgQM7ZtvQ==" spinCount="100000" sheet="1" formatCells="0" formatColumns="0" formatRows="0" insertColumns="0" insertRows="0" insertHyperlinks="0" deleteColumns="0" deleteRows="0" sort="0" autoFilter="0" pivotTables="0"/>
  <autoFilter ref="A5:AM195" xr:uid="{8B71A2AE-97FB-4A54-BE4B-BBA38A4DB28C}">
    <filterColumn colId="6">
      <filters calendarType="gregorian">
        <dateGroupItem year="2020" month="10" dateTimeGrouping="month"/>
      </filters>
    </filterColumn>
  </autoFilter>
  <pageMargins left="0.70866141732283472" right="0.70866141732283472" top="0.74803149606299213" bottom="0.74803149606299213" header="0.31496062992125984" footer="0.31496062992125984"/>
  <pageSetup paperSize="9" scale="6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F002-9D15-4919-87E8-9AE9DA253DC9}">
  <dimension ref="A1:DG224"/>
  <sheetViews>
    <sheetView workbookViewId="0">
      <pane ySplit="5" topLeftCell="A201" activePane="bottomLeft" state="frozen"/>
      <selection pane="bottomLeft" activeCell="E216" sqref="E216"/>
    </sheetView>
  </sheetViews>
  <sheetFormatPr baseColWidth="10" defaultColWidth="11.5546875" defaultRowHeight="14.4" x14ac:dyDescent="0.3"/>
  <cols>
    <col min="1" max="1" width="11.5546875" style="4"/>
    <col min="4" max="4" width="40.21875" customWidth="1"/>
    <col min="5" max="5" width="14" bestFit="1" customWidth="1"/>
    <col min="6" max="6" width="13.21875" customWidth="1"/>
    <col min="8" max="8" width="2.33203125" customWidth="1"/>
    <col min="10" max="10" width="13" hidden="1" customWidth="1"/>
    <col min="11" max="13" width="11.5546875" hidden="1" customWidth="1"/>
    <col min="14" max="14" width="12.77734375" hidden="1" customWidth="1"/>
    <col min="15" max="17" width="11.5546875" hidden="1" customWidth="1"/>
    <col min="18" max="18" width="13" hidden="1" customWidth="1"/>
    <col min="19" max="19" width="12.21875" hidden="1" customWidth="1"/>
    <col min="20" max="20" width="14" hidden="1" customWidth="1"/>
    <col min="21" max="21" width="12.21875" hidden="1" customWidth="1"/>
    <col min="22" max="22" width="13" hidden="1" customWidth="1"/>
    <col min="23" max="23" width="12.21875" hidden="1" customWidth="1"/>
    <col min="24" max="24" width="15.77734375" style="3" hidden="1" customWidth="1"/>
    <col min="25" max="25" width="12.21875" hidden="1" customWidth="1"/>
    <col min="26" max="26" width="13" hidden="1" customWidth="1"/>
    <col min="27" max="27" width="12.21875" hidden="1" customWidth="1"/>
    <col min="28" max="28" width="15.77734375" style="2" hidden="1" customWidth="1"/>
    <col min="29" max="29" width="12.21875" hidden="1" customWidth="1"/>
    <col min="30" max="30" width="13" hidden="1" customWidth="1"/>
    <col min="31" max="31" width="12.21875" style="1" hidden="1" customWidth="1"/>
    <col min="32" max="32" width="15.33203125" style="1" hidden="1" customWidth="1"/>
    <col min="33" max="33" width="10.44140625" style="1" hidden="1" customWidth="1"/>
    <col min="34" max="38" width="13" style="1" hidden="1" customWidth="1"/>
    <col min="39" max="42" width="13" style="1" customWidth="1"/>
    <col min="43" max="43" width="13.5546875" style="1" customWidth="1"/>
    <col min="44" max="111" width="11.5546875" style="1"/>
  </cols>
  <sheetData>
    <row r="1" spans="1:43" x14ac:dyDescent="0.3">
      <c r="A1" s="65" t="s">
        <v>500</v>
      </c>
      <c r="F1" s="64"/>
      <c r="G1" s="64"/>
      <c r="X1" s="9"/>
      <c r="AB1" s="8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3">
      <c r="A2" s="65" t="s">
        <v>499</v>
      </c>
      <c r="F2" s="64"/>
      <c r="G2" s="64"/>
      <c r="I2" s="8"/>
      <c r="X2" s="9"/>
      <c r="AB2" s="8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3">
      <c r="A3" s="65" t="s">
        <v>498</v>
      </c>
      <c r="F3" s="64"/>
      <c r="G3" s="64"/>
      <c r="X3" s="9"/>
      <c r="AB3" s="8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D4" s="15"/>
      <c r="E4" s="15"/>
      <c r="F4" s="64"/>
      <c r="G4" s="64"/>
      <c r="H4" s="15"/>
      <c r="I4" s="15"/>
      <c r="J4" s="15">
        <v>43861</v>
      </c>
      <c r="K4" s="15"/>
      <c r="L4" s="15"/>
      <c r="M4" s="15"/>
      <c r="N4" s="15">
        <v>43863</v>
      </c>
      <c r="O4" s="15"/>
      <c r="P4" s="15"/>
      <c r="Q4" s="15"/>
      <c r="R4" s="15">
        <v>43921</v>
      </c>
      <c r="S4" s="15"/>
      <c r="T4" s="15"/>
      <c r="U4" s="15"/>
      <c r="V4" s="15">
        <v>43951</v>
      </c>
      <c r="W4" s="15"/>
      <c r="X4" s="9"/>
      <c r="Y4" s="15"/>
      <c r="Z4" s="15">
        <v>43982</v>
      </c>
      <c r="AA4" s="15"/>
      <c r="AB4" s="8"/>
      <c r="AC4" s="15"/>
      <c r="AD4" s="63">
        <v>44012</v>
      </c>
      <c r="AE4"/>
      <c r="AF4"/>
      <c r="AG4"/>
      <c r="AH4" s="63">
        <v>44043</v>
      </c>
      <c r="AI4" s="63"/>
      <c r="AJ4" s="63"/>
      <c r="AK4" s="63"/>
      <c r="AL4" s="63">
        <v>44074</v>
      </c>
      <c r="AM4" s="63"/>
      <c r="AN4" s="63"/>
      <c r="AO4" s="63"/>
      <c r="AP4" s="63">
        <v>44104</v>
      </c>
      <c r="AQ4"/>
    </row>
    <row r="5" spans="1:43" ht="28.8" x14ac:dyDescent="0.3">
      <c r="A5" s="62" t="s">
        <v>497</v>
      </c>
      <c r="B5" s="61" t="s">
        <v>496</v>
      </c>
      <c r="C5" s="61" t="s">
        <v>495</v>
      </c>
      <c r="D5" s="59" t="s">
        <v>494</v>
      </c>
      <c r="E5" s="59" t="s">
        <v>493</v>
      </c>
      <c r="F5" s="60" t="s">
        <v>492</v>
      </c>
      <c r="G5" s="60" t="s">
        <v>491</v>
      </c>
      <c r="H5" s="59"/>
      <c r="I5" s="58" t="s">
        <v>490</v>
      </c>
      <c r="J5" s="57" t="s">
        <v>484</v>
      </c>
      <c r="K5" s="56" t="s">
        <v>487</v>
      </c>
      <c r="L5" s="56" t="s">
        <v>486</v>
      </c>
      <c r="M5" s="56" t="s">
        <v>489</v>
      </c>
      <c r="N5" s="56" t="s">
        <v>484</v>
      </c>
      <c r="O5" s="55" t="s">
        <v>487</v>
      </c>
      <c r="P5" s="55" t="s">
        <v>486</v>
      </c>
      <c r="Q5" s="55" t="s">
        <v>489</v>
      </c>
      <c r="R5" s="55" t="s">
        <v>484</v>
      </c>
      <c r="S5" s="54" t="s">
        <v>487</v>
      </c>
      <c r="T5" s="54" t="s">
        <v>486</v>
      </c>
      <c r="U5" s="54" t="s">
        <v>488</v>
      </c>
      <c r="V5" s="54" t="s">
        <v>484</v>
      </c>
      <c r="W5" s="52" t="s">
        <v>487</v>
      </c>
      <c r="X5" s="53" t="s">
        <v>486</v>
      </c>
      <c r="Y5" s="52" t="s">
        <v>488</v>
      </c>
      <c r="Z5" s="52" t="s">
        <v>484</v>
      </c>
      <c r="AA5" s="48" t="s">
        <v>487</v>
      </c>
      <c r="AB5" s="51" t="s">
        <v>486</v>
      </c>
      <c r="AC5" s="48" t="s">
        <v>488</v>
      </c>
      <c r="AD5" s="48" t="s">
        <v>484</v>
      </c>
      <c r="AE5" s="50" t="s">
        <v>487</v>
      </c>
      <c r="AF5" s="50" t="s">
        <v>486</v>
      </c>
      <c r="AG5" s="50" t="s">
        <v>485</v>
      </c>
      <c r="AH5" s="50" t="s">
        <v>484</v>
      </c>
      <c r="AI5" s="49" t="s">
        <v>487</v>
      </c>
      <c r="AJ5" s="49" t="s">
        <v>486</v>
      </c>
      <c r="AK5" s="49" t="s">
        <v>485</v>
      </c>
      <c r="AL5" s="49" t="s">
        <v>484</v>
      </c>
      <c r="AM5" s="49" t="s">
        <v>487</v>
      </c>
      <c r="AN5" s="49" t="s">
        <v>486</v>
      </c>
      <c r="AO5" s="49" t="s">
        <v>485</v>
      </c>
      <c r="AP5" s="49" t="s">
        <v>484</v>
      </c>
      <c r="AQ5" s="48" t="s">
        <v>483</v>
      </c>
    </row>
    <row r="6" spans="1:43" x14ac:dyDescent="0.3">
      <c r="A6" s="37"/>
      <c r="B6" s="25" t="s">
        <v>77</v>
      </c>
      <c r="C6" s="25" t="s">
        <v>482</v>
      </c>
      <c r="D6" s="26" t="s">
        <v>481</v>
      </c>
      <c r="E6" s="26"/>
      <c r="F6" s="47">
        <v>43622</v>
      </c>
      <c r="G6" s="47">
        <v>43988</v>
      </c>
      <c r="H6" s="26"/>
      <c r="I6" s="26">
        <v>5.4</v>
      </c>
      <c r="J6" s="26">
        <v>8576.8767123287671</v>
      </c>
      <c r="K6" s="26">
        <v>1080.0000000000002</v>
      </c>
      <c r="L6" s="26"/>
      <c r="M6" s="26"/>
      <c r="N6" s="26">
        <f>+J6+K6+L6+M6</f>
        <v>9656.8767123287671</v>
      </c>
      <c r="O6" s="26">
        <v>1080.0000000000002</v>
      </c>
      <c r="P6" s="26"/>
      <c r="Q6" s="26"/>
      <c r="R6" s="26">
        <f>+N6+O6+P6+Q6</f>
        <v>10736.876712328767</v>
      </c>
      <c r="S6" s="26">
        <v>1080.0000000000002</v>
      </c>
      <c r="T6" s="26"/>
      <c r="U6" s="26"/>
      <c r="V6" s="26">
        <f>+R6+S6+T6+U6</f>
        <v>11816.876712328767</v>
      </c>
      <c r="W6" s="26">
        <v>1116.0000000000002</v>
      </c>
      <c r="X6" s="35"/>
      <c r="Y6" s="26"/>
      <c r="Z6" s="26">
        <f>+V6+W6+X6+Y6</f>
        <v>12932.876712328767</v>
      </c>
      <c r="AA6" s="26"/>
      <c r="AB6" s="35">
        <v>-12995.5</v>
      </c>
      <c r="AC6" s="26">
        <v>62.62</v>
      </c>
      <c r="AD6" s="26">
        <f>+Z6+AA6+AB6+AC6</f>
        <v>-3.2876712329041879E-3</v>
      </c>
      <c r="AE6" s="26"/>
      <c r="AF6" s="26"/>
      <c r="AG6" s="26"/>
      <c r="AH6" s="26">
        <f>+AD6+AE6+AF6+AG6</f>
        <v>-3.2876712329041879E-3</v>
      </c>
      <c r="AI6" s="26"/>
      <c r="AJ6" s="26"/>
      <c r="AK6" s="26"/>
      <c r="AL6" s="26"/>
      <c r="AM6" s="26"/>
      <c r="AN6" s="26"/>
      <c r="AO6" s="26"/>
      <c r="AP6" s="26"/>
      <c r="AQ6" s="25" t="s">
        <v>96</v>
      </c>
    </row>
    <row r="7" spans="1:43" x14ac:dyDescent="0.3">
      <c r="A7" s="37"/>
      <c r="B7" s="25" t="s">
        <v>124</v>
      </c>
      <c r="C7" s="25" t="s">
        <v>480</v>
      </c>
      <c r="D7" s="26" t="s">
        <v>479</v>
      </c>
      <c r="E7" s="26"/>
      <c r="F7" s="47">
        <v>43633</v>
      </c>
      <c r="G7" s="47">
        <v>43999</v>
      </c>
      <c r="H7" s="26"/>
      <c r="I7" s="26">
        <v>4.4000000000000004</v>
      </c>
      <c r="J7" s="26">
        <v>4391.2937595129379</v>
      </c>
      <c r="K7" s="26">
        <v>579.33333333333337</v>
      </c>
      <c r="L7" s="26"/>
      <c r="M7" s="26"/>
      <c r="N7" s="26">
        <f>+J7+K7+L7+M7</f>
        <v>4970.6270928462709</v>
      </c>
      <c r="O7" s="26">
        <v>579.33333333333337</v>
      </c>
      <c r="P7" s="26"/>
      <c r="Q7" s="26"/>
      <c r="R7" s="26">
        <f>+N7+O7+P7+Q7</f>
        <v>5549.9604261796039</v>
      </c>
      <c r="S7" s="26">
        <v>579.33333333333337</v>
      </c>
      <c r="T7" s="26"/>
      <c r="U7" s="26"/>
      <c r="V7" s="26">
        <f>+R7+S7+T7+U7</f>
        <v>6129.293759512937</v>
      </c>
      <c r="W7" s="26">
        <v>598.6444444444445</v>
      </c>
      <c r="X7" s="35"/>
      <c r="Y7" s="26"/>
      <c r="Z7" s="26">
        <f>+V7+W7+X7+Y7</f>
        <v>6727.9382039573811</v>
      </c>
      <c r="AA7" s="26"/>
      <c r="AB7" s="35">
        <v>-6971.04</v>
      </c>
      <c r="AC7" s="26">
        <v>243.1</v>
      </c>
      <c r="AD7" s="26">
        <f>+Z7+AA7+AB7+AC7</f>
        <v>-1.7960426188494694E-3</v>
      </c>
      <c r="AE7" s="26"/>
      <c r="AF7" s="26"/>
      <c r="AG7" s="26"/>
      <c r="AH7" s="26">
        <f>+AD7+AE7+AF7+AG7</f>
        <v>-1.7960426188494694E-3</v>
      </c>
      <c r="AI7" s="26"/>
      <c r="AJ7" s="26"/>
      <c r="AK7" s="26"/>
      <c r="AL7" s="26"/>
      <c r="AM7" s="26"/>
      <c r="AN7" s="26"/>
      <c r="AO7" s="26"/>
      <c r="AP7" s="26"/>
      <c r="AQ7" s="25" t="s">
        <v>96</v>
      </c>
    </row>
    <row r="8" spans="1:43" x14ac:dyDescent="0.3">
      <c r="A8" s="37"/>
      <c r="B8" s="25" t="s">
        <v>117</v>
      </c>
      <c r="C8" s="25" t="s">
        <v>478</v>
      </c>
      <c r="D8" s="26" t="s">
        <v>477</v>
      </c>
      <c r="E8" s="26"/>
      <c r="F8" s="47">
        <v>43644</v>
      </c>
      <c r="G8" s="47">
        <v>44010</v>
      </c>
      <c r="H8" s="26"/>
      <c r="I8" s="26">
        <v>5.87</v>
      </c>
      <c r="J8" s="26">
        <v>1412.3738203957382</v>
      </c>
      <c r="K8" s="26">
        <v>195.66666666666666</v>
      </c>
      <c r="L8" s="26"/>
      <c r="M8" s="26"/>
      <c r="N8" s="26">
        <f>+J8+K8+L8+M8</f>
        <v>1608.040487062405</v>
      </c>
      <c r="O8" s="26">
        <v>195.66666666666666</v>
      </c>
      <c r="P8" s="26"/>
      <c r="Q8" s="26"/>
      <c r="R8" s="26">
        <f>+N8+O8+P8+Q8</f>
        <v>1803.7071537290717</v>
      </c>
      <c r="S8" s="26">
        <v>195.66666666666666</v>
      </c>
      <c r="T8" s="26"/>
      <c r="U8" s="26"/>
      <c r="V8" s="26">
        <f>+R8+S8+T8+U8</f>
        <v>1999.3738203957384</v>
      </c>
      <c r="W8" s="26">
        <v>202.1888888888889</v>
      </c>
      <c r="X8" s="35"/>
      <c r="Y8" s="26"/>
      <c r="Z8" s="26">
        <f>+V8+W8+X8+Y8</f>
        <v>2201.5627092846275</v>
      </c>
      <c r="AA8" s="26"/>
      <c r="AB8" s="35">
        <v>-2346.41</v>
      </c>
      <c r="AC8" s="26">
        <v>144.85</v>
      </c>
      <c r="AD8" s="26">
        <f>+Z8+AA8+AB8+AC8</f>
        <v>2.7092846276843829E-3</v>
      </c>
      <c r="AE8" s="26"/>
      <c r="AF8" s="26"/>
      <c r="AG8" s="26"/>
      <c r="AH8" s="26">
        <f>+AD8+AE8+AF8+AG8</f>
        <v>2.7092846276843829E-3</v>
      </c>
      <c r="AI8" s="26"/>
      <c r="AJ8" s="26"/>
      <c r="AK8" s="26"/>
      <c r="AL8" s="26"/>
      <c r="AM8" s="26"/>
      <c r="AN8" s="26"/>
      <c r="AO8" s="26"/>
      <c r="AP8" s="26"/>
      <c r="AQ8" s="25" t="s">
        <v>96</v>
      </c>
    </row>
    <row r="9" spans="1:43" x14ac:dyDescent="0.3">
      <c r="A9" s="37"/>
      <c r="B9" s="25" t="s">
        <v>117</v>
      </c>
      <c r="C9" s="25" t="s">
        <v>476</v>
      </c>
      <c r="D9" s="26" t="s">
        <v>475</v>
      </c>
      <c r="E9" s="26"/>
      <c r="F9" s="47">
        <v>43644</v>
      </c>
      <c r="G9" s="47">
        <v>44010</v>
      </c>
      <c r="H9" s="26"/>
      <c r="I9" s="26">
        <v>5.87</v>
      </c>
      <c r="J9" s="26">
        <v>2118.5607305936073</v>
      </c>
      <c r="K9" s="26">
        <v>293.5</v>
      </c>
      <c r="L9" s="26"/>
      <c r="M9" s="26"/>
      <c r="N9" s="26">
        <f>+J9+K9+L9+M9</f>
        <v>2412.0607305936073</v>
      </c>
      <c r="O9" s="26">
        <v>293.5</v>
      </c>
      <c r="P9" s="26"/>
      <c r="Q9" s="26"/>
      <c r="R9" s="26">
        <f>+N9+O9+P9+Q9</f>
        <v>2705.5607305936073</v>
      </c>
      <c r="S9" s="26">
        <v>293.5</v>
      </c>
      <c r="T9" s="26"/>
      <c r="U9" s="26"/>
      <c r="V9" s="26">
        <f>+R9+S9+T9+U9</f>
        <v>2999.0607305936073</v>
      </c>
      <c r="W9" s="26">
        <v>303.2833333333333</v>
      </c>
      <c r="X9" s="35"/>
      <c r="Y9" s="26"/>
      <c r="Z9" s="26">
        <f>+V9+W9+X9+Y9</f>
        <v>3302.3440639269406</v>
      </c>
      <c r="AA9" s="26"/>
      <c r="AB9" s="35">
        <v>-3519.62</v>
      </c>
      <c r="AC9" s="26">
        <v>217.28</v>
      </c>
      <c r="AD9" s="26">
        <f>+Z9+AA9+AB9+AC9</f>
        <v>4.0639269407449774E-3</v>
      </c>
      <c r="AE9" s="26"/>
      <c r="AF9" s="26"/>
      <c r="AG9" s="26"/>
      <c r="AH9" s="26">
        <f>+AD9+AE9+AF9+AG9</f>
        <v>4.0639269407449774E-3</v>
      </c>
      <c r="AI9" s="26"/>
      <c r="AJ9" s="26"/>
      <c r="AK9" s="26"/>
      <c r="AL9" s="26"/>
      <c r="AM9" s="26"/>
      <c r="AN9" s="26"/>
      <c r="AO9" s="26"/>
      <c r="AP9" s="26"/>
      <c r="AQ9" s="25" t="s">
        <v>96</v>
      </c>
    </row>
    <row r="10" spans="1:43" x14ac:dyDescent="0.3">
      <c r="A10" s="37"/>
      <c r="B10" s="25" t="s">
        <v>117</v>
      </c>
      <c r="C10" s="25" t="s">
        <v>474</v>
      </c>
      <c r="D10" s="26" t="s">
        <v>473</v>
      </c>
      <c r="E10" s="26"/>
      <c r="F10" s="47">
        <v>43644</v>
      </c>
      <c r="G10" s="47">
        <v>44010</v>
      </c>
      <c r="H10" s="26"/>
      <c r="I10" s="26">
        <v>5.85</v>
      </c>
      <c r="J10" s="26">
        <v>3518.9041095890411</v>
      </c>
      <c r="K10" s="26">
        <v>487.5</v>
      </c>
      <c r="L10" s="26"/>
      <c r="M10" s="26"/>
      <c r="N10" s="26">
        <f>+J10+K10+L10+M10</f>
        <v>4006.4041095890411</v>
      </c>
      <c r="O10" s="26">
        <v>487.5</v>
      </c>
      <c r="P10" s="26"/>
      <c r="Q10" s="26"/>
      <c r="R10" s="26">
        <f>+N10+O10+P10+Q10</f>
        <v>4493.9041095890407</v>
      </c>
      <c r="S10" s="26">
        <v>487.5</v>
      </c>
      <c r="T10" s="26"/>
      <c r="U10" s="26"/>
      <c r="V10" s="26">
        <f>+R10+S10+T10+U10</f>
        <v>4981.4041095890407</v>
      </c>
      <c r="W10" s="26">
        <v>503.75</v>
      </c>
      <c r="X10" s="35"/>
      <c r="Y10" s="26"/>
      <c r="Z10" s="26">
        <f>+V10+W10+X10+Y10</f>
        <v>5485.1541095890407</v>
      </c>
      <c r="AA10" s="26"/>
      <c r="AB10" s="35">
        <v>-5866.03</v>
      </c>
      <c r="AC10" s="26">
        <v>380.88</v>
      </c>
      <c r="AD10" s="26">
        <f>+Z10+AA10+AB10+AC10</f>
        <v>4.1095890409224012E-3</v>
      </c>
      <c r="AE10" s="26"/>
      <c r="AF10" s="26"/>
      <c r="AG10" s="26"/>
      <c r="AH10" s="26">
        <f>+AD10+AE10+AF10+AG10</f>
        <v>4.1095890409224012E-3</v>
      </c>
      <c r="AI10" s="26"/>
      <c r="AJ10" s="26"/>
      <c r="AK10" s="26"/>
      <c r="AL10" s="26"/>
      <c r="AM10" s="26"/>
      <c r="AN10" s="26"/>
      <c r="AO10" s="26"/>
      <c r="AP10" s="26"/>
      <c r="AQ10" s="25" t="s">
        <v>96</v>
      </c>
    </row>
    <row r="11" spans="1:43" x14ac:dyDescent="0.3">
      <c r="A11" s="37"/>
      <c r="B11" s="25" t="s">
        <v>25</v>
      </c>
      <c r="C11" s="25" t="s">
        <v>472</v>
      </c>
      <c r="D11" s="26" t="s">
        <v>471</v>
      </c>
      <c r="E11" s="26"/>
      <c r="F11" s="47">
        <v>43617</v>
      </c>
      <c r="G11" s="47">
        <v>43983</v>
      </c>
      <c r="H11" s="26"/>
      <c r="I11" s="26">
        <v>4.4000000000000004</v>
      </c>
      <c r="J11" s="26">
        <v>4458.2648401826491</v>
      </c>
      <c r="K11" s="26">
        <v>550.00000000000011</v>
      </c>
      <c r="L11" s="26"/>
      <c r="M11" s="26"/>
      <c r="N11" s="26">
        <f>+J11+K11+L11+M11</f>
        <v>5008.2648401826491</v>
      </c>
      <c r="O11" s="26">
        <v>550.00000000000011</v>
      </c>
      <c r="P11" s="26"/>
      <c r="Q11" s="26"/>
      <c r="R11" s="26">
        <f>+N11+O11+P11+Q11</f>
        <v>5558.2648401826491</v>
      </c>
      <c r="S11" s="26">
        <v>550.00000000000011</v>
      </c>
      <c r="T11" s="26"/>
      <c r="U11" s="26"/>
      <c r="V11" s="26">
        <f>+R11+S11+T11+U11</f>
        <v>6108.2648401826491</v>
      </c>
      <c r="W11" s="26">
        <v>568.33333333333337</v>
      </c>
      <c r="X11" s="35">
        <v>-6401.1</v>
      </c>
      <c r="Y11" s="26"/>
      <c r="Z11" s="26">
        <f>+V11+W11+X11+Y11</f>
        <v>275.49817351598176</v>
      </c>
      <c r="AA11" s="26"/>
      <c r="AB11" s="35"/>
      <c r="AC11" s="26">
        <v>-275.5</v>
      </c>
      <c r="AD11" s="26">
        <f>+Z11+AA11+AB11+AC11</f>
        <v>-1.8264840182382613E-3</v>
      </c>
      <c r="AE11" s="26"/>
      <c r="AF11" s="26"/>
      <c r="AG11" s="26"/>
      <c r="AH11" s="26">
        <f>+AD11+AE11+AF11+AG11</f>
        <v>-1.8264840182382613E-3</v>
      </c>
      <c r="AI11" s="26"/>
      <c r="AJ11" s="26"/>
      <c r="AK11" s="26"/>
      <c r="AL11" s="26"/>
      <c r="AM11" s="26"/>
      <c r="AN11" s="26"/>
      <c r="AO11" s="26"/>
      <c r="AP11" s="26"/>
      <c r="AQ11" s="25" t="s">
        <v>96</v>
      </c>
    </row>
    <row r="12" spans="1:43" x14ac:dyDescent="0.3">
      <c r="A12" s="37"/>
      <c r="B12" s="25" t="s">
        <v>13</v>
      </c>
      <c r="C12" s="25" t="s">
        <v>470</v>
      </c>
      <c r="D12" s="26" t="s">
        <v>469</v>
      </c>
      <c r="E12" s="26"/>
      <c r="F12" s="47">
        <v>43627</v>
      </c>
      <c r="G12" s="47">
        <v>43993</v>
      </c>
      <c r="H12" s="26"/>
      <c r="I12" s="26">
        <v>8.9</v>
      </c>
      <c r="J12" s="26">
        <v>25235.292998477937</v>
      </c>
      <c r="K12" s="26">
        <v>3244.7916666666674</v>
      </c>
      <c r="L12" s="26"/>
      <c r="M12" s="26"/>
      <c r="N12" s="26">
        <f>+J12+K12+L12+M12</f>
        <v>28480.084665144605</v>
      </c>
      <c r="O12" s="26">
        <v>3244.7916666666674</v>
      </c>
      <c r="P12" s="26"/>
      <c r="Q12" s="26"/>
      <c r="R12" s="26">
        <f>+N12+O12+P12+Q12</f>
        <v>31724.876331811272</v>
      </c>
      <c r="S12" s="26">
        <v>3244.7916666666674</v>
      </c>
      <c r="T12" s="26"/>
      <c r="U12" s="26"/>
      <c r="V12" s="26">
        <f>+R12+S12+T12+U12</f>
        <v>34969.66799847794</v>
      </c>
      <c r="W12" s="26">
        <v>3352.9513888888896</v>
      </c>
      <c r="X12" s="35"/>
      <c r="Y12" s="26"/>
      <c r="Z12" s="26">
        <f>+V12+W12+X12+Y12</f>
        <v>38322.619387366831</v>
      </c>
      <c r="AA12" s="26"/>
      <c r="AB12" s="35">
        <v>-38937.5</v>
      </c>
      <c r="AC12" s="26">
        <v>614.88</v>
      </c>
      <c r="AD12" s="26">
        <f>+Z12+AA12+AB12+AC12</f>
        <v>-6.126331692257736E-4</v>
      </c>
      <c r="AE12" s="26"/>
      <c r="AF12" s="26"/>
      <c r="AG12" s="26"/>
      <c r="AH12" s="26">
        <f>+AD12+AE12+AF12+AG12</f>
        <v>-6.126331692257736E-4</v>
      </c>
      <c r="AI12" s="26"/>
      <c r="AJ12" s="26"/>
      <c r="AK12" s="26"/>
      <c r="AL12" s="26"/>
      <c r="AM12" s="26"/>
      <c r="AN12" s="26"/>
      <c r="AO12" s="26"/>
      <c r="AP12" s="26"/>
      <c r="AQ12" s="25" t="s">
        <v>96</v>
      </c>
    </row>
    <row r="13" spans="1:43" x14ac:dyDescent="0.3">
      <c r="A13" s="37"/>
      <c r="B13" s="25" t="s">
        <v>13</v>
      </c>
      <c r="C13" s="25" t="s">
        <v>468</v>
      </c>
      <c r="D13" s="26" t="s">
        <v>467</v>
      </c>
      <c r="E13" s="26"/>
      <c r="F13" s="47">
        <v>43640</v>
      </c>
      <c r="G13" s="47">
        <v>44006</v>
      </c>
      <c r="H13" s="26"/>
      <c r="I13" s="26">
        <v>4.6500000000000004</v>
      </c>
      <c r="J13" s="26">
        <v>5696.0730593607332</v>
      </c>
      <c r="K13" s="26">
        <v>775.00000000000023</v>
      </c>
      <c r="L13" s="26"/>
      <c r="M13" s="26"/>
      <c r="N13" s="26">
        <f>+J13+K13+L13+M13</f>
        <v>6471.0730593607332</v>
      </c>
      <c r="O13" s="26">
        <v>775.00000000000023</v>
      </c>
      <c r="P13" s="26"/>
      <c r="Q13" s="26"/>
      <c r="R13" s="26">
        <f>+N13+O13+P13+Q13</f>
        <v>7246.0730593607332</v>
      </c>
      <c r="S13" s="26">
        <v>775.00000000000023</v>
      </c>
      <c r="T13" s="26"/>
      <c r="U13" s="26"/>
      <c r="V13" s="26">
        <f>+R13+S13+T13+U13</f>
        <v>8021.0730593607332</v>
      </c>
      <c r="W13" s="26">
        <v>800.83333333333348</v>
      </c>
      <c r="X13" s="35"/>
      <c r="Y13" s="26"/>
      <c r="Z13" s="26">
        <f>+V13+W13+X13+Y13</f>
        <v>8821.9063926940671</v>
      </c>
      <c r="AA13" s="26"/>
      <c r="AB13" s="35">
        <v>-9325.48</v>
      </c>
      <c r="AC13" s="26">
        <v>503.57</v>
      </c>
      <c r="AD13" s="26">
        <f>+Z13+AA13+AB13+AC13</f>
        <v>-3.6073059324621681E-3</v>
      </c>
      <c r="AE13" s="26"/>
      <c r="AF13" s="26"/>
      <c r="AG13" s="26"/>
      <c r="AH13" s="26">
        <f>+AD13+AE13+AF13+AG13</f>
        <v>-3.6073059324621681E-3</v>
      </c>
      <c r="AI13" s="26"/>
      <c r="AJ13" s="26"/>
      <c r="AK13" s="26"/>
      <c r="AL13" s="26"/>
      <c r="AM13" s="26"/>
      <c r="AN13" s="26"/>
      <c r="AO13" s="26"/>
      <c r="AP13" s="26"/>
      <c r="AQ13" s="25" t="s">
        <v>96</v>
      </c>
    </row>
    <row r="14" spans="1:43" x14ac:dyDescent="0.3">
      <c r="A14" s="37"/>
      <c r="B14" s="25" t="s">
        <v>40</v>
      </c>
      <c r="C14" s="25" t="s">
        <v>466</v>
      </c>
      <c r="D14" s="26" t="s">
        <v>465</v>
      </c>
      <c r="E14" s="26"/>
      <c r="F14" s="47">
        <v>43642</v>
      </c>
      <c r="G14" s="47">
        <v>44008</v>
      </c>
      <c r="H14" s="26"/>
      <c r="I14" s="26">
        <v>6.4</v>
      </c>
      <c r="J14" s="26">
        <v>46617.716894977173</v>
      </c>
      <c r="K14" s="26">
        <v>6400</v>
      </c>
      <c r="L14" s="26"/>
      <c r="M14" s="26"/>
      <c r="N14" s="26">
        <f>+J14+K14+L14+M14</f>
        <v>53017.716894977173</v>
      </c>
      <c r="O14" s="26">
        <v>6400</v>
      </c>
      <c r="P14" s="26"/>
      <c r="Q14" s="26"/>
      <c r="R14" s="26">
        <f>+N14+O14+P14+Q14</f>
        <v>59417.716894977173</v>
      </c>
      <c r="S14" s="26">
        <v>6400</v>
      </c>
      <c r="T14" s="26"/>
      <c r="U14" s="26"/>
      <c r="V14" s="26">
        <f>+R14+S14+T14+U14</f>
        <v>65817.716894977173</v>
      </c>
      <c r="W14" s="26">
        <v>6613.3333333333339</v>
      </c>
      <c r="X14" s="35"/>
      <c r="Y14" s="26"/>
      <c r="Z14" s="26">
        <f>+V14+W14+X14+Y14</f>
        <v>72431.050228310502</v>
      </c>
      <c r="AA14" s="26"/>
      <c r="AB14" s="35">
        <v>-72381.320000000007</v>
      </c>
      <c r="AC14" s="26">
        <v>-49.73</v>
      </c>
      <c r="AD14" s="26">
        <f>+Z14+AA14+AB14+AC14</f>
        <v>2.2831049457039398E-4</v>
      </c>
      <c r="AE14" s="26"/>
      <c r="AF14" s="26"/>
      <c r="AG14" s="26"/>
      <c r="AH14" s="26">
        <f>+AD14+AE14+AF14+AG14</f>
        <v>2.2831049457039398E-4</v>
      </c>
      <c r="AI14" s="26"/>
      <c r="AJ14" s="26"/>
      <c r="AK14" s="26"/>
      <c r="AL14" s="26"/>
      <c r="AM14" s="26"/>
      <c r="AN14" s="26"/>
      <c r="AO14" s="26"/>
      <c r="AP14" s="26"/>
      <c r="AQ14" s="25" t="s">
        <v>96</v>
      </c>
    </row>
    <row r="15" spans="1:43" x14ac:dyDescent="0.3">
      <c r="A15" s="37"/>
      <c r="B15" s="25" t="s">
        <v>40</v>
      </c>
      <c r="C15" s="25" t="s">
        <v>464</v>
      </c>
      <c r="D15" s="26" t="s">
        <v>463</v>
      </c>
      <c r="E15" s="26"/>
      <c r="F15" s="47">
        <v>43642</v>
      </c>
      <c r="G15" s="47">
        <v>44008</v>
      </c>
      <c r="H15" s="26"/>
      <c r="I15" s="26">
        <v>6.4</v>
      </c>
      <c r="J15" s="26">
        <v>12431.39117199391</v>
      </c>
      <c r="K15" s="26">
        <v>1706.6666666666665</v>
      </c>
      <c r="L15" s="26"/>
      <c r="M15" s="26"/>
      <c r="N15" s="26">
        <f>+J15+K15+L15+M15</f>
        <v>14138.057838660576</v>
      </c>
      <c r="O15" s="26">
        <v>1706.6666666666665</v>
      </c>
      <c r="P15" s="26"/>
      <c r="Q15" s="26"/>
      <c r="R15" s="26">
        <f>+N15+O15+P15+Q15</f>
        <v>15844.724505327242</v>
      </c>
      <c r="S15" s="26">
        <v>1706.6666666666665</v>
      </c>
      <c r="T15" s="26"/>
      <c r="U15" s="26"/>
      <c r="V15" s="26">
        <f>+R15+S15+T15+U15</f>
        <v>17551.39117199391</v>
      </c>
      <c r="W15" s="26">
        <v>1763.5555555555554</v>
      </c>
      <c r="X15" s="35"/>
      <c r="Y15" s="26"/>
      <c r="Z15" s="26">
        <f>+V15+W15+X15+Y15</f>
        <v>19314.946727549464</v>
      </c>
      <c r="AA15" s="26"/>
      <c r="AB15" s="35">
        <v>-20367.77</v>
      </c>
      <c r="AC15" s="26">
        <v>1052.82</v>
      </c>
      <c r="AD15" s="26">
        <f>+Z15+AA15+AB15+AC15</f>
        <v>-3.27245053608749E-3</v>
      </c>
      <c r="AE15" s="26"/>
      <c r="AF15" s="26"/>
      <c r="AG15" s="26"/>
      <c r="AH15" s="26">
        <f>+AD15+AE15+AF15+AG15</f>
        <v>-3.27245053608749E-3</v>
      </c>
      <c r="AI15" s="26"/>
      <c r="AJ15" s="26"/>
      <c r="AK15" s="26"/>
      <c r="AL15" s="26"/>
      <c r="AM15" s="26"/>
      <c r="AN15" s="26"/>
      <c r="AO15" s="26"/>
      <c r="AP15" s="26"/>
      <c r="AQ15" s="25" t="s">
        <v>96</v>
      </c>
    </row>
    <row r="16" spans="1:43" x14ac:dyDescent="0.3">
      <c r="A16" s="37"/>
      <c r="B16" s="25" t="s">
        <v>143</v>
      </c>
      <c r="C16" s="25" t="s">
        <v>462</v>
      </c>
      <c r="D16" s="26" t="s">
        <v>461</v>
      </c>
      <c r="E16" s="26"/>
      <c r="F16" s="47">
        <v>43619</v>
      </c>
      <c r="G16" s="47">
        <v>43985</v>
      </c>
      <c r="H16" s="26"/>
      <c r="I16" s="26">
        <v>6.9</v>
      </c>
      <c r="J16" s="26">
        <v>64726.038916785401</v>
      </c>
      <c r="K16" s="26">
        <v>8050.3194700000013</v>
      </c>
      <c r="L16" s="26"/>
      <c r="M16" s="26"/>
      <c r="N16" s="26">
        <f>+J16+K16+L16+M16</f>
        <v>72776.358386785403</v>
      </c>
      <c r="O16" s="26">
        <v>8050.3194700000013</v>
      </c>
      <c r="P16" s="26"/>
      <c r="Q16" s="26"/>
      <c r="R16" s="26">
        <f>+N16+O16+P16+Q16</f>
        <v>80826.677856785405</v>
      </c>
      <c r="S16" s="26">
        <v>8050.3194700000013</v>
      </c>
      <c r="T16" s="26"/>
      <c r="U16" s="26"/>
      <c r="V16" s="26">
        <f>+R16+S16+T16+U16</f>
        <v>88876.997326785407</v>
      </c>
      <c r="W16" s="26">
        <v>8318.6634523333341</v>
      </c>
      <c r="X16" s="35"/>
      <c r="Y16" s="26"/>
      <c r="Z16" s="26">
        <f>+V16+W16+X16+Y16</f>
        <v>97195.660779118742</v>
      </c>
      <c r="AA16" s="26"/>
      <c r="AB16" s="35">
        <v>-96868.44</v>
      </c>
      <c r="AC16" s="26">
        <v>-327.22000000000003</v>
      </c>
      <c r="AD16" s="26">
        <f>+Z16+AA16+AB16+AC16</f>
        <v>7.7911873927405395E-4</v>
      </c>
      <c r="AE16" s="26"/>
      <c r="AF16" s="26"/>
      <c r="AG16" s="26"/>
      <c r="AH16" s="26">
        <f>+AD16+AE16+AF16+AG16</f>
        <v>7.7911873927405395E-4</v>
      </c>
      <c r="AI16" s="26"/>
      <c r="AJ16" s="26"/>
      <c r="AK16" s="26"/>
      <c r="AL16" s="26"/>
      <c r="AM16" s="26"/>
      <c r="AN16" s="26"/>
      <c r="AO16" s="26"/>
      <c r="AP16" s="26"/>
      <c r="AQ16" s="25" t="s">
        <v>96</v>
      </c>
    </row>
    <row r="17" spans="1:43" s="1" customFormat="1" x14ac:dyDescent="0.3">
      <c r="A17" s="37"/>
      <c r="B17" s="25" t="s">
        <v>127</v>
      </c>
      <c r="C17" s="25" t="s">
        <v>460</v>
      </c>
      <c r="D17" s="26" t="s">
        <v>459</v>
      </c>
      <c r="E17" s="26"/>
      <c r="F17" s="47">
        <v>43633</v>
      </c>
      <c r="G17" s="47">
        <v>43999</v>
      </c>
      <c r="H17" s="26"/>
      <c r="I17" s="26">
        <v>5.9</v>
      </c>
      <c r="J17" s="26">
        <v>14907.153729071537</v>
      </c>
      <c r="K17" s="26">
        <v>1966.6666666666667</v>
      </c>
      <c r="L17" s="26"/>
      <c r="M17" s="26"/>
      <c r="N17" s="26">
        <f>+J17+K17+L17+M17</f>
        <v>16873.820395738203</v>
      </c>
      <c r="O17" s="26">
        <v>1966.6666666666667</v>
      </c>
      <c r="P17" s="26"/>
      <c r="Q17" s="26"/>
      <c r="R17" s="26">
        <f>+N17+O17+P17+Q17</f>
        <v>18840.487062404871</v>
      </c>
      <c r="S17" s="26">
        <v>1966.6666666666667</v>
      </c>
      <c r="T17" s="26"/>
      <c r="U17" s="26"/>
      <c r="V17" s="26">
        <f>+R17+S17+T17+U17</f>
        <v>20807.153729071539</v>
      </c>
      <c r="W17" s="26">
        <v>2032.2222222222222</v>
      </c>
      <c r="X17" s="35"/>
      <c r="Y17" s="26"/>
      <c r="Z17" s="26">
        <f>+V17+W17+X17+Y17</f>
        <v>22839.375951293761</v>
      </c>
      <c r="AA17" s="26"/>
      <c r="AB17" s="35">
        <v>-23664.639999999999</v>
      </c>
      <c r="AC17" s="26">
        <v>825.26</v>
      </c>
      <c r="AD17" s="26">
        <f>+Z17+AA17+AB17+AC17</f>
        <v>-4.0487062381089345E-3</v>
      </c>
      <c r="AE17" s="26"/>
      <c r="AF17" s="26"/>
      <c r="AG17" s="26"/>
      <c r="AH17" s="26">
        <f>+AD17+AE17+AF17+AG17</f>
        <v>-4.0487062381089345E-3</v>
      </c>
      <c r="AI17" s="26"/>
      <c r="AJ17" s="26"/>
      <c r="AK17" s="26"/>
      <c r="AL17" s="26"/>
      <c r="AM17" s="26"/>
      <c r="AN17" s="26"/>
      <c r="AO17" s="26"/>
      <c r="AP17" s="26"/>
      <c r="AQ17" s="25" t="s">
        <v>96</v>
      </c>
    </row>
    <row r="18" spans="1:43" s="1" customFormat="1" x14ac:dyDescent="0.3">
      <c r="A18" s="37"/>
      <c r="B18" s="25" t="s">
        <v>127</v>
      </c>
      <c r="C18" s="25" t="s">
        <v>458</v>
      </c>
      <c r="D18" s="26" t="s">
        <v>457</v>
      </c>
      <c r="E18" s="26"/>
      <c r="F18" s="47">
        <v>43633</v>
      </c>
      <c r="G18" s="47">
        <v>43999</v>
      </c>
      <c r="H18" s="26"/>
      <c r="I18" s="26">
        <v>5.9</v>
      </c>
      <c r="J18" s="26">
        <v>5217.5038051750371</v>
      </c>
      <c r="K18" s="26">
        <v>688.33333333333326</v>
      </c>
      <c r="L18" s="26"/>
      <c r="M18" s="26"/>
      <c r="N18" s="26">
        <f>+J18+K18+L18+M18</f>
        <v>5905.8371385083701</v>
      </c>
      <c r="O18" s="26">
        <v>688.33333333333326</v>
      </c>
      <c r="P18" s="26"/>
      <c r="Q18" s="26"/>
      <c r="R18" s="26">
        <f>+N18+O18+P18+Q18</f>
        <v>6594.1704718417031</v>
      </c>
      <c r="S18" s="26">
        <v>688.33333333333326</v>
      </c>
      <c r="T18" s="26"/>
      <c r="U18" s="26"/>
      <c r="V18" s="26">
        <f>+R18+S18+T18+U18</f>
        <v>7282.5038051750362</v>
      </c>
      <c r="W18" s="26">
        <v>711.27777777777771</v>
      </c>
      <c r="X18" s="35"/>
      <c r="Y18" s="26"/>
      <c r="Z18" s="26">
        <f>+V18+W18+X18+Y18</f>
        <v>7993.7815829528136</v>
      </c>
      <c r="AA18" s="26"/>
      <c r="AB18" s="35">
        <v>-8282.6200000000008</v>
      </c>
      <c r="AC18" s="26">
        <v>288.83999999999997</v>
      </c>
      <c r="AD18" s="26">
        <f>+Z18+AA18+AB18+AC18</f>
        <v>1.5829528127255799E-3</v>
      </c>
      <c r="AE18" s="26"/>
      <c r="AF18" s="26"/>
      <c r="AG18" s="26"/>
      <c r="AH18" s="26">
        <f>+AD18+AE18+AF18+AG18</f>
        <v>1.5829528127255799E-3</v>
      </c>
      <c r="AI18" s="26"/>
      <c r="AJ18" s="26"/>
      <c r="AK18" s="26"/>
      <c r="AL18" s="26"/>
      <c r="AM18" s="26"/>
      <c r="AN18" s="26"/>
      <c r="AO18" s="26"/>
      <c r="AP18" s="26"/>
      <c r="AQ18" s="25" t="s">
        <v>96</v>
      </c>
    </row>
    <row r="19" spans="1:43" s="1" customFormat="1" x14ac:dyDescent="0.3">
      <c r="A19" s="37"/>
      <c r="B19" s="25" t="s">
        <v>22</v>
      </c>
      <c r="C19" s="25" t="s">
        <v>456</v>
      </c>
      <c r="D19" s="26" t="s">
        <v>455</v>
      </c>
      <c r="E19" s="26"/>
      <c r="F19" s="47">
        <v>43617</v>
      </c>
      <c r="G19" s="47">
        <v>43983</v>
      </c>
      <c r="H19" s="26"/>
      <c r="I19" s="26">
        <v>6.6</v>
      </c>
      <c r="J19" s="26">
        <v>49040.913242009126</v>
      </c>
      <c r="K19" s="26">
        <v>6050</v>
      </c>
      <c r="L19" s="26"/>
      <c r="M19" s="26"/>
      <c r="N19" s="26">
        <f>+J19+K19+L19+M19</f>
        <v>55090.913242009126</v>
      </c>
      <c r="O19" s="26">
        <v>6050</v>
      </c>
      <c r="P19" s="26"/>
      <c r="Q19" s="26"/>
      <c r="R19" s="26">
        <f>+N19+O19+P19+Q19</f>
        <v>61140.913242009126</v>
      </c>
      <c r="S19" s="26">
        <v>6050</v>
      </c>
      <c r="T19" s="26"/>
      <c r="U19" s="26"/>
      <c r="V19" s="26">
        <f>+R19+S19+T19+U19</f>
        <v>67190.913242009119</v>
      </c>
      <c r="W19" s="26">
        <v>6251.6666666666661</v>
      </c>
      <c r="X19" s="35"/>
      <c r="Y19" s="26"/>
      <c r="Z19" s="26">
        <f>+V19+W19+X19+Y19</f>
        <v>73442.579908675791</v>
      </c>
      <c r="AA19" s="26"/>
      <c r="AB19" s="35">
        <v>-72798.2</v>
      </c>
      <c r="AC19" s="26">
        <v>-644.38</v>
      </c>
      <c r="AD19" s="26">
        <f>+Z19+AA19+AB19+AC19</f>
        <v>-9.132420643709338E-5</v>
      </c>
      <c r="AE19" s="26"/>
      <c r="AF19" s="26"/>
      <c r="AG19" s="26"/>
      <c r="AH19" s="26">
        <f>+AD19+AE19+AF19+AG19</f>
        <v>-9.132420643709338E-5</v>
      </c>
      <c r="AI19" s="26"/>
      <c r="AJ19" s="26"/>
      <c r="AK19" s="26"/>
      <c r="AL19" s="26"/>
      <c r="AM19" s="26"/>
      <c r="AN19" s="26"/>
      <c r="AO19" s="26"/>
      <c r="AP19" s="26"/>
      <c r="AQ19" s="25" t="s">
        <v>96</v>
      </c>
    </row>
    <row r="20" spans="1:43" s="1" customFormat="1" x14ac:dyDescent="0.3">
      <c r="A20" s="37"/>
      <c r="B20" s="25" t="s">
        <v>138</v>
      </c>
      <c r="C20" s="25" t="s">
        <v>454</v>
      </c>
      <c r="D20" s="26" t="s">
        <v>453</v>
      </c>
      <c r="E20" s="26"/>
      <c r="F20" s="47">
        <v>43623</v>
      </c>
      <c r="G20" s="47">
        <v>43989</v>
      </c>
      <c r="H20" s="26"/>
      <c r="I20" s="26">
        <v>6.49</v>
      </c>
      <c r="J20" s="26">
        <v>12831.826484018267</v>
      </c>
      <c r="K20" s="26">
        <v>1622.5</v>
      </c>
      <c r="L20" s="26"/>
      <c r="M20" s="26"/>
      <c r="N20" s="26">
        <f>+J20+K20+L20+M20</f>
        <v>14454.326484018267</v>
      </c>
      <c r="O20" s="26">
        <v>1622.5</v>
      </c>
      <c r="P20" s="26"/>
      <c r="Q20" s="26"/>
      <c r="R20" s="26">
        <f>+N20+O20+P20+Q20</f>
        <v>16076.826484018267</v>
      </c>
      <c r="S20" s="26">
        <v>1622.5</v>
      </c>
      <c r="T20" s="26"/>
      <c r="U20" s="26"/>
      <c r="V20" s="26">
        <f>+R20+S20+T20+U20</f>
        <v>17699.326484018267</v>
      </c>
      <c r="W20" s="26">
        <v>1676.5833333333335</v>
      </c>
      <c r="X20" s="35"/>
      <c r="Y20" s="26"/>
      <c r="Z20" s="26">
        <f>+V20+W20+X20+Y20</f>
        <v>19375.909817351599</v>
      </c>
      <c r="AA20" s="26"/>
      <c r="AB20" s="35">
        <f>-19252.59-52.77</f>
        <v>-19305.36</v>
      </c>
      <c r="AC20" s="26">
        <v>-70.55</v>
      </c>
      <c r="AD20" s="26">
        <f>+Z20+AA20+AB20+AC20</f>
        <v>-1.826484010933882E-4</v>
      </c>
      <c r="AE20" s="26"/>
      <c r="AF20" s="26"/>
      <c r="AG20" s="26"/>
      <c r="AH20" s="26">
        <f>+AD20+AE20+AF20+AG20</f>
        <v>-1.826484010933882E-4</v>
      </c>
      <c r="AI20" s="26"/>
      <c r="AJ20" s="26"/>
      <c r="AK20" s="26"/>
      <c r="AL20" s="26"/>
      <c r="AM20" s="26"/>
      <c r="AN20" s="26"/>
      <c r="AO20" s="26"/>
      <c r="AP20" s="26"/>
      <c r="AQ20" s="25" t="s">
        <v>96</v>
      </c>
    </row>
    <row r="21" spans="1:43" s="1" customFormat="1" x14ac:dyDescent="0.3">
      <c r="A21" s="37" t="s">
        <v>452</v>
      </c>
      <c r="B21" s="25" t="s">
        <v>103</v>
      </c>
      <c r="C21" s="25" t="s">
        <v>451</v>
      </c>
      <c r="D21" s="26" t="s">
        <v>450</v>
      </c>
      <c r="E21" s="26">
        <v>537381.17000000004</v>
      </c>
      <c r="F21" s="47">
        <v>43659</v>
      </c>
      <c r="G21" s="47">
        <v>44025</v>
      </c>
      <c r="H21" s="26"/>
      <c r="I21" s="26">
        <v>5.9</v>
      </c>
      <c r="J21" s="26">
        <v>17768.586089567732</v>
      </c>
      <c r="K21" s="26">
        <v>2642.1240858333335</v>
      </c>
      <c r="L21" s="26"/>
      <c r="M21" s="26"/>
      <c r="N21" s="26">
        <v>20410.710175401065</v>
      </c>
      <c r="O21" s="26">
        <v>2642.1240858333335</v>
      </c>
      <c r="P21" s="26"/>
      <c r="Q21" s="26"/>
      <c r="R21" s="26">
        <v>23052.834261234399</v>
      </c>
      <c r="S21" s="26">
        <v>2642.1240858333335</v>
      </c>
      <c r="T21" s="26"/>
      <c r="U21" s="26"/>
      <c r="V21" s="26">
        <v>25694.958347067732</v>
      </c>
      <c r="W21" s="26">
        <v>2730.1948886944447</v>
      </c>
      <c r="X21" s="35"/>
      <c r="Y21" s="26"/>
      <c r="Z21" s="26">
        <v>28425.153235762176</v>
      </c>
      <c r="AA21" s="26">
        <v>2605.9306052054799</v>
      </c>
      <c r="AB21" s="35"/>
      <c r="AC21" s="26"/>
      <c r="AD21" s="26">
        <v>31031.083840967658</v>
      </c>
      <c r="AE21" s="26">
        <v>260.59306052054797</v>
      </c>
      <c r="AF21" s="26">
        <v>-31413.02</v>
      </c>
      <c r="AG21" s="26">
        <v>121.34</v>
      </c>
      <c r="AH21" s="26">
        <v>-3.0985117956845443E-3</v>
      </c>
      <c r="AI21" s="26"/>
      <c r="AJ21" s="26"/>
      <c r="AK21" s="26"/>
      <c r="AL21" s="26"/>
      <c r="AM21" s="26"/>
      <c r="AN21" s="26"/>
      <c r="AO21" s="26"/>
      <c r="AP21" s="26"/>
      <c r="AQ21" s="25" t="s">
        <v>218</v>
      </c>
    </row>
    <row r="22" spans="1:43" s="1" customFormat="1" x14ac:dyDescent="0.3">
      <c r="A22" s="37" t="s">
        <v>429</v>
      </c>
      <c r="B22" s="25" t="s">
        <v>85</v>
      </c>
      <c r="C22" s="25" t="s">
        <v>449</v>
      </c>
      <c r="D22" s="26" t="s">
        <v>448</v>
      </c>
      <c r="E22" s="26">
        <v>75139</v>
      </c>
      <c r="F22" s="47">
        <v>43670</v>
      </c>
      <c r="G22" s="47">
        <v>44036</v>
      </c>
      <c r="H22" s="26"/>
      <c r="I22" s="26">
        <f>VLOOKUP(C22,[2]Hoja2!D:F,3,FALSE)</f>
        <v>7.4</v>
      </c>
      <c r="J22" s="26">
        <v>2948.5595774733642</v>
      </c>
      <c r="K22" s="26">
        <v>463.35716666666673</v>
      </c>
      <c r="L22" s="26"/>
      <c r="M22" s="26"/>
      <c r="N22" s="26">
        <v>3411.9167441400309</v>
      </c>
      <c r="O22" s="26">
        <v>463.35716666666673</v>
      </c>
      <c r="P22" s="26"/>
      <c r="Q22" s="26"/>
      <c r="R22" s="26">
        <v>3875.2739108066976</v>
      </c>
      <c r="S22" s="26">
        <v>463.35716666666673</v>
      </c>
      <c r="T22" s="26"/>
      <c r="U22" s="26"/>
      <c r="V22" s="26">
        <v>4338.6310774733647</v>
      </c>
      <c r="W22" s="26">
        <v>478.80240555555565</v>
      </c>
      <c r="X22" s="35"/>
      <c r="Y22" s="26"/>
      <c r="Z22" s="26">
        <v>4817.4334830289208</v>
      </c>
      <c r="AA22" s="26">
        <v>457.00980821917813</v>
      </c>
      <c r="AB22" s="35"/>
      <c r="AC22" s="26"/>
      <c r="AD22" s="26">
        <v>5274.4432912480988</v>
      </c>
      <c r="AE22" s="26">
        <v>365.60784657534253</v>
      </c>
      <c r="AF22" s="26">
        <v>-5560.29</v>
      </c>
      <c r="AG22" s="26">
        <v>-79.760000000000005</v>
      </c>
      <c r="AH22" s="26">
        <v>1.1378234414536337E-3</v>
      </c>
      <c r="AI22" s="26"/>
      <c r="AJ22" s="26"/>
      <c r="AK22" s="26"/>
      <c r="AL22" s="26"/>
      <c r="AM22" s="26"/>
      <c r="AN22" s="26"/>
      <c r="AO22" s="26"/>
      <c r="AP22" s="26"/>
      <c r="AQ22" s="25" t="s">
        <v>218</v>
      </c>
    </row>
    <row r="23" spans="1:43" s="1" customFormat="1" x14ac:dyDescent="0.3">
      <c r="A23" s="37" t="s">
        <v>429</v>
      </c>
      <c r="B23" s="25" t="s">
        <v>85</v>
      </c>
      <c r="C23" s="25" t="s">
        <v>447</v>
      </c>
      <c r="D23" s="26" t="s">
        <v>446</v>
      </c>
      <c r="E23" s="26">
        <v>220000</v>
      </c>
      <c r="F23" s="47">
        <v>43670</v>
      </c>
      <c r="G23" s="47">
        <v>44036</v>
      </c>
      <c r="H23" s="26"/>
      <c r="I23" s="26">
        <f>VLOOKUP(C23,[2]Hoja2!D:F,3,FALSE)</f>
        <v>7.4</v>
      </c>
      <c r="J23" s="26">
        <v>8633.1080669710827</v>
      </c>
      <c r="K23" s="26">
        <v>1356.666666666667</v>
      </c>
      <c r="L23" s="26"/>
      <c r="M23" s="26"/>
      <c r="N23" s="26">
        <v>9989.7747336377506</v>
      </c>
      <c r="O23" s="26">
        <v>1356.666666666667</v>
      </c>
      <c r="P23" s="26"/>
      <c r="Q23" s="26"/>
      <c r="R23" s="26">
        <v>11346.441400304418</v>
      </c>
      <c r="S23" s="26">
        <v>1356.666666666667</v>
      </c>
      <c r="T23" s="26"/>
      <c r="U23" s="26"/>
      <c r="V23" s="26">
        <v>12703.108066971086</v>
      </c>
      <c r="W23" s="26">
        <v>1401.8888888888891</v>
      </c>
      <c r="X23" s="35"/>
      <c r="Y23" s="26"/>
      <c r="Z23" s="26">
        <v>14104.996955859975</v>
      </c>
      <c r="AA23" s="26">
        <v>1338.0821917808221</v>
      </c>
      <c r="AB23" s="35"/>
      <c r="AC23" s="26"/>
      <c r="AD23" s="26">
        <v>15443.079147640798</v>
      </c>
      <c r="AE23" s="26">
        <v>1070.4657534246576</v>
      </c>
      <c r="AF23" s="26">
        <v>-16280</v>
      </c>
      <c r="AG23" s="26">
        <v>-233.54</v>
      </c>
      <c r="AH23" s="26">
        <v>4.9010654556411737E-3</v>
      </c>
      <c r="AI23" s="26"/>
      <c r="AJ23" s="26"/>
      <c r="AK23" s="26"/>
      <c r="AL23" s="26"/>
      <c r="AM23" s="26"/>
      <c r="AN23" s="26"/>
      <c r="AO23" s="26"/>
      <c r="AP23" s="26"/>
      <c r="AQ23" s="25" t="s">
        <v>218</v>
      </c>
    </row>
    <row r="24" spans="1:43" s="1" customFormat="1" x14ac:dyDescent="0.3">
      <c r="A24" s="37"/>
      <c r="B24" s="25" t="s">
        <v>25</v>
      </c>
      <c r="C24" s="25" t="s">
        <v>445</v>
      </c>
      <c r="D24" s="26" t="s">
        <v>444</v>
      </c>
      <c r="E24" s="6">
        <v>85425</v>
      </c>
      <c r="F24" s="47">
        <v>43962</v>
      </c>
      <c r="G24" s="47">
        <v>44013</v>
      </c>
      <c r="H24" s="26"/>
      <c r="I24" s="26">
        <v>4.4000000000000004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>
        <v>208.81666666666666</v>
      </c>
      <c r="X24" s="35"/>
      <c r="Y24" s="26"/>
      <c r="Z24" s="26">
        <v>208.81666666666666</v>
      </c>
      <c r="AA24" s="26">
        <v>308.93424657534251</v>
      </c>
      <c r="AB24" s="35"/>
      <c r="AC24" s="26"/>
      <c r="AD24" s="26">
        <v>517.75091324200912</v>
      </c>
      <c r="AE24" s="26">
        <v>10.297808219178084</v>
      </c>
      <c r="AF24" s="26">
        <v>-432.51</v>
      </c>
      <c r="AG24" s="26">
        <v>-95.54</v>
      </c>
      <c r="AH24" s="26">
        <v>-1.2785388127412034E-3</v>
      </c>
      <c r="AI24" s="26"/>
      <c r="AJ24" s="26"/>
      <c r="AK24" s="26"/>
      <c r="AL24" s="26"/>
      <c r="AM24" s="26"/>
      <c r="AN24" s="26"/>
      <c r="AO24" s="26"/>
      <c r="AP24" s="26"/>
      <c r="AQ24" s="25" t="s">
        <v>218</v>
      </c>
    </row>
    <row r="25" spans="1:43" s="1" customFormat="1" x14ac:dyDescent="0.3">
      <c r="A25" s="37" t="s">
        <v>443</v>
      </c>
      <c r="B25" s="25" t="s">
        <v>82</v>
      </c>
      <c r="C25" s="25" t="s">
        <v>442</v>
      </c>
      <c r="D25" s="26" t="s">
        <v>441</v>
      </c>
      <c r="E25" s="26">
        <v>53900</v>
      </c>
      <c r="F25" s="47">
        <v>43677</v>
      </c>
      <c r="G25" s="47">
        <v>44038</v>
      </c>
      <c r="H25" s="26"/>
      <c r="I25" s="26">
        <v>6.15</v>
      </c>
      <c r="J25" s="26">
        <v>1739.6655707762559</v>
      </c>
      <c r="K25" s="26">
        <v>276.23750000000001</v>
      </c>
      <c r="L25" s="26"/>
      <c r="M25" s="26"/>
      <c r="N25" s="26">
        <v>2015.9030707762558</v>
      </c>
      <c r="O25" s="26">
        <v>276.23750000000001</v>
      </c>
      <c r="P25" s="26"/>
      <c r="Q25" s="26"/>
      <c r="R25" s="26">
        <v>2292.140570776256</v>
      </c>
      <c r="S25" s="26">
        <v>276.23750000000001</v>
      </c>
      <c r="T25" s="26"/>
      <c r="U25" s="26"/>
      <c r="V25" s="26">
        <v>2568.3780707762562</v>
      </c>
      <c r="W25" s="26">
        <v>285.44541666666669</v>
      </c>
      <c r="X25" s="35"/>
      <c r="Y25" s="26"/>
      <c r="Z25" s="26">
        <v>2853.8234874429227</v>
      </c>
      <c r="AA25" s="26">
        <v>272.45342465753424</v>
      </c>
      <c r="AB25" s="35"/>
      <c r="AC25" s="26"/>
      <c r="AD25" s="26">
        <v>3126.2769121004567</v>
      </c>
      <c r="AE25" s="26">
        <v>236.12630136986303</v>
      </c>
      <c r="AF25" s="26">
        <v>-3314.85</v>
      </c>
      <c r="AG25" s="26">
        <v>-47.55</v>
      </c>
      <c r="AH25" s="26">
        <v>3.2134703198636316E-3</v>
      </c>
      <c r="AI25" s="26"/>
      <c r="AJ25" s="26"/>
      <c r="AK25" s="26"/>
      <c r="AL25" s="26"/>
      <c r="AM25" s="26"/>
      <c r="AN25" s="26"/>
      <c r="AO25" s="26"/>
      <c r="AP25" s="26"/>
      <c r="AQ25" s="25" t="s">
        <v>218</v>
      </c>
    </row>
    <row r="26" spans="1:43" s="1" customFormat="1" x14ac:dyDescent="0.3">
      <c r="A26" s="37" t="s">
        <v>440</v>
      </c>
      <c r="B26" s="25" t="s">
        <v>7</v>
      </c>
      <c r="C26" s="25" t="s">
        <v>439</v>
      </c>
      <c r="D26" s="26" t="s">
        <v>438</v>
      </c>
      <c r="E26" s="26">
        <v>500000</v>
      </c>
      <c r="F26" s="47">
        <v>43671</v>
      </c>
      <c r="G26" s="47">
        <v>44037</v>
      </c>
      <c r="H26" s="26"/>
      <c r="I26" s="26">
        <f>VLOOKUP(C26,[2]Hoja2!D:F,3,FALSE)</f>
        <v>6.9</v>
      </c>
      <c r="J26" s="26">
        <v>18200.456621004563</v>
      </c>
      <c r="K26" s="26">
        <v>2875</v>
      </c>
      <c r="L26" s="26"/>
      <c r="M26" s="26"/>
      <c r="N26" s="26">
        <v>21075.456621004563</v>
      </c>
      <c r="O26" s="26">
        <v>2875</v>
      </c>
      <c r="P26" s="26"/>
      <c r="Q26" s="26"/>
      <c r="R26" s="26">
        <v>23950.456621004563</v>
      </c>
      <c r="S26" s="26">
        <v>2875</v>
      </c>
      <c r="T26" s="26"/>
      <c r="U26" s="26"/>
      <c r="V26" s="26">
        <v>26825.456621004563</v>
      </c>
      <c r="W26" s="26">
        <v>2970.833333333333</v>
      </c>
      <c r="X26" s="35"/>
      <c r="Y26" s="26"/>
      <c r="Z26" s="26">
        <v>29796.289954337895</v>
      </c>
      <c r="AA26" s="26">
        <v>2835.6164383561645</v>
      </c>
      <c r="AB26" s="35"/>
      <c r="AC26" s="26"/>
      <c r="AD26" s="26">
        <v>32631.906392694058</v>
      </c>
      <c r="AE26" s="26">
        <v>2363.0136986301368</v>
      </c>
      <c r="AF26" s="26">
        <v>-34500</v>
      </c>
      <c r="AG26" s="26">
        <v>-494.92</v>
      </c>
      <c r="AH26" s="26">
        <v>9.1324194784192514E-5</v>
      </c>
      <c r="AI26" s="26"/>
      <c r="AJ26" s="26"/>
      <c r="AK26" s="26"/>
      <c r="AL26" s="26"/>
      <c r="AM26" s="26"/>
      <c r="AN26" s="26"/>
      <c r="AO26" s="26"/>
      <c r="AP26" s="26"/>
      <c r="AQ26" s="25" t="s">
        <v>218</v>
      </c>
    </row>
    <row r="27" spans="1:43" s="1" customFormat="1" x14ac:dyDescent="0.3">
      <c r="A27" s="37" t="s">
        <v>437</v>
      </c>
      <c r="B27" s="25" t="s">
        <v>106</v>
      </c>
      <c r="C27" s="25" t="s">
        <v>436</v>
      </c>
      <c r="D27" s="26" t="s">
        <v>435</v>
      </c>
      <c r="E27" s="26">
        <v>537381.16</v>
      </c>
      <c r="F27" s="47">
        <v>43659</v>
      </c>
      <c r="G27" s="47">
        <v>44025</v>
      </c>
      <c r="H27" s="26"/>
      <c r="I27" s="26">
        <f>VLOOKUP(C27,[2]Hoja2!D:F,3,FALSE)</f>
        <v>5.9</v>
      </c>
      <c r="J27" s="26">
        <v>17768.585758916288</v>
      </c>
      <c r="K27" s="26">
        <v>2642.1240366666671</v>
      </c>
      <c r="L27" s="26"/>
      <c r="M27" s="26"/>
      <c r="N27" s="26">
        <v>20410.709795582956</v>
      </c>
      <c r="O27" s="26">
        <v>2642.1240366666671</v>
      </c>
      <c r="P27" s="26"/>
      <c r="Q27" s="26"/>
      <c r="R27" s="26">
        <v>23052.833832249624</v>
      </c>
      <c r="S27" s="26">
        <v>2642.1240366666671</v>
      </c>
      <c r="T27" s="26"/>
      <c r="U27" s="26"/>
      <c r="V27" s="26">
        <v>25694.957868916292</v>
      </c>
      <c r="W27" s="26">
        <v>2730.1948378888892</v>
      </c>
      <c r="X27" s="35"/>
      <c r="Y27" s="26"/>
      <c r="Z27" s="26">
        <v>28425.15270680518</v>
      </c>
      <c r="AA27" s="26">
        <v>2605.9305567123292</v>
      </c>
      <c r="AB27" s="35"/>
      <c r="AC27" s="26"/>
      <c r="AD27" s="26">
        <v>31031.08326351751</v>
      </c>
      <c r="AE27" s="26">
        <v>1129.2365745753427</v>
      </c>
      <c r="AF27" s="26">
        <v>-31413.02</v>
      </c>
      <c r="AG27" s="26">
        <v>-747.3</v>
      </c>
      <c r="AH27" s="26">
        <v>-1.6190714882213797E-4</v>
      </c>
      <c r="AI27" s="26"/>
      <c r="AJ27" s="26"/>
      <c r="AK27" s="26"/>
      <c r="AL27" s="26"/>
      <c r="AM27" s="26"/>
      <c r="AN27" s="26"/>
      <c r="AO27" s="26"/>
      <c r="AP27" s="26"/>
      <c r="AQ27" s="25" t="s">
        <v>218</v>
      </c>
    </row>
    <row r="28" spans="1:43" s="1" customFormat="1" x14ac:dyDescent="0.3">
      <c r="A28" s="37" t="s">
        <v>419</v>
      </c>
      <c r="B28" s="25" t="s">
        <v>40</v>
      </c>
      <c r="C28" s="25" t="s">
        <v>434</v>
      </c>
      <c r="D28" s="26" t="s">
        <v>433</v>
      </c>
      <c r="E28" s="26">
        <v>1100000</v>
      </c>
      <c r="F28" s="47">
        <v>43658</v>
      </c>
      <c r="G28" s="47">
        <v>44024</v>
      </c>
      <c r="H28" s="26"/>
      <c r="I28" s="26">
        <f>VLOOKUP(C28,[2]Hoja2!D:F,3,FALSE)</f>
        <v>6.4</v>
      </c>
      <c r="J28" s="26">
        <v>39646.879756468792</v>
      </c>
      <c r="K28" s="26">
        <v>5866.6666666666661</v>
      </c>
      <c r="L28" s="26"/>
      <c r="M28" s="26"/>
      <c r="N28" s="26">
        <v>45513.546423135456</v>
      </c>
      <c r="O28" s="26">
        <v>5866.6666666666661</v>
      </c>
      <c r="P28" s="26"/>
      <c r="Q28" s="26"/>
      <c r="R28" s="26">
        <v>51380.213089802121</v>
      </c>
      <c r="S28" s="26">
        <v>5866.6666666666661</v>
      </c>
      <c r="T28" s="26"/>
      <c r="U28" s="26"/>
      <c r="V28" s="26">
        <v>57246.879756468785</v>
      </c>
      <c r="W28" s="26">
        <v>6062.2222222222217</v>
      </c>
      <c r="X28" s="35"/>
      <c r="Y28" s="26"/>
      <c r="Z28" s="26">
        <v>63309.101978691004</v>
      </c>
      <c r="AA28" s="26">
        <v>5786.3013698630139</v>
      </c>
      <c r="AB28" s="35"/>
      <c r="AC28" s="26"/>
      <c r="AD28" s="26">
        <v>69095.403348554013</v>
      </c>
      <c r="AE28" s="26">
        <v>2314.5205479452056</v>
      </c>
      <c r="AF28" s="26">
        <v>-70400</v>
      </c>
      <c r="AG28" s="26">
        <v>-1009.92</v>
      </c>
      <c r="AH28" s="26">
        <v>3.8964992255614561E-3</v>
      </c>
      <c r="AI28" s="26"/>
      <c r="AJ28" s="26"/>
      <c r="AK28" s="26"/>
      <c r="AL28" s="26"/>
      <c r="AM28" s="26"/>
      <c r="AN28" s="26"/>
      <c r="AO28" s="26"/>
      <c r="AP28" s="26"/>
      <c r="AQ28" s="25" t="s">
        <v>218</v>
      </c>
    </row>
    <row r="29" spans="1:43" s="1" customFormat="1" x14ac:dyDescent="0.3">
      <c r="A29" s="37" t="s">
        <v>432</v>
      </c>
      <c r="B29" s="25" t="s">
        <v>25</v>
      </c>
      <c r="C29" s="25" t="s">
        <v>431</v>
      </c>
      <c r="D29" s="25" t="s">
        <v>430</v>
      </c>
      <c r="E29" s="42">
        <v>100000</v>
      </c>
      <c r="F29" s="25" t="s">
        <v>426</v>
      </c>
      <c r="G29" s="25" t="s">
        <v>425</v>
      </c>
      <c r="H29" s="26"/>
      <c r="I29" s="26">
        <v>4.4000000000000004</v>
      </c>
      <c r="J29" s="26">
        <v>2248.8888888888887</v>
      </c>
      <c r="K29" s="26">
        <v>366.66666666666663</v>
      </c>
      <c r="L29" s="26"/>
      <c r="M29" s="26"/>
      <c r="N29" s="26">
        <v>2615.5555555555552</v>
      </c>
      <c r="O29" s="26">
        <v>366.66666666666663</v>
      </c>
      <c r="P29" s="26"/>
      <c r="Q29" s="26"/>
      <c r="R29" s="26">
        <v>2982.2222222222217</v>
      </c>
      <c r="S29" s="26">
        <v>366.66666666666663</v>
      </c>
      <c r="T29" s="26"/>
      <c r="U29" s="26"/>
      <c r="V29" s="26">
        <v>3348.8888888888882</v>
      </c>
      <c r="W29" s="26">
        <v>378.88888888888886</v>
      </c>
      <c r="X29" s="35"/>
      <c r="Y29" s="26"/>
      <c r="Z29" s="26">
        <v>3727.7777777777769</v>
      </c>
      <c r="AA29" s="26">
        <v>361.64383561643837</v>
      </c>
      <c r="AB29" s="35"/>
      <c r="AC29" s="26"/>
      <c r="AD29" s="26">
        <v>4089.4216133942155</v>
      </c>
      <c r="AE29" s="26">
        <v>373.69863013698631</v>
      </c>
      <c r="AF29" s="26"/>
      <c r="AG29" s="26"/>
      <c r="AH29" s="26">
        <v>4463.1202435312016</v>
      </c>
      <c r="AI29" s="26">
        <v>12.054794520547945</v>
      </c>
      <c r="AJ29" s="26">
        <v>-4412.05</v>
      </c>
      <c r="AK29" s="26">
        <v>-63.13</v>
      </c>
      <c r="AL29" s="26">
        <v>-4.9619482505320889E-3</v>
      </c>
      <c r="AM29" s="26"/>
      <c r="AN29" s="26"/>
      <c r="AO29" s="26"/>
      <c r="AP29" s="26">
        <f>+AL29+AM29+AN29+AO29</f>
        <v>-4.9619482505320889E-3</v>
      </c>
      <c r="AQ29" s="25" t="s">
        <v>218</v>
      </c>
    </row>
    <row r="30" spans="1:43" s="1" customFormat="1" x14ac:dyDescent="0.3">
      <c r="A30" s="37" t="s">
        <v>429</v>
      </c>
      <c r="B30" s="25" t="s">
        <v>71</v>
      </c>
      <c r="C30" s="25" t="s">
        <v>428</v>
      </c>
      <c r="D30" s="25" t="s">
        <v>427</v>
      </c>
      <c r="E30" s="42">
        <v>100000</v>
      </c>
      <c r="F30" s="25" t="s">
        <v>426</v>
      </c>
      <c r="G30" s="25" t="s">
        <v>425</v>
      </c>
      <c r="H30" s="26"/>
      <c r="I30" s="26">
        <v>7.4</v>
      </c>
      <c r="J30" s="26">
        <v>3782.2222222222226</v>
      </c>
      <c r="K30" s="26">
        <v>616.66666666666674</v>
      </c>
      <c r="L30" s="26"/>
      <c r="M30" s="26"/>
      <c r="N30" s="26">
        <v>4398.8888888888896</v>
      </c>
      <c r="O30" s="26">
        <v>616.66666666666674</v>
      </c>
      <c r="P30" s="26"/>
      <c r="Q30" s="26"/>
      <c r="R30" s="26">
        <v>5015.5555555555566</v>
      </c>
      <c r="S30" s="26">
        <v>616.66666666666674</v>
      </c>
      <c r="T30" s="26"/>
      <c r="U30" s="26"/>
      <c r="V30" s="26">
        <v>5632.2222222222235</v>
      </c>
      <c r="W30" s="26">
        <v>637.22222222222229</v>
      </c>
      <c r="X30" s="35"/>
      <c r="Y30" s="26"/>
      <c r="Z30" s="26">
        <v>6269.4444444444462</v>
      </c>
      <c r="AA30" s="26">
        <v>608.21917808219189</v>
      </c>
      <c r="AB30" s="35"/>
      <c r="AC30" s="26"/>
      <c r="AD30" s="26">
        <v>6877.6636225266384</v>
      </c>
      <c r="AE30" s="26">
        <v>628.49315068493161</v>
      </c>
      <c r="AF30" s="26"/>
      <c r="AG30" s="26"/>
      <c r="AH30" s="26">
        <v>7506.15677321157</v>
      </c>
      <c r="AI30" s="26">
        <v>20.273972602739729</v>
      </c>
      <c r="AJ30" s="26">
        <v>-7921.64</v>
      </c>
      <c r="AK30" s="26">
        <v>395.21</v>
      </c>
      <c r="AL30" s="26">
        <v>7.4581430902753709E-4</v>
      </c>
      <c r="AM30" s="26"/>
      <c r="AN30" s="26"/>
      <c r="AO30" s="26"/>
      <c r="AP30" s="26">
        <f>+AL30+AM30+AN30+AO30</f>
        <v>7.4581430902753709E-4</v>
      </c>
      <c r="AQ30" s="25" t="s">
        <v>218</v>
      </c>
    </row>
    <row r="31" spans="1:43" s="1" customFormat="1" x14ac:dyDescent="0.3">
      <c r="A31" s="37" t="s">
        <v>424</v>
      </c>
      <c r="B31" s="25" t="s">
        <v>64</v>
      </c>
      <c r="C31" s="25" t="s">
        <v>423</v>
      </c>
      <c r="D31" s="25" t="s">
        <v>422</v>
      </c>
      <c r="E31" s="42">
        <v>250000</v>
      </c>
      <c r="F31" s="25" t="s">
        <v>421</v>
      </c>
      <c r="G31" s="25" t="s">
        <v>420</v>
      </c>
      <c r="H31" s="26"/>
      <c r="I31" s="26">
        <v>4.9000000000000004</v>
      </c>
      <c r="J31" s="26">
        <v>6261.1111111111113</v>
      </c>
      <c r="K31" s="26">
        <v>1020.8333333333334</v>
      </c>
      <c r="L31" s="26"/>
      <c r="M31" s="26"/>
      <c r="N31" s="26">
        <v>7281.9444444444443</v>
      </c>
      <c r="O31" s="26">
        <v>1020.8333333333334</v>
      </c>
      <c r="P31" s="26"/>
      <c r="Q31" s="26"/>
      <c r="R31" s="26">
        <v>8302.7777777777774</v>
      </c>
      <c r="S31" s="26">
        <v>1020.8333333333334</v>
      </c>
      <c r="T31" s="26"/>
      <c r="U31" s="26"/>
      <c r="V31" s="26">
        <v>9323.6111111111113</v>
      </c>
      <c r="W31" s="26">
        <v>1054.8611111111111</v>
      </c>
      <c r="X31" s="35"/>
      <c r="Y31" s="26"/>
      <c r="Z31" s="26">
        <v>10378.472222222223</v>
      </c>
      <c r="AA31" s="26">
        <v>1006.8493150684931</v>
      </c>
      <c r="AB31" s="35"/>
      <c r="AC31" s="26"/>
      <c r="AD31" s="26">
        <v>11385.321537290716</v>
      </c>
      <c r="AE31" s="26">
        <v>1040.4109589041095</v>
      </c>
      <c r="AF31" s="26"/>
      <c r="AG31" s="26"/>
      <c r="AH31" s="26">
        <v>12425.732496194825</v>
      </c>
      <c r="AI31" s="26">
        <v>839.04109589041093</v>
      </c>
      <c r="AJ31" s="26">
        <v>-12283.55</v>
      </c>
      <c r="AK31" s="26">
        <v>-981.22</v>
      </c>
      <c r="AL31" s="26">
        <v>3.5920852362778533E-3</v>
      </c>
      <c r="AM31" s="26"/>
      <c r="AN31" s="26"/>
      <c r="AO31" s="26"/>
      <c r="AP31" s="26">
        <f>+AL31+AM31+AN31+AO31</f>
        <v>3.5920852362778533E-3</v>
      </c>
      <c r="AQ31" s="25" t="s">
        <v>218</v>
      </c>
    </row>
    <row r="32" spans="1:43" s="1" customFormat="1" x14ac:dyDescent="0.3">
      <c r="A32" s="37" t="s">
        <v>419</v>
      </c>
      <c r="B32" s="25" t="s">
        <v>40</v>
      </c>
      <c r="C32" s="25" t="s">
        <v>418</v>
      </c>
      <c r="D32" s="25" t="s">
        <v>417</v>
      </c>
      <c r="E32" s="42">
        <v>2170000</v>
      </c>
      <c r="F32" s="25" t="s">
        <v>416</v>
      </c>
      <c r="G32" s="25" t="s">
        <v>415</v>
      </c>
      <c r="H32" s="26"/>
      <c r="I32" s="26">
        <v>6.4</v>
      </c>
      <c r="J32" s="26">
        <v>70983.111111111109</v>
      </c>
      <c r="K32" s="26">
        <v>11573.333333333334</v>
      </c>
      <c r="L32" s="26"/>
      <c r="M32" s="26"/>
      <c r="N32" s="26">
        <v>82556.444444444438</v>
      </c>
      <c r="O32" s="26">
        <v>11573.333333333334</v>
      </c>
      <c r="P32" s="26"/>
      <c r="Q32" s="26"/>
      <c r="R32" s="26">
        <v>94129.777777777766</v>
      </c>
      <c r="S32" s="26">
        <v>11573.333333333334</v>
      </c>
      <c r="T32" s="26"/>
      <c r="U32" s="26"/>
      <c r="V32" s="26">
        <v>105703.11111111109</v>
      </c>
      <c r="W32" s="26">
        <v>11959.111111111111</v>
      </c>
      <c r="X32" s="35"/>
      <c r="Y32" s="26"/>
      <c r="Z32" s="26">
        <v>117662.2222222222</v>
      </c>
      <c r="AA32" s="26">
        <v>11414.794520547945</v>
      </c>
      <c r="AB32" s="35"/>
      <c r="AC32" s="26"/>
      <c r="AD32" s="26">
        <v>129077.01674277015</v>
      </c>
      <c r="AE32" s="26">
        <v>11795.287671232876</v>
      </c>
      <c r="AF32" s="26"/>
      <c r="AG32" s="26"/>
      <c r="AH32" s="26">
        <v>140872.30441400304</v>
      </c>
      <c r="AI32" s="26">
        <v>5707.3972602739723</v>
      </c>
      <c r="AJ32" s="26">
        <v>-139260.4</v>
      </c>
      <c r="AK32" s="26">
        <v>-7319.3</v>
      </c>
      <c r="AL32" s="26">
        <v>1.6742770267228479E-3</v>
      </c>
      <c r="AM32" s="26"/>
      <c r="AN32" s="26"/>
      <c r="AO32" s="26"/>
      <c r="AP32" s="26">
        <f>+AL32+AM32+AN32+AO32</f>
        <v>1.6742770267228479E-3</v>
      </c>
      <c r="AQ32" s="25" t="s">
        <v>218</v>
      </c>
    </row>
    <row r="33" spans="1:43" s="1" customFormat="1" x14ac:dyDescent="0.3">
      <c r="A33" s="37" t="s">
        <v>414</v>
      </c>
      <c r="B33" s="25" t="s">
        <v>50</v>
      </c>
      <c r="C33" s="25" t="s">
        <v>413</v>
      </c>
      <c r="D33" s="25" t="s">
        <v>412</v>
      </c>
      <c r="E33" s="42">
        <v>150000</v>
      </c>
      <c r="F33" s="25" t="s">
        <v>411</v>
      </c>
      <c r="G33" s="25" t="s">
        <v>410</v>
      </c>
      <c r="H33" s="26"/>
      <c r="I33" s="26">
        <v>4.9000000000000004</v>
      </c>
      <c r="J33" s="26">
        <v>3756.666666666667</v>
      </c>
      <c r="K33" s="26">
        <v>612.5</v>
      </c>
      <c r="L33" s="26"/>
      <c r="M33" s="26"/>
      <c r="N33" s="26">
        <v>4369.166666666667</v>
      </c>
      <c r="O33" s="26">
        <v>612.5</v>
      </c>
      <c r="P33" s="26"/>
      <c r="Q33" s="26"/>
      <c r="R33" s="26">
        <v>4981.666666666667</v>
      </c>
      <c r="S33" s="26">
        <v>612.5</v>
      </c>
      <c r="T33" s="26"/>
      <c r="U33" s="26"/>
      <c r="V33" s="26">
        <v>5594.166666666667</v>
      </c>
      <c r="W33" s="26">
        <v>632.91666666666674</v>
      </c>
      <c r="X33" s="35"/>
      <c r="Y33" s="26"/>
      <c r="Z33" s="26">
        <v>6227.0833333333339</v>
      </c>
      <c r="AA33" s="26">
        <v>604.10958904109589</v>
      </c>
      <c r="AB33" s="35"/>
      <c r="AC33" s="26"/>
      <c r="AD33" s="26">
        <v>6831.1929223744301</v>
      </c>
      <c r="AE33" s="26">
        <v>624.24657534246569</v>
      </c>
      <c r="AF33" s="26"/>
      <c r="AG33" s="26"/>
      <c r="AH33" s="26">
        <v>7455.4394977168959</v>
      </c>
      <c r="AI33" s="26">
        <v>463.15068493150682</v>
      </c>
      <c r="AJ33" s="26">
        <v>-7350</v>
      </c>
      <c r="AK33" s="26">
        <v>-568.59</v>
      </c>
      <c r="AL33" s="26">
        <v>1.8264840230131085E-4</v>
      </c>
      <c r="AM33" s="26"/>
      <c r="AN33" s="26"/>
      <c r="AO33" s="26"/>
      <c r="AP33" s="26">
        <f>+AL33+AM33+AN33+AO33</f>
        <v>1.8264840230131085E-4</v>
      </c>
      <c r="AQ33" s="25" t="s">
        <v>218</v>
      </c>
    </row>
    <row r="34" spans="1:43" s="1" customFormat="1" x14ac:dyDescent="0.3">
      <c r="A34" s="37">
        <v>5055</v>
      </c>
      <c r="B34" s="25" t="s">
        <v>159</v>
      </c>
      <c r="C34" s="25" t="s">
        <v>409</v>
      </c>
      <c r="D34" s="25" t="s">
        <v>408</v>
      </c>
      <c r="E34" s="42">
        <v>200000</v>
      </c>
      <c r="F34" s="25" t="s">
        <v>404</v>
      </c>
      <c r="G34" s="25" t="s">
        <v>403</v>
      </c>
      <c r="H34" s="26"/>
      <c r="I34" s="26">
        <v>5.65</v>
      </c>
      <c r="J34" s="26">
        <v>5775.5555555555557</v>
      </c>
      <c r="K34" s="26">
        <v>941.66666666666663</v>
      </c>
      <c r="L34" s="26"/>
      <c r="M34" s="26"/>
      <c r="N34" s="26">
        <v>6717.2222222222226</v>
      </c>
      <c r="O34" s="26">
        <v>941.66666666666663</v>
      </c>
      <c r="P34" s="26"/>
      <c r="Q34" s="26"/>
      <c r="R34" s="26">
        <v>7658.8888888888896</v>
      </c>
      <c r="S34" s="26">
        <v>941.66666666666663</v>
      </c>
      <c r="T34" s="26"/>
      <c r="U34" s="26"/>
      <c r="V34" s="26">
        <v>8600.5555555555566</v>
      </c>
      <c r="W34" s="26">
        <v>973.05555555555554</v>
      </c>
      <c r="X34" s="35"/>
      <c r="Y34" s="26"/>
      <c r="Z34" s="26">
        <v>9573.6111111111113</v>
      </c>
      <c r="AA34" s="26">
        <v>928.76712328767121</v>
      </c>
      <c r="AB34" s="35"/>
      <c r="AC34" s="26"/>
      <c r="AD34" s="26">
        <v>10502.378234398782</v>
      </c>
      <c r="AE34" s="26">
        <v>959.72602739726028</v>
      </c>
      <c r="AF34" s="26"/>
      <c r="AG34" s="26"/>
      <c r="AH34" s="26">
        <v>11462.104261796043</v>
      </c>
      <c r="AI34" s="26">
        <v>371.50684931506851</v>
      </c>
      <c r="AJ34" s="26">
        <v>-11330.96</v>
      </c>
      <c r="AK34" s="26">
        <v>-502.65</v>
      </c>
      <c r="AL34" s="26">
        <v>1.1111111122090733E-3</v>
      </c>
      <c r="AM34" s="26"/>
      <c r="AN34" s="26"/>
      <c r="AO34" s="26"/>
      <c r="AP34" s="26">
        <f>+AL34+AM34+AN34+AO34</f>
        <v>1.1111111122090733E-3</v>
      </c>
      <c r="AQ34" s="25" t="s">
        <v>218</v>
      </c>
    </row>
    <row r="35" spans="1:43" s="1" customFormat="1" x14ac:dyDescent="0.3">
      <c r="A35" s="37" t="s">
        <v>407</v>
      </c>
      <c r="B35" s="25" t="s">
        <v>53</v>
      </c>
      <c r="C35" s="25" t="s">
        <v>406</v>
      </c>
      <c r="D35" s="25" t="s">
        <v>405</v>
      </c>
      <c r="E35" s="42">
        <v>200000</v>
      </c>
      <c r="F35" s="25" t="s">
        <v>404</v>
      </c>
      <c r="G35" s="25" t="s">
        <v>403</v>
      </c>
      <c r="H35" s="26"/>
      <c r="I35" s="26">
        <v>5.65</v>
      </c>
      <c r="J35" s="26">
        <v>5775.5555555555557</v>
      </c>
      <c r="K35" s="26">
        <v>941.66666666666663</v>
      </c>
      <c r="L35" s="26"/>
      <c r="M35" s="26"/>
      <c r="N35" s="26">
        <v>6717.2222222222226</v>
      </c>
      <c r="O35" s="26">
        <v>941.66666666666663</v>
      </c>
      <c r="P35" s="26"/>
      <c r="Q35" s="26"/>
      <c r="R35" s="26">
        <v>7658.8888888888896</v>
      </c>
      <c r="S35" s="26">
        <v>941.66666666666663</v>
      </c>
      <c r="T35" s="26"/>
      <c r="U35" s="26"/>
      <c r="V35" s="26">
        <v>8600.5555555555566</v>
      </c>
      <c r="W35" s="26">
        <v>973.05555555555554</v>
      </c>
      <c r="X35" s="35"/>
      <c r="Y35" s="26"/>
      <c r="Z35" s="26">
        <v>9573.6111111111113</v>
      </c>
      <c r="AA35" s="26">
        <v>928.76712328767121</v>
      </c>
      <c r="AB35" s="35"/>
      <c r="AC35" s="26"/>
      <c r="AD35" s="26">
        <v>10502.378234398782</v>
      </c>
      <c r="AE35" s="26">
        <v>959.72602739726028</v>
      </c>
      <c r="AF35" s="26"/>
      <c r="AG35" s="26"/>
      <c r="AH35" s="26">
        <v>11462.104261796043</v>
      </c>
      <c r="AI35" s="26">
        <v>371.50684931506851</v>
      </c>
      <c r="AJ35" s="26">
        <v>-11330.96</v>
      </c>
      <c r="AK35" s="26">
        <v>-502.65</v>
      </c>
      <c r="AL35" s="26">
        <v>1.1111111122090733E-3</v>
      </c>
      <c r="AM35" s="26"/>
      <c r="AN35" s="26"/>
      <c r="AO35" s="26"/>
      <c r="AP35" s="26">
        <f>+AL35+AM35+AN35+AO35</f>
        <v>1.1111111122090733E-3</v>
      </c>
      <c r="AQ35" s="25" t="s">
        <v>218</v>
      </c>
    </row>
    <row r="36" spans="1:43" s="1" customFormat="1" x14ac:dyDescent="0.3">
      <c r="A36" s="34">
        <v>5031</v>
      </c>
      <c r="B36" s="33" t="s">
        <v>7</v>
      </c>
      <c r="C36" s="33" t="s">
        <v>402</v>
      </c>
      <c r="D36" s="33" t="s">
        <v>401</v>
      </c>
      <c r="E36" s="32">
        <v>300000</v>
      </c>
      <c r="F36" s="31">
        <v>43703</v>
      </c>
      <c r="G36" s="31">
        <v>44069</v>
      </c>
      <c r="H36" s="26"/>
      <c r="I36" s="26">
        <v>6.9</v>
      </c>
      <c r="J36" s="26">
        <v>9027.5</v>
      </c>
      <c r="K36" s="26">
        <v>1725</v>
      </c>
      <c r="L36" s="26"/>
      <c r="M36" s="26"/>
      <c r="N36" s="26">
        <v>10752.5</v>
      </c>
      <c r="O36" s="26">
        <v>1725</v>
      </c>
      <c r="P36" s="26"/>
      <c r="Q36" s="26"/>
      <c r="R36" s="26">
        <v>12477.5</v>
      </c>
      <c r="S36" s="26">
        <v>1725</v>
      </c>
      <c r="T36" s="26"/>
      <c r="U36" s="26"/>
      <c r="V36" s="26">
        <v>14202.5</v>
      </c>
      <c r="W36" s="26">
        <v>1782.5</v>
      </c>
      <c r="X36" s="35"/>
      <c r="Y36" s="26"/>
      <c r="Z36" s="26">
        <v>15985</v>
      </c>
      <c r="AA36" s="26">
        <v>1701.3698630136987</v>
      </c>
      <c r="AB36" s="35"/>
      <c r="AC36" s="26"/>
      <c r="AD36" s="26">
        <v>17686.369863013701</v>
      </c>
      <c r="AE36" s="26">
        <v>1758.0821917808219</v>
      </c>
      <c r="AF36" s="26"/>
      <c r="AG36" s="26"/>
      <c r="AH36" s="26">
        <v>19444.452054794521</v>
      </c>
      <c r="AI36" s="26">
        <v>1474.5205479452054</v>
      </c>
      <c r="AJ36" s="26">
        <v>-20756.7</v>
      </c>
      <c r="AK36" s="26">
        <v>-162.27000000000001</v>
      </c>
      <c r="AL36" s="26">
        <v>2.6027397256882523E-3</v>
      </c>
      <c r="AM36" s="26"/>
      <c r="AN36" s="26"/>
      <c r="AO36" s="26"/>
      <c r="AP36" s="26">
        <f>+AL36+AM36+AN36+AO36</f>
        <v>2.6027397256882523E-3</v>
      </c>
      <c r="AQ36" s="25" t="s">
        <v>218</v>
      </c>
    </row>
    <row r="37" spans="1:43" s="1" customFormat="1" x14ac:dyDescent="0.3">
      <c r="A37" s="34">
        <v>5040</v>
      </c>
      <c r="B37" s="33" t="s">
        <v>59</v>
      </c>
      <c r="C37" s="33" t="s">
        <v>400</v>
      </c>
      <c r="D37" s="33" t="s">
        <v>399</v>
      </c>
      <c r="E37" s="32">
        <v>385377.78</v>
      </c>
      <c r="F37" s="31">
        <v>43943</v>
      </c>
      <c r="G37" s="31">
        <v>44070</v>
      </c>
      <c r="H37" s="26"/>
      <c r="I37" s="26">
        <v>6.4</v>
      </c>
      <c r="J37" s="26"/>
      <c r="K37" s="26"/>
      <c r="L37" s="26"/>
      <c r="M37" s="26"/>
      <c r="N37" s="26"/>
      <c r="O37" s="26"/>
      <c r="P37" s="26"/>
      <c r="Q37" s="26"/>
      <c r="R37" s="27"/>
      <c r="S37" s="27">
        <v>548.09284266666668</v>
      </c>
      <c r="T37" s="42"/>
      <c r="U37" s="26"/>
      <c r="V37" s="26">
        <v>548.09284266666668</v>
      </c>
      <c r="W37" s="26">
        <v>2123.8597653333336</v>
      </c>
      <c r="X37" s="35"/>
      <c r="Y37" s="26"/>
      <c r="Z37" s="26">
        <v>2671.9526080000005</v>
      </c>
      <c r="AA37" s="26">
        <v>2027.1927057534247</v>
      </c>
      <c r="AB37" s="35"/>
      <c r="AC37" s="26"/>
      <c r="AD37" s="26">
        <v>4699.1453137534254</v>
      </c>
      <c r="AE37" s="26">
        <v>2094.7657959452054</v>
      </c>
      <c r="AF37" s="26"/>
      <c r="AG37" s="26"/>
      <c r="AH37" s="26">
        <v>6793.9111096986308</v>
      </c>
      <c r="AI37" s="26">
        <v>1824.4734351780821</v>
      </c>
      <c r="AJ37" s="26">
        <v>-8581.7800000000007</v>
      </c>
      <c r="AK37" s="26">
        <v>-36.6</v>
      </c>
      <c r="AL37" s="26">
        <v>4.5448767126785583E-3</v>
      </c>
      <c r="AM37" s="26"/>
      <c r="AN37" s="26"/>
      <c r="AO37" s="26"/>
      <c r="AP37" s="26">
        <f>+AL37+AM37+AN37+AO37</f>
        <v>4.5448767126785583E-3</v>
      </c>
      <c r="AQ37" s="25" t="s">
        <v>218</v>
      </c>
    </row>
    <row r="38" spans="1:43" s="1" customFormat="1" x14ac:dyDescent="0.3">
      <c r="A38" s="34">
        <v>5063</v>
      </c>
      <c r="B38" s="33" t="s">
        <v>25</v>
      </c>
      <c r="C38" s="33" t="s">
        <v>398</v>
      </c>
      <c r="D38" s="33" t="s">
        <v>397</v>
      </c>
      <c r="E38" s="32">
        <v>173000</v>
      </c>
      <c r="F38" s="31">
        <v>43709</v>
      </c>
      <c r="G38" s="31">
        <v>44075</v>
      </c>
      <c r="H38" s="26"/>
      <c r="I38" s="26">
        <v>4.4000000000000004</v>
      </c>
      <c r="J38" s="26">
        <v>3213.9555555555562</v>
      </c>
      <c r="K38" s="26">
        <v>634.33333333333337</v>
      </c>
      <c r="L38" s="26"/>
      <c r="M38" s="26"/>
      <c r="N38" s="26">
        <v>3848.2888888888897</v>
      </c>
      <c r="O38" s="26">
        <v>634.33333333333337</v>
      </c>
      <c r="P38" s="26"/>
      <c r="Q38" s="26"/>
      <c r="R38" s="26">
        <v>4482.6222222222232</v>
      </c>
      <c r="S38" s="26">
        <v>634.33333333333337</v>
      </c>
      <c r="T38" s="26"/>
      <c r="U38" s="26"/>
      <c r="V38" s="26">
        <v>5116.9555555555562</v>
      </c>
      <c r="W38" s="26">
        <v>655.47777777777787</v>
      </c>
      <c r="X38" s="35"/>
      <c r="Y38" s="26"/>
      <c r="Z38" s="26">
        <v>5772.4333333333343</v>
      </c>
      <c r="AA38" s="26">
        <v>625.64383561643842</v>
      </c>
      <c r="AB38" s="35"/>
      <c r="AC38" s="26"/>
      <c r="AD38" s="26">
        <v>6398.0771689497724</v>
      </c>
      <c r="AE38" s="26">
        <v>646.49863013698643</v>
      </c>
      <c r="AF38" s="26"/>
      <c r="AG38" s="26"/>
      <c r="AH38" s="26">
        <v>7044.5757990867587</v>
      </c>
      <c r="AI38" s="26">
        <v>646.49863013698643</v>
      </c>
      <c r="AJ38" s="26"/>
      <c r="AK38" s="26"/>
      <c r="AL38" s="26">
        <v>7691.074429223745</v>
      </c>
      <c r="AM38" s="26">
        <v>20.854794520547948</v>
      </c>
      <c r="AN38" s="26">
        <v>-7632.85</v>
      </c>
      <c r="AO38" s="26">
        <v>-79.079223744292904</v>
      </c>
      <c r="AP38" s="26">
        <f>+AL38+AM38+AN38+AO38</f>
        <v>0</v>
      </c>
      <c r="AQ38" s="25" t="s">
        <v>218</v>
      </c>
    </row>
    <row r="39" spans="1:43" s="1" customFormat="1" x14ac:dyDescent="0.3">
      <c r="A39" s="34">
        <v>5050</v>
      </c>
      <c r="B39" s="33" t="s">
        <v>31</v>
      </c>
      <c r="C39" s="33" t="s">
        <v>396</v>
      </c>
      <c r="D39" s="33" t="s">
        <v>395</v>
      </c>
      <c r="E39" s="32">
        <v>220000</v>
      </c>
      <c r="F39" s="31">
        <v>43711</v>
      </c>
      <c r="G39" s="31">
        <v>44077</v>
      </c>
      <c r="H39" s="26"/>
      <c r="I39" s="26">
        <v>5.9</v>
      </c>
      <c r="J39" s="26">
        <v>5408.3333333333339</v>
      </c>
      <c r="K39" s="26">
        <v>1081.6666666666667</v>
      </c>
      <c r="L39" s="26"/>
      <c r="M39" s="26"/>
      <c r="N39" s="26">
        <v>6490.0000000000009</v>
      </c>
      <c r="O39" s="26">
        <v>1081.6666666666667</v>
      </c>
      <c r="P39" s="26"/>
      <c r="Q39" s="26"/>
      <c r="R39" s="26">
        <v>7571.6666666666679</v>
      </c>
      <c r="S39" s="26">
        <v>1081.6666666666667</v>
      </c>
      <c r="T39" s="26"/>
      <c r="U39" s="26"/>
      <c r="V39" s="26">
        <v>8653.3333333333339</v>
      </c>
      <c r="W39" s="26">
        <v>1117.7222222222222</v>
      </c>
      <c r="X39" s="35"/>
      <c r="Y39" s="26"/>
      <c r="Z39" s="26">
        <v>9771.0555555555566</v>
      </c>
      <c r="AA39" s="26">
        <v>1066.8493150684931</v>
      </c>
      <c r="AB39" s="35"/>
      <c r="AC39" s="26"/>
      <c r="AD39" s="26">
        <v>10837.90487062405</v>
      </c>
      <c r="AE39" s="26">
        <v>1102.4109589041095</v>
      </c>
      <c r="AF39" s="26"/>
      <c r="AG39" s="26"/>
      <c r="AH39" s="26">
        <v>11940.315829528159</v>
      </c>
      <c r="AI39" s="26">
        <v>1102.4109589041095</v>
      </c>
      <c r="AJ39" s="26"/>
      <c r="AK39" s="26"/>
      <c r="AL39" s="26">
        <v>13042.726788432268</v>
      </c>
      <c r="AM39" s="26">
        <v>106.68493150684931</v>
      </c>
      <c r="AN39" s="26">
        <v>-13015.55</v>
      </c>
      <c r="AO39" s="26">
        <v>-133.86171993911699</v>
      </c>
      <c r="AP39" s="26">
        <f>+AL39+AM39+AN39+AO39</f>
        <v>3.979039320256561E-13</v>
      </c>
      <c r="AQ39" s="25" t="s">
        <v>218</v>
      </c>
    </row>
    <row r="40" spans="1:43" s="1" customFormat="1" x14ac:dyDescent="0.3">
      <c r="A40" s="34">
        <v>5050</v>
      </c>
      <c r="B40" s="33" t="s">
        <v>34</v>
      </c>
      <c r="C40" s="33" t="s">
        <v>394</v>
      </c>
      <c r="D40" s="33" t="s">
        <v>393</v>
      </c>
      <c r="E40" s="32">
        <v>300000</v>
      </c>
      <c r="F40" s="31">
        <v>43711</v>
      </c>
      <c r="G40" s="31">
        <v>44077</v>
      </c>
      <c r="H40" s="26"/>
      <c r="I40" s="26">
        <v>5.9</v>
      </c>
      <c r="J40" s="26">
        <v>7374.9999999999982</v>
      </c>
      <c r="K40" s="26">
        <v>1475</v>
      </c>
      <c r="L40" s="26"/>
      <c r="M40" s="26"/>
      <c r="N40" s="26">
        <v>8849.9999999999982</v>
      </c>
      <c r="O40" s="26">
        <v>1475</v>
      </c>
      <c r="P40" s="26"/>
      <c r="Q40" s="26"/>
      <c r="R40" s="26">
        <v>10324.999999999998</v>
      </c>
      <c r="S40" s="26">
        <v>1475</v>
      </c>
      <c r="T40" s="26"/>
      <c r="U40" s="26"/>
      <c r="V40" s="26">
        <v>11799.999999999998</v>
      </c>
      <c r="W40" s="26">
        <v>1524.1666666666665</v>
      </c>
      <c r="X40" s="35"/>
      <c r="Y40" s="26"/>
      <c r="Z40" s="26">
        <v>13324.166666666664</v>
      </c>
      <c r="AA40" s="26">
        <v>1454.7945205479452</v>
      </c>
      <c r="AB40" s="35"/>
      <c r="AC40" s="26"/>
      <c r="AD40" s="26">
        <v>14778.961187214609</v>
      </c>
      <c r="AE40" s="26">
        <v>1503.2876712328766</v>
      </c>
      <c r="AF40" s="26"/>
      <c r="AG40" s="26"/>
      <c r="AH40" s="26">
        <v>16282.248858447485</v>
      </c>
      <c r="AI40" s="26">
        <v>1503.2876712328766</v>
      </c>
      <c r="AJ40" s="26"/>
      <c r="AK40" s="26"/>
      <c r="AL40" s="26">
        <v>17785.536529680361</v>
      </c>
      <c r="AM40" s="26">
        <v>145.47945205479454</v>
      </c>
      <c r="AN40" s="26">
        <v>-17748.48</v>
      </c>
      <c r="AO40" s="26">
        <v>-182.53598173515601</v>
      </c>
      <c r="AP40" s="26">
        <f>+AL40+AM40+AN40+AO40</f>
        <v>3.694822225952521E-13</v>
      </c>
      <c r="AQ40" s="25" t="s">
        <v>218</v>
      </c>
    </row>
    <row r="41" spans="1:43" s="1" customFormat="1" x14ac:dyDescent="0.3">
      <c r="A41" s="34">
        <v>5062</v>
      </c>
      <c r="B41" s="33" t="s">
        <v>390</v>
      </c>
      <c r="C41" s="33" t="s">
        <v>392</v>
      </c>
      <c r="D41" s="33" t="s">
        <v>391</v>
      </c>
      <c r="E41" s="32">
        <v>100000</v>
      </c>
      <c r="F41" s="31">
        <v>43709</v>
      </c>
      <c r="G41" s="31">
        <v>44075</v>
      </c>
      <c r="H41" s="26"/>
      <c r="I41" s="26">
        <v>5.9</v>
      </c>
      <c r="J41" s="26">
        <v>2491.1111111111113</v>
      </c>
      <c r="K41" s="26">
        <v>491.66666666666669</v>
      </c>
      <c r="L41" s="26"/>
      <c r="M41" s="26"/>
      <c r="N41" s="26">
        <v>2982.7777777777778</v>
      </c>
      <c r="O41" s="26">
        <v>491.66666666666669</v>
      </c>
      <c r="P41" s="26"/>
      <c r="Q41" s="26"/>
      <c r="R41" s="26">
        <v>3474.4444444444443</v>
      </c>
      <c r="S41" s="26">
        <v>491.66666666666669</v>
      </c>
      <c r="T41" s="26"/>
      <c r="U41" s="26"/>
      <c r="V41" s="26">
        <v>3966.1111111111109</v>
      </c>
      <c r="W41" s="26">
        <v>508.05555555555554</v>
      </c>
      <c r="X41" s="35"/>
      <c r="Y41" s="26"/>
      <c r="Z41" s="26">
        <v>4474.1666666666661</v>
      </c>
      <c r="AA41" s="26">
        <v>484.93150684931504</v>
      </c>
      <c r="AB41" s="35"/>
      <c r="AC41" s="26"/>
      <c r="AD41" s="26">
        <v>4959.0981735159812</v>
      </c>
      <c r="AE41" s="26">
        <v>501.09589041095887</v>
      </c>
      <c r="AF41" s="26"/>
      <c r="AG41" s="26"/>
      <c r="AH41" s="26">
        <v>5460.1940639269396</v>
      </c>
      <c r="AI41" s="26">
        <v>501.09589041095887</v>
      </c>
      <c r="AJ41" s="26"/>
      <c r="AK41" s="26"/>
      <c r="AL41" s="26">
        <v>5961.289954337899</v>
      </c>
      <c r="AM41" s="26">
        <v>16.164383561643834</v>
      </c>
      <c r="AN41" s="26">
        <v>-5916.16</v>
      </c>
      <c r="AO41" s="26">
        <v>-61.29</v>
      </c>
      <c r="AP41" s="26">
        <f>+AL41+AM41+AN41+AO41</f>
        <v>4.3378995432803436E-3</v>
      </c>
      <c r="AQ41" s="25" t="s">
        <v>218</v>
      </c>
    </row>
    <row r="42" spans="1:43" s="1" customFormat="1" x14ac:dyDescent="0.3">
      <c r="A42" s="34">
        <v>5062</v>
      </c>
      <c r="B42" s="33" t="s">
        <v>390</v>
      </c>
      <c r="C42" s="33" t="s">
        <v>389</v>
      </c>
      <c r="D42" s="33" t="s">
        <v>388</v>
      </c>
      <c r="E42" s="32">
        <v>950000</v>
      </c>
      <c r="F42" s="31">
        <v>43709</v>
      </c>
      <c r="G42" s="31">
        <v>44075</v>
      </c>
      <c r="H42" s="26"/>
      <c r="I42" s="26">
        <v>5.9</v>
      </c>
      <c r="J42" s="26">
        <v>23665.555555555558</v>
      </c>
      <c r="K42" s="26">
        <v>4670.8333333333339</v>
      </c>
      <c r="L42" s="26"/>
      <c r="M42" s="26"/>
      <c r="N42" s="26">
        <v>28336.388888888891</v>
      </c>
      <c r="O42" s="26">
        <v>4670.8333333333339</v>
      </c>
      <c r="P42" s="26"/>
      <c r="Q42" s="26"/>
      <c r="R42" s="26">
        <v>33007.222222222226</v>
      </c>
      <c r="S42" s="26">
        <v>4670.8333333333339</v>
      </c>
      <c r="T42" s="26"/>
      <c r="U42" s="26"/>
      <c r="V42" s="26">
        <v>37678.055555555562</v>
      </c>
      <c r="W42" s="26">
        <v>4826.5277777777783</v>
      </c>
      <c r="X42" s="35"/>
      <c r="Y42" s="26"/>
      <c r="Z42" s="26">
        <v>42504.583333333343</v>
      </c>
      <c r="AA42" s="26">
        <v>4606.8493150684935</v>
      </c>
      <c r="AB42" s="35"/>
      <c r="AC42" s="26"/>
      <c r="AD42" s="26">
        <v>47111.432648401838</v>
      </c>
      <c r="AE42" s="26">
        <v>4760.41095890411</v>
      </c>
      <c r="AF42" s="26"/>
      <c r="AG42" s="26"/>
      <c r="AH42" s="26">
        <v>51871.843607305949</v>
      </c>
      <c r="AI42" s="26">
        <v>4760.41095890411</v>
      </c>
      <c r="AJ42" s="26"/>
      <c r="AK42" s="26"/>
      <c r="AL42" s="26">
        <v>56632.25456621006</v>
      </c>
      <c r="AM42" s="26">
        <v>153.56164383561645</v>
      </c>
      <c r="AN42" s="26">
        <v>-56203.519999999997</v>
      </c>
      <c r="AO42" s="26">
        <v>-582.29999999999995</v>
      </c>
      <c r="AP42" s="26">
        <f>+AL42+AM42+AN42+AO42</f>
        <v>-3.789954321064215E-3</v>
      </c>
      <c r="AQ42" s="25" t="s">
        <v>218</v>
      </c>
    </row>
    <row r="43" spans="1:43" s="1" customFormat="1" x14ac:dyDescent="0.3">
      <c r="A43" s="34">
        <v>5056</v>
      </c>
      <c r="B43" s="33" t="s">
        <v>47</v>
      </c>
      <c r="C43" s="33" t="s">
        <v>387</v>
      </c>
      <c r="D43" s="33" t="s">
        <v>386</v>
      </c>
      <c r="E43" s="32">
        <v>160000</v>
      </c>
      <c r="F43" s="31">
        <v>43709</v>
      </c>
      <c r="G43" s="31">
        <v>44075</v>
      </c>
      <c r="H43" s="26"/>
      <c r="I43" s="26">
        <v>6.4</v>
      </c>
      <c r="J43" s="26">
        <v>4323.5555555555557</v>
      </c>
      <c r="K43" s="26">
        <v>853.33333333333326</v>
      </c>
      <c r="L43" s="26"/>
      <c r="M43" s="26"/>
      <c r="N43" s="26">
        <v>5176.8888888888887</v>
      </c>
      <c r="O43" s="26">
        <v>853.33333333333326</v>
      </c>
      <c r="P43" s="26"/>
      <c r="Q43" s="26"/>
      <c r="R43" s="26">
        <v>6030.2222222222217</v>
      </c>
      <c r="S43" s="26">
        <v>853.33333333333326</v>
      </c>
      <c r="T43" s="26"/>
      <c r="U43" s="26"/>
      <c r="V43" s="26">
        <v>6883.5555555555547</v>
      </c>
      <c r="W43" s="26">
        <v>881.77777777777771</v>
      </c>
      <c r="X43" s="35"/>
      <c r="Y43" s="26"/>
      <c r="Z43" s="26">
        <v>7765.3333333333321</v>
      </c>
      <c r="AA43" s="26">
        <v>841.64383561643831</v>
      </c>
      <c r="AB43" s="35"/>
      <c r="AC43" s="26"/>
      <c r="AD43" s="26">
        <v>8606.9771689497702</v>
      </c>
      <c r="AE43" s="26">
        <v>869.69863013698625</v>
      </c>
      <c r="AF43" s="26"/>
      <c r="AG43" s="26"/>
      <c r="AH43" s="26">
        <v>9476.6757990867573</v>
      </c>
      <c r="AI43" s="26">
        <v>869.69863013698625</v>
      </c>
      <c r="AJ43" s="26"/>
      <c r="AK43" s="26"/>
      <c r="AL43" s="26">
        <v>10346.374429223744</v>
      </c>
      <c r="AM43" s="26">
        <v>28.054794520547944</v>
      </c>
      <c r="AN43" s="26">
        <v>-10268.049999999999</v>
      </c>
      <c r="AO43" s="26">
        <v>-106.38</v>
      </c>
      <c r="AP43" s="26">
        <f>+AL43+AM43+AN43+AO43</f>
        <v>-7.7625570781947317E-4</v>
      </c>
      <c r="AQ43" s="25" t="s">
        <v>218</v>
      </c>
    </row>
    <row r="44" spans="1:43" s="1" customFormat="1" x14ac:dyDescent="0.3">
      <c r="A44" s="34">
        <v>5063</v>
      </c>
      <c r="B44" s="33" t="s">
        <v>77</v>
      </c>
      <c r="C44" s="33" t="s">
        <v>385</v>
      </c>
      <c r="D44" s="33" t="s">
        <v>384</v>
      </c>
      <c r="E44" s="32"/>
      <c r="F44" s="31">
        <v>43668</v>
      </c>
      <c r="G44" s="31">
        <v>44081</v>
      </c>
      <c r="H44" s="26"/>
      <c r="I44" s="26">
        <v>5.4</v>
      </c>
      <c r="J44" s="26">
        <v>6912.0000000000009</v>
      </c>
      <c r="K44" s="26">
        <v>1080.0000000000002</v>
      </c>
      <c r="L44" s="26"/>
      <c r="M44" s="26"/>
      <c r="N44" s="26">
        <v>7992.0000000000009</v>
      </c>
      <c r="O44" s="26">
        <v>1080.0000000000002</v>
      </c>
      <c r="P44" s="26"/>
      <c r="Q44" s="26"/>
      <c r="R44" s="26">
        <v>9072.0000000000018</v>
      </c>
      <c r="S44" s="26">
        <v>1080.0000000000002</v>
      </c>
      <c r="T44" s="26"/>
      <c r="U44" s="26"/>
      <c r="V44" s="26">
        <v>10152.000000000002</v>
      </c>
      <c r="W44" s="26">
        <v>1116.0000000000002</v>
      </c>
      <c r="X44" s="35"/>
      <c r="Y44" s="26"/>
      <c r="Z44" s="26">
        <v>11268.000000000002</v>
      </c>
      <c r="AA44" s="26">
        <v>1065.205479452055</v>
      </c>
      <c r="AB44" s="35"/>
      <c r="AC44" s="26"/>
      <c r="AD44" s="26">
        <v>12333.205479452057</v>
      </c>
      <c r="AE44" s="26">
        <v>1100.7123287671236</v>
      </c>
      <c r="AF44" s="26">
        <v>-12960</v>
      </c>
      <c r="AG44" s="26">
        <v>-473.92</v>
      </c>
      <c r="AH44" s="26">
        <v>-2.1917808189186871E-3</v>
      </c>
      <c r="AI44" s="26"/>
      <c r="AJ44" s="26"/>
      <c r="AK44" s="26"/>
      <c r="AL44" s="26">
        <v>-2.1917808189186871E-3</v>
      </c>
      <c r="AM44" s="26"/>
      <c r="AN44" s="26"/>
      <c r="AO44" s="26"/>
      <c r="AP44" s="26">
        <f>+AL44+AM44+AN44+AO44</f>
        <v>-2.1917808189186871E-3</v>
      </c>
      <c r="AQ44" s="25" t="s">
        <v>96</v>
      </c>
    </row>
    <row r="45" spans="1:43" s="1" customFormat="1" x14ac:dyDescent="0.3">
      <c r="A45" s="34">
        <v>5057</v>
      </c>
      <c r="B45" s="33" t="s">
        <v>22</v>
      </c>
      <c r="C45" s="33" t="s">
        <v>383</v>
      </c>
      <c r="D45" s="33" t="s">
        <v>382</v>
      </c>
      <c r="E45" s="32">
        <v>600000</v>
      </c>
      <c r="F45" s="31">
        <v>43728</v>
      </c>
      <c r="G45" s="31">
        <v>44094</v>
      </c>
      <c r="H45" s="26"/>
      <c r="I45" s="26">
        <v>6.6</v>
      </c>
      <c r="J45" s="26">
        <v>14630</v>
      </c>
      <c r="K45" s="26">
        <v>3300</v>
      </c>
      <c r="L45" s="26"/>
      <c r="M45" s="26"/>
      <c r="N45" s="26">
        <v>17930</v>
      </c>
      <c r="O45" s="26">
        <v>3300</v>
      </c>
      <c r="P45" s="26"/>
      <c r="Q45" s="26"/>
      <c r="R45" s="26">
        <v>21230</v>
      </c>
      <c r="S45" s="26">
        <v>3300</v>
      </c>
      <c r="T45" s="26"/>
      <c r="U45" s="26"/>
      <c r="V45" s="26">
        <v>24530</v>
      </c>
      <c r="W45" s="26">
        <v>3410</v>
      </c>
      <c r="X45" s="35"/>
      <c r="Y45" s="26"/>
      <c r="Z45" s="26">
        <v>27940</v>
      </c>
      <c r="AA45" s="26">
        <v>3254.794520547945</v>
      </c>
      <c r="AB45" s="35"/>
      <c r="AC45" s="26"/>
      <c r="AD45" s="26">
        <v>31194.794520547945</v>
      </c>
      <c r="AE45" s="26">
        <v>3363.2876712328766</v>
      </c>
      <c r="AF45" s="26"/>
      <c r="AG45" s="26"/>
      <c r="AH45" s="26">
        <v>34558.082191780821</v>
      </c>
      <c r="AI45" s="26">
        <v>3363.2876712328766</v>
      </c>
      <c r="AJ45" s="26"/>
      <c r="AK45" s="26"/>
      <c r="AL45" s="26">
        <v>37921.369863013701</v>
      </c>
      <c r="AM45" s="26">
        <v>2169.8630136986303</v>
      </c>
      <c r="AN45" s="26">
        <v>-39600</v>
      </c>
      <c r="AO45" s="26">
        <v>-491.23</v>
      </c>
      <c r="AP45" s="26">
        <f>+AL45+AM45+AN45+AO45</f>
        <v>2.8767123326360888E-3</v>
      </c>
      <c r="AQ45" s="25" t="s">
        <v>218</v>
      </c>
    </row>
    <row r="46" spans="1:43" s="1" customFormat="1" x14ac:dyDescent="0.3">
      <c r="A46" s="34">
        <v>5060</v>
      </c>
      <c r="B46" s="33" t="s">
        <v>37</v>
      </c>
      <c r="C46" s="33" t="s">
        <v>381</v>
      </c>
      <c r="D46" s="33" t="s">
        <v>380</v>
      </c>
      <c r="E46" s="32">
        <v>650000</v>
      </c>
      <c r="F46" s="31">
        <v>43710</v>
      </c>
      <c r="G46" s="31">
        <v>44076</v>
      </c>
      <c r="H46" s="26"/>
      <c r="I46" s="26">
        <v>2.9</v>
      </c>
      <c r="J46" s="26">
        <v>7906.5277777777774</v>
      </c>
      <c r="K46" s="26">
        <v>1570.8333333333335</v>
      </c>
      <c r="L46" s="26"/>
      <c r="M46" s="26"/>
      <c r="N46" s="26">
        <v>9477.3611111111113</v>
      </c>
      <c r="O46" s="26">
        <v>1570.8333333333335</v>
      </c>
      <c r="P46" s="26"/>
      <c r="Q46" s="26"/>
      <c r="R46" s="26">
        <v>11048.194444444445</v>
      </c>
      <c r="S46" s="26">
        <v>1570.8333333333335</v>
      </c>
      <c r="T46" s="26"/>
      <c r="U46" s="26"/>
      <c r="V46" s="26">
        <v>12619.027777777779</v>
      </c>
      <c r="W46" s="26">
        <v>1623.1944444444446</v>
      </c>
      <c r="X46" s="35"/>
      <c r="Y46" s="26"/>
      <c r="Z46" s="26">
        <v>14242.222222222224</v>
      </c>
      <c r="AA46" s="26">
        <v>1549.3150684931509</v>
      </c>
      <c r="AB46" s="35"/>
      <c r="AC46" s="26"/>
      <c r="AD46" s="26">
        <v>15791.537290715376</v>
      </c>
      <c r="AE46" s="26">
        <v>1600.9589041095892</v>
      </c>
      <c r="AF46" s="26"/>
      <c r="AG46" s="26"/>
      <c r="AH46" s="26">
        <v>17392.496194824966</v>
      </c>
      <c r="AI46" s="26">
        <v>1600.9589041095892</v>
      </c>
      <c r="AJ46" s="26">
        <v>-18540.98</v>
      </c>
      <c r="AK46" s="26">
        <v>-452.48</v>
      </c>
      <c r="AL46" s="26">
        <v>-4.9010654443009116E-3</v>
      </c>
      <c r="AM46" s="26"/>
      <c r="AN46" s="26"/>
      <c r="AO46" s="26"/>
      <c r="AP46" s="26">
        <f>+AL46+AM46+AN46+AO46</f>
        <v>-4.9010654443009116E-3</v>
      </c>
      <c r="AQ46" s="25" t="s">
        <v>96</v>
      </c>
    </row>
    <row r="47" spans="1:43" s="1" customFormat="1" x14ac:dyDescent="0.3">
      <c r="A47" s="34">
        <v>5060</v>
      </c>
      <c r="B47" s="33" t="s">
        <v>19</v>
      </c>
      <c r="C47" s="33" t="s">
        <v>379</v>
      </c>
      <c r="D47" s="33" t="s">
        <v>378</v>
      </c>
      <c r="E47" s="32">
        <v>330000</v>
      </c>
      <c r="F47" s="31">
        <v>43732</v>
      </c>
      <c r="G47" s="31">
        <v>44098</v>
      </c>
      <c r="H47" s="26"/>
      <c r="I47" s="26">
        <v>1.9</v>
      </c>
      <c r="J47" s="26">
        <v>2246.75</v>
      </c>
      <c r="K47" s="26">
        <v>522.5</v>
      </c>
      <c r="L47" s="26"/>
      <c r="M47" s="26"/>
      <c r="N47" s="26">
        <v>2769.25</v>
      </c>
      <c r="O47" s="26">
        <v>522.5</v>
      </c>
      <c r="P47" s="26"/>
      <c r="Q47" s="26"/>
      <c r="R47" s="26">
        <v>3291.75</v>
      </c>
      <c r="S47" s="26">
        <v>522.5</v>
      </c>
      <c r="T47" s="26"/>
      <c r="U47" s="26"/>
      <c r="V47" s="26">
        <v>3814.25</v>
      </c>
      <c r="W47" s="26">
        <v>539.91666666666674</v>
      </c>
      <c r="X47" s="35"/>
      <c r="Y47" s="26"/>
      <c r="Z47" s="26">
        <v>4354.166666666667</v>
      </c>
      <c r="AA47" s="26">
        <v>515.34246575342456</v>
      </c>
      <c r="AB47" s="35"/>
      <c r="AC47" s="26"/>
      <c r="AD47" s="26">
        <v>4869.5091324200912</v>
      </c>
      <c r="AE47" s="26">
        <v>532.52054794520541</v>
      </c>
      <c r="AF47" s="26"/>
      <c r="AG47" s="26"/>
      <c r="AH47" s="26">
        <v>5402.0296803652964</v>
      </c>
      <c r="AI47" s="26">
        <v>532.52054794520541</v>
      </c>
      <c r="AJ47" s="26"/>
      <c r="AK47" s="26"/>
      <c r="AL47" s="26">
        <v>5934.5502283105016</v>
      </c>
      <c r="AM47" s="26">
        <v>412.27397260273972</v>
      </c>
      <c r="AN47" s="26">
        <v>-6270</v>
      </c>
      <c r="AO47" s="26">
        <v>-76.819999999999993</v>
      </c>
      <c r="AP47" s="26">
        <f>+AL47+AM47+AN47+AO47</f>
        <v>4.2009132409361882E-3</v>
      </c>
      <c r="AQ47" s="25" t="s">
        <v>218</v>
      </c>
    </row>
    <row r="48" spans="1:43" s="1" customFormat="1" x14ac:dyDescent="0.3">
      <c r="A48" s="34">
        <v>5063</v>
      </c>
      <c r="B48" s="33" t="s">
        <v>13</v>
      </c>
      <c r="C48" s="33" t="s">
        <v>377</v>
      </c>
      <c r="D48" s="33" t="s">
        <v>376</v>
      </c>
      <c r="E48" s="32">
        <v>50000</v>
      </c>
      <c r="F48" s="31">
        <v>43733</v>
      </c>
      <c r="G48" s="31">
        <v>44099</v>
      </c>
      <c r="H48" s="26"/>
      <c r="I48" s="26">
        <v>4.6500000000000004</v>
      </c>
      <c r="J48" s="26">
        <v>826.66666666666686</v>
      </c>
      <c r="K48" s="26">
        <v>193.75000000000006</v>
      </c>
      <c r="L48" s="26"/>
      <c r="M48" s="26"/>
      <c r="N48" s="26">
        <v>1020.416666666667</v>
      </c>
      <c r="O48" s="26">
        <v>193.75000000000006</v>
      </c>
      <c r="P48" s="26"/>
      <c r="Q48" s="26"/>
      <c r="R48" s="26">
        <v>1214.166666666667</v>
      </c>
      <c r="S48" s="26">
        <v>193.75000000000006</v>
      </c>
      <c r="T48" s="26"/>
      <c r="U48" s="26"/>
      <c r="V48" s="26">
        <v>1407.916666666667</v>
      </c>
      <c r="W48" s="26">
        <v>200.20833333333337</v>
      </c>
      <c r="X48" s="35"/>
      <c r="Y48" s="26"/>
      <c r="Z48" s="26">
        <v>1608.1250000000005</v>
      </c>
      <c r="AA48" s="26">
        <v>191.09589041095893</v>
      </c>
      <c r="AB48" s="35"/>
      <c r="AC48" s="26"/>
      <c r="AD48" s="26">
        <v>1799.2208904109593</v>
      </c>
      <c r="AE48" s="26">
        <v>197.46575342465758</v>
      </c>
      <c r="AF48" s="26"/>
      <c r="AG48" s="26"/>
      <c r="AH48" s="26">
        <v>1996.6866438356169</v>
      </c>
      <c r="AI48" s="26">
        <v>197.46575342465758</v>
      </c>
      <c r="AJ48" s="26"/>
      <c r="AK48" s="26"/>
      <c r="AL48" s="26">
        <v>2194.1523972602745</v>
      </c>
      <c r="AM48" s="26">
        <v>159.24657534246575</v>
      </c>
      <c r="AN48" s="26">
        <v>-2325</v>
      </c>
      <c r="AO48" s="26">
        <v>-28.4</v>
      </c>
      <c r="AP48" s="26">
        <f>+AL48+AM48+AN48+AO48</f>
        <v>-1.0273972597119041E-3</v>
      </c>
      <c r="AQ48" s="25" t="s">
        <v>218</v>
      </c>
    </row>
    <row r="49" spans="1:43" s="1" customFormat="1" x14ac:dyDescent="0.3">
      <c r="A49" s="34">
        <v>5063</v>
      </c>
      <c r="B49" s="33" t="s">
        <v>13</v>
      </c>
      <c r="C49" s="33" t="s">
        <v>375</v>
      </c>
      <c r="D49" s="33" t="s">
        <v>374</v>
      </c>
      <c r="E49" s="32">
        <v>200000</v>
      </c>
      <c r="F49" s="31">
        <v>43735</v>
      </c>
      <c r="G49" s="31">
        <v>44101</v>
      </c>
      <c r="H49" s="26"/>
      <c r="I49" s="26">
        <v>8.9</v>
      </c>
      <c r="J49" s="26">
        <v>6230.0000000000018</v>
      </c>
      <c r="K49" s="26">
        <v>1483.3333333333337</v>
      </c>
      <c r="L49" s="26"/>
      <c r="M49" s="26"/>
      <c r="N49" s="26">
        <v>7713.3333333333358</v>
      </c>
      <c r="O49" s="26">
        <v>1483.3333333333337</v>
      </c>
      <c r="P49" s="26"/>
      <c r="Q49" s="26"/>
      <c r="R49" s="26">
        <v>9196.6666666666697</v>
      </c>
      <c r="S49" s="26">
        <v>1483.3333333333337</v>
      </c>
      <c r="T49" s="26"/>
      <c r="U49" s="26"/>
      <c r="V49" s="26">
        <v>10680.000000000004</v>
      </c>
      <c r="W49" s="26">
        <v>1532.7777777777783</v>
      </c>
      <c r="X49" s="35"/>
      <c r="Y49" s="26"/>
      <c r="Z49" s="26">
        <v>12212.777777777781</v>
      </c>
      <c r="AA49" s="26">
        <v>1463.0136986301372</v>
      </c>
      <c r="AB49" s="35"/>
      <c r="AC49" s="26"/>
      <c r="AD49" s="26">
        <v>13675.791476407918</v>
      </c>
      <c r="AE49" s="26">
        <v>1511.7808219178085</v>
      </c>
      <c r="AF49" s="26"/>
      <c r="AG49" s="26"/>
      <c r="AH49" s="26">
        <v>15187.572298325726</v>
      </c>
      <c r="AI49" s="26">
        <v>1511.7808219178085</v>
      </c>
      <c r="AJ49" s="26"/>
      <c r="AK49" s="26"/>
      <c r="AL49" s="26">
        <v>16699.353120243533</v>
      </c>
      <c r="AM49" s="26">
        <v>1316.7123287671234</v>
      </c>
      <c r="AN49" s="26">
        <v>-17800</v>
      </c>
      <c r="AO49" s="26">
        <v>-216.07</v>
      </c>
      <c r="AP49" s="26">
        <f>+AL49+AM49+AN49+AO49</f>
        <v>-4.5509893428175019E-3</v>
      </c>
      <c r="AQ49" s="25" t="s">
        <v>218</v>
      </c>
    </row>
    <row r="50" spans="1:43" s="1" customFormat="1" x14ac:dyDescent="0.3">
      <c r="A50" s="34">
        <v>5057</v>
      </c>
      <c r="B50" s="33" t="s">
        <v>74</v>
      </c>
      <c r="C50" s="33" t="s">
        <v>373</v>
      </c>
      <c r="D50" s="33" t="s">
        <v>372</v>
      </c>
      <c r="E50" s="32">
        <v>170000</v>
      </c>
      <c r="F50" s="31">
        <v>43739</v>
      </c>
      <c r="G50" s="31">
        <v>44105</v>
      </c>
      <c r="H50" s="26"/>
      <c r="I50" s="26">
        <v>3.4</v>
      </c>
      <c r="J50" s="26">
        <v>1958.7777777777778</v>
      </c>
      <c r="K50" s="26">
        <v>481.66666666666674</v>
      </c>
      <c r="L50" s="26"/>
      <c r="M50" s="26"/>
      <c r="N50" s="26">
        <v>2440.4444444444443</v>
      </c>
      <c r="O50" s="26">
        <v>481.66666666666674</v>
      </c>
      <c r="P50" s="26"/>
      <c r="Q50" s="26"/>
      <c r="R50" s="26">
        <v>2922.1111111111113</v>
      </c>
      <c r="S50" s="26">
        <v>481.66666666666674</v>
      </c>
      <c r="T50" s="26"/>
      <c r="U50" s="26"/>
      <c r="V50" s="26">
        <v>3403.7777777777783</v>
      </c>
      <c r="W50" s="26">
        <v>497.72222222222229</v>
      </c>
      <c r="X50" s="35"/>
      <c r="Y50" s="26"/>
      <c r="Z50" s="26">
        <v>3901.5000000000005</v>
      </c>
      <c r="AA50" s="26">
        <v>475.0684931506849</v>
      </c>
      <c r="AB50" s="35"/>
      <c r="AC50" s="26"/>
      <c r="AD50" s="26">
        <v>4376.5684931506858</v>
      </c>
      <c r="AE50" s="26">
        <v>490.90410958904107</v>
      </c>
      <c r="AF50" s="26"/>
      <c r="AG50" s="26"/>
      <c r="AH50" s="26">
        <v>4867.4726027397264</v>
      </c>
      <c r="AI50" s="26">
        <v>490.90410958904107</v>
      </c>
      <c r="AJ50" s="26"/>
      <c r="AK50" s="26"/>
      <c r="AL50" s="26">
        <v>5358.3767123287671</v>
      </c>
      <c r="AM50" s="26">
        <v>475.0684931506849</v>
      </c>
      <c r="AN50" s="26"/>
      <c r="AO50" s="26"/>
      <c r="AP50" s="26">
        <f>+AL50+AM50+AN50+AO50</f>
        <v>5833.4452054794519</v>
      </c>
      <c r="AQ50" s="25"/>
    </row>
    <row r="51" spans="1:43" s="1" customFormat="1" x14ac:dyDescent="0.3">
      <c r="A51" s="34">
        <v>5063</v>
      </c>
      <c r="B51" s="33" t="s">
        <v>25</v>
      </c>
      <c r="C51" s="33" t="s">
        <v>371</v>
      </c>
      <c r="D51" s="33" t="s">
        <v>370</v>
      </c>
      <c r="E51" s="32">
        <v>188000</v>
      </c>
      <c r="F51" s="31">
        <v>43739</v>
      </c>
      <c r="G51" s="31">
        <v>44105</v>
      </c>
      <c r="H51" s="26"/>
      <c r="I51" s="26">
        <v>4.4000000000000004</v>
      </c>
      <c r="J51" s="26">
        <v>2803.2888888888892</v>
      </c>
      <c r="K51" s="26">
        <v>689.33333333333337</v>
      </c>
      <c r="L51" s="26"/>
      <c r="M51" s="26"/>
      <c r="N51" s="26">
        <v>3492.6222222222227</v>
      </c>
      <c r="O51" s="26">
        <v>689.33333333333337</v>
      </c>
      <c r="P51" s="26"/>
      <c r="Q51" s="26"/>
      <c r="R51" s="26">
        <v>4181.9555555555562</v>
      </c>
      <c r="S51" s="26">
        <v>689.33333333333337</v>
      </c>
      <c r="T51" s="26"/>
      <c r="U51" s="26"/>
      <c r="V51" s="26">
        <v>4871.2888888888892</v>
      </c>
      <c r="W51" s="26">
        <v>712.31111111111113</v>
      </c>
      <c r="X51" s="35"/>
      <c r="Y51" s="26"/>
      <c r="Z51" s="26">
        <v>5583.6</v>
      </c>
      <c r="AA51" s="26">
        <v>679.89041095890411</v>
      </c>
      <c r="AB51" s="35"/>
      <c r="AC51" s="26"/>
      <c r="AD51" s="26">
        <v>6263.4904109589042</v>
      </c>
      <c r="AE51" s="26">
        <v>702.55342465753426</v>
      </c>
      <c r="AF51" s="26"/>
      <c r="AG51" s="26"/>
      <c r="AH51" s="26">
        <v>6966.0438356164386</v>
      </c>
      <c r="AI51" s="26">
        <v>702.55342465753426</v>
      </c>
      <c r="AJ51" s="26"/>
      <c r="AK51" s="26"/>
      <c r="AL51" s="26">
        <v>7668.597260273973</v>
      </c>
      <c r="AM51" s="26">
        <v>679.89041095890411</v>
      </c>
      <c r="AN51" s="26"/>
      <c r="AO51" s="26"/>
      <c r="AP51" s="26">
        <f>+AL51+AM51+AN51+AO51</f>
        <v>8348.4876712328769</v>
      </c>
      <c r="AQ51" s="25"/>
    </row>
    <row r="52" spans="1:43" s="1" customFormat="1" x14ac:dyDescent="0.3">
      <c r="A52" s="34">
        <v>5005</v>
      </c>
      <c r="B52" s="33" t="s">
        <v>10</v>
      </c>
      <c r="C52" s="33" t="s">
        <v>369</v>
      </c>
      <c r="D52" s="33" t="s">
        <v>368</v>
      </c>
      <c r="E52" s="32">
        <v>300000</v>
      </c>
      <c r="F52" s="31">
        <v>43739</v>
      </c>
      <c r="G52" s="31">
        <v>44105</v>
      </c>
      <c r="H52" s="26"/>
      <c r="I52" s="26">
        <v>0.4</v>
      </c>
      <c r="J52" s="26">
        <v>406.66666666666674</v>
      </c>
      <c r="K52" s="26">
        <v>100</v>
      </c>
      <c r="L52" s="26"/>
      <c r="M52" s="26"/>
      <c r="N52" s="26">
        <v>506.66666666666674</v>
      </c>
      <c r="O52" s="26">
        <v>100</v>
      </c>
      <c r="P52" s="26"/>
      <c r="Q52" s="26"/>
      <c r="R52" s="26">
        <v>606.66666666666674</v>
      </c>
      <c r="S52" s="26">
        <v>100</v>
      </c>
      <c r="T52" s="26"/>
      <c r="U52" s="26"/>
      <c r="V52" s="26">
        <v>706.66666666666674</v>
      </c>
      <c r="W52" s="26">
        <v>103.33333333333334</v>
      </c>
      <c r="X52" s="35"/>
      <c r="Y52" s="26"/>
      <c r="Z52" s="26">
        <v>810.00000000000011</v>
      </c>
      <c r="AA52" s="26">
        <v>98.630136986301366</v>
      </c>
      <c r="AB52" s="35"/>
      <c r="AC52" s="26"/>
      <c r="AD52" s="26">
        <v>908.63013698630152</v>
      </c>
      <c r="AE52" s="26">
        <v>101.91780821917807</v>
      </c>
      <c r="AF52" s="26"/>
      <c r="AG52" s="26"/>
      <c r="AH52" s="26">
        <v>1010.5479452054796</v>
      </c>
      <c r="AI52" s="26">
        <v>101.91780821917807</v>
      </c>
      <c r="AJ52" s="26"/>
      <c r="AK52" s="26"/>
      <c r="AL52" s="26">
        <v>1112.4657534246576</v>
      </c>
      <c r="AM52" s="26">
        <v>98.630136986301366</v>
      </c>
      <c r="AN52" s="26"/>
      <c r="AO52" s="26"/>
      <c r="AP52" s="26">
        <f>+AL52+AM52+AN52+AO52</f>
        <v>1211.0958904109589</v>
      </c>
      <c r="AQ52" s="25"/>
    </row>
    <row r="53" spans="1:43" s="1" customFormat="1" x14ac:dyDescent="0.3">
      <c r="A53" s="34">
        <v>5063</v>
      </c>
      <c r="B53" s="33" t="s">
        <v>77</v>
      </c>
      <c r="C53" s="33" t="s">
        <v>367</v>
      </c>
      <c r="D53" s="33" t="s">
        <v>366</v>
      </c>
      <c r="E53" s="32">
        <v>50000</v>
      </c>
      <c r="F53" s="31">
        <v>43745</v>
      </c>
      <c r="G53" s="31">
        <v>44111</v>
      </c>
      <c r="H53" s="26"/>
      <c r="I53" s="26">
        <v>5.4</v>
      </c>
      <c r="J53" s="26">
        <v>915.00000000000011</v>
      </c>
      <c r="K53" s="26">
        <v>225.00000000000003</v>
      </c>
      <c r="L53" s="26"/>
      <c r="M53" s="26"/>
      <c r="N53" s="26">
        <v>1140.0000000000002</v>
      </c>
      <c r="O53" s="26">
        <v>225.00000000000003</v>
      </c>
      <c r="P53" s="26"/>
      <c r="Q53" s="26"/>
      <c r="R53" s="26">
        <v>1365.0000000000002</v>
      </c>
      <c r="S53" s="26">
        <v>225.00000000000003</v>
      </c>
      <c r="T53" s="26"/>
      <c r="U53" s="26"/>
      <c r="V53" s="26">
        <v>1590.0000000000002</v>
      </c>
      <c r="W53" s="26">
        <v>232.50000000000003</v>
      </c>
      <c r="X53" s="35"/>
      <c r="Y53" s="26"/>
      <c r="Z53" s="26">
        <v>1822.5000000000002</v>
      </c>
      <c r="AA53" s="26">
        <v>221.91780821917811</v>
      </c>
      <c r="AB53" s="35"/>
      <c r="AC53" s="26"/>
      <c r="AD53" s="26">
        <v>2044.4178082191784</v>
      </c>
      <c r="AE53" s="26">
        <v>229.31506849315073</v>
      </c>
      <c r="AF53" s="26"/>
      <c r="AG53" s="26"/>
      <c r="AH53" s="26">
        <v>2273.732876712329</v>
      </c>
      <c r="AI53" s="26">
        <v>229.31506849315073</v>
      </c>
      <c r="AJ53" s="26"/>
      <c r="AK53" s="26"/>
      <c r="AL53" s="26">
        <v>2503.0479452054797</v>
      </c>
      <c r="AM53" s="26">
        <v>221.91780821917808</v>
      </c>
      <c r="AN53" s="26"/>
      <c r="AO53" s="26"/>
      <c r="AP53" s="26">
        <f>+AL53+AM53+AN53+AO53</f>
        <v>2724.9657534246576</v>
      </c>
      <c r="AQ53" s="25"/>
    </row>
    <row r="54" spans="1:43" s="1" customFormat="1" x14ac:dyDescent="0.3">
      <c r="A54" s="34">
        <v>5060</v>
      </c>
      <c r="B54" s="33" t="s">
        <v>16</v>
      </c>
      <c r="C54" s="33" t="s">
        <v>365</v>
      </c>
      <c r="D54" s="33" t="s">
        <v>364</v>
      </c>
      <c r="E54" s="32">
        <v>25000</v>
      </c>
      <c r="F54" s="31">
        <v>43748</v>
      </c>
      <c r="G54" s="31">
        <v>44114</v>
      </c>
      <c r="H54" s="26"/>
      <c r="I54" s="26">
        <v>1.9</v>
      </c>
      <c r="J54" s="26">
        <v>149.09722222222223</v>
      </c>
      <c r="K54" s="26">
        <v>39.583333333333336</v>
      </c>
      <c r="L54" s="26"/>
      <c r="M54" s="26"/>
      <c r="N54" s="26">
        <v>188.68055555555557</v>
      </c>
      <c r="O54" s="26">
        <v>39.583333333333336</v>
      </c>
      <c r="P54" s="26"/>
      <c r="Q54" s="26"/>
      <c r="R54" s="26">
        <v>228.26388888888891</v>
      </c>
      <c r="S54" s="26">
        <v>39.583333333333336</v>
      </c>
      <c r="T54" s="26"/>
      <c r="U54" s="26"/>
      <c r="V54" s="26">
        <v>267.84722222222223</v>
      </c>
      <c r="W54" s="26">
        <v>40.902777777777779</v>
      </c>
      <c r="X54" s="35"/>
      <c r="Y54" s="26"/>
      <c r="Z54" s="26">
        <v>308.75</v>
      </c>
      <c r="AA54" s="26">
        <v>39.041095890410965</v>
      </c>
      <c r="AB54" s="35"/>
      <c r="AC54" s="26"/>
      <c r="AD54" s="26">
        <v>347.79109589041099</v>
      </c>
      <c r="AE54" s="26">
        <v>40.342465753424662</v>
      </c>
      <c r="AF54" s="26"/>
      <c r="AG54" s="26"/>
      <c r="AH54" s="26">
        <v>388.13356164383566</v>
      </c>
      <c r="AI54" s="26">
        <v>40.342465753424662</v>
      </c>
      <c r="AJ54" s="26"/>
      <c r="AK54" s="26"/>
      <c r="AL54" s="26">
        <v>428.47602739726034</v>
      </c>
      <c r="AM54" s="26">
        <v>39.041095890410965</v>
      </c>
      <c r="AN54" s="26"/>
      <c r="AO54" s="26"/>
      <c r="AP54" s="26">
        <f>+AL54+AM54+AN54+AO54</f>
        <v>467.51712328767132</v>
      </c>
      <c r="AQ54" s="25"/>
    </row>
    <row r="55" spans="1:43" s="1" customFormat="1" x14ac:dyDescent="0.3">
      <c r="A55" s="34">
        <v>5060</v>
      </c>
      <c r="B55" s="33" t="s">
        <v>19</v>
      </c>
      <c r="C55" s="33" t="s">
        <v>363</v>
      </c>
      <c r="D55" s="33" t="s">
        <v>362</v>
      </c>
      <c r="E55" s="32">
        <v>25000</v>
      </c>
      <c r="F55" s="31">
        <v>43748</v>
      </c>
      <c r="G55" s="31">
        <v>44114</v>
      </c>
      <c r="H55" s="26"/>
      <c r="I55" s="26">
        <v>1.9</v>
      </c>
      <c r="J55" s="26">
        <v>149.09722222222223</v>
      </c>
      <c r="K55" s="26">
        <v>39.583333333333336</v>
      </c>
      <c r="L55" s="26"/>
      <c r="M55" s="26"/>
      <c r="N55" s="26">
        <v>188.68055555555557</v>
      </c>
      <c r="O55" s="26">
        <v>39.583333333333336</v>
      </c>
      <c r="P55" s="26"/>
      <c r="Q55" s="26"/>
      <c r="R55" s="26">
        <v>228.26388888888891</v>
      </c>
      <c r="S55" s="26">
        <v>39.583333333333336</v>
      </c>
      <c r="T55" s="26"/>
      <c r="U55" s="26"/>
      <c r="V55" s="26">
        <v>267.84722222222223</v>
      </c>
      <c r="W55" s="26">
        <v>40.902777777777779</v>
      </c>
      <c r="X55" s="35"/>
      <c r="Y55" s="26"/>
      <c r="Z55" s="26">
        <v>308.75</v>
      </c>
      <c r="AA55" s="26">
        <v>39.041095890410965</v>
      </c>
      <c r="AB55" s="35"/>
      <c r="AC55" s="26"/>
      <c r="AD55" s="26">
        <v>347.79109589041099</v>
      </c>
      <c r="AE55" s="26">
        <v>40.342465753424662</v>
      </c>
      <c r="AF55" s="26"/>
      <c r="AG55" s="26"/>
      <c r="AH55" s="26">
        <v>388.13356164383566</v>
      </c>
      <c r="AI55" s="26">
        <v>40.342465753424662</v>
      </c>
      <c r="AJ55" s="26"/>
      <c r="AK55" s="26"/>
      <c r="AL55" s="26">
        <v>428.47602739726034</v>
      </c>
      <c r="AM55" s="26">
        <v>39.041095890410965</v>
      </c>
      <c r="AN55" s="26"/>
      <c r="AO55" s="26"/>
      <c r="AP55" s="26">
        <f>+AL55+AM55+AN55+AO55</f>
        <v>467.51712328767132</v>
      </c>
      <c r="AQ55" s="25"/>
    </row>
    <row r="56" spans="1:43" s="1" customFormat="1" x14ac:dyDescent="0.3">
      <c r="A56" s="34">
        <v>5031</v>
      </c>
      <c r="B56" s="33" t="s">
        <v>329</v>
      </c>
      <c r="C56" s="33" t="s">
        <v>361</v>
      </c>
      <c r="D56" s="33" t="s">
        <v>360</v>
      </c>
      <c r="E56" s="32"/>
      <c r="F56" s="31">
        <v>43748</v>
      </c>
      <c r="G56" s="31">
        <v>44114</v>
      </c>
      <c r="H56" s="26"/>
      <c r="I56" s="26">
        <v>5.5</v>
      </c>
      <c r="J56" s="26">
        <v>12947.916666666664</v>
      </c>
      <c r="K56" s="26">
        <v>3437.5</v>
      </c>
      <c r="L56" s="26"/>
      <c r="M56" s="26"/>
      <c r="N56" s="26">
        <v>16385.416666666664</v>
      </c>
      <c r="O56" s="26">
        <v>3437.5</v>
      </c>
      <c r="P56" s="26"/>
      <c r="Q56" s="26"/>
      <c r="R56" s="26">
        <v>19822.916666666664</v>
      </c>
      <c r="S56" s="26">
        <v>3437.5</v>
      </c>
      <c r="T56" s="26"/>
      <c r="U56" s="26"/>
      <c r="V56" s="26">
        <v>23260.416666666664</v>
      </c>
      <c r="W56" s="26">
        <v>3552.083333333333</v>
      </c>
      <c r="X56" s="35"/>
      <c r="Y56" s="26"/>
      <c r="Z56" s="26">
        <v>26812.499999999996</v>
      </c>
      <c r="AA56" s="26">
        <v>0</v>
      </c>
      <c r="AB56" s="35">
        <v>-26823.77</v>
      </c>
      <c r="AC56" s="26">
        <v>11.27</v>
      </c>
      <c r="AD56" s="26">
        <v>-4.0749625895841746E-12</v>
      </c>
      <c r="AE56" s="26">
        <v>0</v>
      </c>
      <c r="AF56" s="26"/>
      <c r="AG56" s="26"/>
      <c r="AH56" s="26">
        <v>-4.0749625895841746E-12</v>
      </c>
      <c r="AI56" s="26">
        <v>0</v>
      </c>
      <c r="AJ56" s="26"/>
      <c r="AK56" s="26"/>
      <c r="AL56" s="26">
        <v>-4.0749625895841746E-12</v>
      </c>
      <c r="AM56" s="26">
        <v>0</v>
      </c>
      <c r="AN56" s="26"/>
      <c r="AO56" s="26"/>
      <c r="AP56" s="26">
        <f>+AL56+AM56+AN56+AO56</f>
        <v>-4.0749625895841746E-12</v>
      </c>
      <c r="AQ56" s="25" t="s">
        <v>96</v>
      </c>
    </row>
    <row r="57" spans="1:43" s="1" customFormat="1" x14ac:dyDescent="0.3">
      <c r="A57" s="34">
        <v>5062</v>
      </c>
      <c r="B57" s="33" t="s">
        <v>359</v>
      </c>
      <c r="C57" s="33" t="s">
        <v>358</v>
      </c>
      <c r="D57" s="33" t="s">
        <v>357</v>
      </c>
      <c r="E57" s="32">
        <v>200000</v>
      </c>
      <c r="F57" s="31">
        <v>43750</v>
      </c>
      <c r="G57" s="31">
        <v>44116</v>
      </c>
      <c r="H57" s="26"/>
      <c r="I57" s="26">
        <v>6.4</v>
      </c>
      <c r="J57" s="26">
        <v>3946.6666666666665</v>
      </c>
      <c r="K57" s="26">
        <v>1066.6666666666667</v>
      </c>
      <c r="L57" s="26"/>
      <c r="M57" s="26"/>
      <c r="N57" s="26">
        <v>5013.333333333333</v>
      </c>
      <c r="O57" s="26">
        <v>1066.6666666666667</v>
      </c>
      <c r="P57" s="26"/>
      <c r="Q57" s="26"/>
      <c r="R57" s="26">
        <v>6080</v>
      </c>
      <c r="S57" s="26">
        <v>1066.6666666666667</v>
      </c>
      <c r="T57" s="26"/>
      <c r="U57" s="26"/>
      <c r="V57" s="26">
        <v>7146.666666666667</v>
      </c>
      <c r="W57" s="26">
        <v>1102.2222222222222</v>
      </c>
      <c r="X57" s="35"/>
      <c r="Y57" s="26"/>
      <c r="Z57" s="26">
        <v>8248.8888888888887</v>
      </c>
      <c r="AA57" s="26">
        <v>1052.0547945205478</v>
      </c>
      <c r="AB57" s="35"/>
      <c r="AC57" s="26"/>
      <c r="AD57" s="26">
        <v>9300.9436834094358</v>
      </c>
      <c r="AE57" s="26">
        <v>1087.1232876712329</v>
      </c>
      <c r="AF57" s="26"/>
      <c r="AG57" s="26"/>
      <c r="AH57" s="26">
        <v>10388.066971080669</v>
      </c>
      <c r="AI57" s="26">
        <v>1087.1232876712329</v>
      </c>
      <c r="AJ57" s="26"/>
      <c r="AK57" s="26"/>
      <c r="AL57" s="26">
        <v>11475.190258751902</v>
      </c>
      <c r="AM57" s="26">
        <v>1052.0547945205478</v>
      </c>
      <c r="AN57" s="26"/>
      <c r="AO57" s="26"/>
      <c r="AP57" s="26">
        <f>+AL57+AM57+AN57+AO57</f>
        <v>12527.245053272449</v>
      </c>
      <c r="AQ57" s="25"/>
    </row>
    <row r="58" spans="1:43" s="1" customFormat="1" x14ac:dyDescent="0.3">
      <c r="A58" s="34">
        <v>5057</v>
      </c>
      <c r="B58" s="33" t="s">
        <v>74</v>
      </c>
      <c r="C58" s="33" t="s">
        <v>356</v>
      </c>
      <c r="D58" s="33" t="s">
        <v>355</v>
      </c>
      <c r="E58" s="32"/>
      <c r="F58" s="31">
        <v>43763</v>
      </c>
      <c r="G58" s="31">
        <v>44129</v>
      </c>
      <c r="H58" s="26"/>
      <c r="I58" s="26">
        <v>3.4</v>
      </c>
      <c r="J58" s="26">
        <v>1240.2444444444445</v>
      </c>
      <c r="K58" s="26">
        <v>379.66666666666663</v>
      </c>
      <c r="L58" s="26"/>
      <c r="M58" s="26"/>
      <c r="N58" s="26">
        <v>1619.911111111111</v>
      </c>
      <c r="O58" s="26">
        <v>379.66666666666663</v>
      </c>
      <c r="P58" s="26"/>
      <c r="Q58" s="26"/>
      <c r="R58" s="26">
        <v>1999.5777777777776</v>
      </c>
      <c r="S58" s="26">
        <v>379.66666666666663</v>
      </c>
      <c r="T58" s="26"/>
      <c r="U58" s="26"/>
      <c r="V58" s="26">
        <v>2379.2444444444441</v>
      </c>
      <c r="W58" s="26">
        <v>392.32222222222219</v>
      </c>
      <c r="X58" s="35"/>
      <c r="Y58" s="26"/>
      <c r="Z58" s="26">
        <v>2771.5866666666661</v>
      </c>
      <c r="AA58" s="26">
        <v>0</v>
      </c>
      <c r="AB58" s="35">
        <v>-2912.85</v>
      </c>
      <c r="AC58" s="26">
        <v>141.28</v>
      </c>
      <c r="AD58" s="26">
        <v>1.6666666666225183E-2</v>
      </c>
      <c r="AE58" s="26">
        <v>0</v>
      </c>
      <c r="AF58" s="26"/>
      <c r="AG58" s="26"/>
      <c r="AH58" s="26">
        <v>1.6666666666225183E-2</v>
      </c>
      <c r="AI58" s="26">
        <v>0</v>
      </c>
      <c r="AJ58" s="26"/>
      <c r="AK58" s="26"/>
      <c r="AL58" s="26">
        <v>1.6666666666225183E-2</v>
      </c>
      <c r="AM58" s="26">
        <v>0</v>
      </c>
      <c r="AN58" s="26"/>
      <c r="AO58" s="26"/>
      <c r="AP58" s="26">
        <f>+AL58+AM58+AN58+AO58</f>
        <v>1.6666666666225183E-2</v>
      </c>
      <c r="AQ58" s="25" t="s">
        <v>96</v>
      </c>
    </row>
    <row r="59" spans="1:43" s="1" customFormat="1" x14ac:dyDescent="0.3">
      <c r="A59" s="34">
        <v>5057</v>
      </c>
      <c r="B59" s="33" t="s">
        <v>74</v>
      </c>
      <c r="C59" s="33" t="s">
        <v>354</v>
      </c>
      <c r="D59" s="33" t="s">
        <v>353</v>
      </c>
      <c r="E59" s="32">
        <v>118000</v>
      </c>
      <c r="F59" s="31">
        <v>43768</v>
      </c>
      <c r="G59" s="31">
        <v>44134</v>
      </c>
      <c r="H59" s="26"/>
      <c r="I59" s="26">
        <v>3.4</v>
      </c>
      <c r="J59" s="26">
        <v>1036.4333333333334</v>
      </c>
      <c r="K59" s="26">
        <v>334.33333333333337</v>
      </c>
      <c r="L59" s="26"/>
      <c r="M59" s="26"/>
      <c r="N59" s="26">
        <v>1370.7666666666669</v>
      </c>
      <c r="O59" s="26">
        <v>334.33333333333337</v>
      </c>
      <c r="P59" s="26"/>
      <c r="Q59" s="26"/>
      <c r="R59" s="26">
        <v>1705.1000000000004</v>
      </c>
      <c r="S59" s="26">
        <v>334.33333333333337</v>
      </c>
      <c r="T59" s="26"/>
      <c r="U59" s="26"/>
      <c r="V59" s="26">
        <v>2039.4333333333338</v>
      </c>
      <c r="W59" s="26">
        <v>345.47777777777782</v>
      </c>
      <c r="X59" s="35"/>
      <c r="Y59" s="26"/>
      <c r="Z59" s="26">
        <v>2384.9111111111115</v>
      </c>
      <c r="AA59" s="26">
        <v>329.75342465753425</v>
      </c>
      <c r="AB59" s="35"/>
      <c r="AC59" s="26"/>
      <c r="AD59" s="26">
        <v>2714.6645357686457</v>
      </c>
      <c r="AE59" s="26">
        <v>340.74520547945207</v>
      </c>
      <c r="AF59" s="26"/>
      <c r="AG59" s="26"/>
      <c r="AH59" s="26">
        <v>3055.4097412480978</v>
      </c>
      <c r="AI59" s="26">
        <v>340.74520547945207</v>
      </c>
      <c r="AJ59" s="26"/>
      <c r="AK59" s="26"/>
      <c r="AL59" s="26">
        <v>3396.1549467275499</v>
      </c>
      <c r="AM59" s="26">
        <v>329.75342465753425</v>
      </c>
      <c r="AN59" s="26"/>
      <c r="AO59" s="26"/>
      <c r="AP59" s="26">
        <f>+AL59+AM59+AN59+AO59</f>
        <v>3725.9083713850841</v>
      </c>
      <c r="AQ59" s="25"/>
    </row>
    <row r="60" spans="1:43" s="1" customFormat="1" x14ac:dyDescent="0.3">
      <c r="A60" s="34">
        <v>5063</v>
      </c>
      <c r="B60" s="33" t="s">
        <v>77</v>
      </c>
      <c r="C60" s="33" t="s">
        <v>352</v>
      </c>
      <c r="D60" s="33" t="s">
        <v>351</v>
      </c>
      <c r="E60" s="32">
        <v>120000</v>
      </c>
      <c r="F60" s="31">
        <v>43768</v>
      </c>
      <c r="G60" s="31">
        <v>44134</v>
      </c>
      <c r="H60" s="26"/>
      <c r="I60" s="26">
        <v>5.4</v>
      </c>
      <c r="J60" s="26">
        <v>1674.0000000000005</v>
      </c>
      <c r="K60" s="26">
        <v>540.00000000000011</v>
      </c>
      <c r="L60" s="26"/>
      <c r="M60" s="26"/>
      <c r="N60" s="26">
        <v>2214.0000000000005</v>
      </c>
      <c r="O60" s="26">
        <v>540.00000000000011</v>
      </c>
      <c r="P60" s="26"/>
      <c r="Q60" s="26"/>
      <c r="R60" s="26">
        <v>2754.0000000000005</v>
      </c>
      <c r="S60" s="26">
        <v>540.00000000000011</v>
      </c>
      <c r="T60" s="26"/>
      <c r="U60" s="26"/>
      <c r="V60" s="26">
        <v>3294.0000000000005</v>
      </c>
      <c r="W60" s="26">
        <v>558.00000000000011</v>
      </c>
      <c r="X60" s="35"/>
      <c r="Y60" s="26"/>
      <c r="Z60" s="26">
        <v>3852.0000000000005</v>
      </c>
      <c r="AA60" s="26">
        <v>532.60273972602749</v>
      </c>
      <c r="AB60" s="35"/>
      <c r="AC60" s="26"/>
      <c r="AD60" s="26">
        <v>4384.6027397260277</v>
      </c>
      <c r="AE60" s="26">
        <v>550.3561643835618</v>
      </c>
      <c r="AF60" s="26"/>
      <c r="AG60" s="26"/>
      <c r="AH60" s="26">
        <v>4934.9589041095896</v>
      </c>
      <c r="AI60" s="26">
        <v>550.3561643835618</v>
      </c>
      <c r="AJ60" s="26"/>
      <c r="AK60" s="26"/>
      <c r="AL60" s="26">
        <v>5485.3150684931516</v>
      </c>
      <c r="AM60" s="26">
        <v>532.60273972602738</v>
      </c>
      <c r="AN60" s="26"/>
      <c r="AO60" s="26"/>
      <c r="AP60" s="26">
        <f>+AL60+AM60+AN60+AO60</f>
        <v>6017.9178082191793</v>
      </c>
      <c r="AQ60" s="25"/>
    </row>
    <row r="61" spans="1:43" s="1" customFormat="1" x14ac:dyDescent="0.3">
      <c r="A61" s="34">
        <v>5005</v>
      </c>
      <c r="B61" s="33" t="s">
        <v>10</v>
      </c>
      <c r="C61" s="33" t="s">
        <v>350</v>
      </c>
      <c r="D61" s="33" t="s">
        <v>349</v>
      </c>
      <c r="E61" s="32">
        <v>1030000</v>
      </c>
      <c r="F61" s="31">
        <v>43775</v>
      </c>
      <c r="G61" s="31">
        <v>44099</v>
      </c>
      <c r="H61" s="26"/>
      <c r="I61" s="26">
        <v>0.4</v>
      </c>
      <c r="J61" s="26">
        <v>1464.8888888888889</v>
      </c>
      <c r="K61" s="26">
        <v>343.33333333333331</v>
      </c>
      <c r="L61" s="26"/>
      <c r="M61" s="26"/>
      <c r="N61" s="26">
        <v>1808.2222222222222</v>
      </c>
      <c r="O61" s="26">
        <v>343.33333333333331</v>
      </c>
      <c r="P61" s="26"/>
      <c r="Q61" s="26"/>
      <c r="R61" s="26">
        <v>2151.5555555555557</v>
      </c>
      <c r="S61" s="26">
        <v>343.33333333333331</v>
      </c>
      <c r="T61" s="26"/>
      <c r="U61" s="26"/>
      <c r="V61" s="26">
        <v>2494.8888888888891</v>
      </c>
      <c r="W61" s="26">
        <v>354.77777777777777</v>
      </c>
      <c r="X61" s="35"/>
      <c r="Y61" s="26"/>
      <c r="Z61" s="26">
        <v>2849.666666666667</v>
      </c>
      <c r="AA61" s="26">
        <v>338.63013698630141</v>
      </c>
      <c r="AB61" s="35"/>
      <c r="AC61" s="26"/>
      <c r="AD61" s="26">
        <v>3188.2968036529683</v>
      </c>
      <c r="AE61" s="26">
        <v>349.91780821917808</v>
      </c>
      <c r="AF61" s="26"/>
      <c r="AG61" s="26"/>
      <c r="AH61" s="26">
        <v>3538.2146118721462</v>
      </c>
      <c r="AI61" s="26">
        <v>349.91780821917808</v>
      </c>
      <c r="AJ61" s="26"/>
      <c r="AK61" s="26"/>
      <c r="AL61" s="26">
        <v>3888.1324200913241</v>
      </c>
      <c r="AM61" s="26">
        <v>338.63013698630141</v>
      </c>
      <c r="AN61" s="26">
        <v>-4120</v>
      </c>
      <c r="AO61" s="26">
        <v>-106.76</v>
      </c>
      <c r="AP61" s="26">
        <f>+AL61+AM61+AN61+AO61</f>
        <v>2.5570776253829308E-3</v>
      </c>
      <c r="AQ61" s="25" t="s">
        <v>218</v>
      </c>
    </row>
    <row r="62" spans="1:43" s="1" customFormat="1" x14ac:dyDescent="0.3">
      <c r="A62" s="34">
        <v>5004</v>
      </c>
      <c r="B62" s="33" t="s">
        <v>336</v>
      </c>
      <c r="C62" s="33" t="s">
        <v>348</v>
      </c>
      <c r="D62" s="33" t="s">
        <v>347</v>
      </c>
      <c r="E62" s="32">
        <v>38000</v>
      </c>
      <c r="F62" s="31">
        <v>43774</v>
      </c>
      <c r="G62" s="31">
        <v>44140</v>
      </c>
      <c r="H62" s="26"/>
      <c r="I62" s="26">
        <v>5.9</v>
      </c>
      <c r="J62" s="26">
        <v>541.81666666666672</v>
      </c>
      <c r="K62" s="26">
        <v>186.83333333333334</v>
      </c>
      <c r="L62" s="26"/>
      <c r="M62" s="26"/>
      <c r="N62" s="26">
        <v>728.65000000000009</v>
      </c>
      <c r="O62" s="26">
        <v>186.83333333333334</v>
      </c>
      <c r="P62" s="26"/>
      <c r="Q62" s="26"/>
      <c r="R62" s="26">
        <v>915.48333333333346</v>
      </c>
      <c r="S62" s="26">
        <v>186.83333333333334</v>
      </c>
      <c r="T62" s="26"/>
      <c r="U62" s="26"/>
      <c r="V62" s="26">
        <v>1102.3166666666668</v>
      </c>
      <c r="W62" s="26">
        <v>193.0611111111111</v>
      </c>
      <c r="X62" s="35"/>
      <c r="Y62" s="26"/>
      <c r="Z62" s="26">
        <v>1295.377777777778</v>
      </c>
      <c r="AA62" s="26">
        <v>184.27397260273972</v>
      </c>
      <c r="AB62" s="35"/>
      <c r="AC62" s="26"/>
      <c r="AD62" s="26">
        <v>1479.6517503805176</v>
      </c>
      <c r="AE62" s="26">
        <v>190.41643835616438</v>
      </c>
      <c r="AF62" s="26"/>
      <c r="AG62" s="26"/>
      <c r="AH62" s="26">
        <v>1670.068188736682</v>
      </c>
      <c r="AI62" s="26">
        <v>190.41643835616438</v>
      </c>
      <c r="AJ62" s="26"/>
      <c r="AK62" s="26"/>
      <c r="AL62" s="26">
        <v>1860.4846270928465</v>
      </c>
      <c r="AM62" s="26">
        <v>184.27397260273972</v>
      </c>
      <c r="AN62" s="26"/>
      <c r="AO62" s="26"/>
      <c r="AP62" s="26">
        <f>+AL62+AM62+AN62+AO62</f>
        <v>2044.7585996955863</v>
      </c>
      <c r="AQ62" s="25"/>
    </row>
    <row r="63" spans="1:43" s="1" customFormat="1" x14ac:dyDescent="0.3">
      <c r="A63" s="34">
        <v>5063</v>
      </c>
      <c r="B63" s="33" t="s">
        <v>77</v>
      </c>
      <c r="C63" s="33" t="s">
        <v>346</v>
      </c>
      <c r="D63" s="33" t="s">
        <v>345</v>
      </c>
      <c r="E63" s="32">
        <v>80000</v>
      </c>
      <c r="F63" s="31">
        <v>43772</v>
      </c>
      <c r="G63" s="31">
        <v>44138</v>
      </c>
      <c r="H63" s="26"/>
      <c r="I63" s="26">
        <v>5.4</v>
      </c>
      <c r="J63" s="26">
        <v>1068.0000000000002</v>
      </c>
      <c r="K63" s="26">
        <v>360.00000000000006</v>
      </c>
      <c r="L63" s="26"/>
      <c r="M63" s="26"/>
      <c r="N63" s="26">
        <v>1428.0000000000002</v>
      </c>
      <c r="O63" s="26">
        <v>360.00000000000006</v>
      </c>
      <c r="P63" s="26"/>
      <c r="Q63" s="26"/>
      <c r="R63" s="26">
        <v>1788.0000000000002</v>
      </c>
      <c r="S63" s="26">
        <v>360.00000000000006</v>
      </c>
      <c r="T63" s="26"/>
      <c r="U63" s="26"/>
      <c r="V63" s="26">
        <v>2148.0000000000005</v>
      </c>
      <c r="W63" s="26">
        <v>372.00000000000006</v>
      </c>
      <c r="X63" s="35"/>
      <c r="Y63" s="26"/>
      <c r="Z63" s="26">
        <v>2520.0000000000005</v>
      </c>
      <c r="AA63" s="26">
        <v>355.06849315068501</v>
      </c>
      <c r="AB63" s="35"/>
      <c r="AC63" s="26"/>
      <c r="AD63" s="26">
        <v>2875.0684931506853</v>
      </c>
      <c r="AE63" s="26">
        <v>366.90410958904118</v>
      </c>
      <c r="AF63" s="26"/>
      <c r="AG63" s="26"/>
      <c r="AH63" s="26">
        <v>3241.9726027397264</v>
      </c>
      <c r="AI63" s="26">
        <v>366.90410958904118</v>
      </c>
      <c r="AJ63" s="26"/>
      <c r="AK63" s="26"/>
      <c r="AL63" s="26">
        <v>3608.8767123287676</v>
      </c>
      <c r="AM63" s="26">
        <v>355.0684931506849</v>
      </c>
      <c r="AN63" s="26"/>
      <c r="AO63" s="26"/>
      <c r="AP63" s="26">
        <f>+AL63+AM63+AN63+AO63</f>
        <v>3963.9452054794524</v>
      </c>
      <c r="AQ63" s="25"/>
    </row>
    <row r="64" spans="1:43" s="1" customFormat="1" x14ac:dyDescent="0.3">
      <c r="A64" s="34">
        <v>5060</v>
      </c>
      <c r="B64" s="33" t="s">
        <v>19</v>
      </c>
      <c r="C64" s="33" t="s">
        <v>344</v>
      </c>
      <c r="D64" s="33" t="s">
        <v>343</v>
      </c>
      <c r="E64" s="32">
        <v>78000</v>
      </c>
      <c r="F64" s="31">
        <v>43771</v>
      </c>
      <c r="G64" s="31">
        <v>44137</v>
      </c>
      <c r="H64" s="26"/>
      <c r="I64" s="26">
        <v>1.9</v>
      </c>
      <c r="J64" s="26">
        <v>370.5</v>
      </c>
      <c r="K64" s="26">
        <v>123.49999999999999</v>
      </c>
      <c r="L64" s="26"/>
      <c r="M64" s="26"/>
      <c r="N64" s="26">
        <v>494</v>
      </c>
      <c r="O64" s="26">
        <v>123.49999999999999</v>
      </c>
      <c r="P64" s="26"/>
      <c r="Q64" s="26"/>
      <c r="R64" s="26">
        <v>617.5</v>
      </c>
      <c r="S64" s="26">
        <v>123.49999999999999</v>
      </c>
      <c r="T64" s="26"/>
      <c r="U64" s="26"/>
      <c r="V64" s="26">
        <v>741</v>
      </c>
      <c r="W64" s="26">
        <v>127.61666666666666</v>
      </c>
      <c r="X64" s="35"/>
      <c r="Y64" s="26"/>
      <c r="Z64" s="26">
        <v>868.61666666666667</v>
      </c>
      <c r="AA64" s="26">
        <v>121.8082191780822</v>
      </c>
      <c r="AB64" s="35"/>
      <c r="AC64" s="26"/>
      <c r="AD64" s="26">
        <v>990.42488584474881</v>
      </c>
      <c r="AE64" s="26">
        <v>125.86849315068494</v>
      </c>
      <c r="AF64" s="26"/>
      <c r="AG64" s="26"/>
      <c r="AH64" s="26">
        <v>1116.2933789954338</v>
      </c>
      <c r="AI64" s="26">
        <v>125.86849315068494</v>
      </c>
      <c r="AJ64" s="26"/>
      <c r="AK64" s="26"/>
      <c r="AL64" s="26">
        <v>1242.1618721461189</v>
      </c>
      <c r="AM64" s="26">
        <v>121.8082191780822</v>
      </c>
      <c r="AN64" s="26"/>
      <c r="AO64" s="26"/>
      <c r="AP64" s="26">
        <f>+AL64+AM64+AN64+AO64</f>
        <v>1363.9700913242011</v>
      </c>
      <c r="AQ64" s="25"/>
    </row>
    <row r="65" spans="1:43" s="1" customFormat="1" x14ac:dyDescent="0.3">
      <c r="A65" s="34">
        <v>5063</v>
      </c>
      <c r="B65" s="33" t="s">
        <v>25</v>
      </c>
      <c r="C65" s="33" t="s">
        <v>342</v>
      </c>
      <c r="D65" s="33" t="s">
        <v>341</v>
      </c>
      <c r="E65" s="32">
        <v>138000</v>
      </c>
      <c r="F65" s="31">
        <v>43770</v>
      </c>
      <c r="G65" s="31">
        <v>44136</v>
      </c>
      <c r="H65" s="26"/>
      <c r="I65" s="26">
        <v>4.4000000000000004</v>
      </c>
      <c r="J65" s="26">
        <v>1534.866666666667</v>
      </c>
      <c r="K65" s="26">
        <v>506.00000000000011</v>
      </c>
      <c r="L65" s="26"/>
      <c r="M65" s="26"/>
      <c r="N65" s="26">
        <v>2040.8666666666672</v>
      </c>
      <c r="O65" s="26">
        <v>506.00000000000011</v>
      </c>
      <c r="P65" s="26"/>
      <c r="Q65" s="26"/>
      <c r="R65" s="26">
        <v>2546.8666666666672</v>
      </c>
      <c r="S65" s="26">
        <v>506.00000000000011</v>
      </c>
      <c r="T65" s="26"/>
      <c r="U65" s="26"/>
      <c r="V65" s="26">
        <v>3052.8666666666672</v>
      </c>
      <c r="W65" s="26">
        <v>522.86666666666679</v>
      </c>
      <c r="X65" s="35"/>
      <c r="Y65" s="26"/>
      <c r="Z65" s="26">
        <v>3575.733333333334</v>
      </c>
      <c r="AA65" s="26">
        <v>499.06849315068496</v>
      </c>
      <c r="AB65" s="35"/>
      <c r="AC65" s="26"/>
      <c r="AD65" s="26">
        <v>4074.8018264840189</v>
      </c>
      <c r="AE65" s="26">
        <v>515.7041095890412</v>
      </c>
      <c r="AF65" s="26"/>
      <c r="AG65" s="26"/>
      <c r="AH65" s="26">
        <v>4590.5059360730602</v>
      </c>
      <c r="AI65" s="26">
        <v>515.7041095890412</v>
      </c>
      <c r="AJ65" s="26"/>
      <c r="AK65" s="26"/>
      <c r="AL65" s="26">
        <v>5106.210045662101</v>
      </c>
      <c r="AM65" s="26">
        <v>499.06849315068496</v>
      </c>
      <c r="AN65" s="26"/>
      <c r="AO65" s="26"/>
      <c r="AP65" s="26">
        <f>+AL65+AM65+AN65+AO65</f>
        <v>5605.2785388127859</v>
      </c>
      <c r="AQ65" s="25"/>
    </row>
    <row r="66" spans="1:43" s="1" customFormat="1" x14ac:dyDescent="0.3">
      <c r="A66" s="34">
        <v>5060</v>
      </c>
      <c r="B66" s="33" t="s">
        <v>40</v>
      </c>
      <c r="C66" s="33" t="s">
        <v>340</v>
      </c>
      <c r="D66" s="33" t="s">
        <v>339</v>
      </c>
      <c r="E66" s="32">
        <v>727000</v>
      </c>
      <c r="F66" s="31">
        <v>43784</v>
      </c>
      <c r="G66" s="31">
        <v>44150</v>
      </c>
      <c r="H66" s="26"/>
      <c r="I66" s="26">
        <v>6.4</v>
      </c>
      <c r="J66" s="26">
        <v>9951.8222222222212</v>
      </c>
      <c r="K66" s="26">
        <v>3877.333333333333</v>
      </c>
      <c r="L66" s="26"/>
      <c r="M66" s="26"/>
      <c r="N66" s="26">
        <v>13829.155555555553</v>
      </c>
      <c r="O66" s="26">
        <v>3877.333333333333</v>
      </c>
      <c r="P66" s="26"/>
      <c r="Q66" s="26"/>
      <c r="R66" s="26">
        <v>17706.488888888885</v>
      </c>
      <c r="S66" s="26">
        <v>3877.333333333333</v>
      </c>
      <c r="T66" s="26"/>
      <c r="U66" s="26"/>
      <c r="V66" s="26">
        <v>21583.822222222218</v>
      </c>
      <c r="W66" s="26">
        <v>4006.5777777777776</v>
      </c>
      <c r="X66" s="35"/>
      <c r="Y66" s="26"/>
      <c r="Z66" s="26">
        <v>25590.399999999994</v>
      </c>
      <c r="AA66" s="26">
        <v>3824.2191780821918</v>
      </c>
      <c r="AB66" s="35"/>
      <c r="AC66" s="26"/>
      <c r="AD66" s="26">
        <v>29414.619178082186</v>
      </c>
      <c r="AE66" s="26">
        <v>3951.6931506849314</v>
      </c>
      <c r="AF66" s="26"/>
      <c r="AG66" s="26"/>
      <c r="AH66" s="26">
        <v>33366.312328767119</v>
      </c>
      <c r="AI66" s="26">
        <v>3951.6931506849314</v>
      </c>
      <c r="AJ66" s="26"/>
      <c r="AK66" s="26"/>
      <c r="AL66" s="26">
        <v>37318.005479452047</v>
      </c>
      <c r="AM66" s="26">
        <v>3824.2191780821918</v>
      </c>
      <c r="AN66" s="26"/>
      <c r="AO66" s="26"/>
      <c r="AP66" s="26">
        <f>+AL66+AM66+AN66+AO66</f>
        <v>41142.224657534236</v>
      </c>
      <c r="AQ66" s="25"/>
    </row>
    <row r="67" spans="1:43" s="1" customFormat="1" x14ac:dyDescent="0.3">
      <c r="A67" s="34">
        <v>5004</v>
      </c>
      <c r="B67" s="33" t="s">
        <v>336</v>
      </c>
      <c r="C67" s="33" t="s">
        <v>338</v>
      </c>
      <c r="D67" s="33" t="s">
        <v>337</v>
      </c>
      <c r="E67" s="32">
        <v>100000</v>
      </c>
      <c r="F67" s="31">
        <v>43792</v>
      </c>
      <c r="G67" s="31">
        <v>44158</v>
      </c>
      <c r="H67" s="26"/>
      <c r="I67" s="26">
        <v>5.9</v>
      </c>
      <c r="J67" s="26">
        <v>1294.7222222222222</v>
      </c>
      <c r="K67" s="26">
        <v>491.66666666666669</v>
      </c>
      <c r="L67" s="26"/>
      <c r="M67" s="26"/>
      <c r="N67" s="26">
        <v>1786.3888888888889</v>
      </c>
      <c r="O67" s="26">
        <v>491.66666666666669</v>
      </c>
      <c r="P67" s="26"/>
      <c r="Q67" s="26"/>
      <c r="R67" s="26">
        <v>2278.0555555555557</v>
      </c>
      <c r="S67" s="26">
        <v>491.66666666666669</v>
      </c>
      <c r="T67" s="26"/>
      <c r="U67" s="26"/>
      <c r="V67" s="26">
        <v>2769.7222222222222</v>
      </c>
      <c r="W67" s="26">
        <v>508.05555555555554</v>
      </c>
      <c r="X67" s="35"/>
      <c r="Y67" s="26"/>
      <c r="Z67" s="26">
        <v>3277.7777777777778</v>
      </c>
      <c r="AA67" s="26">
        <v>484.93150684931504</v>
      </c>
      <c r="AB67" s="35"/>
      <c r="AC67" s="26"/>
      <c r="AD67" s="26">
        <v>3762.709284627093</v>
      </c>
      <c r="AE67" s="26">
        <v>501.09589041095887</v>
      </c>
      <c r="AF67" s="26"/>
      <c r="AG67" s="26"/>
      <c r="AH67" s="26">
        <v>4263.8051750380519</v>
      </c>
      <c r="AI67" s="26">
        <v>501.09589041095887</v>
      </c>
      <c r="AJ67" s="26"/>
      <c r="AK67" s="26"/>
      <c r="AL67" s="26">
        <v>4764.9010654490103</v>
      </c>
      <c r="AM67" s="26">
        <v>484.93150684931504</v>
      </c>
      <c r="AN67" s="26"/>
      <c r="AO67" s="26"/>
      <c r="AP67" s="26">
        <f>+AL67+AM67+AN67+AO67</f>
        <v>5249.8325722983254</v>
      </c>
      <c r="AQ67" s="25"/>
    </row>
    <row r="68" spans="1:43" s="1" customFormat="1" x14ac:dyDescent="0.3">
      <c r="A68" s="34">
        <v>5004</v>
      </c>
      <c r="B68" s="33" t="s">
        <v>336</v>
      </c>
      <c r="C68" s="33" t="s">
        <v>335</v>
      </c>
      <c r="D68" s="33" t="s">
        <v>334</v>
      </c>
      <c r="E68" s="32">
        <v>94477.4</v>
      </c>
      <c r="F68" s="31">
        <v>43792</v>
      </c>
      <c r="G68" s="31">
        <v>44158</v>
      </c>
      <c r="H68" s="26"/>
      <c r="I68" s="26">
        <v>5.9</v>
      </c>
      <c r="J68" s="26">
        <v>1223.2198927777779</v>
      </c>
      <c r="K68" s="26">
        <v>464.51388333333341</v>
      </c>
      <c r="L68" s="26"/>
      <c r="M68" s="26"/>
      <c r="N68" s="26">
        <v>1687.7337761111112</v>
      </c>
      <c r="O68" s="26">
        <v>464.51388333333341</v>
      </c>
      <c r="P68" s="26"/>
      <c r="Q68" s="26"/>
      <c r="R68" s="26">
        <v>2152.2476594444447</v>
      </c>
      <c r="S68" s="26">
        <v>464.51388333333341</v>
      </c>
      <c r="T68" s="26"/>
      <c r="U68" s="26"/>
      <c r="V68" s="26">
        <v>2616.7615427777782</v>
      </c>
      <c r="W68" s="26">
        <v>479.99767944444449</v>
      </c>
      <c r="X68" s="35"/>
      <c r="Y68" s="26"/>
      <c r="Z68" s="26">
        <v>3096.7592222222229</v>
      </c>
      <c r="AA68" s="26">
        <v>458.15067945205482</v>
      </c>
      <c r="AB68" s="35"/>
      <c r="AC68" s="26"/>
      <c r="AD68" s="26">
        <v>3554.9099016742775</v>
      </c>
      <c r="AE68" s="26">
        <v>473.42236876712332</v>
      </c>
      <c r="AF68" s="26"/>
      <c r="AG68" s="26"/>
      <c r="AH68" s="26">
        <v>4028.3322704414009</v>
      </c>
      <c r="AI68" s="26">
        <v>473.42236876712332</v>
      </c>
      <c r="AJ68" s="26"/>
      <c r="AK68" s="26"/>
      <c r="AL68" s="26">
        <v>4501.7546392085242</v>
      </c>
      <c r="AM68" s="26">
        <v>458.15067945205476</v>
      </c>
      <c r="AN68" s="26"/>
      <c r="AO68" s="26"/>
      <c r="AP68" s="26">
        <f>+AL68+AM68+AN68+AO68</f>
        <v>4959.9053186605788</v>
      </c>
      <c r="AQ68" s="25"/>
    </row>
    <row r="69" spans="1:43" s="1" customFormat="1" x14ac:dyDescent="0.3">
      <c r="A69" s="34">
        <v>5004</v>
      </c>
      <c r="B69" s="33" t="s">
        <v>117</v>
      </c>
      <c r="C69" s="33" t="s">
        <v>333</v>
      </c>
      <c r="D69" s="33" t="s">
        <v>332</v>
      </c>
      <c r="E69" s="32">
        <v>100000</v>
      </c>
      <c r="F69" s="31">
        <v>43792</v>
      </c>
      <c r="G69" s="31">
        <v>44158</v>
      </c>
      <c r="H69" s="26"/>
      <c r="I69" s="26">
        <v>5.85</v>
      </c>
      <c r="J69" s="26">
        <v>1283.75</v>
      </c>
      <c r="K69" s="26">
        <v>487.5</v>
      </c>
      <c r="L69" s="26"/>
      <c r="M69" s="26"/>
      <c r="N69" s="26">
        <v>1771.25</v>
      </c>
      <c r="O69" s="26">
        <v>487.5</v>
      </c>
      <c r="P69" s="26"/>
      <c r="Q69" s="26"/>
      <c r="R69" s="26">
        <v>2258.75</v>
      </c>
      <c r="S69" s="26">
        <v>487.5</v>
      </c>
      <c r="T69" s="26"/>
      <c r="U69" s="26"/>
      <c r="V69" s="26">
        <v>2746.25</v>
      </c>
      <c r="W69" s="26">
        <v>503.75</v>
      </c>
      <c r="X69" s="35"/>
      <c r="Y69" s="26"/>
      <c r="Z69" s="26">
        <v>3250</v>
      </c>
      <c r="AA69" s="26">
        <v>480.82191780821915</v>
      </c>
      <c r="AB69" s="35"/>
      <c r="AC69" s="26"/>
      <c r="AD69" s="26">
        <v>3730.821917808219</v>
      </c>
      <c r="AE69" s="26">
        <v>496.84931506849313</v>
      </c>
      <c r="AF69" s="26"/>
      <c r="AG69" s="26"/>
      <c r="AH69" s="26">
        <v>4227.6712328767126</v>
      </c>
      <c r="AI69" s="26">
        <v>496.84931506849313</v>
      </c>
      <c r="AJ69" s="26"/>
      <c r="AK69" s="26"/>
      <c r="AL69" s="26">
        <v>4724.5205479452061</v>
      </c>
      <c r="AM69" s="26">
        <v>480.82191780821915</v>
      </c>
      <c r="AN69" s="26"/>
      <c r="AO69" s="26"/>
      <c r="AP69" s="26">
        <f>+AL69+AM69+AN69+AO69</f>
        <v>5205.3424657534251</v>
      </c>
      <c r="AQ69" s="25"/>
    </row>
    <row r="70" spans="1:43" s="1" customFormat="1" x14ac:dyDescent="0.3">
      <c r="A70" s="34">
        <v>5004</v>
      </c>
      <c r="B70" s="33" t="s">
        <v>117</v>
      </c>
      <c r="C70" s="33" t="s">
        <v>331</v>
      </c>
      <c r="D70" s="33" t="s">
        <v>330</v>
      </c>
      <c r="E70" s="32">
        <v>150000</v>
      </c>
      <c r="F70" s="31">
        <v>43793</v>
      </c>
      <c r="G70" s="31">
        <v>44159</v>
      </c>
      <c r="H70" s="26"/>
      <c r="I70" s="26">
        <v>5.85</v>
      </c>
      <c r="J70" s="26">
        <v>1901.25</v>
      </c>
      <c r="K70" s="26">
        <v>731.25</v>
      </c>
      <c r="L70" s="26"/>
      <c r="M70" s="26"/>
      <c r="N70" s="26">
        <v>2632.5</v>
      </c>
      <c r="O70" s="26">
        <v>731.25</v>
      </c>
      <c r="P70" s="26"/>
      <c r="Q70" s="26"/>
      <c r="R70" s="26">
        <v>3363.75</v>
      </c>
      <c r="S70" s="26">
        <v>731.25</v>
      </c>
      <c r="T70" s="26"/>
      <c r="U70" s="26"/>
      <c r="V70" s="26">
        <v>4095</v>
      </c>
      <c r="W70" s="26">
        <v>755.625</v>
      </c>
      <c r="X70" s="35"/>
      <c r="Y70" s="26"/>
      <c r="Z70" s="26">
        <v>4850.625</v>
      </c>
      <c r="AA70" s="26">
        <v>721.23287671232879</v>
      </c>
      <c r="AB70" s="35"/>
      <c r="AC70" s="26"/>
      <c r="AD70" s="26">
        <v>5571.857876712329</v>
      </c>
      <c r="AE70" s="26">
        <v>745.27397260273972</v>
      </c>
      <c r="AF70" s="26"/>
      <c r="AG70" s="26"/>
      <c r="AH70" s="26">
        <v>6317.1318493150684</v>
      </c>
      <c r="AI70" s="26">
        <v>745.27397260273972</v>
      </c>
      <c r="AJ70" s="26"/>
      <c r="AK70" s="26"/>
      <c r="AL70" s="26">
        <v>7062.4058219178078</v>
      </c>
      <c r="AM70" s="26">
        <v>721.23287671232879</v>
      </c>
      <c r="AN70" s="26"/>
      <c r="AO70" s="26"/>
      <c r="AP70" s="26">
        <f>+AL70+AM70+AN70+AO70</f>
        <v>7783.6386986301368</v>
      </c>
      <c r="AQ70" s="25"/>
    </row>
    <row r="71" spans="1:43" s="1" customFormat="1" x14ac:dyDescent="0.3">
      <c r="A71" s="37">
        <v>5031</v>
      </c>
      <c r="B71" s="25" t="s">
        <v>329</v>
      </c>
      <c r="C71" s="25" t="s">
        <v>328</v>
      </c>
      <c r="D71" s="25" t="s">
        <v>327</v>
      </c>
      <c r="E71" s="35"/>
      <c r="F71" s="31">
        <v>43801</v>
      </c>
      <c r="G71" s="31">
        <v>44166</v>
      </c>
      <c r="H71" s="26"/>
      <c r="I71" s="26">
        <v>6.4</v>
      </c>
      <c r="J71" s="26">
        <v>1418.7401671111111</v>
      </c>
      <c r="K71" s="26">
        <v>1330.0689066666666</v>
      </c>
      <c r="L71" s="26"/>
      <c r="M71" s="26"/>
      <c r="N71" s="26">
        <v>2748.8090737777775</v>
      </c>
      <c r="O71" s="26">
        <v>1330.0689066666666</v>
      </c>
      <c r="P71" s="26"/>
      <c r="Q71" s="26"/>
      <c r="R71" s="26">
        <v>4078.8779804444439</v>
      </c>
      <c r="S71" s="26">
        <v>1330.0689066666666</v>
      </c>
      <c r="T71" s="26"/>
      <c r="U71" s="26"/>
      <c r="V71" s="26">
        <v>5408.9468871111103</v>
      </c>
      <c r="W71" s="26">
        <v>1374.4045368888887</v>
      </c>
      <c r="X71" s="35">
        <v>-7718.76</v>
      </c>
      <c r="Y71" s="26">
        <v>935.41</v>
      </c>
      <c r="Z71" s="26">
        <v>1.4239999983374219E-3</v>
      </c>
      <c r="AA71" s="26">
        <v>0</v>
      </c>
      <c r="AB71" s="35">
        <v>-211.08</v>
      </c>
      <c r="AC71" s="26">
        <v>211.08</v>
      </c>
      <c r="AD71" s="26">
        <v>1.4239999983374219E-3</v>
      </c>
      <c r="AE71" s="26">
        <v>0</v>
      </c>
      <c r="AF71" s="26"/>
      <c r="AG71" s="26"/>
      <c r="AH71" s="26">
        <v>1.4239999983374219E-3</v>
      </c>
      <c r="AI71" s="26">
        <v>0</v>
      </c>
      <c r="AJ71" s="26"/>
      <c r="AK71" s="26"/>
      <c r="AL71" s="26">
        <v>1.4239999983374219E-3</v>
      </c>
      <c r="AM71" s="26">
        <v>0</v>
      </c>
      <c r="AN71" s="26"/>
      <c r="AO71" s="26"/>
      <c r="AP71" s="26">
        <f>+AL71+AM71+AN71+AO71</f>
        <v>1.4239999983374219E-3</v>
      </c>
      <c r="AQ71" s="25" t="s">
        <v>96</v>
      </c>
    </row>
    <row r="72" spans="1:43" s="1" customFormat="1" x14ac:dyDescent="0.3">
      <c r="A72" s="37">
        <v>5063</v>
      </c>
      <c r="B72" s="25" t="s">
        <v>25</v>
      </c>
      <c r="C72" s="25" t="s">
        <v>326</v>
      </c>
      <c r="D72" s="25" t="s">
        <v>325</v>
      </c>
      <c r="E72" s="35">
        <v>138000</v>
      </c>
      <c r="F72" s="31">
        <v>43800</v>
      </c>
      <c r="G72" s="31">
        <v>44166</v>
      </c>
      <c r="H72" s="26"/>
      <c r="I72" s="26">
        <v>4.4000000000000004</v>
      </c>
      <c r="J72" s="26">
        <v>539.73333333333346</v>
      </c>
      <c r="K72" s="26">
        <v>506.00000000000011</v>
      </c>
      <c r="L72" s="26"/>
      <c r="M72" s="26"/>
      <c r="N72" s="26">
        <v>1045.7333333333336</v>
      </c>
      <c r="O72" s="26">
        <v>506.00000000000011</v>
      </c>
      <c r="P72" s="26"/>
      <c r="Q72" s="26"/>
      <c r="R72" s="26">
        <v>1551.7333333333336</v>
      </c>
      <c r="S72" s="26">
        <v>506.00000000000011</v>
      </c>
      <c r="T72" s="26"/>
      <c r="U72" s="26"/>
      <c r="V72" s="26">
        <v>2057.7333333333336</v>
      </c>
      <c r="W72" s="26">
        <v>522.86666666666679</v>
      </c>
      <c r="X72" s="35"/>
      <c r="Y72" s="26"/>
      <c r="Z72" s="26">
        <v>2580.6000000000004</v>
      </c>
      <c r="AA72" s="26">
        <v>499.06849315068496</v>
      </c>
      <c r="AB72" s="35"/>
      <c r="AC72" s="26"/>
      <c r="AD72" s="26">
        <v>3079.6684931506852</v>
      </c>
      <c r="AE72" s="26">
        <v>515.7041095890412</v>
      </c>
      <c r="AF72" s="26"/>
      <c r="AG72" s="26"/>
      <c r="AH72" s="26">
        <v>3595.3726027397265</v>
      </c>
      <c r="AI72" s="26">
        <v>515.7041095890412</v>
      </c>
      <c r="AJ72" s="26"/>
      <c r="AK72" s="26"/>
      <c r="AL72" s="26">
        <v>4111.0767123287678</v>
      </c>
      <c r="AM72" s="26">
        <v>499.06849315068496</v>
      </c>
      <c r="AN72" s="26"/>
      <c r="AO72" s="26"/>
      <c r="AP72" s="26">
        <f>+AL72+AM72+AN72+AO72</f>
        <v>4610.1452054794527</v>
      </c>
      <c r="AQ72" s="25"/>
    </row>
    <row r="73" spans="1:43" s="1" customFormat="1" x14ac:dyDescent="0.3">
      <c r="A73" s="37">
        <v>5005</v>
      </c>
      <c r="B73" s="25" t="s">
        <v>10</v>
      </c>
      <c r="C73" s="25" t="s">
        <v>324</v>
      </c>
      <c r="D73" s="25" t="s">
        <v>323</v>
      </c>
      <c r="E73" s="35">
        <v>1400000</v>
      </c>
      <c r="F73" s="31">
        <v>43803</v>
      </c>
      <c r="G73" s="31">
        <v>44169</v>
      </c>
      <c r="H73" s="26"/>
      <c r="I73" s="26">
        <v>0.4</v>
      </c>
      <c r="J73" s="26">
        <v>544.44444444444446</v>
      </c>
      <c r="K73" s="26">
        <v>466.66666666666669</v>
      </c>
      <c r="L73" s="26"/>
      <c r="M73" s="26"/>
      <c r="N73" s="26">
        <v>1011.1111111111111</v>
      </c>
      <c r="O73" s="26">
        <v>466.66666666666669</v>
      </c>
      <c r="P73" s="26"/>
      <c r="Q73" s="26"/>
      <c r="R73" s="26">
        <v>1477.7777777777778</v>
      </c>
      <c r="S73" s="26">
        <v>466.66666666666669</v>
      </c>
      <c r="T73" s="26"/>
      <c r="U73" s="26"/>
      <c r="V73" s="26">
        <v>1944.4444444444446</v>
      </c>
      <c r="W73" s="26">
        <v>482.22222222222223</v>
      </c>
      <c r="X73" s="35"/>
      <c r="Y73" s="26"/>
      <c r="Z73" s="26">
        <v>2426.666666666667</v>
      </c>
      <c r="AA73" s="26">
        <v>460.27397260273972</v>
      </c>
      <c r="AB73" s="35"/>
      <c r="AC73" s="26"/>
      <c r="AD73" s="26">
        <v>2886.9406392694068</v>
      </c>
      <c r="AE73" s="26">
        <v>475.61643835616434</v>
      </c>
      <c r="AF73" s="26"/>
      <c r="AG73" s="26"/>
      <c r="AH73" s="26">
        <v>3362.5570776255713</v>
      </c>
      <c r="AI73" s="26">
        <v>475.61643835616434</v>
      </c>
      <c r="AJ73" s="26"/>
      <c r="AK73" s="26"/>
      <c r="AL73" s="26">
        <v>3838.1735159817358</v>
      </c>
      <c r="AM73" s="26">
        <v>460.27397260273972</v>
      </c>
      <c r="AN73" s="26"/>
      <c r="AO73" s="26"/>
      <c r="AP73" s="26">
        <f>+AL73+AM73+AN73+AO73</f>
        <v>4298.4474885844756</v>
      </c>
      <c r="AQ73" s="25"/>
    </row>
    <row r="74" spans="1:43" s="1" customFormat="1" x14ac:dyDescent="0.3">
      <c r="A74" s="37">
        <v>5056</v>
      </c>
      <c r="B74" s="25" t="s">
        <v>322</v>
      </c>
      <c r="C74" s="25" t="s">
        <v>321</v>
      </c>
      <c r="D74" s="25" t="s">
        <v>320</v>
      </c>
      <c r="E74" s="35">
        <v>33000</v>
      </c>
      <c r="F74" s="31">
        <v>43811</v>
      </c>
      <c r="G74" s="31">
        <v>44177</v>
      </c>
      <c r="H74" s="26"/>
      <c r="I74" s="26">
        <v>6.4</v>
      </c>
      <c r="J74" s="26">
        <v>252.26666666666665</v>
      </c>
      <c r="K74" s="26">
        <v>176</v>
      </c>
      <c r="L74" s="26"/>
      <c r="M74" s="26"/>
      <c r="N74" s="26">
        <v>428.26666666666665</v>
      </c>
      <c r="O74" s="26">
        <v>176</v>
      </c>
      <c r="P74" s="26"/>
      <c r="Q74" s="26"/>
      <c r="R74" s="26">
        <v>604.26666666666665</v>
      </c>
      <c r="S74" s="26">
        <v>176</v>
      </c>
      <c r="T74" s="26"/>
      <c r="U74" s="26"/>
      <c r="V74" s="26">
        <v>780.26666666666665</v>
      </c>
      <c r="W74" s="26">
        <v>181.86666666666665</v>
      </c>
      <c r="X74" s="35"/>
      <c r="Y74" s="26"/>
      <c r="Z74" s="26">
        <v>962.13333333333333</v>
      </c>
      <c r="AA74" s="26">
        <v>173.58904109589042</v>
      </c>
      <c r="AB74" s="35"/>
      <c r="AC74" s="26"/>
      <c r="AD74" s="26">
        <v>1135.7223744292237</v>
      </c>
      <c r="AE74" s="26">
        <v>179.37534246575342</v>
      </c>
      <c r="AF74" s="26"/>
      <c r="AG74" s="26"/>
      <c r="AH74" s="26">
        <v>1315.0977168949771</v>
      </c>
      <c r="AI74" s="26">
        <v>179.37534246575342</v>
      </c>
      <c r="AJ74" s="26"/>
      <c r="AK74" s="26"/>
      <c r="AL74" s="26">
        <v>1494.4730593607305</v>
      </c>
      <c r="AM74" s="26">
        <v>173.58904109589042</v>
      </c>
      <c r="AN74" s="26"/>
      <c r="AO74" s="26"/>
      <c r="AP74" s="26">
        <f>+AL74+AM74+AN74+AO74</f>
        <v>1668.062100456621</v>
      </c>
      <c r="AQ74" s="25"/>
    </row>
    <row r="75" spans="1:43" s="1" customFormat="1" x14ac:dyDescent="0.3">
      <c r="A75" s="37">
        <v>5005</v>
      </c>
      <c r="B75" s="25" t="s">
        <v>265</v>
      </c>
      <c r="C75" s="25" t="s">
        <v>319</v>
      </c>
      <c r="D75" s="25" t="s">
        <v>318</v>
      </c>
      <c r="E75" s="35">
        <v>30000</v>
      </c>
      <c r="F75" s="31">
        <v>43815</v>
      </c>
      <c r="G75" s="31">
        <v>44181</v>
      </c>
      <c r="H75" s="26"/>
      <c r="I75" s="26">
        <v>6.9</v>
      </c>
      <c r="J75" s="26">
        <v>270.25</v>
      </c>
      <c r="K75" s="26">
        <v>172.5</v>
      </c>
      <c r="L75" s="26"/>
      <c r="M75" s="26"/>
      <c r="N75" s="26">
        <v>442.75</v>
      </c>
      <c r="O75" s="26">
        <v>172.5</v>
      </c>
      <c r="P75" s="26"/>
      <c r="Q75" s="26"/>
      <c r="R75" s="26">
        <v>615.25</v>
      </c>
      <c r="S75" s="26">
        <v>172.5</v>
      </c>
      <c r="T75" s="26"/>
      <c r="U75" s="26"/>
      <c r="V75" s="26">
        <v>787.75</v>
      </c>
      <c r="W75" s="26">
        <v>178.25</v>
      </c>
      <c r="X75" s="35"/>
      <c r="Y75" s="26"/>
      <c r="Z75" s="26">
        <v>966</v>
      </c>
      <c r="AA75" s="26">
        <v>170.13698630136986</v>
      </c>
      <c r="AB75" s="35"/>
      <c r="AC75" s="26"/>
      <c r="AD75" s="26">
        <v>1136.1369863013699</v>
      </c>
      <c r="AE75" s="26">
        <v>175.80821917808217</v>
      </c>
      <c r="AF75" s="26"/>
      <c r="AG75" s="26"/>
      <c r="AH75" s="26">
        <v>1311.9452054794522</v>
      </c>
      <c r="AI75" s="26">
        <v>175.80821917808217</v>
      </c>
      <c r="AJ75" s="26"/>
      <c r="AK75" s="26"/>
      <c r="AL75" s="26">
        <v>1487.7534246575344</v>
      </c>
      <c r="AM75" s="26">
        <v>170.13698630136986</v>
      </c>
      <c r="AN75" s="26"/>
      <c r="AO75" s="26"/>
      <c r="AP75" s="26">
        <f>+AL75+AM75+AN75+AO75</f>
        <v>1657.8904109589043</v>
      </c>
      <c r="AQ75" s="25"/>
    </row>
    <row r="76" spans="1:43" s="1" customFormat="1" x14ac:dyDescent="0.3">
      <c r="A76" s="37">
        <v>5061</v>
      </c>
      <c r="B76" s="25" t="s">
        <v>317</v>
      </c>
      <c r="C76" s="25" t="s">
        <v>316</v>
      </c>
      <c r="D76" s="25" t="s">
        <v>315</v>
      </c>
      <c r="E76" s="35">
        <v>200000</v>
      </c>
      <c r="F76" s="31">
        <v>43816</v>
      </c>
      <c r="G76" s="31">
        <v>44182</v>
      </c>
      <c r="H76" s="26"/>
      <c r="I76" s="26">
        <v>5.65</v>
      </c>
      <c r="J76" s="26">
        <v>1506.6666666666665</v>
      </c>
      <c r="K76" s="26">
        <v>941.66666666666663</v>
      </c>
      <c r="L76" s="26"/>
      <c r="M76" s="26"/>
      <c r="N76" s="26">
        <v>2448.333333333333</v>
      </c>
      <c r="O76" s="26">
        <v>941.66666666666663</v>
      </c>
      <c r="P76" s="26"/>
      <c r="Q76" s="26"/>
      <c r="R76" s="26">
        <v>3389.9999999999995</v>
      </c>
      <c r="S76" s="26">
        <v>941.66666666666663</v>
      </c>
      <c r="T76" s="26"/>
      <c r="U76" s="26"/>
      <c r="V76" s="26">
        <v>4331.6666666666661</v>
      </c>
      <c r="W76" s="26">
        <v>973.05555555555554</v>
      </c>
      <c r="X76" s="35"/>
      <c r="Y76" s="26"/>
      <c r="Z76" s="26">
        <v>5304.7222222222217</v>
      </c>
      <c r="AA76" s="26">
        <v>928.76712328767121</v>
      </c>
      <c r="AB76" s="35"/>
      <c r="AC76" s="26"/>
      <c r="AD76" s="26">
        <v>6233.4893455098927</v>
      </c>
      <c r="AE76" s="26">
        <v>959.72602739726028</v>
      </c>
      <c r="AF76" s="26"/>
      <c r="AG76" s="26"/>
      <c r="AH76" s="26">
        <v>7193.2153729071533</v>
      </c>
      <c r="AI76" s="26">
        <v>959.72602739726028</v>
      </c>
      <c r="AJ76" s="26"/>
      <c r="AK76" s="26"/>
      <c r="AL76" s="26">
        <v>8152.9414003044139</v>
      </c>
      <c r="AM76" s="26">
        <v>928.76712328767121</v>
      </c>
      <c r="AN76" s="26"/>
      <c r="AO76" s="26"/>
      <c r="AP76" s="26">
        <f>+AL76+AM76+AN76+AO76</f>
        <v>9081.7085235920858</v>
      </c>
      <c r="AQ76" s="25"/>
    </row>
    <row r="77" spans="1:43" s="1" customFormat="1" x14ac:dyDescent="0.3">
      <c r="A77" s="37">
        <v>5060</v>
      </c>
      <c r="B77" s="25" t="s">
        <v>233</v>
      </c>
      <c r="C77" s="25" t="s">
        <v>314</v>
      </c>
      <c r="D77" s="25" t="s">
        <v>313</v>
      </c>
      <c r="E77" s="35">
        <v>170000</v>
      </c>
      <c r="F77" s="31">
        <v>43822</v>
      </c>
      <c r="G77" s="31">
        <v>44186</v>
      </c>
      <c r="H77" s="26"/>
      <c r="I77" s="26">
        <v>5.65</v>
      </c>
      <c r="J77" s="26">
        <v>1387.3888888888891</v>
      </c>
      <c r="K77" s="26">
        <v>800.41666666666674</v>
      </c>
      <c r="L77" s="26"/>
      <c r="M77" s="26"/>
      <c r="N77" s="26">
        <v>2187.8055555555557</v>
      </c>
      <c r="O77" s="26">
        <v>800.41666666666674</v>
      </c>
      <c r="P77" s="26"/>
      <c r="Q77" s="26"/>
      <c r="R77" s="26">
        <v>2988.2222222222226</v>
      </c>
      <c r="S77" s="26">
        <v>800.41666666666674</v>
      </c>
      <c r="T77" s="26"/>
      <c r="U77" s="26"/>
      <c r="V77" s="26">
        <v>3788.6388888888896</v>
      </c>
      <c r="W77" s="26">
        <v>827.09722222222229</v>
      </c>
      <c r="X77" s="35"/>
      <c r="Y77" s="26"/>
      <c r="Z77" s="26">
        <v>4615.7361111111122</v>
      </c>
      <c r="AA77" s="26">
        <v>789.45205479452056</v>
      </c>
      <c r="AB77" s="35"/>
      <c r="AC77" s="26"/>
      <c r="AD77" s="26">
        <v>5405.1881659056326</v>
      </c>
      <c r="AE77" s="26">
        <v>815.76712328767132</v>
      </c>
      <c r="AF77" s="26"/>
      <c r="AG77" s="26"/>
      <c r="AH77" s="26">
        <v>6220.9552891933035</v>
      </c>
      <c r="AI77" s="26">
        <v>815.76712328767132</v>
      </c>
      <c r="AJ77" s="26"/>
      <c r="AK77" s="26"/>
      <c r="AL77" s="26">
        <v>7036.7224124809745</v>
      </c>
      <c r="AM77" s="26">
        <v>789.45205479452056</v>
      </c>
      <c r="AN77" s="26"/>
      <c r="AO77" s="26"/>
      <c r="AP77" s="26">
        <f>+AL77+AM77+AN77+AO77</f>
        <v>7826.1744672754949</v>
      </c>
      <c r="AQ77" s="25"/>
    </row>
    <row r="78" spans="1:43" s="1" customFormat="1" x14ac:dyDescent="0.3">
      <c r="A78" s="37">
        <v>5060</v>
      </c>
      <c r="B78" s="25" t="s">
        <v>233</v>
      </c>
      <c r="C78" s="25" t="s">
        <v>312</v>
      </c>
      <c r="D78" s="25" t="s">
        <v>311</v>
      </c>
      <c r="E78" s="35">
        <v>254800</v>
      </c>
      <c r="F78" s="31">
        <v>43822</v>
      </c>
      <c r="G78" s="31">
        <v>44186</v>
      </c>
      <c r="H78" s="26"/>
      <c r="I78" s="26">
        <v>5.65</v>
      </c>
      <c r="J78" s="26">
        <v>2079.451111111111</v>
      </c>
      <c r="K78" s="26">
        <v>1199.6833333333334</v>
      </c>
      <c r="L78" s="26"/>
      <c r="M78" s="26"/>
      <c r="N78" s="26">
        <v>3279.1344444444444</v>
      </c>
      <c r="O78" s="26">
        <v>1199.6833333333334</v>
      </c>
      <c r="P78" s="26"/>
      <c r="Q78" s="26"/>
      <c r="R78" s="26">
        <v>4478.8177777777782</v>
      </c>
      <c r="S78" s="26">
        <v>1199.6833333333334</v>
      </c>
      <c r="T78" s="26"/>
      <c r="U78" s="26"/>
      <c r="V78" s="26">
        <v>5678.5011111111116</v>
      </c>
      <c r="W78" s="26">
        <v>1239.6727777777778</v>
      </c>
      <c r="X78" s="35"/>
      <c r="Y78" s="26"/>
      <c r="Z78" s="26">
        <v>6918.1738888888895</v>
      </c>
      <c r="AA78" s="26">
        <v>1183.2493150684932</v>
      </c>
      <c r="AB78" s="35"/>
      <c r="AC78" s="26"/>
      <c r="AD78" s="26">
        <v>8101.4232039573826</v>
      </c>
      <c r="AE78" s="26">
        <v>1222.6909589041097</v>
      </c>
      <c r="AF78" s="26"/>
      <c r="AG78" s="26"/>
      <c r="AH78" s="26">
        <v>9324.1141628614932</v>
      </c>
      <c r="AI78" s="26">
        <v>1222.6909589041097</v>
      </c>
      <c r="AJ78" s="26"/>
      <c r="AK78" s="26"/>
      <c r="AL78" s="26">
        <v>10546.805121765603</v>
      </c>
      <c r="AM78" s="26">
        <v>1183.2493150684932</v>
      </c>
      <c r="AN78" s="26"/>
      <c r="AO78" s="26"/>
      <c r="AP78" s="26">
        <f>+AL78+AM78+AN78+AO78</f>
        <v>11730.054436834096</v>
      </c>
      <c r="AQ78" s="25"/>
    </row>
    <row r="79" spans="1:43" s="1" customFormat="1" x14ac:dyDescent="0.3">
      <c r="A79" s="37">
        <v>5060</v>
      </c>
      <c r="B79" s="25" t="s">
        <v>233</v>
      </c>
      <c r="C79" s="25" t="s">
        <v>310</v>
      </c>
      <c r="D79" s="25" t="s">
        <v>309</v>
      </c>
      <c r="E79" s="35">
        <v>126000</v>
      </c>
      <c r="F79" s="31">
        <v>43822</v>
      </c>
      <c r="G79" s="31">
        <v>44186</v>
      </c>
      <c r="H79" s="26"/>
      <c r="I79" s="26">
        <v>5.65</v>
      </c>
      <c r="J79" s="26">
        <v>1028.3</v>
      </c>
      <c r="K79" s="26">
        <v>593.25</v>
      </c>
      <c r="L79" s="26"/>
      <c r="M79" s="26"/>
      <c r="N79" s="26">
        <v>1621.55</v>
      </c>
      <c r="O79" s="26">
        <v>593.25</v>
      </c>
      <c r="P79" s="26"/>
      <c r="Q79" s="26"/>
      <c r="R79" s="26">
        <v>2214.8000000000002</v>
      </c>
      <c r="S79" s="26">
        <v>593.25</v>
      </c>
      <c r="T79" s="26"/>
      <c r="U79" s="26"/>
      <c r="V79" s="26">
        <v>2808.05</v>
      </c>
      <c r="W79" s="26">
        <v>613.02499999999998</v>
      </c>
      <c r="X79" s="35"/>
      <c r="Y79" s="26"/>
      <c r="Z79" s="26">
        <v>3421.0750000000003</v>
      </c>
      <c r="AA79" s="26">
        <v>585.1232876712329</v>
      </c>
      <c r="AB79" s="35"/>
      <c r="AC79" s="26"/>
      <c r="AD79" s="26">
        <v>4006.1982876712332</v>
      </c>
      <c r="AE79" s="26">
        <v>604.62739726027394</v>
      </c>
      <c r="AF79" s="26"/>
      <c r="AG79" s="26"/>
      <c r="AH79" s="26">
        <v>4610.8256849315076</v>
      </c>
      <c r="AI79" s="26">
        <v>604.62739726027394</v>
      </c>
      <c r="AJ79" s="26"/>
      <c r="AK79" s="26"/>
      <c r="AL79" s="26">
        <v>5215.4530821917815</v>
      </c>
      <c r="AM79" s="26">
        <v>585.1232876712329</v>
      </c>
      <c r="AN79" s="26"/>
      <c r="AO79" s="26"/>
      <c r="AP79" s="26">
        <f>+AL79+AM79+AN79+AO79</f>
        <v>5800.5763698630144</v>
      </c>
      <c r="AQ79" s="25"/>
    </row>
    <row r="80" spans="1:43" s="1" customFormat="1" x14ac:dyDescent="0.3">
      <c r="A80" s="37">
        <v>5060</v>
      </c>
      <c r="B80" s="25" t="s">
        <v>233</v>
      </c>
      <c r="C80" s="25" t="s">
        <v>308</v>
      </c>
      <c r="D80" s="25" t="s">
        <v>307</v>
      </c>
      <c r="E80" s="35">
        <v>275000</v>
      </c>
      <c r="F80" s="31">
        <v>43822</v>
      </c>
      <c r="G80" s="31">
        <v>44186</v>
      </c>
      <c r="H80" s="26"/>
      <c r="I80" s="26">
        <v>5.65</v>
      </c>
      <c r="J80" s="26">
        <v>2244.3055555555557</v>
      </c>
      <c r="K80" s="26">
        <v>1294.7916666666667</v>
      </c>
      <c r="L80" s="26"/>
      <c r="M80" s="26"/>
      <c r="N80" s="26">
        <v>3539.0972222222226</v>
      </c>
      <c r="O80" s="26">
        <v>1294.7916666666667</v>
      </c>
      <c r="P80" s="26"/>
      <c r="Q80" s="26"/>
      <c r="R80" s="26">
        <v>4833.8888888888896</v>
      </c>
      <c r="S80" s="26">
        <v>1294.7916666666667</v>
      </c>
      <c r="T80" s="26"/>
      <c r="U80" s="26"/>
      <c r="V80" s="26">
        <v>6128.6805555555566</v>
      </c>
      <c r="W80" s="26">
        <v>1337.9513888888889</v>
      </c>
      <c r="X80" s="35"/>
      <c r="Y80" s="26"/>
      <c r="Z80" s="26">
        <v>7466.6319444444453</v>
      </c>
      <c r="AA80" s="26">
        <v>1277.0547945205478</v>
      </c>
      <c r="AB80" s="35"/>
      <c r="AC80" s="26"/>
      <c r="AD80" s="26">
        <v>8743.6867389649924</v>
      </c>
      <c r="AE80" s="26">
        <v>1319.6232876712329</v>
      </c>
      <c r="AF80" s="26"/>
      <c r="AG80" s="26"/>
      <c r="AH80" s="26">
        <v>10063.310026636225</v>
      </c>
      <c r="AI80" s="26">
        <v>1319.6232876712329</v>
      </c>
      <c r="AJ80" s="26"/>
      <c r="AK80" s="26"/>
      <c r="AL80" s="26">
        <v>11382.933314307458</v>
      </c>
      <c r="AM80" s="26">
        <v>1277.0547945205481</v>
      </c>
      <c r="AN80" s="26"/>
      <c r="AO80" s="26"/>
      <c r="AP80" s="26">
        <f>+AL80+AM80+AN80+AO80</f>
        <v>12659.988108828005</v>
      </c>
      <c r="AQ80" s="25"/>
    </row>
    <row r="81" spans="1:43" s="1" customFormat="1" x14ac:dyDescent="0.3">
      <c r="A81" s="37">
        <v>5060</v>
      </c>
      <c r="B81" s="25" t="s">
        <v>233</v>
      </c>
      <c r="C81" s="25" t="s">
        <v>306</v>
      </c>
      <c r="D81" s="25" t="s">
        <v>305</v>
      </c>
      <c r="E81" s="35">
        <v>206000</v>
      </c>
      <c r="F81" s="31">
        <v>43822</v>
      </c>
      <c r="G81" s="31">
        <v>44186</v>
      </c>
      <c r="H81" s="26"/>
      <c r="I81" s="26">
        <v>5.65</v>
      </c>
      <c r="J81" s="26">
        <v>1681.1888888888889</v>
      </c>
      <c r="K81" s="26">
        <v>969.91666666666663</v>
      </c>
      <c r="L81" s="26"/>
      <c r="M81" s="26"/>
      <c r="N81" s="26">
        <v>2651.1055555555554</v>
      </c>
      <c r="O81" s="26">
        <v>969.91666666666663</v>
      </c>
      <c r="P81" s="26"/>
      <c r="Q81" s="26"/>
      <c r="R81" s="26">
        <v>3621.0222222222219</v>
      </c>
      <c r="S81" s="26">
        <v>969.91666666666663</v>
      </c>
      <c r="T81" s="26"/>
      <c r="U81" s="26"/>
      <c r="V81" s="26">
        <v>4590.9388888888889</v>
      </c>
      <c r="W81" s="26">
        <v>1002.2472222222223</v>
      </c>
      <c r="X81" s="35"/>
      <c r="Y81" s="26"/>
      <c r="Z81" s="26">
        <v>5593.1861111111111</v>
      </c>
      <c r="AA81" s="26">
        <v>956.63013698630141</v>
      </c>
      <c r="AB81" s="35"/>
      <c r="AC81" s="26"/>
      <c r="AD81" s="26">
        <v>6549.8162480974124</v>
      </c>
      <c r="AE81" s="26">
        <v>988.51780821917805</v>
      </c>
      <c r="AF81" s="26"/>
      <c r="AG81" s="26"/>
      <c r="AH81" s="26">
        <v>7538.3340563165902</v>
      </c>
      <c r="AI81" s="26">
        <v>988.51780821917805</v>
      </c>
      <c r="AJ81" s="26"/>
      <c r="AK81" s="26"/>
      <c r="AL81" s="26">
        <v>8526.851864535769</v>
      </c>
      <c r="AM81" s="26">
        <v>956.63013698630141</v>
      </c>
      <c r="AN81" s="26"/>
      <c r="AO81" s="26"/>
      <c r="AP81" s="26">
        <f>+AL81+AM81+AN81+AO81</f>
        <v>9483.4820015220703</v>
      </c>
      <c r="AQ81" s="25"/>
    </row>
    <row r="82" spans="1:43" s="1" customFormat="1" x14ac:dyDescent="0.3">
      <c r="A82" s="37">
        <v>5060</v>
      </c>
      <c r="B82" s="25" t="s">
        <v>233</v>
      </c>
      <c r="C82" s="25" t="s">
        <v>304</v>
      </c>
      <c r="D82" s="25" t="s">
        <v>303</v>
      </c>
      <c r="E82" s="35">
        <v>130000</v>
      </c>
      <c r="F82" s="31">
        <v>43822</v>
      </c>
      <c r="G82" s="31">
        <v>44186</v>
      </c>
      <c r="H82" s="26"/>
      <c r="I82" s="26">
        <v>5.65</v>
      </c>
      <c r="J82" s="26">
        <v>1060.9444444444443</v>
      </c>
      <c r="K82" s="26">
        <v>612.08333333333337</v>
      </c>
      <c r="L82" s="26"/>
      <c r="M82" s="26"/>
      <c r="N82" s="26">
        <v>1673.0277777777778</v>
      </c>
      <c r="O82" s="26">
        <v>612.08333333333337</v>
      </c>
      <c r="P82" s="26"/>
      <c r="Q82" s="26"/>
      <c r="R82" s="26">
        <v>2285.1111111111113</v>
      </c>
      <c r="S82" s="26">
        <v>612.08333333333337</v>
      </c>
      <c r="T82" s="26"/>
      <c r="U82" s="26"/>
      <c r="V82" s="26">
        <v>2897.1944444444448</v>
      </c>
      <c r="W82" s="26">
        <v>632.48611111111109</v>
      </c>
      <c r="X82" s="35"/>
      <c r="Y82" s="26"/>
      <c r="Z82" s="26">
        <v>3529.6805555555557</v>
      </c>
      <c r="AA82" s="26">
        <v>603.69863013698625</v>
      </c>
      <c r="AB82" s="35"/>
      <c r="AC82" s="26"/>
      <c r="AD82" s="26">
        <v>4133.3791856925418</v>
      </c>
      <c r="AE82" s="26">
        <v>623.82191780821915</v>
      </c>
      <c r="AF82" s="26"/>
      <c r="AG82" s="26"/>
      <c r="AH82" s="26">
        <v>4757.2011035007608</v>
      </c>
      <c r="AI82" s="26">
        <v>623.82191780821915</v>
      </c>
      <c r="AJ82" s="26"/>
      <c r="AK82" s="26"/>
      <c r="AL82" s="26">
        <v>5381.0230213089799</v>
      </c>
      <c r="AM82" s="26">
        <v>603.69863013698637</v>
      </c>
      <c r="AN82" s="26"/>
      <c r="AO82" s="26"/>
      <c r="AP82" s="26">
        <f>+AL82+AM82+AN82+AO82</f>
        <v>5984.721651445966</v>
      </c>
      <c r="AQ82" s="25"/>
    </row>
    <row r="83" spans="1:43" s="1" customFormat="1" x14ac:dyDescent="0.3">
      <c r="A83" s="37">
        <v>5060</v>
      </c>
      <c r="B83" s="25" t="s">
        <v>233</v>
      </c>
      <c r="C83" s="25" t="s">
        <v>302</v>
      </c>
      <c r="D83" s="25" t="s">
        <v>301</v>
      </c>
      <c r="E83" s="35">
        <v>51138.69</v>
      </c>
      <c r="F83" s="31">
        <v>43822</v>
      </c>
      <c r="G83" s="31">
        <v>44186</v>
      </c>
      <c r="H83" s="26"/>
      <c r="I83" s="26">
        <v>5.65</v>
      </c>
      <c r="J83" s="26">
        <v>417.3485311666667</v>
      </c>
      <c r="K83" s="26">
        <v>240.77799875000005</v>
      </c>
      <c r="L83" s="26"/>
      <c r="M83" s="26"/>
      <c r="N83" s="26">
        <v>658.12652991666675</v>
      </c>
      <c r="O83" s="26">
        <v>240.77799875000005</v>
      </c>
      <c r="P83" s="26"/>
      <c r="Q83" s="26"/>
      <c r="R83" s="26">
        <v>898.90452866666681</v>
      </c>
      <c r="S83" s="26">
        <v>240.77799875000005</v>
      </c>
      <c r="T83" s="26"/>
      <c r="U83" s="26"/>
      <c r="V83" s="26">
        <v>1139.6825274166667</v>
      </c>
      <c r="W83" s="26">
        <v>248.80393204166671</v>
      </c>
      <c r="X83" s="35"/>
      <c r="Y83" s="26"/>
      <c r="Z83" s="26">
        <v>1388.4864594583335</v>
      </c>
      <c r="AA83" s="26">
        <v>237.47967000000003</v>
      </c>
      <c r="AB83" s="35"/>
      <c r="AC83" s="26"/>
      <c r="AD83" s="26">
        <v>1625.9661294583334</v>
      </c>
      <c r="AE83" s="26">
        <v>245.39565900000002</v>
      </c>
      <c r="AF83" s="26"/>
      <c r="AG83" s="26"/>
      <c r="AH83" s="26">
        <v>1871.3617884583334</v>
      </c>
      <c r="AI83" s="26">
        <v>245.39565900000002</v>
      </c>
      <c r="AJ83" s="26"/>
      <c r="AK83" s="26"/>
      <c r="AL83" s="26">
        <v>2116.7574474583334</v>
      </c>
      <c r="AM83" s="26">
        <v>237.47967000000003</v>
      </c>
      <c r="AN83" s="26"/>
      <c r="AO83" s="26"/>
      <c r="AP83" s="26">
        <f>+AL83+AM83+AN83+AO83</f>
        <v>2354.2371174583336</v>
      </c>
      <c r="AQ83" s="25"/>
    </row>
    <row r="84" spans="1:43" s="1" customFormat="1" x14ac:dyDescent="0.3">
      <c r="A84" s="37">
        <v>5060</v>
      </c>
      <c r="B84" s="25" t="s">
        <v>233</v>
      </c>
      <c r="C84" s="25" t="s">
        <v>300</v>
      </c>
      <c r="D84" s="25" t="s">
        <v>299</v>
      </c>
      <c r="E84" s="35">
        <v>200000</v>
      </c>
      <c r="F84" s="31">
        <v>43822</v>
      </c>
      <c r="G84" s="31">
        <v>44186</v>
      </c>
      <c r="H84" s="26"/>
      <c r="I84" s="26">
        <v>5.65</v>
      </c>
      <c r="J84" s="26">
        <v>1632.2222222222222</v>
      </c>
      <c r="K84" s="26">
        <v>941.66666666666663</v>
      </c>
      <c r="L84" s="26"/>
      <c r="M84" s="26"/>
      <c r="N84" s="26">
        <v>2573.8888888888887</v>
      </c>
      <c r="O84" s="26">
        <v>941.66666666666663</v>
      </c>
      <c r="P84" s="26"/>
      <c r="Q84" s="26"/>
      <c r="R84" s="26">
        <v>3515.5555555555552</v>
      </c>
      <c r="S84" s="26">
        <v>941.66666666666663</v>
      </c>
      <c r="T84" s="26"/>
      <c r="U84" s="26"/>
      <c r="V84" s="26">
        <v>4457.2222222222217</v>
      </c>
      <c r="W84" s="26">
        <v>973.05555555555554</v>
      </c>
      <c r="X84" s="35"/>
      <c r="Y84" s="26"/>
      <c r="Z84" s="26">
        <v>5430.2777777777774</v>
      </c>
      <c r="AA84" s="26">
        <v>928.76712328767121</v>
      </c>
      <c r="AB84" s="35"/>
      <c r="AC84" s="26"/>
      <c r="AD84" s="26">
        <v>6359.0449010654484</v>
      </c>
      <c r="AE84" s="26">
        <v>959.72602739726028</v>
      </c>
      <c r="AF84" s="26"/>
      <c r="AG84" s="26"/>
      <c r="AH84" s="26">
        <v>7318.770928462709</v>
      </c>
      <c r="AI84" s="26">
        <v>959.72602739726028</v>
      </c>
      <c r="AJ84" s="26"/>
      <c r="AK84" s="26"/>
      <c r="AL84" s="26">
        <v>8278.4969558599696</v>
      </c>
      <c r="AM84" s="26">
        <v>928.76712328767121</v>
      </c>
      <c r="AN84" s="26"/>
      <c r="AO84" s="26"/>
      <c r="AP84" s="26">
        <f>+AL84+AM84+AN84+AO84</f>
        <v>9207.2640791476406</v>
      </c>
      <c r="AQ84" s="25"/>
    </row>
    <row r="85" spans="1:43" s="1" customFormat="1" x14ac:dyDescent="0.3">
      <c r="A85" s="37">
        <v>5063</v>
      </c>
      <c r="B85" s="25" t="s">
        <v>25</v>
      </c>
      <c r="C85" s="25" t="s">
        <v>298</v>
      </c>
      <c r="D85" s="25" t="s">
        <v>297</v>
      </c>
      <c r="E85" s="35">
        <v>160000</v>
      </c>
      <c r="F85" s="31">
        <v>43832</v>
      </c>
      <c r="G85" s="31">
        <v>44198</v>
      </c>
      <c r="H85" s="26"/>
      <c r="I85" s="26">
        <v>4.4000000000000004</v>
      </c>
      <c r="J85" s="26">
        <v>567.1111111111112</v>
      </c>
      <c r="K85" s="26">
        <v>586.66666666666674</v>
      </c>
      <c r="L85" s="26"/>
      <c r="M85" s="26"/>
      <c r="N85" s="26">
        <v>1153.7777777777778</v>
      </c>
      <c r="O85" s="26">
        <v>586.66666666666674</v>
      </c>
      <c r="P85" s="26"/>
      <c r="Q85" s="26"/>
      <c r="R85" s="26">
        <v>1740.4444444444446</v>
      </c>
      <c r="S85" s="26">
        <v>586.66666666666674</v>
      </c>
      <c r="T85" s="26"/>
      <c r="U85" s="26"/>
      <c r="V85" s="26">
        <v>2327.1111111111113</v>
      </c>
      <c r="W85" s="26">
        <v>606.22222222222229</v>
      </c>
      <c r="X85" s="35"/>
      <c r="Y85" s="26"/>
      <c r="Z85" s="26">
        <v>2933.3333333333335</v>
      </c>
      <c r="AA85" s="26">
        <v>578.63013698630141</v>
      </c>
      <c r="AB85" s="35"/>
      <c r="AC85" s="26"/>
      <c r="AD85" s="26">
        <v>3511.9634703196348</v>
      </c>
      <c r="AE85" s="26">
        <v>597.91780821917814</v>
      </c>
      <c r="AF85" s="26"/>
      <c r="AG85" s="26"/>
      <c r="AH85" s="26">
        <v>4109.8812785388127</v>
      </c>
      <c r="AI85" s="26">
        <v>597.91780821917814</v>
      </c>
      <c r="AJ85" s="26"/>
      <c r="AK85" s="26"/>
      <c r="AL85" s="26">
        <v>4707.7990867579911</v>
      </c>
      <c r="AM85" s="26">
        <v>578.63013698630141</v>
      </c>
      <c r="AN85" s="26"/>
      <c r="AO85" s="26"/>
      <c r="AP85" s="26">
        <f>+AL85+AM85+AN85+AO85</f>
        <v>5286.4292237442924</v>
      </c>
      <c r="AQ85" s="25"/>
    </row>
    <row r="86" spans="1:43" s="1" customFormat="1" x14ac:dyDescent="0.3">
      <c r="A86" s="37">
        <v>5060</v>
      </c>
      <c r="B86" s="25" t="s">
        <v>19</v>
      </c>
      <c r="C86" s="25" t="s">
        <v>296</v>
      </c>
      <c r="D86" s="25" t="s">
        <v>295</v>
      </c>
      <c r="E86" s="35">
        <v>60000</v>
      </c>
      <c r="F86" s="31">
        <v>43837</v>
      </c>
      <c r="G86" s="31">
        <v>44203</v>
      </c>
      <c r="H86" s="26"/>
      <c r="I86" s="26">
        <v>1.9</v>
      </c>
      <c r="J86" s="26">
        <v>76</v>
      </c>
      <c r="K86" s="26">
        <v>95</v>
      </c>
      <c r="L86" s="26"/>
      <c r="M86" s="26"/>
      <c r="N86" s="26">
        <v>171</v>
      </c>
      <c r="O86" s="26">
        <v>95</v>
      </c>
      <c r="P86" s="26"/>
      <c r="Q86" s="26"/>
      <c r="R86" s="26">
        <v>266</v>
      </c>
      <c r="S86" s="26">
        <v>95</v>
      </c>
      <c r="T86" s="26"/>
      <c r="U86" s="26"/>
      <c r="V86" s="26">
        <v>361</v>
      </c>
      <c r="W86" s="26">
        <v>98.166666666666657</v>
      </c>
      <c r="X86" s="35"/>
      <c r="Y86" s="26"/>
      <c r="Z86" s="26">
        <v>459.16666666666663</v>
      </c>
      <c r="AA86" s="26">
        <v>93.69863013698631</v>
      </c>
      <c r="AB86" s="35"/>
      <c r="AC86" s="26"/>
      <c r="AD86" s="26">
        <v>552.86529680365288</v>
      </c>
      <c r="AE86" s="26">
        <v>96.821917808219183</v>
      </c>
      <c r="AF86" s="26"/>
      <c r="AG86" s="26"/>
      <c r="AH86" s="26">
        <v>649.68721461187204</v>
      </c>
      <c r="AI86" s="26">
        <v>96.821917808219183</v>
      </c>
      <c r="AJ86" s="26"/>
      <c r="AK86" s="26"/>
      <c r="AL86" s="26">
        <v>746.50913242009119</v>
      </c>
      <c r="AM86" s="26">
        <v>93.69863013698631</v>
      </c>
      <c r="AN86" s="26"/>
      <c r="AO86" s="26"/>
      <c r="AP86" s="26">
        <f>+AL86+AM86+AN86+AO86</f>
        <v>840.20776255707756</v>
      </c>
      <c r="AQ86" s="25"/>
    </row>
    <row r="87" spans="1:43" s="1" customFormat="1" x14ac:dyDescent="0.3">
      <c r="A87" s="37">
        <v>5060</v>
      </c>
      <c r="B87" s="25" t="s">
        <v>16</v>
      </c>
      <c r="C87" s="25" t="s">
        <v>294</v>
      </c>
      <c r="D87" s="25" t="s">
        <v>293</v>
      </c>
      <c r="E87" s="35">
        <v>60000</v>
      </c>
      <c r="F87" s="31">
        <v>43838</v>
      </c>
      <c r="G87" s="31">
        <v>44204</v>
      </c>
      <c r="H87" s="26"/>
      <c r="I87" s="26">
        <v>1.9</v>
      </c>
      <c r="J87" s="26">
        <v>72.833333333333329</v>
      </c>
      <c r="K87" s="26">
        <v>95</v>
      </c>
      <c r="L87" s="26"/>
      <c r="M87" s="26"/>
      <c r="N87" s="26">
        <v>167.83333333333331</v>
      </c>
      <c r="O87" s="26">
        <v>95</v>
      </c>
      <c r="P87" s="26"/>
      <c r="Q87" s="26"/>
      <c r="R87" s="26">
        <v>262.83333333333331</v>
      </c>
      <c r="S87" s="26">
        <v>95</v>
      </c>
      <c r="T87" s="26"/>
      <c r="U87" s="26"/>
      <c r="V87" s="26">
        <v>357.83333333333331</v>
      </c>
      <c r="W87" s="26">
        <v>98.166666666666657</v>
      </c>
      <c r="X87" s="35"/>
      <c r="Y87" s="26"/>
      <c r="Z87" s="26">
        <v>456</v>
      </c>
      <c r="AA87" s="26">
        <v>93.69863013698631</v>
      </c>
      <c r="AB87" s="35"/>
      <c r="AC87" s="26"/>
      <c r="AD87" s="26">
        <v>549.69863013698637</v>
      </c>
      <c r="AE87" s="26">
        <v>96.821917808219183</v>
      </c>
      <c r="AF87" s="26"/>
      <c r="AG87" s="26"/>
      <c r="AH87" s="26">
        <v>646.52054794520552</v>
      </c>
      <c r="AI87" s="26">
        <v>96.821917808219183</v>
      </c>
      <c r="AJ87" s="26"/>
      <c r="AK87" s="26"/>
      <c r="AL87" s="26">
        <v>743.34246575342468</v>
      </c>
      <c r="AM87" s="26">
        <v>93.69863013698631</v>
      </c>
      <c r="AN87" s="26"/>
      <c r="AO87" s="26"/>
      <c r="AP87" s="26">
        <f>+AL87+AM87+AN87+AO87</f>
        <v>837.04109589041104</v>
      </c>
      <c r="AQ87" s="25"/>
    </row>
    <row r="88" spans="1:43" s="1" customFormat="1" x14ac:dyDescent="0.3">
      <c r="A88" s="37">
        <v>5060</v>
      </c>
      <c r="B88" s="25" t="s">
        <v>233</v>
      </c>
      <c r="C88" s="25" t="s">
        <v>292</v>
      </c>
      <c r="D88" s="25" t="s">
        <v>291</v>
      </c>
      <c r="E88" s="35">
        <v>59000</v>
      </c>
      <c r="F88" s="31">
        <v>43846</v>
      </c>
      <c r="G88" s="31">
        <v>44212</v>
      </c>
      <c r="H88" s="26"/>
      <c r="I88" s="26">
        <v>5.65</v>
      </c>
      <c r="J88" s="26">
        <v>231.49305555555557</v>
      </c>
      <c r="K88" s="26">
        <v>277.79166666666669</v>
      </c>
      <c r="L88" s="26"/>
      <c r="M88" s="26"/>
      <c r="N88" s="26">
        <v>509.28472222222229</v>
      </c>
      <c r="O88" s="26">
        <v>277.79166666666669</v>
      </c>
      <c r="P88" s="26"/>
      <c r="Q88" s="26"/>
      <c r="R88" s="26">
        <v>787.07638888888891</v>
      </c>
      <c r="S88" s="26">
        <v>277.79166666666669</v>
      </c>
      <c r="T88" s="26"/>
      <c r="U88" s="26"/>
      <c r="V88" s="26">
        <v>1064.8680555555557</v>
      </c>
      <c r="W88" s="26">
        <v>287.05138888888894</v>
      </c>
      <c r="X88" s="35"/>
      <c r="Y88" s="26"/>
      <c r="Z88" s="26">
        <v>1351.9194444444447</v>
      </c>
      <c r="AA88" s="26">
        <v>273.98630136986304</v>
      </c>
      <c r="AB88" s="35"/>
      <c r="AC88" s="26"/>
      <c r="AD88" s="26">
        <v>1625.9057458143077</v>
      </c>
      <c r="AE88" s="26">
        <v>283.11917808219181</v>
      </c>
      <c r="AF88" s="26"/>
      <c r="AG88" s="26"/>
      <c r="AH88" s="26">
        <v>1909.0249238964996</v>
      </c>
      <c r="AI88" s="26">
        <v>283.11917808219181</v>
      </c>
      <c r="AJ88" s="26"/>
      <c r="AK88" s="26"/>
      <c r="AL88" s="26">
        <v>2192.1441019786912</v>
      </c>
      <c r="AM88" s="26">
        <v>273.98630136986304</v>
      </c>
      <c r="AN88" s="26"/>
      <c r="AO88" s="26"/>
      <c r="AP88" s="26">
        <f>+AL88+AM88+AN88+AO88</f>
        <v>2466.1304033485544</v>
      </c>
      <c r="AQ88" s="25"/>
    </row>
    <row r="89" spans="1:43" s="1" customFormat="1" x14ac:dyDescent="0.3">
      <c r="A89" s="37">
        <v>5060</v>
      </c>
      <c r="B89" s="25" t="s">
        <v>19</v>
      </c>
      <c r="C89" s="25" t="s">
        <v>290</v>
      </c>
      <c r="D89" s="25" t="s">
        <v>289</v>
      </c>
      <c r="E89" s="35">
        <v>50000</v>
      </c>
      <c r="F89" s="31">
        <v>43846</v>
      </c>
      <c r="G89" s="31">
        <v>44212</v>
      </c>
      <c r="H89" s="26"/>
      <c r="I89" s="26">
        <v>1.9</v>
      </c>
      <c r="J89" s="26">
        <v>65.972222222222214</v>
      </c>
      <c r="K89" s="26">
        <v>79.166666666666671</v>
      </c>
      <c r="L89" s="26"/>
      <c r="M89" s="26"/>
      <c r="N89" s="26">
        <v>145.13888888888889</v>
      </c>
      <c r="O89" s="26">
        <v>79.166666666666671</v>
      </c>
      <c r="P89" s="26"/>
      <c r="Q89" s="26"/>
      <c r="R89" s="26">
        <v>224.30555555555554</v>
      </c>
      <c r="S89" s="26">
        <v>79.166666666666671</v>
      </c>
      <c r="T89" s="26"/>
      <c r="U89" s="26"/>
      <c r="V89" s="26">
        <v>303.47222222222223</v>
      </c>
      <c r="W89" s="26">
        <v>81.805555555555557</v>
      </c>
      <c r="X89" s="35"/>
      <c r="Y89" s="26"/>
      <c r="Z89" s="26">
        <v>385.27777777777777</v>
      </c>
      <c r="AA89" s="26">
        <v>78.08219178082193</v>
      </c>
      <c r="AB89" s="35"/>
      <c r="AC89" s="26"/>
      <c r="AD89" s="26">
        <v>463.35996955859969</v>
      </c>
      <c r="AE89" s="26">
        <v>80.684931506849324</v>
      </c>
      <c r="AF89" s="26"/>
      <c r="AG89" s="26"/>
      <c r="AH89" s="26">
        <v>544.04490106544904</v>
      </c>
      <c r="AI89" s="26">
        <v>80.684931506849324</v>
      </c>
      <c r="AJ89" s="26"/>
      <c r="AK89" s="26"/>
      <c r="AL89" s="26">
        <v>624.72983257229839</v>
      </c>
      <c r="AM89" s="26">
        <v>78.08219178082193</v>
      </c>
      <c r="AN89" s="26"/>
      <c r="AO89" s="26"/>
      <c r="AP89" s="26">
        <f>+AL89+AM89+AN89+AO89</f>
        <v>702.81202435312036</v>
      </c>
      <c r="AQ89" s="25"/>
    </row>
    <row r="90" spans="1:43" s="1" customFormat="1" x14ac:dyDescent="0.3">
      <c r="A90" s="37">
        <v>5055</v>
      </c>
      <c r="B90" s="25" t="s">
        <v>159</v>
      </c>
      <c r="C90" s="25" t="s">
        <v>288</v>
      </c>
      <c r="D90" s="25" t="s">
        <v>287</v>
      </c>
      <c r="E90" s="35">
        <v>746000</v>
      </c>
      <c r="F90" s="31">
        <v>43851</v>
      </c>
      <c r="G90" s="31">
        <v>44206</v>
      </c>
      <c r="H90" s="26"/>
      <c r="I90" s="26">
        <v>7.55</v>
      </c>
      <c r="J90" s="26">
        <v>3285.5083333333332</v>
      </c>
      <c r="K90" s="26">
        <v>4693.5833333333339</v>
      </c>
      <c r="L90" s="26"/>
      <c r="M90" s="26"/>
      <c r="N90" s="26">
        <v>7979.0916666666672</v>
      </c>
      <c r="O90" s="26">
        <v>4693.5833333333339</v>
      </c>
      <c r="P90" s="26"/>
      <c r="Q90" s="26"/>
      <c r="R90" s="26">
        <v>12672.675000000001</v>
      </c>
      <c r="S90" s="26">
        <v>4693.5833333333339</v>
      </c>
      <c r="T90" s="26"/>
      <c r="U90" s="26"/>
      <c r="V90" s="26">
        <v>17366.258333333335</v>
      </c>
      <c r="W90" s="26">
        <v>4850.0361111111115</v>
      </c>
      <c r="X90" s="35"/>
      <c r="Y90" s="26"/>
      <c r="Z90" s="26">
        <v>22216.294444444447</v>
      </c>
      <c r="AA90" s="26">
        <v>4629.2876712328771</v>
      </c>
      <c r="AB90" s="35"/>
      <c r="AC90" s="26"/>
      <c r="AD90" s="26">
        <v>26845.582115677324</v>
      </c>
      <c r="AE90" s="26">
        <v>4783.597260273973</v>
      </c>
      <c r="AF90" s="26"/>
      <c r="AG90" s="26"/>
      <c r="AH90" s="26">
        <v>31629.179375951295</v>
      </c>
      <c r="AI90" s="26">
        <v>4783.597260273973</v>
      </c>
      <c r="AJ90" s="26"/>
      <c r="AK90" s="26"/>
      <c r="AL90" s="26">
        <v>36412.776636225266</v>
      </c>
      <c r="AM90" s="26">
        <v>4629.2876712328771</v>
      </c>
      <c r="AN90" s="26"/>
      <c r="AO90" s="26"/>
      <c r="AP90" s="26">
        <f>+AL90+AM90+AN90+AO90</f>
        <v>41042.064307458146</v>
      </c>
      <c r="AQ90" s="25"/>
    </row>
    <row r="91" spans="1:43" s="1" customFormat="1" x14ac:dyDescent="0.3">
      <c r="A91" s="37">
        <v>5055</v>
      </c>
      <c r="B91" s="25" t="s">
        <v>159</v>
      </c>
      <c r="C91" s="25" t="s">
        <v>286</v>
      </c>
      <c r="D91" s="25" t="s">
        <v>285</v>
      </c>
      <c r="E91" s="35">
        <v>50000</v>
      </c>
      <c r="F91" s="31">
        <v>43851</v>
      </c>
      <c r="G91" s="31">
        <v>44210</v>
      </c>
      <c r="H91" s="26"/>
      <c r="I91" s="26">
        <v>5.65</v>
      </c>
      <c r="J91" s="26">
        <v>133.40277777777777</v>
      </c>
      <c r="K91" s="26">
        <v>235.41666666666666</v>
      </c>
      <c r="L91" s="26"/>
      <c r="M91" s="26"/>
      <c r="N91" s="26">
        <v>368.81944444444446</v>
      </c>
      <c r="O91" s="26">
        <v>235.41666666666666</v>
      </c>
      <c r="P91" s="26"/>
      <c r="Q91" s="26"/>
      <c r="R91" s="26">
        <v>604.23611111111109</v>
      </c>
      <c r="S91" s="26">
        <v>235.41666666666666</v>
      </c>
      <c r="T91" s="26"/>
      <c r="U91" s="26"/>
      <c r="V91" s="26">
        <v>839.65277777777771</v>
      </c>
      <c r="W91" s="26">
        <v>243.26388888888889</v>
      </c>
      <c r="X91" s="35"/>
      <c r="Y91" s="26"/>
      <c r="Z91" s="26">
        <v>1082.9166666666665</v>
      </c>
      <c r="AA91" s="26">
        <v>232.1917808219178</v>
      </c>
      <c r="AB91" s="35"/>
      <c r="AC91" s="26"/>
      <c r="AD91" s="26">
        <v>1315.1084474885843</v>
      </c>
      <c r="AE91" s="26">
        <v>239.93150684931507</v>
      </c>
      <c r="AF91" s="26"/>
      <c r="AG91" s="26"/>
      <c r="AH91" s="26">
        <v>1555.0399543378994</v>
      </c>
      <c r="AI91" s="26">
        <v>239.93150684931507</v>
      </c>
      <c r="AJ91" s="26"/>
      <c r="AK91" s="26"/>
      <c r="AL91" s="26">
        <v>1794.9714611872146</v>
      </c>
      <c r="AM91" s="26">
        <v>232.1917808219178</v>
      </c>
      <c r="AN91" s="26"/>
      <c r="AO91" s="26"/>
      <c r="AP91" s="26">
        <f>+AL91+AM91+AN91+AO91</f>
        <v>2027.1632420091323</v>
      </c>
      <c r="AQ91" s="25"/>
    </row>
    <row r="92" spans="1:43" s="1" customFormat="1" x14ac:dyDescent="0.3">
      <c r="A92" s="37">
        <v>5055</v>
      </c>
      <c r="B92" s="25" t="s">
        <v>159</v>
      </c>
      <c r="C92" s="25" t="s">
        <v>284</v>
      </c>
      <c r="D92" s="25" t="s">
        <v>283</v>
      </c>
      <c r="E92" s="35">
        <v>220000</v>
      </c>
      <c r="F92" s="31">
        <v>43852</v>
      </c>
      <c r="G92" s="31">
        <v>44218</v>
      </c>
      <c r="H92" s="26"/>
      <c r="I92" s="26">
        <v>5.65</v>
      </c>
      <c r="J92" s="26">
        <v>310.75</v>
      </c>
      <c r="K92" s="26">
        <v>1035.8333333333333</v>
      </c>
      <c r="L92" s="26"/>
      <c r="M92" s="26"/>
      <c r="N92" s="26">
        <v>1346.5833333333333</v>
      </c>
      <c r="O92" s="26">
        <v>1035.8333333333333</v>
      </c>
      <c r="P92" s="26"/>
      <c r="Q92" s="26"/>
      <c r="R92" s="26">
        <v>2382.4166666666665</v>
      </c>
      <c r="S92" s="26">
        <v>1035.8333333333333</v>
      </c>
      <c r="T92" s="26"/>
      <c r="U92" s="26"/>
      <c r="V92" s="26">
        <v>3418.25</v>
      </c>
      <c r="W92" s="26">
        <v>1070.3611111111111</v>
      </c>
      <c r="X92" s="35"/>
      <c r="Y92" s="26"/>
      <c r="Z92" s="26">
        <v>4488.6111111111113</v>
      </c>
      <c r="AA92" s="26">
        <v>1021.6438356164383</v>
      </c>
      <c r="AB92" s="35"/>
      <c r="AC92" s="26"/>
      <c r="AD92" s="26">
        <v>5510.2549467275494</v>
      </c>
      <c r="AE92" s="26">
        <v>1055.6986301369861</v>
      </c>
      <c r="AF92" s="26"/>
      <c r="AG92" s="26"/>
      <c r="AH92" s="26">
        <v>6565.9535768645355</v>
      </c>
      <c r="AI92" s="26">
        <v>1055.6986301369861</v>
      </c>
      <c r="AJ92" s="26"/>
      <c r="AK92" s="26"/>
      <c r="AL92" s="26">
        <v>7621.6522070015217</v>
      </c>
      <c r="AM92" s="26">
        <v>1021.6438356164383</v>
      </c>
      <c r="AN92" s="26"/>
      <c r="AO92" s="26"/>
      <c r="AP92" s="26">
        <f>+AL92+AM92+AN92+AO92</f>
        <v>8643.2960426179598</v>
      </c>
      <c r="AQ92" s="25"/>
    </row>
    <row r="93" spans="1:43" s="1" customFormat="1" x14ac:dyDescent="0.3">
      <c r="A93" s="37">
        <v>5060</v>
      </c>
      <c r="B93" s="25" t="s">
        <v>16</v>
      </c>
      <c r="C93" s="25" t="s">
        <v>282</v>
      </c>
      <c r="D93" s="25" t="s">
        <v>281</v>
      </c>
      <c r="E93" s="35">
        <v>60000</v>
      </c>
      <c r="F93" s="31">
        <v>43852</v>
      </c>
      <c r="G93" s="31">
        <v>44218</v>
      </c>
      <c r="H93" s="26"/>
      <c r="I93" s="26">
        <v>1.9</v>
      </c>
      <c r="J93" s="26">
        <v>28.5</v>
      </c>
      <c r="K93" s="26">
        <v>95</v>
      </c>
      <c r="L93" s="26"/>
      <c r="M93" s="26"/>
      <c r="N93" s="26">
        <v>123.5</v>
      </c>
      <c r="O93" s="26">
        <v>95</v>
      </c>
      <c r="P93" s="26"/>
      <c r="Q93" s="26"/>
      <c r="R93" s="26">
        <v>218.5</v>
      </c>
      <c r="S93" s="26">
        <v>95</v>
      </c>
      <c r="T93" s="26"/>
      <c r="U93" s="26"/>
      <c r="V93" s="26">
        <v>313.5</v>
      </c>
      <c r="W93" s="26">
        <v>98.166666666666657</v>
      </c>
      <c r="X93" s="35"/>
      <c r="Y93" s="26"/>
      <c r="Z93" s="26">
        <v>411.66666666666663</v>
      </c>
      <c r="AA93" s="26">
        <v>93.69863013698631</v>
      </c>
      <c r="AB93" s="35"/>
      <c r="AC93" s="26"/>
      <c r="AD93" s="26">
        <v>505.36529680365294</v>
      </c>
      <c r="AE93" s="26">
        <v>96.821917808219183</v>
      </c>
      <c r="AF93" s="26"/>
      <c r="AG93" s="26"/>
      <c r="AH93" s="26">
        <v>602.18721461187215</v>
      </c>
      <c r="AI93" s="26">
        <v>96.821917808219183</v>
      </c>
      <c r="AJ93" s="26"/>
      <c r="AK93" s="26"/>
      <c r="AL93" s="26">
        <v>699.0091324200913</v>
      </c>
      <c r="AM93" s="26">
        <v>93.69863013698631</v>
      </c>
      <c r="AN93" s="26"/>
      <c r="AO93" s="26"/>
      <c r="AP93" s="26">
        <f>+AL93+AM93+AN93+AO93</f>
        <v>792.70776255707756</v>
      </c>
      <c r="AQ93" s="25"/>
    </row>
    <row r="94" spans="1:43" s="1" customFormat="1" x14ac:dyDescent="0.3">
      <c r="A94" s="37">
        <v>5055</v>
      </c>
      <c r="B94" s="25" t="s">
        <v>159</v>
      </c>
      <c r="C94" s="25" t="s">
        <v>280</v>
      </c>
      <c r="D94" s="25" t="s">
        <v>279</v>
      </c>
      <c r="E94" s="35">
        <v>2200000</v>
      </c>
      <c r="F94" s="31">
        <v>43848</v>
      </c>
      <c r="G94" s="31">
        <v>44214</v>
      </c>
      <c r="H94" s="26"/>
      <c r="I94" s="26">
        <v>6.85</v>
      </c>
      <c r="J94" s="26">
        <v>5441.9444444444434</v>
      </c>
      <c r="K94" s="26">
        <v>12558.33333333333</v>
      </c>
      <c r="L94" s="26"/>
      <c r="M94" s="26"/>
      <c r="N94" s="26">
        <v>18000.277777777774</v>
      </c>
      <c r="O94" s="26">
        <v>12558.33333333333</v>
      </c>
      <c r="P94" s="26"/>
      <c r="Q94" s="26"/>
      <c r="R94" s="26">
        <v>30558.611111111102</v>
      </c>
      <c r="S94" s="26">
        <v>12558.33333333333</v>
      </c>
      <c r="T94" s="26"/>
      <c r="U94" s="26"/>
      <c r="V94" s="26">
        <v>43116.944444444431</v>
      </c>
      <c r="W94" s="26">
        <v>12976.944444444442</v>
      </c>
      <c r="X94" s="35"/>
      <c r="Y94" s="26"/>
      <c r="Z94" s="26">
        <v>56093.888888888876</v>
      </c>
      <c r="AA94" s="26">
        <v>12386.301369863011</v>
      </c>
      <c r="AB94" s="35"/>
      <c r="AC94" s="26"/>
      <c r="AD94" s="26">
        <v>68480.190258751885</v>
      </c>
      <c r="AE94" s="26">
        <v>12799.178082191778</v>
      </c>
      <c r="AF94" s="26"/>
      <c r="AG94" s="26"/>
      <c r="AH94" s="26">
        <v>81279.368340943663</v>
      </c>
      <c r="AI94" s="26">
        <v>12799.178082191778</v>
      </c>
      <c r="AJ94" s="26"/>
      <c r="AK94" s="26"/>
      <c r="AL94" s="26">
        <v>94078.546423135442</v>
      </c>
      <c r="AM94" s="26">
        <v>12386.301369863013</v>
      </c>
      <c r="AN94" s="26"/>
      <c r="AO94" s="26"/>
      <c r="AP94" s="26">
        <f>+AL94+AM94+AN94+AO94</f>
        <v>106464.84779299845</v>
      </c>
      <c r="AQ94" s="25"/>
    </row>
    <row r="95" spans="1:43" s="1" customFormat="1" x14ac:dyDescent="0.3">
      <c r="A95" s="37">
        <v>5063</v>
      </c>
      <c r="B95" s="25" t="s">
        <v>25</v>
      </c>
      <c r="C95" s="25" t="s">
        <v>278</v>
      </c>
      <c r="D95" s="25" t="s">
        <v>277</v>
      </c>
      <c r="E95" s="8">
        <v>175000</v>
      </c>
      <c r="F95" s="31">
        <v>43862</v>
      </c>
      <c r="G95" s="31">
        <v>44228</v>
      </c>
      <c r="H95" s="26"/>
      <c r="I95" s="30">
        <f>VLOOKUP(C95,[1]Hoja1!$G:$H,2,FALSE)</f>
        <v>4.4000000000000004</v>
      </c>
      <c r="J95" s="27"/>
      <c r="K95" s="26">
        <v>0</v>
      </c>
      <c r="L95" s="27"/>
      <c r="M95" s="27"/>
      <c r="N95" s="27"/>
      <c r="O95" s="26">
        <v>1283.3333333333335</v>
      </c>
      <c r="P95" s="27"/>
      <c r="Q95" s="27"/>
      <c r="R95" s="26">
        <v>1283.3333333333335</v>
      </c>
      <c r="S95" s="26">
        <v>641.66666666666697</v>
      </c>
      <c r="T95" s="26"/>
      <c r="U95" s="26"/>
      <c r="V95" s="26">
        <v>1925.0000000000005</v>
      </c>
      <c r="W95" s="26">
        <v>663.055555555556</v>
      </c>
      <c r="X95" s="35"/>
      <c r="Y95" s="26"/>
      <c r="Z95" s="26">
        <v>2588.0555555555566</v>
      </c>
      <c r="AA95" s="26">
        <v>632.8767123287671</v>
      </c>
      <c r="AB95" s="35"/>
      <c r="AC95" s="26"/>
      <c r="AD95" s="26">
        <v>3220.9322678843237</v>
      </c>
      <c r="AE95" s="26">
        <v>653.97260273972609</v>
      </c>
      <c r="AF95" s="26"/>
      <c r="AG95" s="26"/>
      <c r="AH95" s="26">
        <v>3874.9048706240496</v>
      </c>
      <c r="AI95" s="26">
        <v>653.97260273972609</v>
      </c>
      <c r="AJ95" s="26"/>
      <c r="AK95" s="26"/>
      <c r="AL95" s="26">
        <v>4528.8774733637756</v>
      </c>
      <c r="AM95" s="26">
        <v>632.8767123287671</v>
      </c>
      <c r="AN95" s="26"/>
      <c r="AO95" s="26"/>
      <c r="AP95" s="26">
        <f>+AL95+AM95+AN95+AO95</f>
        <v>5161.7541856925427</v>
      </c>
      <c r="AQ95" s="25"/>
    </row>
    <row r="96" spans="1:43" s="1" customFormat="1" x14ac:dyDescent="0.3">
      <c r="A96" s="37">
        <v>5005</v>
      </c>
      <c r="B96" s="25" t="s">
        <v>265</v>
      </c>
      <c r="C96" s="25" t="s">
        <v>276</v>
      </c>
      <c r="D96" s="25" t="s">
        <v>275</v>
      </c>
      <c r="E96" s="8">
        <v>15300</v>
      </c>
      <c r="F96" s="31">
        <v>43865</v>
      </c>
      <c r="G96" s="31">
        <v>44231</v>
      </c>
      <c r="H96" s="26"/>
      <c r="I96" s="30">
        <f>VLOOKUP(C96,[1]Hoja1!$G:$H,2,FALSE)</f>
        <v>6.9</v>
      </c>
      <c r="J96" s="27"/>
      <c r="K96" s="26">
        <v>0</v>
      </c>
      <c r="L96" s="27"/>
      <c r="M96" s="27"/>
      <c r="N96" s="27"/>
      <c r="O96" s="26">
        <v>164.22</v>
      </c>
      <c r="P96" s="27"/>
      <c r="Q96" s="27"/>
      <c r="R96" s="26">
        <v>164.22</v>
      </c>
      <c r="S96" s="26">
        <v>87.975000000000009</v>
      </c>
      <c r="T96" s="26"/>
      <c r="U96" s="26"/>
      <c r="V96" s="26">
        <v>252.19499999999999</v>
      </c>
      <c r="W96" s="26">
        <v>90.907499999999999</v>
      </c>
      <c r="X96" s="35"/>
      <c r="Y96" s="26"/>
      <c r="Z96" s="26">
        <v>343.10249999999996</v>
      </c>
      <c r="AA96" s="26">
        <v>86.76986301369864</v>
      </c>
      <c r="AB96" s="35"/>
      <c r="AC96" s="26"/>
      <c r="AD96" s="26">
        <v>429.87236301369859</v>
      </c>
      <c r="AE96" s="26">
        <v>89.662191780821928</v>
      </c>
      <c r="AF96" s="26"/>
      <c r="AG96" s="26"/>
      <c r="AH96" s="26">
        <v>519.53455479452055</v>
      </c>
      <c r="AI96" s="26">
        <v>89.662191780821928</v>
      </c>
      <c r="AJ96" s="26"/>
      <c r="AK96" s="26"/>
      <c r="AL96" s="26">
        <v>609.19674657534244</v>
      </c>
      <c r="AM96" s="26">
        <v>86.76986301369864</v>
      </c>
      <c r="AN96" s="26"/>
      <c r="AO96" s="26"/>
      <c r="AP96" s="26">
        <f>+AL96+AM96+AN96+AO96</f>
        <v>695.96660958904113</v>
      </c>
      <c r="AQ96" s="25"/>
    </row>
    <row r="97" spans="1:43" s="1" customFormat="1" x14ac:dyDescent="0.3">
      <c r="A97" s="37">
        <v>5028</v>
      </c>
      <c r="B97" s="25" t="s">
        <v>274</v>
      </c>
      <c r="C97" s="25" t="s">
        <v>273</v>
      </c>
      <c r="D97" s="25" t="s">
        <v>272</v>
      </c>
      <c r="E97" s="8">
        <v>1400000</v>
      </c>
      <c r="F97" s="31">
        <v>43865</v>
      </c>
      <c r="G97" s="31">
        <v>44231</v>
      </c>
      <c r="H97" s="26"/>
      <c r="I97" s="30">
        <f>VLOOKUP(C97,[1]Hoja1!$G:$H,2,FALSE)</f>
        <v>7.9</v>
      </c>
      <c r="J97" s="27"/>
      <c r="K97" s="26">
        <v>0</v>
      </c>
      <c r="L97" s="27"/>
      <c r="M97" s="27"/>
      <c r="N97" s="27"/>
      <c r="O97" s="26">
        <v>17204.444444444445</v>
      </c>
      <c r="P97" s="27"/>
      <c r="Q97" s="27"/>
      <c r="R97" s="26">
        <v>17204.444444444445</v>
      </c>
      <c r="S97" s="26">
        <v>9216.6666666666661</v>
      </c>
      <c r="T97" s="26"/>
      <c r="U97" s="26"/>
      <c r="V97" s="26">
        <v>26421.111111111109</v>
      </c>
      <c r="W97" s="26">
        <v>9523.8888888888887</v>
      </c>
      <c r="X97" s="35"/>
      <c r="Y97" s="26"/>
      <c r="Z97" s="26">
        <v>35945</v>
      </c>
      <c r="AA97" s="26">
        <v>9090.4109589041109</v>
      </c>
      <c r="AB97" s="35"/>
      <c r="AC97" s="26"/>
      <c r="AD97" s="26">
        <v>45035.410958904111</v>
      </c>
      <c r="AE97" s="26">
        <v>9393.4246575342477</v>
      </c>
      <c r="AF97" s="26"/>
      <c r="AG97" s="26"/>
      <c r="AH97" s="26">
        <v>54428.835616438359</v>
      </c>
      <c r="AI97" s="26">
        <v>9393.4246575342477</v>
      </c>
      <c r="AJ97" s="26"/>
      <c r="AK97" s="26"/>
      <c r="AL97" s="26">
        <v>63822.260273972606</v>
      </c>
      <c r="AM97" s="26">
        <v>9090.4109589041109</v>
      </c>
      <c r="AN97" s="26"/>
      <c r="AO97" s="26"/>
      <c r="AP97" s="26">
        <f>+AL97+AM97+AN97+AO97</f>
        <v>72912.671232876717</v>
      </c>
      <c r="AQ97" s="25"/>
    </row>
    <row r="98" spans="1:43" s="1" customFormat="1" x14ac:dyDescent="0.3">
      <c r="A98" s="37">
        <v>5060</v>
      </c>
      <c r="B98" s="25" t="s">
        <v>37</v>
      </c>
      <c r="C98" s="25" t="s">
        <v>270</v>
      </c>
      <c r="D98" s="25" t="s">
        <v>271</v>
      </c>
      <c r="E98" s="8"/>
      <c r="F98" s="31">
        <v>43866</v>
      </c>
      <c r="G98" s="31">
        <v>44018</v>
      </c>
      <c r="H98" s="26"/>
      <c r="I98" s="30">
        <f>VLOOKUP(C98,[1]Hoja1!$G:$H,2,FALSE)</f>
        <v>2.9</v>
      </c>
      <c r="J98" s="27"/>
      <c r="K98" s="26">
        <v>0</v>
      </c>
      <c r="L98" s="27"/>
      <c r="M98" s="27"/>
      <c r="N98" s="27"/>
      <c r="O98" s="26">
        <v>575.97222222222217</v>
      </c>
      <c r="P98" s="27"/>
      <c r="Q98" s="27"/>
      <c r="R98" s="26">
        <v>575.97222222222217</v>
      </c>
      <c r="S98" s="26">
        <v>314.16666666666663</v>
      </c>
      <c r="T98" s="26"/>
      <c r="U98" s="26"/>
      <c r="V98" s="26">
        <v>890.1388888888888</v>
      </c>
      <c r="W98" s="26">
        <v>324.63888888888886</v>
      </c>
      <c r="X98" s="35"/>
      <c r="Y98" s="26"/>
      <c r="Z98" s="26">
        <v>1214.7777777777776</v>
      </c>
      <c r="AA98" s="26">
        <v>309.86301369863014</v>
      </c>
      <c r="AB98" s="35"/>
      <c r="AC98" s="26"/>
      <c r="AD98" s="26">
        <v>1524.6407914764077</v>
      </c>
      <c r="AE98" s="26">
        <v>0</v>
      </c>
      <c r="AF98" s="26">
        <v>-1569.97</v>
      </c>
      <c r="AG98" s="26">
        <v>45.33</v>
      </c>
      <c r="AH98" s="26">
        <v>7.9147640765597771E-4</v>
      </c>
      <c r="AI98" s="26"/>
      <c r="AJ98" s="26"/>
      <c r="AK98" s="26"/>
      <c r="AL98" s="26">
        <v>7.9147640765597771E-4</v>
      </c>
      <c r="AM98" s="26">
        <v>0</v>
      </c>
      <c r="AN98" s="26"/>
      <c r="AO98" s="26"/>
      <c r="AP98" s="26">
        <f>+AL98+AM98+AN98+AO98</f>
        <v>7.9147640765597771E-4</v>
      </c>
      <c r="AQ98" s="25" t="s">
        <v>198</v>
      </c>
    </row>
    <row r="99" spans="1:43" s="1" customFormat="1" x14ac:dyDescent="0.3">
      <c r="A99" s="37">
        <v>5060</v>
      </c>
      <c r="B99" s="25" t="s">
        <v>37</v>
      </c>
      <c r="C99" s="25" t="s">
        <v>270</v>
      </c>
      <c r="D99" s="25" t="s">
        <v>269</v>
      </c>
      <c r="E99" s="35">
        <v>2035.56</v>
      </c>
      <c r="F99" s="31">
        <v>44018</v>
      </c>
      <c r="G99" s="31">
        <v>44232</v>
      </c>
      <c r="H99" s="26"/>
      <c r="I99" s="30">
        <v>2.9</v>
      </c>
      <c r="J99" s="27"/>
      <c r="K99" s="26"/>
      <c r="L99" s="27"/>
      <c r="M99" s="27"/>
      <c r="N99" s="27"/>
      <c r="O99" s="26"/>
      <c r="P99" s="27"/>
      <c r="Q99" s="27"/>
      <c r="R99" s="26"/>
      <c r="S99" s="26"/>
      <c r="T99" s="26"/>
      <c r="U99" s="26"/>
      <c r="V99" s="26"/>
      <c r="W99" s="26"/>
      <c r="X99" s="35"/>
      <c r="Y99" s="26"/>
      <c r="Z99" s="26"/>
      <c r="AA99" s="26"/>
      <c r="AB99" s="35"/>
      <c r="AC99" s="26"/>
      <c r="AD99" s="26"/>
      <c r="AE99" s="26">
        <v>4.0432356164383556</v>
      </c>
      <c r="AF99" s="26"/>
      <c r="AG99" s="26"/>
      <c r="AH99" s="26">
        <v>4.0432356164383556</v>
      </c>
      <c r="AI99" s="26">
        <v>5.0136121643835612</v>
      </c>
      <c r="AJ99">
        <v>-8.41</v>
      </c>
      <c r="AK99" s="26">
        <v>-0.65</v>
      </c>
      <c r="AL99" s="26">
        <v>-3.152219178083393E-3</v>
      </c>
      <c r="AM99" s="26">
        <v>0</v>
      </c>
      <c r="AN99"/>
      <c r="AO99" s="26"/>
      <c r="AP99" s="26">
        <f>+AL99+AM99+AN99+AO99</f>
        <v>-3.152219178083393E-3</v>
      </c>
      <c r="AQ99" s="25" t="s">
        <v>96</v>
      </c>
    </row>
    <row r="100" spans="1:43" s="1" customFormat="1" x14ac:dyDescent="0.3">
      <c r="A100" s="37">
        <v>5057</v>
      </c>
      <c r="B100" s="25" t="s">
        <v>268</v>
      </c>
      <c r="C100" s="25" t="s">
        <v>267</v>
      </c>
      <c r="D100" s="25" t="s">
        <v>266</v>
      </c>
      <c r="E100" s="8">
        <v>500000</v>
      </c>
      <c r="F100" s="31">
        <v>43866</v>
      </c>
      <c r="G100" s="31">
        <v>44232</v>
      </c>
      <c r="H100" s="26"/>
      <c r="I100" s="26">
        <f>VLOOKUP(C100,[1]Hoja1!$G:$H,2,FALSE)</f>
        <v>3.4</v>
      </c>
      <c r="J100" s="26"/>
      <c r="K100" s="26">
        <v>0</v>
      </c>
      <c r="L100" s="26"/>
      <c r="M100" s="26"/>
      <c r="N100" s="26"/>
      <c r="O100" s="26">
        <v>2597.2222222222222</v>
      </c>
      <c r="P100" s="26"/>
      <c r="Q100" s="26"/>
      <c r="R100" s="26">
        <v>2597.2222222222222</v>
      </c>
      <c r="S100" s="26">
        <v>1416.6666666666667</v>
      </c>
      <c r="T100" s="26"/>
      <c r="U100" s="26"/>
      <c r="V100" s="26">
        <v>4013.8888888888887</v>
      </c>
      <c r="W100" s="26">
        <v>1463.8888888888889</v>
      </c>
      <c r="X100" s="35"/>
      <c r="Y100" s="26"/>
      <c r="Z100" s="26">
        <v>5477.7777777777774</v>
      </c>
      <c r="AA100" s="26">
        <v>1397.2602739726026</v>
      </c>
      <c r="AB100" s="35"/>
      <c r="AC100" s="26"/>
      <c r="AD100" s="26">
        <v>6875.03805175038</v>
      </c>
      <c r="AE100" s="26">
        <v>1443.8356164383561</v>
      </c>
      <c r="AF100" s="26"/>
      <c r="AG100" s="26"/>
      <c r="AH100" s="26">
        <v>8318.8736681887367</v>
      </c>
      <c r="AI100" s="26">
        <v>1443.8356164383561</v>
      </c>
      <c r="AJ100" s="26"/>
      <c r="AK100" s="26"/>
      <c r="AL100" s="26">
        <v>9762.7092846270934</v>
      </c>
      <c r="AM100" s="26">
        <v>1397.2602739726026</v>
      </c>
      <c r="AN100" s="26"/>
      <c r="AO100" s="26"/>
      <c r="AP100" s="26">
        <f>+AL100+AM100+AN100+AO100</f>
        <v>11159.969558599696</v>
      </c>
      <c r="AQ100" s="25"/>
    </row>
    <row r="101" spans="1:43" s="1" customFormat="1" x14ac:dyDescent="0.3">
      <c r="A101" s="37">
        <v>5005</v>
      </c>
      <c r="B101" s="25" t="s">
        <v>265</v>
      </c>
      <c r="C101" s="25" t="s">
        <v>264</v>
      </c>
      <c r="D101" s="25" t="s">
        <v>263</v>
      </c>
      <c r="E101" s="8">
        <v>188600</v>
      </c>
      <c r="F101" s="31">
        <v>43867</v>
      </c>
      <c r="G101" s="31">
        <v>44233</v>
      </c>
      <c r="H101" s="26"/>
      <c r="I101" s="26">
        <f>VLOOKUP(C101,[1]Hoja1!$G:$H,2,FALSE)</f>
        <v>6.9</v>
      </c>
      <c r="J101" s="26"/>
      <c r="K101" s="26">
        <v>0</v>
      </c>
      <c r="L101" s="26"/>
      <c r="M101" s="26"/>
      <c r="N101" s="26"/>
      <c r="O101" s="26">
        <v>1952.0100000000004</v>
      </c>
      <c r="P101" s="26"/>
      <c r="Q101" s="26"/>
      <c r="R101" s="26">
        <v>1952.0100000000004</v>
      </c>
      <c r="S101" s="26">
        <v>1084.4500000000003</v>
      </c>
      <c r="T101" s="26"/>
      <c r="U101" s="26"/>
      <c r="V101" s="26">
        <v>3036.4600000000009</v>
      </c>
      <c r="W101" s="26">
        <v>1120.5983333333336</v>
      </c>
      <c r="X101" s="35"/>
      <c r="Y101" s="26"/>
      <c r="Z101" s="26">
        <v>4157.0583333333343</v>
      </c>
      <c r="AA101" s="26">
        <v>1069.5945205479454</v>
      </c>
      <c r="AB101" s="35"/>
      <c r="AC101" s="26"/>
      <c r="AD101" s="26">
        <v>5226.65285388128</v>
      </c>
      <c r="AE101" s="26">
        <v>1105.2476712328769</v>
      </c>
      <c r="AF101" s="26"/>
      <c r="AG101" s="26"/>
      <c r="AH101" s="26">
        <v>6331.9005251141571</v>
      </c>
      <c r="AI101" s="26">
        <v>1105.2476712328769</v>
      </c>
      <c r="AJ101" s="26"/>
      <c r="AK101" s="26"/>
      <c r="AL101" s="26">
        <v>7437.1481963470342</v>
      </c>
      <c r="AM101" s="26">
        <v>1069.5945205479454</v>
      </c>
      <c r="AN101" s="26"/>
      <c r="AO101" s="26"/>
      <c r="AP101" s="26">
        <f>+AL101+AM101+AN101+AO101</f>
        <v>8506.7427168949798</v>
      </c>
      <c r="AQ101" s="25"/>
    </row>
    <row r="102" spans="1:43" s="1" customFormat="1" x14ac:dyDescent="0.3">
      <c r="A102" s="37">
        <v>5028</v>
      </c>
      <c r="B102" s="25" t="s">
        <v>262</v>
      </c>
      <c r="C102" s="25" t="s">
        <v>261</v>
      </c>
      <c r="D102" s="25" t="s">
        <v>260</v>
      </c>
      <c r="E102" s="35">
        <v>300000</v>
      </c>
      <c r="F102" s="31">
        <v>43865</v>
      </c>
      <c r="G102" s="31">
        <v>44231</v>
      </c>
      <c r="H102" s="26"/>
      <c r="I102" s="26">
        <f>VLOOKUP(C102,[1]Hoja1!$G:$H,2,FALSE)</f>
        <v>7.9</v>
      </c>
      <c r="J102" s="26"/>
      <c r="K102" s="26">
        <v>0</v>
      </c>
      <c r="L102" s="26"/>
      <c r="M102" s="26"/>
      <c r="N102" s="26"/>
      <c r="O102" s="26">
        <v>3686.6666666666665</v>
      </c>
      <c r="P102" s="26"/>
      <c r="Q102" s="26"/>
      <c r="R102" s="26">
        <v>3686.6666666666665</v>
      </c>
      <c r="S102" s="26">
        <v>1974.9999999999998</v>
      </c>
      <c r="T102" s="26"/>
      <c r="U102" s="26"/>
      <c r="V102" s="26">
        <v>5661.6666666666661</v>
      </c>
      <c r="W102" s="26">
        <v>2040.8333333333333</v>
      </c>
      <c r="X102" s="35"/>
      <c r="Y102" s="26"/>
      <c r="Z102" s="26">
        <v>7702.4999999999991</v>
      </c>
      <c r="AA102" s="26">
        <v>1947.9452054794522</v>
      </c>
      <c r="AB102" s="35"/>
      <c r="AC102" s="26"/>
      <c r="AD102" s="26">
        <v>9650.445205479451</v>
      </c>
      <c r="AE102" s="26">
        <v>2012.8767123287671</v>
      </c>
      <c r="AF102" s="26"/>
      <c r="AG102" s="26"/>
      <c r="AH102" s="26">
        <v>11663.321917808218</v>
      </c>
      <c r="AI102" s="26">
        <v>2012.8767123287671</v>
      </c>
      <c r="AJ102" s="26">
        <v>-12921.37</v>
      </c>
      <c r="AK102" s="26">
        <v>-754.83</v>
      </c>
      <c r="AL102" s="26">
        <v>-1.3698630156113722E-3</v>
      </c>
      <c r="AM102" s="26">
        <v>0</v>
      </c>
      <c r="AN102" s="26"/>
      <c r="AO102" s="26"/>
      <c r="AP102" s="26">
        <f>+AL102+AM102+AN102+AO102</f>
        <v>-1.3698630156113722E-3</v>
      </c>
      <c r="AQ102" s="25" t="s">
        <v>96</v>
      </c>
    </row>
    <row r="103" spans="1:43" s="1" customFormat="1" x14ac:dyDescent="0.3">
      <c r="A103" s="37">
        <v>5060</v>
      </c>
      <c r="B103" s="25" t="s">
        <v>19</v>
      </c>
      <c r="C103" s="25" t="s">
        <v>259</v>
      </c>
      <c r="D103" s="25" t="s">
        <v>258</v>
      </c>
      <c r="E103" s="8">
        <v>72500</v>
      </c>
      <c r="F103" s="31">
        <v>43864</v>
      </c>
      <c r="G103" s="31">
        <v>44230</v>
      </c>
      <c r="H103" s="26"/>
      <c r="I103" s="26">
        <f>VLOOKUP(C103,[1]Hoja1!$G:$H,2,FALSE)</f>
        <v>1.9</v>
      </c>
      <c r="J103" s="26"/>
      <c r="K103" s="26">
        <v>0</v>
      </c>
      <c r="L103" s="26"/>
      <c r="M103" s="26"/>
      <c r="N103" s="26"/>
      <c r="O103" s="26">
        <v>218.10416666666666</v>
      </c>
      <c r="P103" s="26"/>
      <c r="Q103" s="26"/>
      <c r="R103" s="26">
        <v>218.10416666666666</v>
      </c>
      <c r="S103" s="26">
        <v>114.79166666666667</v>
      </c>
      <c r="T103" s="26"/>
      <c r="U103" s="26"/>
      <c r="V103" s="26">
        <v>332.89583333333331</v>
      </c>
      <c r="W103" s="26">
        <v>118.61805555555556</v>
      </c>
      <c r="X103" s="35"/>
      <c r="Y103" s="26"/>
      <c r="Z103" s="26">
        <v>451.51388888888886</v>
      </c>
      <c r="AA103" s="26">
        <v>113.21917808219179</v>
      </c>
      <c r="AB103" s="35"/>
      <c r="AC103" s="26"/>
      <c r="AD103" s="26">
        <v>564.73306697108069</v>
      </c>
      <c r="AE103" s="26">
        <v>116.99315068493151</v>
      </c>
      <c r="AF103" s="26"/>
      <c r="AG103" s="26"/>
      <c r="AH103" s="26">
        <v>681.72621765601218</v>
      </c>
      <c r="AI103" s="26">
        <v>116.99315068493151</v>
      </c>
      <c r="AJ103" s="26"/>
      <c r="AK103" s="26"/>
      <c r="AL103" s="26">
        <v>798.71936834094367</v>
      </c>
      <c r="AM103" s="26">
        <v>113.21917808219179</v>
      </c>
      <c r="AN103" s="26"/>
      <c r="AO103" s="26"/>
      <c r="AP103" s="26">
        <f>+AL103+AM103+AN103+AO103</f>
        <v>911.93854642313545</v>
      </c>
      <c r="AQ103" s="25"/>
    </row>
    <row r="104" spans="1:43" s="1" customFormat="1" x14ac:dyDescent="0.3">
      <c r="A104" s="37">
        <v>5060</v>
      </c>
      <c r="B104" s="25" t="s">
        <v>19</v>
      </c>
      <c r="C104" s="25" t="s">
        <v>257</v>
      </c>
      <c r="D104" s="25" t="s">
        <v>256</v>
      </c>
      <c r="E104" s="8">
        <v>90000</v>
      </c>
      <c r="F104" s="31">
        <v>43864</v>
      </c>
      <c r="G104" s="31">
        <v>44230</v>
      </c>
      <c r="H104" s="26"/>
      <c r="I104" s="26">
        <f>VLOOKUP(C104,[1]Hoja1!$G:$H,2,FALSE)</f>
        <v>1.9</v>
      </c>
      <c r="J104" s="26"/>
      <c r="K104" s="26">
        <v>0</v>
      </c>
      <c r="L104" s="26"/>
      <c r="M104" s="26"/>
      <c r="N104" s="26"/>
      <c r="O104" s="26">
        <v>270.75</v>
      </c>
      <c r="P104" s="26"/>
      <c r="Q104" s="26"/>
      <c r="R104" s="26">
        <v>270.75</v>
      </c>
      <c r="S104" s="26">
        <v>142.5</v>
      </c>
      <c r="T104" s="26"/>
      <c r="U104" s="26"/>
      <c r="V104" s="26">
        <v>413.25</v>
      </c>
      <c r="W104" s="26">
        <v>147.25</v>
      </c>
      <c r="X104" s="35"/>
      <c r="Y104" s="26"/>
      <c r="Z104" s="26">
        <v>560.5</v>
      </c>
      <c r="AA104" s="26">
        <v>140.54794520547946</v>
      </c>
      <c r="AB104" s="35"/>
      <c r="AC104" s="26"/>
      <c r="AD104" s="26">
        <v>701.04794520547944</v>
      </c>
      <c r="AE104" s="26">
        <v>145.23287671232876</v>
      </c>
      <c r="AF104" s="26"/>
      <c r="AG104" s="26"/>
      <c r="AH104" s="26">
        <v>846.28082191780823</v>
      </c>
      <c r="AI104" s="26">
        <v>145.23287671232876</v>
      </c>
      <c r="AJ104" s="26"/>
      <c r="AK104" s="26"/>
      <c r="AL104" s="26">
        <v>991.51369863013701</v>
      </c>
      <c r="AM104" s="26">
        <v>140.54794520547946</v>
      </c>
      <c r="AN104" s="26"/>
      <c r="AO104" s="26"/>
      <c r="AP104" s="26">
        <f>+AL104+AM104+AN104+AO104</f>
        <v>1132.0616438356165</v>
      </c>
      <c r="AQ104" s="25"/>
    </row>
    <row r="105" spans="1:43" s="1" customFormat="1" x14ac:dyDescent="0.3">
      <c r="A105" s="37">
        <v>5055</v>
      </c>
      <c r="B105" s="25" t="s">
        <v>56</v>
      </c>
      <c r="C105" s="25" t="s">
        <v>255</v>
      </c>
      <c r="D105" s="25" t="s">
        <v>254</v>
      </c>
      <c r="E105" s="8">
        <v>1000000</v>
      </c>
      <c r="F105" s="31">
        <v>43878</v>
      </c>
      <c r="G105" s="31">
        <v>44244</v>
      </c>
      <c r="H105" s="26"/>
      <c r="I105" s="26">
        <f>VLOOKUP(C105,[1]Hoja1!$G:$H,2,FALSE)</f>
        <v>5.4</v>
      </c>
      <c r="J105" s="26"/>
      <c r="K105" s="26">
        <v>0</v>
      </c>
      <c r="L105" s="26"/>
      <c r="M105" s="26"/>
      <c r="N105" s="26"/>
      <c r="O105" s="26">
        <v>6450.0000000000009</v>
      </c>
      <c r="P105" s="26"/>
      <c r="Q105" s="26"/>
      <c r="R105" s="26">
        <v>6450.0000000000009</v>
      </c>
      <c r="S105" s="26">
        <v>4500.0000000000009</v>
      </c>
      <c r="T105" s="26"/>
      <c r="U105" s="26"/>
      <c r="V105" s="26">
        <v>10950.000000000002</v>
      </c>
      <c r="W105" s="26">
        <v>4650.0000000000009</v>
      </c>
      <c r="X105" s="35"/>
      <c r="Y105" s="26"/>
      <c r="Z105" s="26">
        <v>15600.000000000004</v>
      </c>
      <c r="AA105" s="26">
        <v>4438.3561643835628</v>
      </c>
      <c r="AB105" s="35"/>
      <c r="AC105" s="26"/>
      <c r="AD105" s="26">
        <v>20038.356164383567</v>
      </c>
      <c r="AE105" s="26">
        <v>4586.3013698630148</v>
      </c>
      <c r="AF105" s="26"/>
      <c r="AG105" s="26"/>
      <c r="AH105" s="26">
        <v>24624.65753424658</v>
      </c>
      <c r="AI105" s="26">
        <v>4586.3013698630148</v>
      </c>
      <c r="AJ105" s="26"/>
      <c r="AK105" s="26"/>
      <c r="AL105" s="26">
        <v>29210.958904109597</v>
      </c>
      <c r="AM105" s="26">
        <v>4438.3561643835619</v>
      </c>
      <c r="AN105" s="26"/>
      <c r="AO105" s="26"/>
      <c r="AP105" s="26">
        <f>+AL105+AM105+AN105+AO105</f>
        <v>33649.315068493161</v>
      </c>
      <c r="AQ105" s="25"/>
    </row>
    <row r="106" spans="1:43" s="1" customFormat="1" x14ac:dyDescent="0.3">
      <c r="A106" s="37">
        <v>5055</v>
      </c>
      <c r="B106" s="25" t="s">
        <v>56</v>
      </c>
      <c r="C106" s="25" t="s">
        <v>253</v>
      </c>
      <c r="D106" s="25" t="s">
        <v>252</v>
      </c>
      <c r="E106" s="8">
        <v>1500000</v>
      </c>
      <c r="F106" s="31">
        <v>43879</v>
      </c>
      <c r="G106" s="31">
        <v>44245</v>
      </c>
      <c r="H106" s="26"/>
      <c r="I106" s="26">
        <f>VLOOKUP(C106,[1]Hoja1!$G:$H,2,FALSE)</f>
        <v>6.9</v>
      </c>
      <c r="J106" s="26"/>
      <c r="K106" s="26">
        <v>0</v>
      </c>
      <c r="L106" s="26"/>
      <c r="M106" s="26"/>
      <c r="N106" s="26"/>
      <c r="O106" s="26">
        <v>12075.000000000002</v>
      </c>
      <c r="P106" s="26"/>
      <c r="Q106" s="26"/>
      <c r="R106" s="26">
        <v>12075.000000000002</v>
      </c>
      <c r="S106" s="26">
        <v>8625.0000000000018</v>
      </c>
      <c r="T106" s="26"/>
      <c r="U106" s="26"/>
      <c r="V106" s="26">
        <v>20700.000000000004</v>
      </c>
      <c r="W106" s="26">
        <v>8912.5000000000018</v>
      </c>
      <c r="X106" s="35"/>
      <c r="Y106" s="26"/>
      <c r="Z106" s="26">
        <v>29612.500000000007</v>
      </c>
      <c r="AA106" s="26">
        <v>8506.8493150684935</v>
      </c>
      <c r="AB106" s="35"/>
      <c r="AC106" s="26"/>
      <c r="AD106" s="26">
        <v>38119.349315068503</v>
      </c>
      <c r="AE106" s="26">
        <v>8790.4109589041109</v>
      </c>
      <c r="AF106" s="26"/>
      <c r="AG106" s="26"/>
      <c r="AH106" s="26">
        <v>46909.760273972614</v>
      </c>
      <c r="AI106" s="26">
        <v>8790.4109589041109</v>
      </c>
      <c r="AJ106" s="26"/>
      <c r="AK106" s="26"/>
      <c r="AL106" s="26">
        <v>55700.171232876724</v>
      </c>
      <c r="AM106" s="26">
        <v>8506.8493150684935</v>
      </c>
      <c r="AN106" s="26"/>
      <c r="AO106" s="26"/>
      <c r="AP106" s="26">
        <f>+AL106+AM106+AN106+AO106</f>
        <v>64207.02054794522</v>
      </c>
      <c r="AQ106" s="25"/>
    </row>
    <row r="107" spans="1:43" s="1" customFormat="1" x14ac:dyDescent="0.3">
      <c r="A107" s="37">
        <v>5063</v>
      </c>
      <c r="B107" s="25" t="s">
        <v>77</v>
      </c>
      <c r="C107" s="25" t="s">
        <v>251</v>
      </c>
      <c r="D107" s="25" t="s">
        <v>250</v>
      </c>
      <c r="E107" s="8">
        <v>23000</v>
      </c>
      <c r="F107" s="31">
        <v>43880</v>
      </c>
      <c r="G107" s="31">
        <v>44246</v>
      </c>
      <c r="H107" s="26"/>
      <c r="I107" s="26">
        <f>VLOOKUP(C107,[1]Hoja1!$G:$H,2,FALSE)</f>
        <v>5.4</v>
      </c>
      <c r="J107" s="26"/>
      <c r="K107" s="26">
        <v>0</v>
      </c>
      <c r="L107" s="26"/>
      <c r="M107" s="26"/>
      <c r="N107" s="26"/>
      <c r="O107" s="26">
        <v>144.90000000000003</v>
      </c>
      <c r="P107" s="26"/>
      <c r="Q107" s="26"/>
      <c r="R107" s="26">
        <v>144.90000000000003</v>
      </c>
      <c r="S107" s="26">
        <v>103.50000000000001</v>
      </c>
      <c r="T107" s="26"/>
      <c r="U107" s="26"/>
      <c r="V107" s="26">
        <v>248.40000000000003</v>
      </c>
      <c r="W107" s="26">
        <v>106.95000000000002</v>
      </c>
      <c r="X107" s="35"/>
      <c r="Y107" s="26"/>
      <c r="Z107" s="26">
        <v>355.35</v>
      </c>
      <c r="AA107" s="26">
        <v>102.08219178082193</v>
      </c>
      <c r="AB107" s="35"/>
      <c r="AC107" s="26"/>
      <c r="AD107" s="26">
        <v>457.43219178082194</v>
      </c>
      <c r="AE107" s="26">
        <v>105.48493150684934</v>
      </c>
      <c r="AF107" s="26"/>
      <c r="AG107" s="26"/>
      <c r="AH107" s="26">
        <v>562.9171232876713</v>
      </c>
      <c r="AI107" s="26">
        <v>105.48493150684934</v>
      </c>
      <c r="AJ107" s="26"/>
      <c r="AK107" s="26"/>
      <c r="AL107" s="26">
        <v>668.40205479452061</v>
      </c>
      <c r="AM107" s="26">
        <v>102.08219178082192</v>
      </c>
      <c r="AN107" s="26"/>
      <c r="AO107" s="26"/>
      <c r="AP107" s="26">
        <f>+AL107+AM107+AN107+AO107</f>
        <v>770.48424657534247</v>
      </c>
      <c r="AQ107" s="25"/>
    </row>
    <row r="108" spans="1:43" s="1" customFormat="1" x14ac:dyDescent="0.3">
      <c r="A108" s="37">
        <v>5060</v>
      </c>
      <c r="B108" s="25" t="s">
        <v>16</v>
      </c>
      <c r="C108" s="25" t="s">
        <v>249</v>
      </c>
      <c r="D108" s="25" t="s">
        <v>248</v>
      </c>
      <c r="E108" s="8">
        <v>87500</v>
      </c>
      <c r="F108" s="31">
        <v>43880</v>
      </c>
      <c r="G108" s="31">
        <v>44246</v>
      </c>
      <c r="H108" s="26"/>
      <c r="I108" s="26">
        <f>VLOOKUP(C108,[1]Hoja1!$G:$H,2,FALSE)</f>
        <v>1.9</v>
      </c>
      <c r="J108" s="26"/>
      <c r="K108" s="26">
        <v>0</v>
      </c>
      <c r="L108" s="26"/>
      <c r="M108" s="26"/>
      <c r="N108" s="26"/>
      <c r="O108" s="26">
        <v>189.34027777777777</v>
      </c>
      <c r="P108" s="26"/>
      <c r="Q108" s="26"/>
      <c r="R108" s="26">
        <v>189.34027777777777</v>
      </c>
      <c r="S108" s="26">
        <v>138.54166666666666</v>
      </c>
      <c r="T108" s="26"/>
      <c r="U108" s="26"/>
      <c r="V108" s="26">
        <v>327.88194444444446</v>
      </c>
      <c r="W108" s="26">
        <v>143.15972222222223</v>
      </c>
      <c r="X108" s="35"/>
      <c r="Y108" s="26"/>
      <c r="Z108" s="26">
        <v>471.04166666666669</v>
      </c>
      <c r="AA108" s="26">
        <v>136.64383561643837</v>
      </c>
      <c r="AB108" s="35"/>
      <c r="AC108" s="26"/>
      <c r="AD108" s="26">
        <v>607.68550228310505</v>
      </c>
      <c r="AE108" s="26">
        <v>141.19863013698631</v>
      </c>
      <c r="AF108" s="26"/>
      <c r="AG108" s="26"/>
      <c r="AH108" s="26">
        <v>748.88413242009142</v>
      </c>
      <c r="AI108" s="26">
        <v>141.19863013698631</v>
      </c>
      <c r="AJ108" s="26"/>
      <c r="AK108" s="26"/>
      <c r="AL108" s="26">
        <v>890.08276255707779</v>
      </c>
      <c r="AM108" s="26">
        <v>136.64383561643837</v>
      </c>
      <c r="AN108" s="26"/>
      <c r="AO108" s="26"/>
      <c r="AP108" s="26">
        <f>+AL108+AM108+AN108+AO108</f>
        <v>1026.7265981735161</v>
      </c>
      <c r="AQ108" s="25"/>
    </row>
    <row r="109" spans="1:43" s="1" customFormat="1" x14ac:dyDescent="0.3">
      <c r="A109" s="37">
        <v>5060</v>
      </c>
      <c r="B109" s="25" t="s">
        <v>19</v>
      </c>
      <c r="C109" s="25" t="s">
        <v>247</v>
      </c>
      <c r="D109" s="25" t="s">
        <v>246</v>
      </c>
      <c r="E109" s="8">
        <v>87500</v>
      </c>
      <c r="F109" s="31">
        <v>43880</v>
      </c>
      <c r="G109" s="31">
        <v>44246</v>
      </c>
      <c r="H109" s="26"/>
      <c r="I109" s="26">
        <f>VLOOKUP(C109,[1]Hoja1!$G:$H,2,FALSE)</f>
        <v>1.9</v>
      </c>
      <c r="J109" s="26"/>
      <c r="K109" s="26">
        <v>0</v>
      </c>
      <c r="L109" s="26"/>
      <c r="M109" s="26"/>
      <c r="N109" s="26"/>
      <c r="O109" s="26">
        <v>189.34027777777777</v>
      </c>
      <c r="P109" s="26"/>
      <c r="Q109" s="26"/>
      <c r="R109" s="26">
        <v>189.34027777777777</v>
      </c>
      <c r="S109" s="26">
        <v>138.54166666666666</v>
      </c>
      <c r="T109" s="26"/>
      <c r="U109" s="26"/>
      <c r="V109" s="26">
        <v>327.88194444444446</v>
      </c>
      <c r="W109" s="26">
        <v>143.15972222222223</v>
      </c>
      <c r="X109" s="35"/>
      <c r="Y109" s="26"/>
      <c r="Z109" s="26">
        <v>471.04166666666669</v>
      </c>
      <c r="AA109" s="26">
        <v>136.64383561643837</v>
      </c>
      <c r="AB109" s="35"/>
      <c r="AC109" s="26"/>
      <c r="AD109" s="26">
        <v>607.68550228310505</v>
      </c>
      <c r="AE109" s="26">
        <v>141.19863013698631</v>
      </c>
      <c r="AF109" s="26"/>
      <c r="AG109" s="26"/>
      <c r="AH109" s="26">
        <v>748.88413242009142</v>
      </c>
      <c r="AI109" s="26">
        <v>141.19863013698631</v>
      </c>
      <c r="AJ109" s="26"/>
      <c r="AK109" s="26"/>
      <c r="AL109" s="26">
        <v>890.08276255707779</v>
      </c>
      <c r="AM109" s="26">
        <v>136.64383561643837</v>
      </c>
      <c r="AN109" s="26"/>
      <c r="AO109" s="26"/>
      <c r="AP109" s="26">
        <f>+AL109+AM109+AN109+AO109</f>
        <v>1026.7265981735161</v>
      </c>
      <c r="AQ109" s="25"/>
    </row>
    <row r="110" spans="1:43" s="1" customFormat="1" x14ac:dyDescent="0.3">
      <c r="A110" s="46">
        <v>5063</v>
      </c>
      <c r="B110" s="43" t="s">
        <v>13</v>
      </c>
      <c r="C110" s="43" t="s">
        <v>245</v>
      </c>
      <c r="D110" s="43" t="s">
        <v>244</v>
      </c>
      <c r="E110" s="8">
        <v>100000</v>
      </c>
      <c r="F110" s="45">
        <v>43881</v>
      </c>
      <c r="G110" s="45">
        <v>44247</v>
      </c>
      <c r="H110" s="44"/>
      <c r="I110" s="26">
        <f>VLOOKUP(C110,[1]Hoja1!$G:$H,2,FALSE)</f>
        <v>8.9</v>
      </c>
      <c r="J110" s="26"/>
      <c r="K110" s="26">
        <v>0</v>
      </c>
      <c r="L110" s="26"/>
      <c r="M110" s="26"/>
      <c r="N110" s="26"/>
      <c r="O110" s="26">
        <v>988.88888888888914</v>
      </c>
      <c r="P110" s="26"/>
      <c r="Q110" s="26"/>
      <c r="R110" s="26">
        <v>988.88888888888914</v>
      </c>
      <c r="S110" s="26">
        <v>741.66666666666686</v>
      </c>
      <c r="T110" s="26"/>
      <c r="U110" s="26"/>
      <c r="V110" s="26">
        <v>1730.5555555555561</v>
      </c>
      <c r="W110" s="26">
        <v>766.38888888888914</v>
      </c>
      <c r="X110" s="35"/>
      <c r="Y110" s="26"/>
      <c r="Z110" s="26">
        <v>2496.9444444444453</v>
      </c>
      <c r="AA110" s="26">
        <v>731.50684931506862</v>
      </c>
      <c r="AB110" s="35"/>
      <c r="AC110" s="26"/>
      <c r="AD110" s="26">
        <v>3228.4512937595136</v>
      </c>
      <c r="AE110" s="26">
        <v>755.89041095890423</v>
      </c>
      <c r="AF110" s="26"/>
      <c r="AG110" s="26"/>
      <c r="AH110" s="26">
        <v>3984.341704718418</v>
      </c>
      <c r="AI110" s="26">
        <v>755.89041095890423</v>
      </c>
      <c r="AJ110" s="26"/>
      <c r="AK110" s="26"/>
      <c r="AL110" s="26">
        <v>4740.2321156773223</v>
      </c>
      <c r="AM110" s="26">
        <v>731.50684931506851</v>
      </c>
      <c r="AN110" s="26"/>
      <c r="AO110" s="26"/>
      <c r="AP110" s="26">
        <f>+AL110+AM110+AN110+AO110</f>
        <v>5471.7389649923907</v>
      </c>
      <c r="AQ110" s="43"/>
    </row>
    <row r="111" spans="1:43" s="1" customFormat="1" x14ac:dyDescent="0.3">
      <c r="A111" s="37">
        <v>5063</v>
      </c>
      <c r="B111" s="25" t="s">
        <v>25</v>
      </c>
      <c r="C111" s="25" t="s">
        <v>243</v>
      </c>
      <c r="D111" s="25" t="s">
        <v>242</v>
      </c>
      <c r="E111" s="35">
        <v>122500</v>
      </c>
      <c r="F111" s="31">
        <v>43891</v>
      </c>
      <c r="G111" s="31">
        <v>44256</v>
      </c>
      <c r="H111" s="26"/>
      <c r="I111" s="26">
        <f>VLOOKUP(C111,[1]Hoja1!$G:$H,2,FALSE)</f>
        <v>4.4000000000000004</v>
      </c>
      <c r="J111" s="26"/>
      <c r="K111" s="26"/>
      <c r="L111" s="26"/>
      <c r="M111" s="26"/>
      <c r="N111" s="26"/>
      <c r="O111" s="26">
        <v>434.19444444444451</v>
      </c>
      <c r="P111" s="26"/>
      <c r="Q111" s="26"/>
      <c r="R111" s="26">
        <v>434.19444444444451</v>
      </c>
      <c r="S111" s="26">
        <v>449.16666666666674</v>
      </c>
      <c r="T111" s="26"/>
      <c r="U111" s="26"/>
      <c r="V111" s="26">
        <v>883.36111111111131</v>
      </c>
      <c r="W111" s="26">
        <v>464.13888888888897</v>
      </c>
      <c r="X111" s="35"/>
      <c r="Y111" s="26"/>
      <c r="Z111" s="26">
        <v>1347.5000000000002</v>
      </c>
      <c r="AA111" s="26">
        <v>443.01369863013707</v>
      </c>
      <c r="AB111" s="35"/>
      <c r="AC111" s="26"/>
      <c r="AD111" s="26">
        <v>1790.5136986301372</v>
      </c>
      <c r="AE111" s="26">
        <v>457.78082191780834</v>
      </c>
      <c r="AF111" s="26"/>
      <c r="AG111" s="26"/>
      <c r="AH111" s="26">
        <v>2248.2945205479455</v>
      </c>
      <c r="AI111" s="26">
        <v>457.78082191780834</v>
      </c>
      <c r="AJ111" s="26"/>
      <c r="AK111" s="26"/>
      <c r="AL111" s="26">
        <v>2706.0753424657537</v>
      </c>
      <c r="AM111" s="26">
        <v>443.01369863013696</v>
      </c>
      <c r="AN111" s="26"/>
      <c r="AO111" s="26"/>
      <c r="AP111" s="26">
        <f>+AL111+AM111+AN111+AO111</f>
        <v>3149.0890410958905</v>
      </c>
      <c r="AQ111" s="25"/>
    </row>
    <row r="112" spans="1:43" s="1" customFormat="1" x14ac:dyDescent="0.3">
      <c r="A112" s="37">
        <v>5056</v>
      </c>
      <c r="B112" s="25" t="s">
        <v>124</v>
      </c>
      <c r="C112" s="25" t="s">
        <v>241</v>
      </c>
      <c r="D112" s="25" t="s">
        <v>240</v>
      </c>
      <c r="E112" s="35">
        <v>200000</v>
      </c>
      <c r="F112" s="31">
        <v>43892</v>
      </c>
      <c r="G112" s="31">
        <v>44257</v>
      </c>
      <c r="H112" s="26"/>
      <c r="I112" s="26">
        <f>VLOOKUP(C112,[1]Hoja1!$G:$H,2,FALSE)</f>
        <v>5.9</v>
      </c>
      <c r="J112" s="26"/>
      <c r="K112" s="26"/>
      <c r="L112" s="26"/>
      <c r="M112" s="26"/>
      <c r="N112" s="26"/>
      <c r="O112" s="26">
        <v>917.77777777777783</v>
      </c>
      <c r="P112" s="26"/>
      <c r="Q112" s="26"/>
      <c r="R112" s="26">
        <v>917.77777777777783</v>
      </c>
      <c r="S112" s="26">
        <v>983.33333333333337</v>
      </c>
      <c r="T112" s="26"/>
      <c r="U112" s="26"/>
      <c r="V112" s="26">
        <v>1901.1111111111113</v>
      </c>
      <c r="W112" s="26">
        <v>1016.1111111111111</v>
      </c>
      <c r="X112" s="35"/>
      <c r="Y112" s="26"/>
      <c r="Z112" s="26">
        <v>2917.2222222222226</v>
      </c>
      <c r="AA112" s="26">
        <v>969.86301369863008</v>
      </c>
      <c r="AB112" s="35"/>
      <c r="AC112" s="26"/>
      <c r="AD112" s="26">
        <v>3887.0852359208529</v>
      </c>
      <c r="AE112" s="26">
        <v>1002.1917808219177</v>
      </c>
      <c r="AF112" s="26"/>
      <c r="AG112" s="26"/>
      <c r="AH112" s="26">
        <v>4889.2770167427707</v>
      </c>
      <c r="AI112" s="26">
        <v>1002.1917808219177</v>
      </c>
      <c r="AJ112" s="26"/>
      <c r="AK112" s="26"/>
      <c r="AL112" s="26">
        <v>5891.4687975646884</v>
      </c>
      <c r="AM112" s="26">
        <v>969.86301369863008</v>
      </c>
      <c r="AN112" s="26"/>
      <c r="AO112" s="26"/>
      <c r="AP112" s="26">
        <f>+AL112+AM112+AN112+AO112</f>
        <v>6861.3318112633187</v>
      </c>
      <c r="AQ112" s="25"/>
    </row>
    <row r="113" spans="1:43" s="1" customFormat="1" x14ac:dyDescent="0.3">
      <c r="A113" s="37">
        <v>5040</v>
      </c>
      <c r="B113" s="25" t="s">
        <v>82</v>
      </c>
      <c r="C113" s="25" t="s">
        <v>239</v>
      </c>
      <c r="D113" s="25" t="s">
        <v>238</v>
      </c>
      <c r="E113" s="35">
        <v>22652.99</v>
      </c>
      <c r="F113" s="31">
        <v>43894</v>
      </c>
      <c r="G113" s="31">
        <v>44259</v>
      </c>
      <c r="H113" s="26"/>
      <c r="I113" s="26">
        <f>VLOOKUP(C113,[1]Hoja1!$G:$H,2,FALSE)</f>
        <v>6.15</v>
      </c>
      <c r="J113" s="26"/>
      <c r="K113" s="26"/>
      <c r="L113" s="26"/>
      <c r="M113" s="26"/>
      <c r="N113" s="26"/>
      <c r="O113" s="26">
        <v>100.61703058333335</v>
      </c>
      <c r="P113" s="26"/>
      <c r="Q113" s="26"/>
      <c r="R113" s="26">
        <v>100.61703058333335</v>
      </c>
      <c r="S113" s="26">
        <v>116.09657375000002</v>
      </c>
      <c r="T113" s="26"/>
      <c r="U113" s="26"/>
      <c r="V113" s="26">
        <v>216.71360433333336</v>
      </c>
      <c r="W113" s="26">
        <v>119.96645954166669</v>
      </c>
      <c r="X113" s="35"/>
      <c r="Y113" s="26"/>
      <c r="Z113" s="26">
        <v>336.68006387500009</v>
      </c>
      <c r="AA113" s="26">
        <v>114.50620972602742</v>
      </c>
      <c r="AB113" s="35"/>
      <c r="AC113" s="26"/>
      <c r="AD113" s="26">
        <v>451.18627360102749</v>
      </c>
      <c r="AE113" s="26">
        <v>118.32308338356167</v>
      </c>
      <c r="AF113" s="26"/>
      <c r="AG113" s="26"/>
      <c r="AH113" s="26">
        <v>569.5093569845892</v>
      </c>
      <c r="AI113" s="26">
        <v>118.32308338356167</v>
      </c>
      <c r="AJ113" s="26"/>
      <c r="AK113" s="26"/>
      <c r="AL113" s="26">
        <v>687.83244036815086</v>
      </c>
      <c r="AM113" s="26">
        <v>114.50620972602742</v>
      </c>
      <c r="AN113" s="26"/>
      <c r="AO113" s="26"/>
      <c r="AP113" s="26">
        <f>+AL113+AM113+AN113+AO113</f>
        <v>802.33865009417832</v>
      </c>
      <c r="AQ113" s="25"/>
    </row>
    <row r="114" spans="1:43" s="1" customFormat="1" x14ac:dyDescent="0.3">
      <c r="A114" s="37">
        <v>5056</v>
      </c>
      <c r="B114" s="25" t="s">
        <v>124</v>
      </c>
      <c r="C114" s="25" t="s">
        <v>237</v>
      </c>
      <c r="D114" s="25" t="s">
        <v>236</v>
      </c>
      <c r="E114" s="35">
        <v>50000</v>
      </c>
      <c r="F114" s="31">
        <v>43902</v>
      </c>
      <c r="G114" s="31">
        <v>44267</v>
      </c>
      <c r="H114" s="26"/>
      <c r="I114" s="26">
        <f>VLOOKUP(C114,[1]Hoja1!$G:$H,2,FALSE)</f>
        <v>4.9000000000000004</v>
      </c>
      <c r="J114" s="26"/>
      <c r="K114" s="26"/>
      <c r="L114" s="26"/>
      <c r="M114" s="26"/>
      <c r="N114" s="26"/>
      <c r="O114" s="26">
        <v>122.5</v>
      </c>
      <c r="P114" s="26"/>
      <c r="Q114" s="26"/>
      <c r="R114" s="26">
        <v>122.5</v>
      </c>
      <c r="S114" s="26">
        <v>204.16666666666666</v>
      </c>
      <c r="T114" s="26"/>
      <c r="U114" s="26"/>
      <c r="V114" s="26">
        <v>326.66666666666663</v>
      </c>
      <c r="W114" s="26">
        <v>210.97222222222223</v>
      </c>
      <c r="X114" s="35"/>
      <c r="Y114" s="26"/>
      <c r="Z114" s="26">
        <v>537.63888888888891</v>
      </c>
      <c r="AA114" s="26">
        <v>201.36986301369865</v>
      </c>
      <c r="AB114" s="35"/>
      <c r="AC114" s="26"/>
      <c r="AD114" s="26">
        <v>739.00875190258762</v>
      </c>
      <c r="AE114" s="26">
        <v>208.08219178082192</v>
      </c>
      <c r="AF114" s="26"/>
      <c r="AG114" s="26"/>
      <c r="AH114" s="26">
        <v>947.09094368340948</v>
      </c>
      <c r="AI114" s="26">
        <v>208.08219178082192</v>
      </c>
      <c r="AJ114" s="26"/>
      <c r="AK114" s="26"/>
      <c r="AL114" s="26">
        <v>1155.1731354642313</v>
      </c>
      <c r="AM114" s="26">
        <v>201.36986301369865</v>
      </c>
      <c r="AN114" s="26"/>
      <c r="AO114" s="26"/>
      <c r="AP114" s="26">
        <f>+AL114+AM114+AN114+AO114</f>
        <v>1356.54299847793</v>
      </c>
      <c r="AQ114" s="25"/>
    </row>
    <row r="115" spans="1:43" s="1" customFormat="1" x14ac:dyDescent="0.3">
      <c r="A115" s="37">
        <v>5060</v>
      </c>
      <c r="B115" s="25" t="s">
        <v>16</v>
      </c>
      <c r="C115" s="25" t="s">
        <v>235</v>
      </c>
      <c r="D115" s="25" t="s">
        <v>234</v>
      </c>
      <c r="E115" s="35">
        <v>72500</v>
      </c>
      <c r="F115" s="31">
        <v>43903</v>
      </c>
      <c r="G115" s="31">
        <v>44268</v>
      </c>
      <c r="H115" s="26"/>
      <c r="I115" s="26">
        <f>VLOOKUP(C115,[1]Hoja1!$G:$H,2,FALSE)</f>
        <v>1.9</v>
      </c>
      <c r="J115" s="26"/>
      <c r="K115" s="26"/>
      <c r="L115" s="26"/>
      <c r="M115" s="26"/>
      <c r="N115" s="26"/>
      <c r="O115" s="26">
        <v>65.048611111111114</v>
      </c>
      <c r="P115" s="26"/>
      <c r="Q115" s="26"/>
      <c r="R115" s="26">
        <v>65.048611111111114</v>
      </c>
      <c r="S115" s="26">
        <v>114.79166666666667</v>
      </c>
      <c r="T115" s="26"/>
      <c r="U115" s="26"/>
      <c r="V115" s="26">
        <v>179.84027777777777</v>
      </c>
      <c r="W115" s="26">
        <v>118.61805555555556</v>
      </c>
      <c r="X115" s="35"/>
      <c r="Y115" s="26"/>
      <c r="Z115" s="26">
        <v>298.45833333333331</v>
      </c>
      <c r="AA115" s="26">
        <v>113.21917808219179</v>
      </c>
      <c r="AB115" s="35"/>
      <c r="AC115" s="26"/>
      <c r="AD115" s="26">
        <v>411.67751141552509</v>
      </c>
      <c r="AE115" s="26">
        <v>116.99315068493151</v>
      </c>
      <c r="AF115" s="26"/>
      <c r="AG115" s="26"/>
      <c r="AH115" s="26">
        <v>528.67066210045664</v>
      </c>
      <c r="AI115" s="26">
        <v>116.99315068493151</v>
      </c>
      <c r="AJ115" s="26"/>
      <c r="AK115" s="26"/>
      <c r="AL115" s="26">
        <v>645.66381278538813</v>
      </c>
      <c r="AM115" s="26">
        <v>113.21917808219179</v>
      </c>
      <c r="AN115" s="26"/>
      <c r="AO115" s="26"/>
      <c r="AP115" s="26">
        <f>+AL115+AM115+AN115+AO115</f>
        <v>758.88299086757991</v>
      </c>
      <c r="AQ115" s="25"/>
    </row>
    <row r="116" spans="1:43" s="1" customFormat="1" x14ac:dyDescent="0.3">
      <c r="A116" s="37">
        <v>5060</v>
      </c>
      <c r="B116" s="25" t="s">
        <v>233</v>
      </c>
      <c r="C116" s="25" t="s">
        <v>232</v>
      </c>
      <c r="D116" s="25" t="s">
        <v>231</v>
      </c>
      <c r="E116" s="35">
        <v>80000</v>
      </c>
      <c r="F116" s="31">
        <v>43903</v>
      </c>
      <c r="G116" s="31">
        <v>44268</v>
      </c>
      <c r="H116" s="26"/>
      <c r="I116" s="26">
        <f>VLOOKUP(C116,[1]Hoja1!$G:$H,2,FALSE)</f>
        <v>5.65</v>
      </c>
      <c r="J116" s="26"/>
      <c r="K116" s="26"/>
      <c r="L116" s="26"/>
      <c r="M116" s="26"/>
      <c r="N116" s="26"/>
      <c r="O116" s="26">
        <v>213.44444444444443</v>
      </c>
      <c r="P116" s="26"/>
      <c r="Q116" s="26"/>
      <c r="R116" s="26">
        <v>213.44444444444443</v>
      </c>
      <c r="S116" s="26">
        <v>376.66666666666669</v>
      </c>
      <c r="T116" s="26"/>
      <c r="U116" s="26"/>
      <c r="V116" s="26">
        <v>590.11111111111109</v>
      </c>
      <c r="W116" s="26">
        <v>389.22222222222223</v>
      </c>
      <c r="X116" s="35"/>
      <c r="Y116" s="26"/>
      <c r="Z116" s="26">
        <v>979.33333333333326</v>
      </c>
      <c r="AA116" s="26">
        <v>371.50684931506851</v>
      </c>
      <c r="AB116" s="35"/>
      <c r="AC116" s="26"/>
      <c r="AD116" s="26">
        <v>1350.8401826484019</v>
      </c>
      <c r="AE116" s="26">
        <v>383.89041095890411</v>
      </c>
      <c r="AF116" s="26"/>
      <c r="AG116" s="26"/>
      <c r="AH116" s="26">
        <v>1734.730593607306</v>
      </c>
      <c r="AI116" s="26">
        <v>383.89041095890411</v>
      </c>
      <c r="AJ116" s="26"/>
      <c r="AK116" s="26"/>
      <c r="AL116" s="26">
        <v>2118.6210045662101</v>
      </c>
      <c r="AM116" s="26">
        <v>371.50684931506851</v>
      </c>
      <c r="AN116" s="26"/>
      <c r="AO116" s="26"/>
      <c r="AP116" s="26">
        <f>+AL116+AM116+AN116+AO116</f>
        <v>2490.1278538812785</v>
      </c>
      <c r="AQ116" s="25"/>
    </row>
    <row r="117" spans="1:43" s="1" customFormat="1" x14ac:dyDescent="0.3">
      <c r="A117" s="37">
        <v>5063</v>
      </c>
      <c r="B117" s="25" t="s">
        <v>13</v>
      </c>
      <c r="C117" s="25" t="s">
        <v>230</v>
      </c>
      <c r="D117" s="25" t="s">
        <v>229</v>
      </c>
      <c r="E117" s="38">
        <v>100000</v>
      </c>
      <c r="F117" s="31">
        <v>43904</v>
      </c>
      <c r="G117" s="31">
        <v>44269</v>
      </c>
      <c r="H117" s="26"/>
      <c r="I117" s="26">
        <f>VLOOKUP(C117,[1]Hoja1!$G:$H,2,FALSE)</f>
        <v>4.6500000000000004</v>
      </c>
      <c r="J117" s="26"/>
      <c r="K117" s="26"/>
      <c r="L117" s="26"/>
      <c r="M117" s="26"/>
      <c r="N117" s="26"/>
      <c r="O117" s="26">
        <v>206.66666666666671</v>
      </c>
      <c r="P117" s="26"/>
      <c r="Q117" s="26"/>
      <c r="R117" s="26">
        <v>206.66666666666671</v>
      </c>
      <c r="S117" s="26">
        <v>387.50000000000011</v>
      </c>
      <c r="T117" s="26"/>
      <c r="U117" s="26"/>
      <c r="V117" s="26">
        <v>594.16666666666686</v>
      </c>
      <c r="W117" s="26">
        <v>400.41666666666674</v>
      </c>
      <c r="X117" s="35"/>
      <c r="Y117" s="26"/>
      <c r="Z117" s="26">
        <v>994.5833333333336</v>
      </c>
      <c r="AA117" s="26">
        <v>382.19178082191786</v>
      </c>
      <c r="AB117" s="35"/>
      <c r="AC117" s="26"/>
      <c r="AD117" s="26">
        <v>1376.7751141552515</v>
      </c>
      <c r="AE117" s="26">
        <v>394.93150684931516</v>
      </c>
      <c r="AF117" s="26"/>
      <c r="AG117" s="26"/>
      <c r="AH117" s="26">
        <v>1771.7066210045666</v>
      </c>
      <c r="AI117" s="26">
        <v>394.93150684931516</v>
      </c>
      <c r="AJ117" s="26"/>
      <c r="AK117" s="26"/>
      <c r="AL117" s="26">
        <v>2166.638127853882</v>
      </c>
      <c r="AM117" s="26">
        <v>382.1917808219178</v>
      </c>
      <c r="AN117" s="26"/>
      <c r="AO117" s="26"/>
      <c r="AP117" s="26">
        <f>+AL117+AM117+AN117+AO117</f>
        <v>2548.8299086757997</v>
      </c>
      <c r="AQ117" s="25"/>
    </row>
    <row r="118" spans="1:43" s="1" customFormat="1" x14ac:dyDescent="0.3">
      <c r="A118" s="37">
        <v>5057</v>
      </c>
      <c r="B118" s="25" t="s">
        <v>74</v>
      </c>
      <c r="C118" s="25" t="s">
        <v>228</v>
      </c>
      <c r="D118" s="25" t="s">
        <v>227</v>
      </c>
      <c r="E118" s="35">
        <v>100000</v>
      </c>
      <c r="F118" s="31">
        <v>43910</v>
      </c>
      <c r="G118" s="31">
        <v>44275</v>
      </c>
      <c r="H118" s="26"/>
      <c r="I118" s="26">
        <f>VLOOKUP(C118,[1]Hoja1!$G:$H,2,FALSE)</f>
        <v>3.4</v>
      </c>
      <c r="J118" s="26"/>
      <c r="K118" s="26"/>
      <c r="L118" s="26"/>
      <c r="M118" s="26"/>
      <c r="N118" s="26"/>
      <c r="O118" s="26">
        <v>94.444444444444457</v>
      </c>
      <c r="P118" s="26"/>
      <c r="Q118" s="26"/>
      <c r="R118" s="26">
        <v>94.444444444444457</v>
      </c>
      <c r="S118" s="26">
        <v>283.33333333333337</v>
      </c>
      <c r="T118" s="26"/>
      <c r="U118" s="26"/>
      <c r="V118" s="26">
        <v>377.77777777777783</v>
      </c>
      <c r="W118" s="26">
        <v>292.77777777777783</v>
      </c>
      <c r="X118" s="35"/>
      <c r="Y118" s="26"/>
      <c r="Z118" s="26">
        <v>670.55555555555566</v>
      </c>
      <c r="AA118" s="26">
        <v>279.45205479452062</v>
      </c>
      <c r="AB118" s="35"/>
      <c r="AC118" s="26"/>
      <c r="AD118" s="26">
        <v>950.00761035007622</v>
      </c>
      <c r="AE118" s="26">
        <v>288.76712328767127</v>
      </c>
      <c r="AF118" s="26"/>
      <c r="AG118" s="26"/>
      <c r="AH118" s="26">
        <v>1238.7747336377474</v>
      </c>
      <c r="AI118" s="26">
        <v>288.76712328767127</v>
      </c>
      <c r="AJ118" s="42">
        <v>-1481.1</v>
      </c>
      <c r="AK118" s="26">
        <v>-46.44</v>
      </c>
      <c r="AL118" s="26">
        <v>1.8569254187355E-3</v>
      </c>
      <c r="AM118" s="26">
        <v>0</v>
      </c>
      <c r="AN118" s="42"/>
      <c r="AO118" s="26"/>
      <c r="AP118" s="26">
        <f>+AL118+AM118+AN118+AO118</f>
        <v>1.8569254187355E-3</v>
      </c>
      <c r="AQ118" s="25" t="s">
        <v>96</v>
      </c>
    </row>
    <row r="119" spans="1:43" s="1" customFormat="1" x14ac:dyDescent="0.3">
      <c r="A119" s="37">
        <v>5062</v>
      </c>
      <c r="B119" s="25" t="s">
        <v>85</v>
      </c>
      <c r="C119" s="25" t="s">
        <v>226</v>
      </c>
      <c r="D119" s="25" t="s">
        <v>225</v>
      </c>
      <c r="E119" s="28"/>
      <c r="F119" s="31">
        <v>43795</v>
      </c>
      <c r="G119" s="31">
        <v>44044</v>
      </c>
      <c r="H119" s="26"/>
      <c r="I119" s="35">
        <v>7.4</v>
      </c>
      <c r="J119" s="26"/>
      <c r="K119" s="26"/>
      <c r="L119" s="26"/>
      <c r="M119" s="26"/>
      <c r="N119" s="26"/>
      <c r="O119" s="25">
        <v>0</v>
      </c>
      <c r="P119" s="26"/>
      <c r="Q119" s="26">
        <v>8186.8209923499999</v>
      </c>
      <c r="R119" s="26">
        <v>8186.8209923499999</v>
      </c>
      <c r="S119" s="26">
        <v>1949.2430934166669</v>
      </c>
      <c r="T119" s="26"/>
      <c r="U119" s="26"/>
      <c r="V119" s="26">
        <v>10136.064085766666</v>
      </c>
      <c r="W119" s="26">
        <v>2008.7</v>
      </c>
      <c r="X119" s="35">
        <v>-17958.61</v>
      </c>
      <c r="Y119" s="26"/>
      <c r="Z119" s="26">
        <v>-5813.845914233334</v>
      </c>
      <c r="AA119" s="26">
        <v>0</v>
      </c>
      <c r="AB119" s="35"/>
      <c r="AC119" s="26"/>
      <c r="AD119" s="26">
        <v>-5813.845914233334</v>
      </c>
      <c r="AE119" s="26">
        <v>0</v>
      </c>
      <c r="AF119" s="26"/>
      <c r="AG119" s="26">
        <v>5813.85</v>
      </c>
      <c r="AH119" s="26">
        <v>4.0857666663214331E-3</v>
      </c>
      <c r="AI119" s="26">
        <v>0</v>
      </c>
      <c r="AJ119" s="26"/>
      <c r="AK119" s="26"/>
      <c r="AL119" s="26">
        <v>4.0857666663214331E-3</v>
      </c>
      <c r="AM119" s="26">
        <v>0</v>
      </c>
      <c r="AN119" s="26"/>
      <c r="AO119" s="26"/>
      <c r="AP119" s="26">
        <f>+AL119+AM119+AN119+AO119</f>
        <v>4.0857666663214331E-3</v>
      </c>
      <c r="AQ119" s="25"/>
    </row>
    <row r="120" spans="1:43" s="1" customFormat="1" x14ac:dyDescent="0.3">
      <c r="A120" s="37">
        <v>5060</v>
      </c>
      <c r="B120" s="25" t="s">
        <v>16</v>
      </c>
      <c r="C120" s="25" t="s">
        <v>224</v>
      </c>
      <c r="D120" s="25" t="s">
        <v>223</v>
      </c>
      <c r="E120" s="35">
        <v>330000</v>
      </c>
      <c r="F120" s="31">
        <v>43733</v>
      </c>
      <c r="G120" s="31">
        <v>44099</v>
      </c>
      <c r="H120" s="26"/>
      <c r="I120" s="35">
        <v>1.9</v>
      </c>
      <c r="J120" s="26"/>
      <c r="K120" s="26"/>
      <c r="L120" s="26"/>
      <c r="M120" s="26"/>
      <c r="N120" s="26"/>
      <c r="O120" s="25">
        <v>0</v>
      </c>
      <c r="P120" s="26"/>
      <c r="Q120" s="26">
        <v>3274.3333333333335</v>
      </c>
      <c r="R120" s="26">
        <v>3274.3333333333335</v>
      </c>
      <c r="S120" s="26">
        <v>522.5</v>
      </c>
      <c r="T120" s="26"/>
      <c r="U120" s="26"/>
      <c r="V120" s="26">
        <v>3796.8333333333335</v>
      </c>
      <c r="W120" s="26">
        <v>539.91666666666674</v>
      </c>
      <c r="X120" s="35"/>
      <c r="Y120" s="26"/>
      <c r="Z120" s="26">
        <v>4336.75</v>
      </c>
      <c r="AA120" s="26">
        <v>515.34246575342456</v>
      </c>
      <c r="AB120" s="35"/>
      <c r="AC120" s="26"/>
      <c r="AD120" s="26">
        <v>4852.0924657534242</v>
      </c>
      <c r="AE120" s="26">
        <v>532.52054794520541</v>
      </c>
      <c r="AF120" s="26"/>
      <c r="AG120" s="26"/>
      <c r="AH120" s="26">
        <v>5384.6130136986294</v>
      </c>
      <c r="AI120" s="26">
        <v>532.52054794520541</v>
      </c>
      <c r="AJ120" s="26"/>
      <c r="AK120" s="26"/>
      <c r="AL120" s="26">
        <v>5917.1335616438346</v>
      </c>
      <c r="AM120" s="26">
        <v>515.34246575342456</v>
      </c>
      <c r="AN120" s="26">
        <v>-6270</v>
      </c>
      <c r="AO120" s="26">
        <v>-162.47999999999999</v>
      </c>
      <c r="AP120" s="26">
        <f>+AL120+AM120+AN120+AO120</f>
        <v>-3.9726027411859377E-3</v>
      </c>
      <c r="AQ120" s="25" t="s">
        <v>218</v>
      </c>
    </row>
    <row r="121" spans="1:43" s="1" customFormat="1" x14ac:dyDescent="0.3">
      <c r="A121" s="37">
        <v>5060</v>
      </c>
      <c r="B121" s="25" t="s">
        <v>40</v>
      </c>
      <c r="C121" s="25" t="s">
        <v>222</v>
      </c>
      <c r="D121" s="25" t="s">
        <v>221</v>
      </c>
      <c r="E121" s="35"/>
      <c r="F121" s="31">
        <v>43665</v>
      </c>
      <c r="G121" s="31">
        <v>44031</v>
      </c>
      <c r="H121" s="26"/>
      <c r="I121" s="35">
        <v>6.4</v>
      </c>
      <c r="J121" s="26"/>
      <c r="K121" s="26"/>
      <c r="L121" s="26"/>
      <c r="M121" s="26"/>
      <c r="N121" s="26"/>
      <c r="O121" s="25">
        <v>0</v>
      </c>
      <c r="P121" s="26"/>
      <c r="Q121" s="26">
        <v>50062.222222222219</v>
      </c>
      <c r="R121" s="26">
        <v>50062.222222222219</v>
      </c>
      <c r="S121" s="26">
        <v>5866.6666666666661</v>
      </c>
      <c r="T121" s="26"/>
      <c r="U121" s="26"/>
      <c r="V121" s="26">
        <v>55928.888888888883</v>
      </c>
      <c r="W121" s="26">
        <v>6062.2222222222217</v>
      </c>
      <c r="X121" s="35"/>
      <c r="Y121" s="26"/>
      <c r="Z121" s="26">
        <v>61991.111111111102</v>
      </c>
      <c r="AA121" s="26">
        <v>5786.3013698630139</v>
      </c>
      <c r="AB121" s="35"/>
      <c r="AC121" s="26"/>
      <c r="AD121" s="26">
        <v>67777.412480974119</v>
      </c>
      <c r="AE121" s="26">
        <v>3664.6575342465753</v>
      </c>
      <c r="AF121" s="26">
        <v>-70400</v>
      </c>
      <c r="AG121" s="26">
        <v>-1042.07</v>
      </c>
      <c r="AH121" s="26">
        <v>1.5220699197016074E-5</v>
      </c>
      <c r="AI121" s="26"/>
      <c r="AJ121" s="26"/>
      <c r="AK121" s="26"/>
      <c r="AL121" s="26">
        <v>1.5220699197016074E-5</v>
      </c>
      <c r="AM121" s="26">
        <v>0</v>
      </c>
      <c r="AN121" s="26"/>
      <c r="AO121" s="26"/>
      <c r="AP121" s="26">
        <f>+AL121+AM121+AN121+AO121</f>
        <v>1.5220699197016074E-5</v>
      </c>
      <c r="AQ121" s="25" t="s">
        <v>218</v>
      </c>
    </row>
    <row r="122" spans="1:43" s="1" customFormat="1" x14ac:dyDescent="0.3">
      <c r="A122" s="37">
        <v>5031</v>
      </c>
      <c r="B122" s="25" t="s">
        <v>7</v>
      </c>
      <c r="C122" s="25" t="s">
        <v>220</v>
      </c>
      <c r="D122" s="25" t="s">
        <v>219</v>
      </c>
      <c r="E122" s="35">
        <v>465000</v>
      </c>
      <c r="F122" s="31">
        <v>43733</v>
      </c>
      <c r="G122" s="31">
        <v>44099</v>
      </c>
      <c r="H122" s="26"/>
      <c r="I122" s="35">
        <v>6.4</v>
      </c>
      <c r="J122" s="26"/>
      <c r="K122" s="26"/>
      <c r="L122" s="26"/>
      <c r="M122" s="26"/>
      <c r="N122" s="26"/>
      <c r="O122" s="25">
        <v>0</v>
      </c>
      <c r="P122" s="26"/>
      <c r="Q122" s="26">
        <v>15541.333333333334</v>
      </c>
      <c r="R122" s="26">
        <v>15541.333333333334</v>
      </c>
      <c r="S122" s="26">
        <v>2480</v>
      </c>
      <c r="T122" s="26"/>
      <c r="U122" s="26"/>
      <c r="V122" s="26">
        <v>18021.333333333336</v>
      </c>
      <c r="W122" s="26">
        <v>2562.666666666667</v>
      </c>
      <c r="X122" s="35"/>
      <c r="Y122" s="26"/>
      <c r="Z122" s="26">
        <v>20584.000000000004</v>
      </c>
      <c r="AA122" s="26">
        <v>2446.027397260274</v>
      </c>
      <c r="AB122" s="35"/>
      <c r="AC122" s="26"/>
      <c r="AD122" s="26">
        <v>23030.027397260277</v>
      </c>
      <c r="AE122" s="26">
        <v>2527.5616438356165</v>
      </c>
      <c r="AF122" s="26"/>
      <c r="AG122" s="26"/>
      <c r="AH122" s="26">
        <v>25557.589041095893</v>
      </c>
      <c r="AI122" s="26">
        <v>2527.5616438356165</v>
      </c>
      <c r="AJ122" s="26"/>
      <c r="AK122" s="26"/>
      <c r="AL122" s="26">
        <v>28085.150684931508</v>
      </c>
      <c r="AM122" s="26">
        <v>2446.027397260274</v>
      </c>
      <c r="AN122" s="26">
        <v>-29760</v>
      </c>
      <c r="AO122" s="26">
        <v>-771.18</v>
      </c>
      <c r="AP122" s="26">
        <f>+AL122+AM122+AN122+AO122</f>
        <v>-1.9178082180815181E-3</v>
      </c>
      <c r="AQ122" s="25" t="s">
        <v>218</v>
      </c>
    </row>
    <row r="123" spans="1:43" s="1" customFormat="1" x14ac:dyDescent="0.3">
      <c r="A123" s="37">
        <v>5055</v>
      </c>
      <c r="B123" s="25" t="s">
        <v>53</v>
      </c>
      <c r="C123" s="25" t="s">
        <v>217</v>
      </c>
      <c r="D123" s="25" t="s">
        <v>216</v>
      </c>
      <c r="E123" s="35">
        <v>800000</v>
      </c>
      <c r="F123" s="31">
        <v>43829</v>
      </c>
      <c r="G123" s="31">
        <v>44195</v>
      </c>
      <c r="H123" s="26"/>
      <c r="I123" s="35">
        <v>6.85</v>
      </c>
      <c r="J123" s="26"/>
      <c r="K123" s="26"/>
      <c r="L123" s="26"/>
      <c r="M123" s="26"/>
      <c r="N123" s="26"/>
      <c r="O123" s="25">
        <v>0</v>
      </c>
      <c r="P123" s="26"/>
      <c r="Q123" s="26">
        <v>14004.444444444442</v>
      </c>
      <c r="R123" s="26">
        <v>14004.444444444442</v>
      </c>
      <c r="S123" s="26">
        <v>4566.6666666666661</v>
      </c>
      <c r="T123" s="26"/>
      <c r="U123" s="26"/>
      <c r="V123" s="26">
        <v>18571.111111111109</v>
      </c>
      <c r="W123" s="26">
        <v>4718.8888888888878</v>
      </c>
      <c r="X123" s="35"/>
      <c r="Y123" s="26"/>
      <c r="Z123" s="26">
        <v>23289.999999999996</v>
      </c>
      <c r="AA123" s="26">
        <v>4504.1095890410952</v>
      </c>
      <c r="AB123" s="35"/>
      <c r="AC123" s="26"/>
      <c r="AD123" s="26">
        <v>27794.109589041091</v>
      </c>
      <c r="AE123" s="26">
        <v>4654.2465753424649</v>
      </c>
      <c r="AF123" s="26"/>
      <c r="AG123" s="26"/>
      <c r="AH123" s="26">
        <v>32448.356164383556</v>
      </c>
      <c r="AI123" s="26">
        <v>4654.2465753424649</v>
      </c>
      <c r="AJ123" s="26"/>
      <c r="AK123" s="26"/>
      <c r="AL123" s="26">
        <v>37102.602739726019</v>
      </c>
      <c r="AM123" s="26">
        <v>4504.1095890410961</v>
      </c>
      <c r="AN123" s="26"/>
      <c r="AO123" s="26"/>
      <c r="AP123" s="26">
        <f>+AL123+AM123+AN123+AO123</f>
        <v>41606.712328767113</v>
      </c>
      <c r="AQ123" s="25"/>
    </row>
    <row r="124" spans="1:43" s="1" customFormat="1" x14ac:dyDescent="0.3">
      <c r="A124" s="34">
        <v>5063</v>
      </c>
      <c r="B124" s="33" t="s">
        <v>25</v>
      </c>
      <c r="C124" s="33" t="s">
        <v>215</v>
      </c>
      <c r="D124" s="33" t="s">
        <v>214</v>
      </c>
      <c r="E124" s="32">
        <v>122500</v>
      </c>
      <c r="F124" s="31">
        <v>43922</v>
      </c>
      <c r="G124" s="31">
        <v>44287</v>
      </c>
      <c r="H124" s="26"/>
      <c r="I124" s="35">
        <v>4.4000000000000004</v>
      </c>
      <c r="J124" s="26"/>
      <c r="K124" s="26"/>
      <c r="L124" s="26"/>
      <c r="M124" s="26"/>
      <c r="N124" s="26"/>
      <c r="O124" s="25"/>
      <c r="P124" s="26"/>
      <c r="Q124" s="26"/>
      <c r="R124" s="26"/>
      <c r="S124" s="26">
        <v>434.19444444444451</v>
      </c>
      <c r="T124" s="26"/>
      <c r="U124" s="26"/>
      <c r="V124" s="26">
        <v>434.19444444444451</v>
      </c>
      <c r="W124" s="26">
        <v>464.13888888888897</v>
      </c>
      <c r="X124" s="35"/>
      <c r="Y124" s="26"/>
      <c r="Z124" s="26">
        <v>898.33333333333348</v>
      </c>
      <c r="AA124" s="26">
        <v>443.01369863013707</v>
      </c>
      <c r="AB124" s="35"/>
      <c r="AC124" s="26"/>
      <c r="AD124" s="26">
        <v>1341.3470319634705</v>
      </c>
      <c r="AE124" s="26">
        <v>457.78082191780834</v>
      </c>
      <c r="AF124" s="26"/>
      <c r="AG124" s="26"/>
      <c r="AH124" s="26">
        <v>1799.127853881279</v>
      </c>
      <c r="AI124" s="26">
        <v>457.78082191780834</v>
      </c>
      <c r="AJ124" s="26"/>
      <c r="AK124" s="26"/>
      <c r="AL124" s="26">
        <v>2256.9086757990872</v>
      </c>
      <c r="AM124" s="26">
        <v>443.01369863013696</v>
      </c>
      <c r="AN124" s="26"/>
      <c r="AO124" s="26"/>
      <c r="AP124" s="26">
        <f>+AL124+AM124+AN124+AO124</f>
        <v>2699.922374429224</v>
      </c>
      <c r="AQ124" s="25"/>
    </row>
    <row r="125" spans="1:43" s="1" customFormat="1" x14ac:dyDescent="0.3">
      <c r="A125" s="34">
        <v>5060</v>
      </c>
      <c r="B125" s="33" t="s">
        <v>16</v>
      </c>
      <c r="C125" s="33" t="s">
        <v>213</v>
      </c>
      <c r="D125" s="33" t="s">
        <v>212</v>
      </c>
      <c r="E125" s="32">
        <v>90000</v>
      </c>
      <c r="F125" s="31">
        <v>43925</v>
      </c>
      <c r="G125" s="31">
        <v>44290</v>
      </c>
      <c r="H125" s="26"/>
      <c r="I125" s="35">
        <v>1.9</v>
      </c>
      <c r="J125" s="26"/>
      <c r="K125" s="26"/>
      <c r="L125" s="26"/>
      <c r="M125" s="26"/>
      <c r="N125" s="26"/>
      <c r="O125" s="25"/>
      <c r="P125" s="26"/>
      <c r="Q125" s="26"/>
      <c r="R125" s="26"/>
      <c r="S125" s="26">
        <v>137.75</v>
      </c>
      <c r="T125" s="26"/>
      <c r="U125" s="26"/>
      <c r="V125" s="26">
        <v>137.75</v>
      </c>
      <c r="W125" s="26">
        <v>147.25</v>
      </c>
      <c r="X125" s="35"/>
      <c r="Y125" s="26"/>
      <c r="Z125" s="26">
        <v>285</v>
      </c>
      <c r="AA125" s="26">
        <v>140.54794520547946</v>
      </c>
      <c r="AB125" s="35"/>
      <c r="AC125" s="26"/>
      <c r="AD125" s="26">
        <v>425.54794520547944</v>
      </c>
      <c r="AE125" s="26">
        <v>145.23287671232876</v>
      </c>
      <c r="AF125" s="26"/>
      <c r="AG125" s="26"/>
      <c r="AH125" s="26">
        <v>570.78082191780823</v>
      </c>
      <c r="AI125" s="26">
        <v>145.23287671232876</v>
      </c>
      <c r="AJ125" s="26"/>
      <c r="AK125" s="26"/>
      <c r="AL125" s="26">
        <v>716.01369863013701</v>
      </c>
      <c r="AM125" s="26">
        <v>140.54794520547946</v>
      </c>
      <c r="AN125" s="26"/>
      <c r="AO125" s="26"/>
      <c r="AP125" s="26">
        <f>+AL125+AM125+AN125+AO125</f>
        <v>856.56164383561645</v>
      </c>
      <c r="AQ125" s="25"/>
    </row>
    <row r="126" spans="1:43" s="1" customFormat="1" x14ac:dyDescent="0.3">
      <c r="A126" s="34">
        <v>5005</v>
      </c>
      <c r="B126" s="33" t="s">
        <v>211</v>
      </c>
      <c r="C126" s="33" t="s">
        <v>210</v>
      </c>
      <c r="D126" s="33" t="s">
        <v>209</v>
      </c>
      <c r="E126" s="32">
        <v>1100000</v>
      </c>
      <c r="F126" s="31">
        <v>43927</v>
      </c>
      <c r="G126" s="31">
        <v>44292</v>
      </c>
      <c r="H126" s="26"/>
      <c r="I126" s="35">
        <v>5.92</v>
      </c>
      <c r="J126" s="26"/>
      <c r="K126" s="26"/>
      <c r="L126" s="26"/>
      <c r="M126" s="26"/>
      <c r="N126" s="26"/>
      <c r="O126" s="25"/>
      <c r="P126" s="26"/>
      <c r="Q126" s="26"/>
      <c r="R126" s="26"/>
      <c r="S126" s="26">
        <v>4341.333333333333</v>
      </c>
      <c r="T126" s="26"/>
      <c r="U126" s="26"/>
      <c r="V126" s="26">
        <v>4341.333333333333</v>
      </c>
      <c r="W126" s="26">
        <v>5607.5555555555557</v>
      </c>
      <c r="X126" s="35"/>
      <c r="Y126" s="26"/>
      <c r="Z126" s="26">
        <v>9948.8888888888887</v>
      </c>
      <c r="AA126" s="26">
        <v>5352.3287671232874</v>
      </c>
      <c r="AB126" s="35"/>
      <c r="AC126" s="26"/>
      <c r="AD126" s="26">
        <v>15301.217656012177</v>
      </c>
      <c r="AE126" s="26">
        <v>5530.7397260273965</v>
      </c>
      <c r="AF126" s="26"/>
      <c r="AG126" s="26"/>
      <c r="AH126" s="26">
        <v>20831.957382039574</v>
      </c>
      <c r="AI126" s="26">
        <v>5530.7397260273965</v>
      </c>
      <c r="AJ126" s="26"/>
      <c r="AK126" s="26"/>
      <c r="AL126" s="26">
        <v>26362.697108066972</v>
      </c>
      <c r="AM126" s="26">
        <v>5352.3287671232874</v>
      </c>
      <c r="AN126" s="26"/>
      <c r="AO126" s="26"/>
      <c r="AP126" s="26">
        <f>+AL126+AM126+AN126+AO126</f>
        <v>31715.025875190258</v>
      </c>
      <c r="AQ126" s="25"/>
    </row>
    <row r="127" spans="1:43" s="1" customFormat="1" x14ac:dyDescent="0.3">
      <c r="A127" s="34">
        <v>5057</v>
      </c>
      <c r="B127" s="33" t="s">
        <v>74</v>
      </c>
      <c r="C127" s="33" t="s">
        <v>208</v>
      </c>
      <c r="D127" s="33" t="s">
        <v>207</v>
      </c>
      <c r="E127" s="32">
        <v>120000</v>
      </c>
      <c r="F127" s="31">
        <v>43930</v>
      </c>
      <c r="G127" s="31">
        <v>44295</v>
      </c>
      <c r="H127" s="26"/>
      <c r="I127" s="35">
        <v>3.4</v>
      </c>
      <c r="J127" s="26"/>
      <c r="K127" s="26"/>
      <c r="L127" s="26"/>
      <c r="M127" s="26"/>
      <c r="N127" s="26"/>
      <c r="O127" s="25"/>
      <c r="P127" s="26"/>
      <c r="Q127" s="26"/>
      <c r="R127" s="26"/>
      <c r="S127" s="26">
        <v>238</v>
      </c>
      <c r="T127" s="26"/>
      <c r="U127" s="26"/>
      <c r="V127" s="26">
        <v>238</v>
      </c>
      <c r="W127" s="26">
        <v>351.33333333333337</v>
      </c>
      <c r="X127" s="35"/>
      <c r="Y127" s="26"/>
      <c r="Z127" s="26">
        <v>589.33333333333337</v>
      </c>
      <c r="AA127" s="26">
        <v>335.34246575342473</v>
      </c>
      <c r="AB127" s="35"/>
      <c r="AC127" s="26"/>
      <c r="AD127" s="26">
        <v>924.67579908675816</v>
      </c>
      <c r="AE127" s="26">
        <v>346.52054794520552</v>
      </c>
      <c r="AF127" s="26"/>
      <c r="AG127" s="26"/>
      <c r="AH127" s="26">
        <v>1271.1963470319638</v>
      </c>
      <c r="AI127" s="26">
        <v>346.52054794520552</v>
      </c>
      <c r="AJ127" s="26"/>
      <c r="AK127" s="26"/>
      <c r="AL127" s="26">
        <v>1617.7168949771694</v>
      </c>
      <c r="AM127" s="26">
        <v>335.34246575342468</v>
      </c>
      <c r="AN127" s="26">
        <v>-1620.82</v>
      </c>
      <c r="AO127" s="26">
        <v>-332.24</v>
      </c>
      <c r="AP127" s="26">
        <f>+AL127+AM127+AN127+AO127</f>
        <v>-6.3926940583769465E-4</v>
      </c>
      <c r="AQ127" s="25" t="s">
        <v>96</v>
      </c>
    </row>
    <row r="128" spans="1:43" s="1" customFormat="1" x14ac:dyDescent="0.3">
      <c r="A128" s="34">
        <v>5004</v>
      </c>
      <c r="B128" s="33" t="s">
        <v>174</v>
      </c>
      <c r="C128" s="33" t="s">
        <v>206</v>
      </c>
      <c r="D128" s="33" t="s">
        <v>205</v>
      </c>
      <c r="E128" s="32">
        <v>810000</v>
      </c>
      <c r="F128" s="31">
        <v>43936</v>
      </c>
      <c r="G128" s="31">
        <v>44301</v>
      </c>
      <c r="H128" s="26"/>
      <c r="I128" s="35">
        <v>5.65</v>
      </c>
      <c r="J128" s="26"/>
      <c r="K128" s="26"/>
      <c r="L128" s="26"/>
      <c r="M128" s="26"/>
      <c r="N128" s="26"/>
      <c r="O128" s="25"/>
      <c r="P128" s="26"/>
      <c r="Q128" s="26"/>
      <c r="R128" s="26"/>
      <c r="S128" s="26">
        <v>1906.875</v>
      </c>
      <c r="T128" s="26"/>
      <c r="U128" s="26"/>
      <c r="V128" s="26">
        <v>1906.875</v>
      </c>
      <c r="W128" s="26">
        <v>3940.875</v>
      </c>
      <c r="X128" s="35"/>
      <c r="Y128" s="26"/>
      <c r="Z128" s="26">
        <v>5847.75</v>
      </c>
      <c r="AA128" s="26">
        <v>3761.5068493150684</v>
      </c>
      <c r="AB128" s="35"/>
      <c r="AC128" s="26"/>
      <c r="AD128" s="26">
        <v>9609.2568493150684</v>
      </c>
      <c r="AE128" s="26">
        <v>3886.8904109589043</v>
      </c>
      <c r="AF128" s="26"/>
      <c r="AG128" s="26"/>
      <c r="AH128" s="26">
        <v>13496.147260273972</v>
      </c>
      <c r="AI128" s="26">
        <v>3886.8904109589043</v>
      </c>
      <c r="AJ128" s="26"/>
      <c r="AK128" s="26"/>
      <c r="AL128" s="26">
        <v>17383.037671232876</v>
      </c>
      <c r="AM128" s="26">
        <v>3761.5068493150684</v>
      </c>
      <c r="AN128" s="26"/>
      <c r="AO128" s="26"/>
      <c r="AP128" s="26">
        <f>+AL128+AM128+AN128+AO128</f>
        <v>21144.544520547945</v>
      </c>
      <c r="AQ128" s="25"/>
    </row>
    <row r="129" spans="1:43" s="1" customFormat="1" x14ac:dyDescent="0.3">
      <c r="A129" s="34">
        <v>5031</v>
      </c>
      <c r="B129" s="33" t="s">
        <v>204</v>
      </c>
      <c r="C129" s="33" t="s">
        <v>203</v>
      </c>
      <c r="D129" s="33" t="s">
        <v>202</v>
      </c>
      <c r="E129" s="32">
        <v>330000</v>
      </c>
      <c r="F129" s="31">
        <v>43937</v>
      </c>
      <c r="G129" s="31">
        <v>44302</v>
      </c>
      <c r="H129" s="26"/>
      <c r="I129" s="35">
        <v>4.9000000000000004</v>
      </c>
      <c r="J129" s="26"/>
      <c r="K129" s="26"/>
      <c r="L129" s="26"/>
      <c r="M129" s="26"/>
      <c r="N129" s="26"/>
      <c r="O129" s="25"/>
      <c r="P129" s="26"/>
      <c r="Q129" s="26"/>
      <c r="R129" s="26"/>
      <c r="S129" s="26">
        <v>628.83333333333326</v>
      </c>
      <c r="T129" s="26"/>
      <c r="U129" s="26"/>
      <c r="V129" s="26">
        <v>628.83333333333326</v>
      </c>
      <c r="W129" s="26">
        <v>1392.4166666666665</v>
      </c>
      <c r="X129" s="35"/>
      <c r="Y129" s="26"/>
      <c r="Z129" s="26">
        <v>2021.2499999999998</v>
      </c>
      <c r="AA129" s="26">
        <v>1329.0410958904108</v>
      </c>
      <c r="AB129" s="35"/>
      <c r="AC129" s="26"/>
      <c r="AD129" s="26">
        <v>3350.2910958904104</v>
      </c>
      <c r="AE129" s="26">
        <v>1373.3424657534247</v>
      </c>
      <c r="AF129" s="26"/>
      <c r="AG129" s="26"/>
      <c r="AH129" s="26">
        <v>4723.6335616438355</v>
      </c>
      <c r="AI129" s="26">
        <v>1373.3424657534247</v>
      </c>
      <c r="AJ129" s="26"/>
      <c r="AK129" s="26"/>
      <c r="AL129" s="26">
        <v>6096.9760273972606</v>
      </c>
      <c r="AM129" s="26">
        <v>1329.041095890411</v>
      </c>
      <c r="AN129" s="26"/>
      <c r="AO129" s="26"/>
      <c r="AP129" s="26">
        <f>+AL129+AM129+AN129+AO129</f>
        <v>7426.0171232876719</v>
      </c>
      <c r="AQ129" s="25"/>
    </row>
    <row r="130" spans="1:43" s="1" customFormat="1" x14ac:dyDescent="0.3">
      <c r="A130" s="34">
        <v>5060</v>
      </c>
      <c r="B130" s="33" t="s">
        <v>177</v>
      </c>
      <c r="C130" s="33" t="s">
        <v>201</v>
      </c>
      <c r="D130" s="33" t="s">
        <v>200</v>
      </c>
      <c r="E130" s="32">
        <v>33000</v>
      </c>
      <c r="F130" s="31">
        <v>43942</v>
      </c>
      <c r="G130" s="31">
        <v>44307</v>
      </c>
      <c r="H130" s="26"/>
      <c r="I130" s="35">
        <v>6.4</v>
      </c>
      <c r="J130" s="26"/>
      <c r="K130" s="26"/>
      <c r="L130" s="26"/>
      <c r="M130" s="26"/>
      <c r="N130" s="26"/>
      <c r="O130" s="25"/>
      <c r="P130" s="26"/>
      <c r="Q130" s="26"/>
      <c r="R130" s="26"/>
      <c r="S130" s="26">
        <v>52.8</v>
      </c>
      <c r="T130" s="26"/>
      <c r="U130" s="26"/>
      <c r="V130" s="26">
        <v>52.8</v>
      </c>
      <c r="W130" s="26">
        <v>181.86666666666665</v>
      </c>
      <c r="X130" s="35"/>
      <c r="Y130" s="26"/>
      <c r="Z130" s="26">
        <v>234.66666666666663</v>
      </c>
      <c r="AA130" s="26">
        <v>173.58904109589042</v>
      </c>
      <c r="AB130" s="35"/>
      <c r="AC130" s="26"/>
      <c r="AD130" s="26">
        <v>408.25570776255705</v>
      </c>
      <c r="AE130" s="26">
        <v>179.37534246575342</v>
      </c>
      <c r="AF130" s="26"/>
      <c r="AG130" s="26"/>
      <c r="AH130" s="26">
        <v>587.63105022831041</v>
      </c>
      <c r="AI130" s="26">
        <v>179.37534246575342</v>
      </c>
      <c r="AJ130" s="26"/>
      <c r="AK130" s="26"/>
      <c r="AL130" s="26">
        <v>767.00639269406383</v>
      </c>
      <c r="AM130" s="26">
        <v>173.58904109589042</v>
      </c>
      <c r="AN130" s="26"/>
      <c r="AO130" s="26"/>
      <c r="AP130" s="26">
        <f>+AL130+AM130+AN130+AO130</f>
        <v>940.59543378995431</v>
      </c>
      <c r="AQ130" s="25"/>
    </row>
    <row r="131" spans="1:43" s="1" customFormat="1" x14ac:dyDescent="0.3">
      <c r="A131" s="34">
        <v>5004</v>
      </c>
      <c r="B131" s="33" t="s">
        <v>174</v>
      </c>
      <c r="C131" s="33" t="s">
        <v>197</v>
      </c>
      <c r="D131" s="33" t="s">
        <v>199</v>
      </c>
      <c r="E131" s="32">
        <v>1050000</v>
      </c>
      <c r="F131" s="31">
        <v>43943</v>
      </c>
      <c r="G131" s="31">
        <v>44308</v>
      </c>
      <c r="H131" s="26"/>
      <c r="I131" s="35">
        <v>5.65</v>
      </c>
      <c r="J131" s="26"/>
      <c r="K131" s="26"/>
      <c r="L131" s="26"/>
      <c r="M131" s="26"/>
      <c r="N131" s="26"/>
      <c r="O131" s="25"/>
      <c r="P131" s="26"/>
      <c r="Q131" s="26"/>
      <c r="R131" s="26"/>
      <c r="S131" s="26">
        <v>1318.3333333333333</v>
      </c>
      <c r="T131" s="26"/>
      <c r="U131" s="26"/>
      <c r="V131" s="26">
        <v>1318.3333333333333</v>
      </c>
      <c r="W131" s="26">
        <v>5108.5416666666661</v>
      </c>
      <c r="X131" s="35"/>
      <c r="Y131" s="26"/>
      <c r="Z131" s="26">
        <v>6426.8749999999991</v>
      </c>
      <c r="AA131" s="26">
        <v>4876.0273972602745</v>
      </c>
      <c r="AB131" s="35"/>
      <c r="AC131" s="26"/>
      <c r="AD131" s="26">
        <v>11302.902397260274</v>
      </c>
      <c r="AE131" s="26">
        <v>5038.5616438356165</v>
      </c>
      <c r="AF131" s="26"/>
      <c r="AG131" s="26"/>
      <c r="AH131" s="26">
        <v>16341.464041095889</v>
      </c>
      <c r="AI131" s="26">
        <v>5038.5616438356165</v>
      </c>
      <c r="AJ131" s="26"/>
      <c r="AK131" s="26"/>
      <c r="AL131" s="26">
        <v>21380.025684931505</v>
      </c>
      <c r="AM131" s="26">
        <v>4876.0273972602745</v>
      </c>
      <c r="AN131" s="26">
        <v>-25842.95</v>
      </c>
      <c r="AO131" s="26">
        <v>-413.1</v>
      </c>
      <c r="AP131" s="26">
        <f>+AL131+AM131+AN131+AO131</f>
        <v>3.0821917774801477E-3</v>
      </c>
      <c r="AQ131" s="25" t="s">
        <v>198</v>
      </c>
    </row>
    <row r="132" spans="1:43" s="1" customFormat="1" x14ac:dyDescent="0.3">
      <c r="A132" s="34"/>
      <c r="B132" s="33" t="s">
        <v>174</v>
      </c>
      <c r="C132" s="33" t="s">
        <v>197</v>
      </c>
      <c r="D132" s="33" t="s">
        <v>196</v>
      </c>
      <c r="E132" s="32">
        <v>631303.15</v>
      </c>
      <c r="F132" s="31">
        <v>44102</v>
      </c>
      <c r="G132" s="31">
        <v>44308</v>
      </c>
      <c r="H132" s="26"/>
      <c r="I132" s="35">
        <v>5.65</v>
      </c>
      <c r="J132" s="26"/>
      <c r="K132" s="26"/>
      <c r="L132" s="26"/>
      <c r="M132" s="26"/>
      <c r="N132" s="26"/>
      <c r="O132" s="25"/>
      <c r="P132" s="26"/>
      <c r="Q132" s="26"/>
      <c r="R132" s="26"/>
      <c r="S132" s="26"/>
      <c r="T132" s="26"/>
      <c r="U132" s="26"/>
      <c r="V132" s="26"/>
      <c r="W132" s="26"/>
      <c r="X132" s="35"/>
      <c r="Y132" s="26"/>
      <c r="Z132" s="26"/>
      <c r="AA132" s="26"/>
      <c r="AB132" s="35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>
        <v>2931.6680527397261</v>
      </c>
      <c r="AN132" s="26"/>
      <c r="AO132" s="26"/>
      <c r="AP132" s="26">
        <f>+AL132+AM132+AN132+AO132</f>
        <v>2931.6680527397261</v>
      </c>
      <c r="AQ132" s="25"/>
    </row>
    <row r="133" spans="1:43" s="1" customFormat="1" x14ac:dyDescent="0.3">
      <c r="A133" s="34">
        <v>5057</v>
      </c>
      <c r="B133" s="33" t="s">
        <v>74</v>
      </c>
      <c r="C133" s="33" t="s">
        <v>195</v>
      </c>
      <c r="D133" s="33" t="s">
        <v>194</v>
      </c>
      <c r="E133" s="32">
        <v>100000</v>
      </c>
      <c r="F133" s="31">
        <v>43946</v>
      </c>
      <c r="G133" s="31">
        <v>44311</v>
      </c>
      <c r="H133" s="26"/>
      <c r="I133" s="35">
        <v>3.4</v>
      </c>
      <c r="J133" s="26"/>
      <c r="K133" s="26"/>
      <c r="L133" s="26"/>
      <c r="M133" s="26"/>
      <c r="N133" s="26"/>
      <c r="O133" s="25"/>
      <c r="P133" s="26"/>
      <c r="Q133" s="26"/>
      <c r="R133" s="26"/>
      <c r="S133" s="26">
        <v>47.222222222222229</v>
      </c>
      <c r="T133" s="26"/>
      <c r="U133" s="26"/>
      <c r="V133" s="26">
        <v>47.222222222222229</v>
      </c>
      <c r="W133" s="26">
        <v>292.77777777777783</v>
      </c>
      <c r="X133" s="35"/>
      <c r="Y133" s="26"/>
      <c r="Z133" s="26">
        <v>340.00000000000006</v>
      </c>
      <c r="AA133" s="26">
        <v>279.45205479452062</v>
      </c>
      <c r="AB133" s="35"/>
      <c r="AC133" s="26"/>
      <c r="AD133" s="26">
        <v>619.45205479452068</v>
      </c>
      <c r="AE133" s="26">
        <v>288.76712328767127</v>
      </c>
      <c r="AF133" s="26"/>
      <c r="AG133" s="26"/>
      <c r="AH133" s="26">
        <v>908.219178082192</v>
      </c>
      <c r="AI133" s="26">
        <v>288.76712328767127</v>
      </c>
      <c r="AJ133" s="26"/>
      <c r="AK133" s="26"/>
      <c r="AL133" s="26">
        <v>1196.9863013698632</v>
      </c>
      <c r="AM133" s="26">
        <v>279.45205479452056</v>
      </c>
      <c r="AN133" s="26">
        <v>-1285.48</v>
      </c>
      <c r="AO133" s="26">
        <v>-190.96</v>
      </c>
      <c r="AP133" s="26">
        <f>+AL133+AM133+AN133+AO133</f>
        <v>-1.6438356162495893E-3</v>
      </c>
      <c r="AQ133" s="25" t="s">
        <v>96</v>
      </c>
    </row>
    <row r="134" spans="1:43" s="1" customFormat="1" x14ac:dyDescent="0.3">
      <c r="A134" s="34">
        <v>5063</v>
      </c>
      <c r="B134" s="33" t="s">
        <v>77</v>
      </c>
      <c r="C134" s="33" t="s">
        <v>193</v>
      </c>
      <c r="D134" s="33" t="s">
        <v>192</v>
      </c>
      <c r="E134" s="32">
        <v>191200</v>
      </c>
      <c r="F134" s="31">
        <v>43948</v>
      </c>
      <c r="G134" s="31">
        <v>44312</v>
      </c>
      <c r="H134" s="26"/>
      <c r="I134" s="35">
        <v>5.4</v>
      </c>
      <c r="J134" s="26"/>
      <c r="K134" s="26"/>
      <c r="L134" s="26"/>
      <c r="M134" s="26"/>
      <c r="N134" s="26"/>
      <c r="O134" s="25"/>
      <c r="P134" s="26"/>
      <c r="Q134" s="26"/>
      <c r="R134" s="26"/>
      <c r="S134" s="26">
        <v>86.04</v>
      </c>
      <c r="T134" s="26"/>
      <c r="U134" s="26"/>
      <c r="V134" s="26">
        <v>86.04</v>
      </c>
      <c r="W134" s="26">
        <v>889.08000000000015</v>
      </c>
      <c r="X134" s="35"/>
      <c r="Y134" s="26"/>
      <c r="Z134" s="26">
        <v>975.12000000000012</v>
      </c>
      <c r="AA134" s="26">
        <v>848.61369863013704</v>
      </c>
      <c r="AB134" s="35"/>
      <c r="AC134" s="26"/>
      <c r="AD134" s="26">
        <v>1823.733698630137</v>
      </c>
      <c r="AE134" s="26">
        <v>876.90082191780834</v>
      </c>
      <c r="AF134" s="26"/>
      <c r="AG134" s="26"/>
      <c r="AH134" s="26">
        <v>2700.6345205479456</v>
      </c>
      <c r="AI134" s="26">
        <v>876.90082191780834</v>
      </c>
      <c r="AJ134" s="26"/>
      <c r="AK134" s="26"/>
      <c r="AL134" s="26">
        <v>3577.5353424657542</v>
      </c>
      <c r="AM134" s="26">
        <v>848.61369863013704</v>
      </c>
      <c r="AN134" s="26"/>
      <c r="AO134" s="26"/>
      <c r="AP134" s="26">
        <f>+AL134+AM134+AN134+AO134</f>
        <v>4426.1490410958913</v>
      </c>
      <c r="AQ134" s="25"/>
    </row>
    <row r="135" spans="1:43" s="1" customFormat="1" x14ac:dyDescent="0.3">
      <c r="A135" s="34">
        <v>5060</v>
      </c>
      <c r="B135" s="33" t="s">
        <v>177</v>
      </c>
      <c r="C135" s="33" t="s">
        <v>191</v>
      </c>
      <c r="D135" s="33" t="s">
        <v>190</v>
      </c>
      <c r="E135" s="32">
        <v>20000</v>
      </c>
      <c r="F135" s="31">
        <v>43946</v>
      </c>
      <c r="G135" s="31">
        <v>44311</v>
      </c>
      <c r="H135" s="26"/>
      <c r="I135" s="35">
        <v>6</v>
      </c>
      <c r="J135" s="26"/>
      <c r="K135" s="26"/>
      <c r="L135" s="26"/>
      <c r="M135" s="26"/>
      <c r="N135" s="26"/>
      <c r="O135" s="25"/>
      <c r="P135" s="26"/>
      <c r="Q135" s="26"/>
      <c r="R135" s="26"/>
      <c r="S135" s="26">
        <v>16.666666666666668</v>
      </c>
      <c r="T135" s="26"/>
      <c r="U135" s="26"/>
      <c r="V135" s="26">
        <v>16.666666666666668</v>
      </c>
      <c r="W135" s="26">
        <v>103.33333333333334</v>
      </c>
      <c r="X135" s="35"/>
      <c r="Y135" s="26"/>
      <c r="Z135" s="26">
        <v>120.00000000000001</v>
      </c>
      <c r="AA135" s="26">
        <v>98.630136986301366</v>
      </c>
      <c r="AB135" s="35"/>
      <c r="AC135" s="26"/>
      <c r="AD135" s="26">
        <v>218.63013698630138</v>
      </c>
      <c r="AE135" s="26">
        <v>101.91780821917807</v>
      </c>
      <c r="AF135" s="26"/>
      <c r="AG135" s="26"/>
      <c r="AH135" s="26">
        <v>320.54794520547944</v>
      </c>
      <c r="AI135" s="26">
        <v>101.91780821917807</v>
      </c>
      <c r="AJ135" s="26"/>
      <c r="AK135" s="26"/>
      <c r="AL135" s="26">
        <v>422.46575342465752</v>
      </c>
      <c r="AM135" s="26">
        <v>98.630136986301366</v>
      </c>
      <c r="AN135" s="26"/>
      <c r="AO135" s="26"/>
      <c r="AP135" s="26">
        <f>+AL135+AM135+AN135+AO135</f>
        <v>521.09589041095887</v>
      </c>
      <c r="AQ135" s="25"/>
    </row>
    <row r="136" spans="1:43" s="1" customFormat="1" x14ac:dyDescent="0.3">
      <c r="A136" s="41">
        <v>5060</v>
      </c>
      <c r="B136" s="40" t="s">
        <v>177</v>
      </c>
      <c r="C136" s="40" t="s">
        <v>189</v>
      </c>
      <c r="D136" s="40" t="s">
        <v>188</v>
      </c>
      <c r="E136" s="39">
        <v>60000</v>
      </c>
      <c r="F136" s="31">
        <v>43946</v>
      </c>
      <c r="G136" s="31">
        <v>44311</v>
      </c>
      <c r="H136" s="26"/>
      <c r="I136" s="35">
        <v>6</v>
      </c>
      <c r="J136" s="26"/>
      <c r="K136" s="26"/>
      <c r="L136" s="26"/>
      <c r="M136" s="26"/>
      <c r="N136" s="26"/>
      <c r="O136" s="25"/>
      <c r="P136" s="26"/>
      <c r="Q136" s="26"/>
      <c r="R136" s="26"/>
      <c r="S136" s="26">
        <v>50</v>
      </c>
      <c r="T136" s="26"/>
      <c r="U136" s="26"/>
      <c r="V136" s="26">
        <v>50</v>
      </c>
      <c r="W136" s="26">
        <v>310</v>
      </c>
      <c r="X136" s="35"/>
      <c r="Y136" s="26"/>
      <c r="Z136" s="26">
        <v>360</v>
      </c>
      <c r="AA136" s="26">
        <v>295.89041095890411</v>
      </c>
      <c r="AB136" s="35"/>
      <c r="AC136" s="26"/>
      <c r="AD136" s="26">
        <v>655.89041095890411</v>
      </c>
      <c r="AE136" s="26">
        <v>305.75342465753425</v>
      </c>
      <c r="AF136" s="26"/>
      <c r="AG136" s="26"/>
      <c r="AH136" s="26">
        <v>961.64383561643831</v>
      </c>
      <c r="AI136" s="26">
        <v>305.75342465753425</v>
      </c>
      <c r="AJ136" s="26"/>
      <c r="AK136" s="26"/>
      <c r="AL136" s="26">
        <v>1267.3972602739725</v>
      </c>
      <c r="AM136" s="26">
        <v>295.89041095890411</v>
      </c>
      <c r="AN136" s="26"/>
      <c r="AO136" s="26"/>
      <c r="AP136" s="26">
        <f>+AL136+AM136+AN136+AO136</f>
        <v>1563.2876712328766</v>
      </c>
      <c r="AQ136" s="25"/>
    </row>
    <row r="137" spans="1:43" s="1" customFormat="1" x14ac:dyDescent="0.3">
      <c r="A137" s="41">
        <v>5060</v>
      </c>
      <c r="B137" s="40" t="s">
        <v>177</v>
      </c>
      <c r="C137" s="40" t="s">
        <v>187</v>
      </c>
      <c r="D137" s="40" t="s">
        <v>186</v>
      </c>
      <c r="E137" s="39">
        <v>87995</v>
      </c>
      <c r="F137" s="31">
        <v>43946</v>
      </c>
      <c r="G137" s="31">
        <v>44311</v>
      </c>
      <c r="H137" s="26"/>
      <c r="I137" s="35">
        <v>6</v>
      </c>
      <c r="J137" s="26"/>
      <c r="K137" s="26"/>
      <c r="L137" s="26"/>
      <c r="M137" s="26"/>
      <c r="N137" s="26"/>
      <c r="O137" s="25"/>
      <c r="P137" s="26"/>
      <c r="Q137" s="26"/>
      <c r="R137" s="26"/>
      <c r="S137" s="26">
        <v>73.329166666666666</v>
      </c>
      <c r="T137" s="26"/>
      <c r="U137" s="26"/>
      <c r="V137" s="26">
        <v>73.329166666666666</v>
      </c>
      <c r="W137" s="26">
        <v>454.64083333333332</v>
      </c>
      <c r="X137" s="35"/>
      <c r="Y137" s="26"/>
      <c r="Z137" s="26">
        <v>527.97</v>
      </c>
      <c r="AA137" s="26">
        <v>433.94794520547941</v>
      </c>
      <c r="AB137" s="35"/>
      <c r="AC137" s="26"/>
      <c r="AD137" s="26">
        <v>961.91794520547944</v>
      </c>
      <c r="AE137" s="26">
        <v>448.41287671232874</v>
      </c>
      <c r="AF137" s="26"/>
      <c r="AG137" s="26"/>
      <c r="AH137" s="26">
        <v>1410.3308219178082</v>
      </c>
      <c r="AI137" s="26">
        <v>448.41287671232874</v>
      </c>
      <c r="AJ137" s="26"/>
      <c r="AK137" s="26"/>
      <c r="AL137" s="26">
        <v>1858.7436986301368</v>
      </c>
      <c r="AM137" s="26">
        <v>433.94794520547947</v>
      </c>
      <c r="AN137" s="26"/>
      <c r="AO137" s="26"/>
      <c r="AP137" s="26">
        <f>+AL137+AM137+AN137+AO137</f>
        <v>2292.6916438356161</v>
      </c>
      <c r="AQ137" s="25"/>
    </row>
    <row r="138" spans="1:43" s="1" customFormat="1" x14ac:dyDescent="0.3">
      <c r="A138" s="41">
        <v>5060</v>
      </c>
      <c r="B138" s="40" t="s">
        <v>177</v>
      </c>
      <c r="C138" s="40" t="s">
        <v>185</v>
      </c>
      <c r="D138" s="40" t="s">
        <v>184</v>
      </c>
      <c r="E138" s="39">
        <v>17500</v>
      </c>
      <c r="F138" s="31">
        <v>43946</v>
      </c>
      <c r="G138" s="31">
        <v>44311</v>
      </c>
      <c r="H138" s="26"/>
      <c r="I138" s="35">
        <v>6</v>
      </c>
      <c r="J138" s="26"/>
      <c r="K138" s="26"/>
      <c r="L138" s="26"/>
      <c r="M138" s="26"/>
      <c r="N138" s="26"/>
      <c r="O138" s="25"/>
      <c r="P138" s="26"/>
      <c r="Q138" s="26"/>
      <c r="R138" s="26"/>
      <c r="S138" s="26">
        <v>14.583333333333332</v>
      </c>
      <c r="T138" s="26"/>
      <c r="U138" s="26"/>
      <c r="V138" s="26">
        <v>14.583333333333332</v>
      </c>
      <c r="W138" s="26">
        <v>90.416666666666657</v>
      </c>
      <c r="X138" s="35"/>
      <c r="Y138" s="26"/>
      <c r="Z138" s="26">
        <v>104.99999999999999</v>
      </c>
      <c r="AA138" s="26">
        <v>86.30136986301369</v>
      </c>
      <c r="AB138" s="35"/>
      <c r="AC138" s="26"/>
      <c r="AD138" s="26">
        <v>191.30136986301369</v>
      </c>
      <c r="AE138" s="26">
        <v>89.178082191780817</v>
      </c>
      <c r="AF138" s="26"/>
      <c r="AG138" s="26"/>
      <c r="AH138" s="26">
        <v>280.47945205479448</v>
      </c>
      <c r="AI138" s="26">
        <v>89.178082191780817</v>
      </c>
      <c r="AJ138" s="26"/>
      <c r="AK138" s="26"/>
      <c r="AL138" s="26">
        <v>369.65753424657532</v>
      </c>
      <c r="AM138" s="26">
        <v>86.30136986301369</v>
      </c>
      <c r="AN138" s="26"/>
      <c r="AO138" s="26"/>
      <c r="AP138" s="26">
        <f>+AL138+AM138+AN138+AO138</f>
        <v>455.95890410958901</v>
      </c>
      <c r="AQ138" s="25"/>
    </row>
    <row r="139" spans="1:43" s="1" customFormat="1" x14ac:dyDescent="0.3">
      <c r="A139" s="41">
        <v>5060</v>
      </c>
      <c r="B139" s="40" t="s">
        <v>177</v>
      </c>
      <c r="C139" s="40" t="s">
        <v>183</v>
      </c>
      <c r="D139" s="40" t="s">
        <v>182</v>
      </c>
      <c r="E139" s="39">
        <v>48500</v>
      </c>
      <c r="F139" s="31">
        <v>43946</v>
      </c>
      <c r="G139" s="31">
        <v>44311</v>
      </c>
      <c r="H139" s="26"/>
      <c r="I139" s="35">
        <v>6</v>
      </c>
      <c r="J139" s="26"/>
      <c r="K139" s="26"/>
      <c r="L139" s="26"/>
      <c r="M139" s="26"/>
      <c r="N139" s="26"/>
      <c r="O139" s="25"/>
      <c r="P139" s="26"/>
      <c r="Q139" s="26"/>
      <c r="R139" s="26"/>
      <c r="S139" s="26">
        <v>40.416666666666671</v>
      </c>
      <c r="T139" s="26"/>
      <c r="U139" s="26"/>
      <c r="V139" s="26">
        <v>40.416666666666671</v>
      </c>
      <c r="W139" s="26">
        <v>250.58333333333334</v>
      </c>
      <c r="X139" s="35"/>
      <c r="Y139" s="26"/>
      <c r="Z139" s="26">
        <v>291</v>
      </c>
      <c r="AA139" s="26">
        <v>239.17808219178082</v>
      </c>
      <c r="AB139" s="35"/>
      <c r="AC139" s="26"/>
      <c r="AD139" s="26">
        <v>530.17808219178085</v>
      </c>
      <c r="AE139" s="26">
        <v>247.15068493150685</v>
      </c>
      <c r="AF139" s="26"/>
      <c r="AG139" s="26"/>
      <c r="AH139" s="26">
        <v>777.32876712328766</v>
      </c>
      <c r="AI139" s="26">
        <v>247.15068493150685</v>
      </c>
      <c r="AJ139" s="26"/>
      <c r="AK139" s="26"/>
      <c r="AL139" s="26">
        <v>1024.4794520547946</v>
      </c>
      <c r="AM139" s="26">
        <v>239.17808219178082</v>
      </c>
      <c r="AN139" s="26"/>
      <c r="AO139" s="26"/>
      <c r="AP139" s="26">
        <f>+AL139+AM139+AN139+AO139</f>
        <v>1263.6575342465753</v>
      </c>
      <c r="AQ139" s="25"/>
    </row>
    <row r="140" spans="1:43" s="1" customFormat="1" x14ac:dyDescent="0.3">
      <c r="A140" s="41">
        <v>5060</v>
      </c>
      <c r="B140" s="40" t="s">
        <v>177</v>
      </c>
      <c r="C140" s="40" t="s">
        <v>181</v>
      </c>
      <c r="D140" s="40" t="s">
        <v>180</v>
      </c>
      <c r="E140" s="39">
        <v>100000</v>
      </c>
      <c r="F140" s="31">
        <v>43946</v>
      </c>
      <c r="G140" s="31">
        <v>44311</v>
      </c>
      <c r="H140" s="26"/>
      <c r="I140" s="35">
        <v>6</v>
      </c>
      <c r="J140" s="26"/>
      <c r="K140" s="26"/>
      <c r="L140" s="26"/>
      <c r="M140" s="26"/>
      <c r="N140" s="26"/>
      <c r="O140" s="25"/>
      <c r="P140" s="26"/>
      <c r="Q140" s="26"/>
      <c r="R140" s="26"/>
      <c r="S140" s="26">
        <v>83.333333333333343</v>
      </c>
      <c r="T140" s="26"/>
      <c r="U140" s="26"/>
      <c r="V140" s="26">
        <v>83.333333333333343</v>
      </c>
      <c r="W140" s="26">
        <v>516.66666666666674</v>
      </c>
      <c r="X140" s="35"/>
      <c r="Y140" s="26"/>
      <c r="Z140" s="26">
        <v>600.00000000000011</v>
      </c>
      <c r="AA140" s="26">
        <v>493.15068493150693</v>
      </c>
      <c r="AB140" s="35"/>
      <c r="AC140" s="26"/>
      <c r="AD140" s="26">
        <v>1093.1506849315069</v>
      </c>
      <c r="AE140" s="26">
        <v>509.58904109589048</v>
      </c>
      <c r="AF140" s="26"/>
      <c r="AG140" s="26"/>
      <c r="AH140" s="26">
        <v>1602.7397260273974</v>
      </c>
      <c r="AI140" s="26">
        <v>509.58904109589048</v>
      </c>
      <c r="AJ140" s="26"/>
      <c r="AK140" s="26"/>
      <c r="AL140" s="26">
        <v>2112.3287671232879</v>
      </c>
      <c r="AM140" s="26">
        <v>493.15068493150693</v>
      </c>
      <c r="AN140" s="26"/>
      <c r="AO140" s="26"/>
      <c r="AP140" s="26">
        <f>+AL140+AM140+AN140+AO140</f>
        <v>2605.4794520547948</v>
      </c>
      <c r="AQ140" s="25"/>
    </row>
    <row r="141" spans="1:43" s="1" customFormat="1" x14ac:dyDescent="0.3">
      <c r="A141" s="41">
        <v>5060</v>
      </c>
      <c r="B141" s="40" t="s">
        <v>177</v>
      </c>
      <c r="C141" s="40" t="s">
        <v>179</v>
      </c>
      <c r="D141" s="40" t="s">
        <v>178</v>
      </c>
      <c r="E141" s="39">
        <v>50000</v>
      </c>
      <c r="F141" s="31">
        <v>43946</v>
      </c>
      <c r="G141" s="31">
        <v>44311</v>
      </c>
      <c r="H141" s="26"/>
      <c r="I141" s="35">
        <v>6</v>
      </c>
      <c r="J141" s="26"/>
      <c r="K141" s="26"/>
      <c r="L141" s="26"/>
      <c r="M141" s="26"/>
      <c r="N141" s="26"/>
      <c r="O141" s="25"/>
      <c r="P141" s="26"/>
      <c r="Q141" s="26"/>
      <c r="R141" s="26"/>
      <c r="S141" s="26">
        <v>41.666666666666671</v>
      </c>
      <c r="T141" s="26"/>
      <c r="U141" s="26"/>
      <c r="V141" s="26">
        <v>41.666666666666671</v>
      </c>
      <c r="W141" s="26">
        <v>258.33333333333337</v>
      </c>
      <c r="X141" s="35"/>
      <c r="Y141" s="26"/>
      <c r="Z141" s="26">
        <v>300.00000000000006</v>
      </c>
      <c r="AA141" s="26">
        <v>246.57534246575347</v>
      </c>
      <c r="AB141" s="35"/>
      <c r="AC141" s="26"/>
      <c r="AD141" s="26">
        <v>546.57534246575347</v>
      </c>
      <c r="AE141" s="26">
        <v>254.79452054794524</v>
      </c>
      <c r="AF141" s="26"/>
      <c r="AG141" s="26"/>
      <c r="AH141" s="26">
        <v>801.3698630136987</v>
      </c>
      <c r="AI141" s="26">
        <v>254.79452054794524</v>
      </c>
      <c r="AJ141" s="26"/>
      <c r="AK141" s="26"/>
      <c r="AL141" s="26">
        <v>1056.1643835616439</v>
      </c>
      <c r="AM141" s="26">
        <v>246.57534246575347</v>
      </c>
      <c r="AN141" s="26"/>
      <c r="AO141" s="26"/>
      <c r="AP141" s="26">
        <f>+AL141+AM141+AN141+AO141</f>
        <v>1302.7397260273974</v>
      </c>
      <c r="AQ141" s="25"/>
    </row>
    <row r="142" spans="1:43" s="1" customFormat="1" x14ac:dyDescent="0.3">
      <c r="A142" s="41">
        <v>5060</v>
      </c>
      <c r="B142" s="40" t="s">
        <v>177</v>
      </c>
      <c r="C142" s="40" t="s">
        <v>176</v>
      </c>
      <c r="D142" s="40" t="s">
        <v>175</v>
      </c>
      <c r="E142" s="39">
        <v>50000</v>
      </c>
      <c r="F142" s="31">
        <v>43946</v>
      </c>
      <c r="G142" s="31">
        <v>44311</v>
      </c>
      <c r="H142" s="26"/>
      <c r="I142" s="35">
        <v>6</v>
      </c>
      <c r="J142" s="26"/>
      <c r="K142" s="26"/>
      <c r="L142" s="26"/>
      <c r="M142" s="26"/>
      <c r="N142" s="26"/>
      <c r="O142" s="25"/>
      <c r="P142" s="26"/>
      <c r="Q142" s="26"/>
      <c r="R142" s="26"/>
      <c r="S142" s="26">
        <v>41.666666666666671</v>
      </c>
      <c r="T142" s="26"/>
      <c r="U142" s="26"/>
      <c r="V142" s="26">
        <v>41.666666666666671</v>
      </c>
      <c r="W142" s="26">
        <v>258.33333333333337</v>
      </c>
      <c r="X142" s="35"/>
      <c r="Y142" s="26"/>
      <c r="Z142" s="26">
        <v>300.00000000000006</v>
      </c>
      <c r="AA142" s="26">
        <v>246.57534246575347</v>
      </c>
      <c r="AB142" s="35"/>
      <c r="AC142" s="26"/>
      <c r="AD142" s="26">
        <v>546.57534246575347</v>
      </c>
      <c r="AE142" s="26">
        <v>254.79452054794524</v>
      </c>
      <c r="AF142" s="26"/>
      <c r="AG142" s="26"/>
      <c r="AH142" s="26">
        <v>801.3698630136987</v>
      </c>
      <c r="AI142" s="26">
        <v>254.79452054794524</v>
      </c>
      <c r="AJ142" s="26"/>
      <c r="AK142" s="26"/>
      <c r="AL142" s="26">
        <v>1056.1643835616439</v>
      </c>
      <c r="AM142" s="26">
        <v>246.57534246575347</v>
      </c>
      <c r="AN142" s="26"/>
      <c r="AO142" s="26"/>
      <c r="AP142" s="26">
        <f>+AL142+AM142+AN142+AO142</f>
        <v>1302.7397260273974</v>
      </c>
      <c r="AQ142" s="25"/>
    </row>
    <row r="143" spans="1:43" s="1" customFormat="1" x14ac:dyDescent="0.3">
      <c r="A143" s="41">
        <v>5004</v>
      </c>
      <c r="B143" s="40" t="s">
        <v>174</v>
      </c>
      <c r="C143" s="40" t="s">
        <v>173</v>
      </c>
      <c r="D143" s="40" t="s">
        <v>172</v>
      </c>
      <c r="E143" s="39">
        <v>985000</v>
      </c>
      <c r="F143" s="31">
        <v>43950</v>
      </c>
      <c r="G143" s="31">
        <v>44315</v>
      </c>
      <c r="H143" s="26"/>
      <c r="I143" s="35">
        <v>6.15</v>
      </c>
      <c r="J143" s="26"/>
      <c r="K143" s="26"/>
      <c r="L143" s="26"/>
      <c r="M143" s="26"/>
      <c r="N143" s="26"/>
      <c r="O143" s="25"/>
      <c r="P143" s="26"/>
      <c r="Q143" s="26"/>
      <c r="R143" s="26"/>
      <c r="S143" s="26">
        <v>168.27083333333334</v>
      </c>
      <c r="T143" s="26"/>
      <c r="U143" s="26"/>
      <c r="V143" s="26">
        <v>168.27083333333334</v>
      </c>
      <c r="W143" s="26">
        <v>5216.3958333333339</v>
      </c>
      <c r="X143" s="35"/>
      <c r="Y143" s="26"/>
      <c r="Z143" s="26">
        <v>5384.666666666667</v>
      </c>
      <c r="AA143" s="26">
        <v>4978.9726027397264</v>
      </c>
      <c r="AB143" s="35"/>
      <c r="AC143" s="26"/>
      <c r="AD143" s="26">
        <v>10363.639269406394</v>
      </c>
      <c r="AE143" s="26">
        <v>5144.9383561643845</v>
      </c>
      <c r="AF143" s="26"/>
      <c r="AG143" s="26"/>
      <c r="AH143" s="26">
        <v>15508.577625570779</v>
      </c>
      <c r="AI143" s="26">
        <v>5144.9383561643845</v>
      </c>
      <c r="AJ143" s="26"/>
      <c r="AK143" s="26"/>
      <c r="AL143" s="26">
        <v>20653.515981735163</v>
      </c>
      <c r="AM143" s="26">
        <v>4978.9726027397255</v>
      </c>
      <c r="AN143" s="26"/>
      <c r="AO143" s="26"/>
      <c r="AP143" s="26">
        <f>+AL143+AM143+AN143+AO143</f>
        <v>25632.48858447489</v>
      </c>
      <c r="AQ143" s="25"/>
    </row>
    <row r="144" spans="1:43" s="1" customFormat="1" x14ac:dyDescent="0.3">
      <c r="A144" s="37">
        <v>5063</v>
      </c>
      <c r="B144" s="25" t="s">
        <v>13</v>
      </c>
      <c r="C144" s="25" t="s">
        <v>171</v>
      </c>
      <c r="D144" s="25" t="s">
        <v>170</v>
      </c>
      <c r="E144" s="35">
        <v>100000</v>
      </c>
      <c r="F144" s="31">
        <v>43953</v>
      </c>
      <c r="G144" s="31">
        <v>44318</v>
      </c>
      <c r="H144" s="26"/>
      <c r="I144" s="25">
        <v>4.9000000000000004</v>
      </c>
      <c r="J144" s="26"/>
      <c r="K144" s="26"/>
      <c r="L144" s="26"/>
      <c r="M144" s="26"/>
      <c r="N144" s="26"/>
      <c r="O144" s="25"/>
      <c r="P144" s="26"/>
      <c r="Q144" s="26"/>
      <c r="R144" s="26"/>
      <c r="S144" s="26"/>
      <c r="T144" s="26"/>
      <c r="U144" s="26"/>
      <c r="V144" s="26">
        <v>0</v>
      </c>
      <c r="W144" s="26">
        <v>394.72222222222223</v>
      </c>
      <c r="X144" s="35"/>
      <c r="Y144" s="26"/>
      <c r="Z144" s="26">
        <v>394.72222222222223</v>
      </c>
      <c r="AA144" s="26">
        <v>402.7397260273973</v>
      </c>
      <c r="AB144" s="35"/>
      <c r="AC144" s="26"/>
      <c r="AD144" s="26">
        <v>797.46194824961958</v>
      </c>
      <c r="AE144" s="26">
        <v>416.16438356164383</v>
      </c>
      <c r="AF144" s="26"/>
      <c r="AG144" s="26"/>
      <c r="AH144" s="26">
        <v>1213.6263318112633</v>
      </c>
      <c r="AI144" s="26">
        <v>416.16438356164383</v>
      </c>
      <c r="AJ144" s="26"/>
      <c r="AK144" s="26"/>
      <c r="AL144" s="26">
        <v>1629.790715372907</v>
      </c>
      <c r="AM144" s="26">
        <v>402.7397260273973</v>
      </c>
      <c r="AN144" s="26"/>
      <c r="AO144" s="26"/>
      <c r="AP144" s="26">
        <f>+AL144+AM144+AN144+AO144</f>
        <v>2032.5304414003044</v>
      </c>
      <c r="AQ144" s="25"/>
    </row>
    <row r="145" spans="1:43" s="1" customFormat="1" x14ac:dyDescent="0.3">
      <c r="A145" s="37">
        <v>5063</v>
      </c>
      <c r="B145" s="25" t="s">
        <v>25</v>
      </c>
      <c r="C145" s="25" t="s">
        <v>169</v>
      </c>
      <c r="D145" s="25" t="s">
        <v>168</v>
      </c>
      <c r="E145" s="35">
        <v>150000</v>
      </c>
      <c r="F145" s="31">
        <v>43953</v>
      </c>
      <c r="G145" s="31">
        <v>44318</v>
      </c>
      <c r="H145" s="26"/>
      <c r="I145" s="25">
        <v>4.4000000000000004</v>
      </c>
      <c r="J145" s="26"/>
      <c r="K145" s="26"/>
      <c r="L145" s="26"/>
      <c r="M145" s="26"/>
      <c r="N145" s="26"/>
      <c r="O145" s="25"/>
      <c r="P145" s="26"/>
      <c r="Q145" s="26"/>
      <c r="R145" s="26"/>
      <c r="S145" s="26"/>
      <c r="T145" s="26"/>
      <c r="U145" s="26"/>
      <c r="V145" s="26">
        <v>0</v>
      </c>
      <c r="W145" s="26">
        <v>531.66666666666674</v>
      </c>
      <c r="X145" s="35"/>
      <c r="Y145" s="26"/>
      <c r="Z145" s="26">
        <v>531.66666666666674</v>
      </c>
      <c r="AA145" s="26">
        <v>542.46575342465758</v>
      </c>
      <c r="AB145" s="35"/>
      <c r="AC145" s="26"/>
      <c r="AD145" s="26">
        <v>1074.1324200913243</v>
      </c>
      <c r="AE145" s="26">
        <v>560.54794520547944</v>
      </c>
      <c r="AF145" s="26"/>
      <c r="AG145" s="26"/>
      <c r="AH145" s="26">
        <v>1634.6803652968038</v>
      </c>
      <c r="AI145" s="26">
        <v>560.54794520547944</v>
      </c>
      <c r="AJ145" s="26"/>
      <c r="AK145" s="26"/>
      <c r="AL145" s="26">
        <v>2195.2283105022834</v>
      </c>
      <c r="AM145" s="26">
        <v>542.46575342465758</v>
      </c>
      <c r="AN145" s="26"/>
      <c r="AO145" s="26"/>
      <c r="AP145" s="26">
        <f>+AL145+AM145+AN145+AO145</f>
        <v>2737.694063926941</v>
      </c>
      <c r="AQ145" s="25"/>
    </row>
    <row r="146" spans="1:43" s="1" customFormat="1" x14ac:dyDescent="0.3">
      <c r="A146" s="37">
        <v>5040</v>
      </c>
      <c r="B146" s="25" t="s">
        <v>82</v>
      </c>
      <c r="C146" s="25" t="s">
        <v>167</v>
      </c>
      <c r="D146" s="25" t="s">
        <v>166</v>
      </c>
      <c r="E146" s="35">
        <v>41000</v>
      </c>
      <c r="F146" s="31">
        <v>43954</v>
      </c>
      <c r="G146" s="31">
        <v>44319</v>
      </c>
      <c r="H146" s="26"/>
      <c r="I146" s="25">
        <v>6.15</v>
      </c>
      <c r="J146" s="26"/>
      <c r="K146" s="26"/>
      <c r="L146" s="26"/>
      <c r="M146" s="26"/>
      <c r="N146" s="26"/>
      <c r="O146" s="25"/>
      <c r="P146" s="26"/>
      <c r="Q146" s="26"/>
      <c r="R146" s="26"/>
      <c r="S146" s="26"/>
      <c r="T146" s="26"/>
      <c r="U146" s="26"/>
      <c r="V146" s="26">
        <v>0</v>
      </c>
      <c r="W146" s="26">
        <v>196.1166666666667</v>
      </c>
      <c r="X146" s="35"/>
      <c r="Y146" s="26"/>
      <c r="Z146" s="26">
        <v>196.1166666666667</v>
      </c>
      <c r="AA146" s="26">
        <v>207.2465753424658</v>
      </c>
      <c r="AB146" s="35"/>
      <c r="AC146" s="26"/>
      <c r="AD146" s="26">
        <v>403.36324200913248</v>
      </c>
      <c r="AE146" s="26">
        <v>214.15479452054799</v>
      </c>
      <c r="AF146" s="26"/>
      <c r="AG146" s="26"/>
      <c r="AH146" s="26">
        <v>617.51803652968044</v>
      </c>
      <c r="AI146" s="26">
        <v>214.15479452054799</v>
      </c>
      <c r="AJ146" s="26"/>
      <c r="AK146" s="26"/>
      <c r="AL146" s="26">
        <v>831.67283105022841</v>
      </c>
      <c r="AM146" s="26">
        <v>207.24657534246575</v>
      </c>
      <c r="AN146" s="26"/>
      <c r="AO146" s="26"/>
      <c r="AP146" s="26">
        <f>+AL146+AM146+AN146+AO146</f>
        <v>1038.9194063926941</v>
      </c>
      <c r="AQ146" s="25"/>
    </row>
    <row r="147" spans="1:43" s="1" customFormat="1" x14ac:dyDescent="0.3">
      <c r="A147" s="37">
        <v>5062</v>
      </c>
      <c r="B147" s="25" t="s">
        <v>85</v>
      </c>
      <c r="C147" s="25" t="s">
        <v>165</v>
      </c>
      <c r="D147" s="25" t="s">
        <v>164</v>
      </c>
      <c r="E147" s="35">
        <v>200000</v>
      </c>
      <c r="F147" s="31">
        <v>43959</v>
      </c>
      <c r="G147" s="31">
        <v>44324</v>
      </c>
      <c r="H147" s="26"/>
      <c r="I147" s="25">
        <v>4.4000000000000004</v>
      </c>
      <c r="J147" s="26"/>
      <c r="K147" s="26"/>
      <c r="L147" s="26"/>
      <c r="M147" s="26"/>
      <c r="N147" s="26"/>
      <c r="O147" s="25"/>
      <c r="P147" s="26"/>
      <c r="Q147" s="26"/>
      <c r="R147" s="26"/>
      <c r="S147" s="26"/>
      <c r="T147" s="26"/>
      <c r="U147" s="26"/>
      <c r="V147" s="26">
        <v>0</v>
      </c>
      <c r="W147" s="26">
        <v>562.22222222222217</v>
      </c>
      <c r="X147" s="35"/>
      <c r="Y147" s="26"/>
      <c r="Z147" s="26">
        <v>562.22222222222217</v>
      </c>
      <c r="AA147" s="26">
        <v>723.28767123287673</v>
      </c>
      <c r="AB147" s="35"/>
      <c r="AC147" s="26"/>
      <c r="AD147" s="26">
        <v>1285.5098934550988</v>
      </c>
      <c r="AE147" s="26">
        <v>747.39726027397262</v>
      </c>
      <c r="AF147" s="26"/>
      <c r="AG147" s="26"/>
      <c r="AH147" s="26">
        <v>2032.9071537290715</v>
      </c>
      <c r="AI147" s="26">
        <v>747.39726027397262</v>
      </c>
      <c r="AJ147" s="26"/>
      <c r="AK147" s="26"/>
      <c r="AL147" s="26">
        <v>2780.3044140030443</v>
      </c>
      <c r="AM147" s="26">
        <v>723.28767123287673</v>
      </c>
      <c r="AN147" s="26"/>
      <c r="AO147" s="26"/>
      <c r="AP147" s="26">
        <f>+AL147+AM147+AN147+AO147</f>
        <v>3503.5920852359209</v>
      </c>
      <c r="AQ147" s="25"/>
    </row>
    <row r="148" spans="1:43" s="1" customFormat="1" x14ac:dyDescent="0.3">
      <c r="A148" s="37">
        <v>5062</v>
      </c>
      <c r="B148" s="25" t="s">
        <v>85</v>
      </c>
      <c r="C148" s="25" t="s">
        <v>163</v>
      </c>
      <c r="D148" s="25" t="s">
        <v>162</v>
      </c>
      <c r="E148" s="35">
        <v>145230</v>
      </c>
      <c r="F148" s="31">
        <v>43959</v>
      </c>
      <c r="G148" s="31">
        <v>44324</v>
      </c>
      <c r="H148" s="26"/>
      <c r="I148" s="25">
        <v>4.4000000000000004</v>
      </c>
      <c r="J148" s="26"/>
      <c r="K148" s="26"/>
      <c r="L148" s="26"/>
      <c r="M148" s="26"/>
      <c r="N148" s="26"/>
      <c r="O148" s="25"/>
      <c r="P148" s="26"/>
      <c r="Q148" s="26"/>
      <c r="R148" s="26"/>
      <c r="S148" s="26"/>
      <c r="T148" s="26"/>
      <c r="U148" s="26"/>
      <c r="V148" s="26">
        <v>0</v>
      </c>
      <c r="W148" s="26">
        <v>408.25766666666675</v>
      </c>
      <c r="X148" s="35"/>
      <c r="Y148" s="26"/>
      <c r="Z148" s="26">
        <v>408.25766666666675</v>
      </c>
      <c r="AA148" s="26">
        <v>525.21534246575345</v>
      </c>
      <c r="AB148" s="35"/>
      <c r="AC148" s="26"/>
      <c r="AD148" s="26">
        <v>933.4730091324202</v>
      </c>
      <c r="AE148" s="26">
        <v>542.72252054794524</v>
      </c>
      <c r="AF148" s="26"/>
      <c r="AG148" s="26"/>
      <c r="AH148" s="26">
        <v>1476.1955296803653</v>
      </c>
      <c r="AI148" s="26">
        <v>542.72252054794524</v>
      </c>
      <c r="AJ148" s="26"/>
      <c r="AK148" s="26"/>
      <c r="AL148" s="26">
        <v>2018.9180502283107</v>
      </c>
      <c r="AM148" s="26">
        <v>525.21534246575345</v>
      </c>
      <c r="AN148" s="26">
        <v>-2170.89</v>
      </c>
      <c r="AO148" s="26">
        <v>-373.24</v>
      </c>
      <c r="AP148" s="26">
        <f>+AL148+AM148+AN148+AO148</f>
        <v>3.3926940643596026E-3</v>
      </c>
      <c r="AQ148" s="25" t="s">
        <v>96</v>
      </c>
    </row>
    <row r="149" spans="1:43" s="1" customFormat="1" x14ac:dyDescent="0.3">
      <c r="A149" s="37">
        <v>5057</v>
      </c>
      <c r="B149" s="25" t="s">
        <v>74</v>
      </c>
      <c r="C149" s="25" t="s">
        <v>161</v>
      </c>
      <c r="D149" s="25" t="s">
        <v>160</v>
      </c>
      <c r="E149" s="35">
        <v>75000</v>
      </c>
      <c r="F149" s="31">
        <v>43965</v>
      </c>
      <c r="G149" s="31">
        <v>44330</v>
      </c>
      <c r="H149" s="26"/>
      <c r="I149" s="25">
        <v>3.4</v>
      </c>
      <c r="J149" s="26"/>
      <c r="K149" s="26"/>
      <c r="L149" s="26"/>
      <c r="M149" s="26"/>
      <c r="N149" s="26"/>
      <c r="O149" s="25"/>
      <c r="P149" s="26"/>
      <c r="Q149" s="26"/>
      <c r="R149" s="26"/>
      <c r="S149" s="26"/>
      <c r="T149" s="26"/>
      <c r="U149" s="26"/>
      <c r="V149" s="26">
        <v>0</v>
      </c>
      <c r="W149" s="26">
        <v>120.41666666666666</v>
      </c>
      <c r="X149" s="35"/>
      <c r="Y149" s="26"/>
      <c r="Z149" s="26">
        <v>120.41666666666666</v>
      </c>
      <c r="AA149" s="26">
        <v>209.58904109589042</v>
      </c>
      <c r="AB149" s="35"/>
      <c r="AC149" s="26"/>
      <c r="AD149" s="26">
        <v>330.00570776255711</v>
      </c>
      <c r="AE149" s="26">
        <v>216.57534246575344</v>
      </c>
      <c r="AF149" s="26"/>
      <c r="AG149" s="26"/>
      <c r="AH149" s="26">
        <v>546.58105022831057</v>
      </c>
      <c r="AI149" s="26">
        <v>216.57534246575344</v>
      </c>
      <c r="AJ149" s="26"/>
      <c r="AK149" s="26"/>
      <c r="AL149" s="26">
        <v>763.15639269406404</v>
      </c>
      <c r="AM149" s="26">
        <v>209.58904109589042</v>
      </c>
      <c r="AN149" s="26"/>
      <c r="AO149" s="26"/>
      <c r="AP149" s="26">
        <f>+AL149+AM149+AN149+AO149</f>
        <v>972.7454337899544</v>
      </c>
      <c r="AQ149" s="25"/>
    </row>
    <row r="150" spans="1:43" s="1" customFormat="1" x14ac:dyDescent="0.3">
      <c r="A150" s="37">
        <v>5055</v>
      </c>
      <c r="B150" s="25" t="s">
        <v>159</v>
      </c>
      <c r="C150" s="25" t="s">
        <v>158</v>
      </c>
      <c r="D150" s="25" t="s">
        <v>157</v>
      </c>
      <c r="E150" s="35">
        <v>500000</v>
      </c>
      <c r="F150" s="31">
        <v>43966</v>
      </c>
      <c r="G150" s="31">
        <v>44331</v>
      </c>
      <c r="H150" s="26"/>
      <c r="I150" s="25">
        <v>7.55</v>
      </c>
      <c r="J150" s="26"/>
      <c r="K150" s="26"/>
      <c r="L150" s="26"/>
      <c r="M150" s="26"/>
      <c r="N150" s="26"/>
      <c r="O150" s="25"/>
      <c r="P150" s="26"/>
      <c r="Q150" s="26"/>
      <c r="R150" s="26"/>
      <c r="S150" s="26"/>
      <c r="T150" s="26"/>
      <c r="U150" s="26"/>
      <c r="V150" s="26">
        <v>0</v>
      </c>
      <c r="W150" s="26">
        <v>1677.7777777777778</v>
      </c>
      <c r="X150" s="35"/>
      <c r="Y150" s="26"/>
      <c r="Z150" s="26">
        <v>1677.7777777777778</v>
      </c>
      <c r="AA150" s="26">
        <v>3102.7397260273974</v>
      </c>
      <c r="AB150" s="35"/>
      <c r="AC150" s="26"/>
      <c r="AD150" s="26">
        <v>4780.5175038051748</v>
      </c>
      <c r="AE150" s="26">
        <v>3206.1643835616437</v>
      </c>
      <c r="AF150" s="26"/>
      <c r="AG150" s="26"/>
      <c r="AH150" s="26">
        <v>7986.681887366818</v>
      </c>
      <c r="AI150" s="26">
        <v>3206.1643835616437</v>
      </c>
      <c r="AJ150" s="26"/>
      <c r="AK150" s="26"/>
      <c r="AL150" s="26">
        <v>11192.846270928461</v>
      </c>
      <c r="AM150" s="26">
        <v>3102.7397260273974</v>
      </c>
      <c r="AN150" s="26"/>
      <c r="AO150" s="26"/>
      <c r="AP150" s="26">
        <f>+AL150+AM150+AN150+AO150</f>
        <v>14295.585996955859</v>
      </c>
      <c r="AQ150" s="25"/>
    </row>
    <row r="151" spans="1:43" s="1" customFormat="1" x14ac:dyDescent="0.3">
      <c r="A151" s="37">
        <v>5055</v>
      </c>
      <c r="B151" s="25" t="s">
        <v>53</v>
      </c>
      <c r="C151" s="25" t="s">
        <v>156</v>
      </c>
      <c r="D151" s="25" t="s">
        <v>155</v>
      </c>
      <c r="E151" s="35">
        <v>500000</v>
      </c>
      <c r="F151" s="31">
        <v>43966</v>
      </c>
      <c r="G151" s="31">
        <v>44331</v>
      </c>
      <c r="H151" s="26"/>
      <c r="I151" s="25">
        <v>7.55</v>
      </c>
      <c r="J151" s="26"/>
      <c r="K151" s="26"/>
      <c r="L151" s="26"/>
      <c r="M151" s="26"/>
      <c r="N151" s="26"/>
      <c r="O151" s="25"/>
      <c r="P151" s="26"/>
      <c r="Q151" s="26"/>
      <c r="R151" s="26"/>
      <c r="S151" s="26"/>
      <c r="T151" s="26"/>
      <c r="U151" s="26"/>
      <c r="V151" s="26">
        <v>0</v>
      </c>
      <c r="W151" s="26">
        <v>1677.7777777777778</v>
      </c>
      <c r="X151" s="35"/>
      <c r="Y151" s="26"/>
      <c r="Z151" s="26">
        <v>1677.7777777777778</v>
      </c>
      <c r="AA151" s="26">
        <v>3102.7397260273974</v>
      </c>
      <c r="AB151" s="35"/>
      <c r="AC151" s="26"/>
      <c r="AD151" s="26">
        <v>4780.5175038051748</v>
      </c>
      <c r="AE151" s="26">
        <v>3206.1643835616437</v>
      </c>
      <c r="AF151" s="26"/>
      <c r="AG151" s="26"/>
      <c r="AH151" s="26">
        <v>7986.681887366818</v>
      </c>
      <c r="AI151" s="26">
        <v>3206.1643835616437</v>
      </c>
      <c r="AJ151" s="26"/>
      <c r="AK151" s="26"/>
      <c r="AL151" s="26">
        <v>11192.846270928461</v>
      </c>
      <c r="AM151" s="26">
        <v>3102.7397260273974</v>
      </c>
      <c r="AN151" s="26"/>
      <c r="AO151" s="26"/>
      <c r="AP151" s="26">
        <f>+AL151+AM151+AN151+AO151</f>
        <v>14295.585996955859</v>
      </c>
      <c r="AQ151" s="25"/>
    </row>
    <row r="152" spans="1:43" s="1" customFormat="1" x14ac:dyDescent="0.3">
      <c r="A152" s="37">
        <v>5031</v>
      </c>
      <c r="B152" s="25" t="s">
        <v>7</v>
      </c>
      <c r="C152" s="25" t="s">
        <v>154</v>
      </c>
      <c r="D152" s="25" t="s">
        <v>153</v>
      </c>
      <c r="E152" s="35">
        <v>103000</v>
      </c>
      <c r="F152" s="31">
        <v>43967</v>
      </c>
      <c r="G152" s="31">
        <v>44332</v>
      </c>
      <c r="H152" s="26"/>
      <c r="I152" s="25">
        <v>6.4</v>
      </c>
      <c r="J152" s="26"/>
      <c r="K152" s="26"/>
      <c r="L152" s="26"/>
      <c r="M152" s="26"/>
      <c r="N152" s="26"/>
      <c r="O152" s="25"/>
      <c r="P152" s="26"/>
      <c r="Q152" s="26"/>
      <c r="R152" s="26"/>
      <c r="S152" s="26"/>
      <c r="T152" s="26"/>
      <c r="U152" s="26"/>
      <c r="V152" s="26">
        <v>0</v>
      </c>
      <c r="W152" s="26">
        <v>274.66666666666663</v>
      </c>
      <c r="X152" s="35"/>
      <c r="Y152" s="26"/>
      <c r="Z152" s="26">
        <v>274.66666666666663</v>
      </c>
      <c r="AA152" s="26">
        <v>541.80821917808225</v>
      </c>
      <c r="AB152" s="35"/>
      <c r="AC152" s="26"/>
      <c r="AD152" s="26">
        <v>816.47488584474888</v>
      </c>
      <c r="AE152" s="26">
        <v>559.86849315068491</v>
      </c>
      <c r="AF152" s="26"/>
      <c r="AG152" s="26"/>
      <c r="AH152" s="26">
        <v>1376.3433789954338</v>
      </c>
      <c r="AI152" s="26">
        <v>559.86849315068491</v>
      </c>
      <c r="AJ152" s="26"/>
      <c r="AK152" s="26"/>
      <c r="AL152" s="26">
        <v>1936.2118721461188</v>
      </c>
      <c r="AM152" s="26">
        <v>541.80821917808225</v>
      </c>
      <c r="AN152" s="26"/>
      <c r="AO152" s="26"/>
      <c r="AP152" s="26">
        <f>+AL152+AM152+AN152+AO152</f>
        <v>2478.0200913242011</v>
      </c>
      <c r="AQ152" s="25"/>
    </row>
    <row r="153" spans="1:43" s="1" customFormat="1" x14ac:dyDescent="0.3">
      <c r="A153" s="37">
        <v>5031</v>
      </c>
      <c r="B153" s="25" t="s">
        <v>7</v>
      </c>
      <c r="C153" s="25" t="s">
        <v>152</v>
      </c>
      <c r="D153" s="25" t="s">
        <v>151</v>
      </c>
      <c r="E153" s="35">
        <v>200000</v>
      </c>
      <c r="F153" s="31">
        <v>43967</v>
      </c>
      <c r="G153" s="31">
        <v>44332</v>
      </c>
      <c r="H153" s="26"/>
      <c r="I153" s="25">
        <v>6.4</v>
      </c>
      <c r="J153" s="26"/>
      <c r="K153" s="26"/>
      <c r="L153" s="26"/>
      <c r="M153" s="26"/>
      <c r="N153" s="26"/>
      <c r="O153" s="25"/>
      <c r="P153" s="26"/>
      <c r="Q153" s="26"/>
      <c r="R153" s="26"/>
      <c r="S153" s="26"/>
      <c r="T153" s="26"/>
      <c r="U153" s="26"/>
      <c r="V153" s="26">
        <v>0</v>
      </c>
      <c r="W153" s="26">
        <v>533.33333333333337</v>
      </c>
      <c r="X153" s="35"/>
      <c r="Y153" s="26"/>
      <c r="Z153" s="26">
        <v>533.33333333333337</v>
      </c>
      <c r="AA153" s="26">
        <v>1052.0547945205478</v>
      </c>
      <c r="AB153" s="35"/>
      <c r="AC153" s="26"/>
      <c r="AD153" s="26">
        <v>1585.3881278538811</v>
      </c>
      <c r="AE153" s="26">
        <v>1087.1232876712329</v>
      </c>
      <c r="AF153" s="26"/>
      <c r="AG153" s="26"/>
      <c r="AH153" s="26">
        <v>2672.511415525114</v>
      </c>
      <c r="AI153" s="26">
        <v>1087.1232876712329</v>
      </c>
      <c r="AJ153" s="26"/>
      <c r="AK153" s="26"/>
      <c r="AL153" s="26">
        <v>3759.6347031963469</v>
      </c>
      <c r="AM153" s="26">
        <v>1052.0547945205478</v>
      </c>
      <c r="AN153" s="26"/>
      <c r="AO153" s="26"/>
      <c r="AP153" s="26">
        <f>+AL153+AM153+AN153+AO153</f>
        <v>4811.6894977168949</v>
      </c>
      <c r="AQ153" s="25"/>
    </row>
    <row r="154" spans="1:43" s="1" customFormat="1" x14ac:dyDescent="0.3">
      <c r="A154" s="37">
        <v>5005</v>
      </c>
      <c r="B154" s="25" t="s">
        <v>127</v>
      </c>
      <c r="C154" s="25" t="s">
        <v>150</v>
      </c>
      <c r="D154" s="25" t="s">
        <v>149</v>
      </c>
      <c r="E154" s="35">
        <v>110000</v>
      </c>
      <c r="F154" s="31">
        <v>43978</v>
      </c>
      <c r="G154" s="31">
        <v>44343</v>
      </c>
      <c r="H154" s="26"/>
      <c r="I154" s="25">
        <v>3.91</v>
      </c>
      <c r="J154" s="26"/>
      <c r="K154" s="26"/>
      <c r="L154" s="26"/>
      <c r="M154" s="26"/>
      <c r="N154" s="26"/>
      <c r="O154" s="25"/>
      <c r="P154" s="26"/>
      <c r="Q154" s="26"/>
      <c r="R154" s="26"/>
      <c r="S154" s="26"/>
      <c r="T154" s="26"/>
      <c r="U154" s="26"/>
      <c r="V154" s="26">
        <v>0</v>
      </c>
      <c r="W154" s="26">
        <v>47.788888888888891</v>
      </c>
      <c r="X154" s="35"/>
      <c r="Y154" s="26"/>
      <c r="Z154" s="26">
        <v>47.788888888888891</v>
      </c>
      <c r="AA154" s="26">
        <v>353.50684931506851</v>
      </c>
      <c r="AB154" s="35"/>
      <c r="AC154" s="26"/>
      <c r="AD154" s="26">
        <v>401.2957382039574</v>
      </c>
      <c r="AE154" s="26">
        <v>365.29041095890409</v>
      </c>
      <c r="AF154" s="26"/>
      <c r="AG154" s="26"/>
      <c r="AH154" s="26">
        <v>766.58614916286149</v>
      </c>
      <c r="AI154" s="26">
        <v>365.29041095890409</v>
      </c>
      <c r="AJ154" s="26"/>
      <c r="AK154" s="26"/>
      <c r="AL154" s="26">
        <v>1131.8765601217656</v>
      </c>
      <c r="AM154" s="26">
        <v>353.50684931506851</v>
      </c>
      <c r="AN154" s="26"/>
      <c r="AO154" s="26"/>
      <c r="AP154" s="26">
        <f>+AL154+AM154+AN154+AO154</f>
        <v>1485.383409436834</v>
      </c>
      <c r="AQ154" s="25"/>
    </row>
    <row r="155" spans="1:43" s="1" customFormat="1" x14ac:dyDescent="0.3">
      <c r="A155" s="41">
        <v>5003</v>
      </c>
      <c r="B155" s="40" t="s">
        <v>148</v>
      </c>
      <c r="C155" s="25" t="s">
        <v>147</v>
      </c>
      <c r="D155" s="25" t="s">
        <v>146</v>
      </c>
      <c r="E155" s="39">
        <v>150000</v>
      </c>
      <c r="F155" s="31">
        <v>43980</v>
      </c>
      <c r="G155" s="31">
        <v>44345</v>
      </c>
      <c r="H155" s="26"/>
      <c r="I155" s="35">
        <v>5.9</v>
      </c>
      <c r="J155" s="26"/>
      <c r="K155" s="26"/>
      <c r="L155" s="26"/>
      <c r="M155" s="26"/>
      <c r="N155" s="26"/>
      <c r="O155" s="25"/>
      <c r="P155" s="26"/>
      <c r="Q155" s="26"/>
      <c r="R155" s="26"/>
      <c r="S155" s="26"/>
      <c r="T155" s="26"/>
      <c r="U155" s="26"/>
      <c r="V155" s="26">
        <v>0</v>
      </c>
      <c r="W155" s="26">
        <v>0</v>
      </c>
      <c r="X155" s="35"/>
      <c r="Y155" s="26"/>
      <c r="Z155" s="26">
        <v>0</v>
      </c>
      <c r="AA155" s="26">
        <v>727.39726027397262</v>
      </c>
      <c r="AB155" s="35"/>
      <c r="AC155" s="26"/>
      <c r="AD155" s="26">
        <v>727.39726027397262</v>
      </c>
      <c r="AE155" s="26">
        <v>751.64383561643831</v>
      </c>
      <c r="AF155" s="26"/>
      <c r="AG155" s="26"/>
      <c r="AH155" s="26">
        <v>1479.0410958904108</v>
      </c>
      <c r="AI155" s="26">
        <v>751.64383561643831</v>
      </c>
      <c r="AJ155" s="26"/>
      <c r="AK155" s="26"/>
      <c r="AL155" s="26">
        <v>2230.6849315068494</v>
      </c>
      <c r="AM155" s="26">
        <v>727.39726027397262</v>
      </c>
      <c r="AN155" s="26"/>
      <c r="AO155" s="26"/>
      <c r="AP155" s="26">
        <f>+AL155+AM155+AN155+AO155</f>
        <v>2958.0821917808221</v>
      </c>
      <c r="AQ155" s="25"/>
    </row>
    <row r="156" spans="1:43" s="1" customFormat="1" x14ac:dyDescent="0.3">
      <c r="A156" s="37">
        <v>5057</v>
      </c>
      <c r="B156" s="25" t="s">
        <v>22</v>
      </c>
      <c r="C156" s="25" t="s">
        <v>145</v>
      </c>
      <c r="D156" s="25" t="s">
        <v>144</v>
      </c>
      <c r="E156" s="35">
        <v>1100000</v>
      </c>
      <c r="F156" s="31">
        <v>43983</v>
      </c>
      <c r="G156" s="31">
        <v>44348</v>
      </c>
      <c r="H156" s="26"/>
      <c r="I156" s="35">
        <v>6.6</v>
      </c>
      <c r="J156" s="26"/>
      <c r="K156" s="26"/>
      <c r="L156" s="26"/>
      <c r="M156" s="26"/>
      <c r="N156" s="26"/>
      <c r="O156" s="25"/>
      <c r="P156" s="26"/>
      <c r="Q156" s="26"/>
      <c r="R156" s="26"/>
      <c r="S156" s="26"/>
      <c r="T156" s="26"/>
      <c r="U156" s="26"/>
      <c r="V156" s="26"/>
      <c r="W156" s="26"/>
      <c r="X156" s="35"/>
      <c r="Y156" s="26"/>
      <c r="Z156" s="26"/>
      <c r="AA156" s="26">
        <v>5768.2191780821922</v>
      </c>
      <c r="AB156" s="35"/>
      <c r="AC156" s="26"/>
      <c r="AD156" s="26">
        <v>5768.2191780821922</v>
      </c>
      <c r="AE156" s="26">
        <v>6166.0273972602745</v>
      </c>
      <c r="AF156" s="26"/>
      <c r="AG156" s="26"/>
      <c r="AH156" s="26">
        <v>11934.246575342466</v>
      </c>
      <c r="AI156" s="26">
        <v>6166.0273972602745</v>
      </c>
      <c r="AJ156" s="26"/>
      <c r="AK156" s="26"/>
      <c r="AL156" s="26">
        <v>18100.273972602739</v>
      </c>
      <c r="AM156" s="26">
        <v>5967.1232876712329</v>
      </c>
      <c r="AN156" s="26"/>
      <c r="AO156" s="26"/>
      <c r="AP156" s="26">
        <f>+AL156+AM156+AN156+AO156</f>
        <v>24067.397260273974</v>
      </c>
      <c r="AQ156" s="25"/>
    </row>
    <row r="157" spans="1:43" s="1" customFormat="1" x14ac:dyDescent="0.3">
      <c r="A157" s="37">
        <v>5005</v>
      </c>
      <c r="B157" s="25" t="s">
        <v>143</v>
      </c>
      <c r="C157" s="25" t="s">
        <v>142</v>
      </c>
      <c r="D157" s="25" t="s">
        <v>141</v>
      </c>
      <c r="E157" s="35">
        <v>1400055.56</v>
      </c>
      <c r="F157" s="31">
        <v>43985</v>
      </c>
      <c r="G157" s="31">
        <v>44350</v>
      </c>
      <c r="H157" s="26"/>
      <c r="I157" s="35">
        <v>6.92</v>
      </c>
      <c r="J157" s="26"/>
      <c r="K157" s="26"/>
      <c r="L157" s="26"/>
      <c r="M157" s="26"/>
      <c r="N157" s="26"/>
      <c r="O157" s="25"/>
      <c r="P157" s="26"/>
      <c r="Q157" s="26"/>
      <c r="R157" s="26"/>
      <c r="S157" s="26"/>
      <c r="T157" s="26"/>
      <c r="U157" s="26"/>
      <c r="V157" s="26"/>
      <c r="W157" s="26"/>
      <c r="X157" s="35"/>
      <c r="Y157" s="26"/>
      <c r="Z157" s="26"/>
      <c r="AA157" s="26">
        <v>7166.7501597369865</v>
      </c>
      <c r="AB157" s="35"/>
      <c r="AC157" s="26"/>
      <c r="AD157" s="26">
        <v>7166.7501597369865</v>
      </c>
      <c r="AE157" s="26">
        <v>8228.4909241424666</v>
      </c>
      <c r="AF157" s="26"/>
      <c r="AG157" s="26"/>
      <c r="AH157" s="26">
        <v>15395.241083879453</v>
      </c>
      <c r="AI157" s="26">
        <v>8228.4909241424666</v>
      </c>
      <c r="AJ157" s="26"/>
      <c r="AK157" s="26"/>
      <c r="AL157" s="26">
        <v>23623.732008021922</v>
      </c>
      <c r="AM157" s="26">
        <v>7963.0557330410938</v>
      </c>
      <c r="AN157" s="26"/>
      <c r="AO157" s="26"/>
      <c r="AP157" s="26">
        <f>+AL157+AM157+AN157+AO157</f>
        <v>31586.787741063017</v>
      </c>
      <c r="AQ157" s="25"/>
    </row>
    <row r="158" spans="1:43" s="1" customFormat="1" x14ac:dyDescent="0.3">
      <c r="A158" s="37">
        <v>5063</v>
      </c>
      <c r="B158" s="25" t="s">
        <v>77</v>
      </c>
      <c r="C158" s="25" t="s">
        <v>140</v>
      </c>
      <c r="D158" s="25" t="s">
        <v>139</v>
      </c>
      <c r="E158" s="35">
        <v>240000</v>
      </c>
      <c r="F158" s="31">
        <v>43988</v>
      </c>
      <c r="G158" s="31">
        <v>44353</v>
      </c>
      <c r="H158" s="26"/>
      <c r="I158" s="35">
        <v>5.4</v>
      </c>
      <c r="J158" s="26"/>
      <c r="K158" s="26"/>
      <c r="L158" s="26"/>
      <c r="M158" s="26"/>
      <c r="N158" s="26"/>
      <c r="O158" s="25"/>
      <c r="P158" s="26"/>
      <c r="Q158" s="26"/>
      <c r="R158" s="26"/>
      <c r="S158" s="26"/>
      <c r="T158" s="26"/>
      <c r="U158" s="26"/>
      <c r="V158" s="26"/>
      <c r="W158" s="26"/>
      <c r="X158" s="35"/>
      <c r="Y158" s="26"/>
      <c r="Z158" s="26"/>
      <c r="AA158" s="26">
        <v>852.16438356164394</v>
      </c>
      <c r="AB158" s="35"/>
      <c r="AC158" s="26"/>
      <c r="AD158" s="26">
        <v>852.16438356164394</v>
      </c>
      <c r="AE158" s="26">
        <v>1100.7123287671236</v>
      </c>
      <c r="AF158" s="26"/>
      <c r="AG158" s="26"/>
      <c r="AH158" s="26">
        <v>1952.8767123287676</v>
      </c>
      <c r="AI158" s="26">
        <v>1100.7123287671236</v>
      </c>
      <c r="AJ158" s="26"/>
      <c r="AK158" s="26"/>
      <c r="AL158" s="26">
        <v>3053.5890410958909</v>
      </c>
      <c r="AM158" s="26">
        <v>1065.2054794520548</v>
      </c>
      <c r="AN158" s="26"/>
      <c r="AO158" s="26"/>
      <c r="AP158" s="26">
        <f>+AL158+AM158+AN158+AO158</f>
        <v>4118.7945205479455</v>
      </c>
      <c r="AQ158" s="25"/>
    </row>
    <row r="159" spans="1:43" s="1" customFormat="1" x14ac:dyDescent="0.3">
      <c r="A159" s="37">
        <v>5031</v>
      </c>
      <c r="B159" s="25" t="s">
        <v>138</v>
      </c>
      <c r="C159" s="25" t="s">
        <v>137</v>
      </c>
      <c r="D159" s="25" t="s">
        <v>136</v>
      </c>
      <c r="E159" s="35">
        <v>150162.5</v>
      </c>
      <c r="F159" s="31">
        <v>43990</v>
      </c>
      <c r="G159" s="31">
        <v>44354</v>
      </c>
      <c r="H159" s="26"/>
      <c r="I159" s="35">
        <v>6.42</v>
      </c>
      <c r="J159" s="26"/>
      <c r="K159" s="26"/>
      <c r="L159" s="26"/>
      <c r="M159" s="26"/>
      <c r="N159" s="26"/>
      <c r="O159" s="25"/>
      <c r="P159" s="26"/>
      <c r="Q159" s="26"/>
      <c r="R159" s="26"/>
      <c r="S159" s="26"/>
      <c r="T159" s="26"/>
      <c r="U159" s="26"/>
      <c r="V159" s="26"/>
      <c r="W159" s="26"/>
      <c r="X159" s="35"/>
      <c r="Y159" s="26"/>
      <c r="Z159" s="26"/>
      <c r="AA159" s="26">
        <v>607.47930821917805</v>
      </c>
      <c r="AB159" s="35"/>
      <c r="AC159" s="26"/>
      <c r="AD159" s="26">
        <v>607.47930821917805</v>
      </c>
      <c r="AE159" s="26">
        <v>818.77645890410952</v>
      </c>
      <c r="AF159" s="26"/>
      <c r="AG159" s="26"/>
      <c r="AH159" s="26">
        <v>1426.2557671232876</v>
      </c>
      <c r="AI159" s="26">
        <v>818.77645890410952</v>
      </c>
      <c r="AJ159" s="26"/>
      <c r="AK159" s="26"/>
      <c r="AL159" s="26">
        <v>2245.032226027397</v>
      </c>
      <c r="AM159" s="26">
        <v>792.36431506849317</v>
      </c>
      <c r="AN159" s="26"/>
      <c r="AO159" s="26"/>
      <c r="AP159" s="26">
        <f>+AL159+AM159+AN159+AO159</f>
        <v>3037.3965410958899</v>
      </c>
      <c r="AQ159" s="25"/>
    </row>
    <row r="160" spans="1:43" s="1" customFormat="1" x14ac:dyDescent="0.3">
      <c r="A160" s="37">
        <v>5060</v>
      </c>
      <c r="B160" s="25" t="s">
        <v>40</v>
      </c>
      <c r="C160" s="25" t="s">
        <v>135</v>
      </c>
      <c r="D160" s="25" t="s">
        <v>134</v>
      </c>
      <c r="E160" s="35">
        <v>350000</v>
      </c>
      <c r="F160" s="31">
        <v>43992</v>
      </c>
      <c r="G160" s="31">
        <v>44357</v>
      </c>
      <c r="H160" s="26"/>
      <c r="I160" s="35">
        <v>6.4</v>
      </c>
      <c r="J160" s="26"/>
      <c r="K160" s="26"/>
      <c r="L160" s="26"/>
      <c r="M160" s="26"/>
      <c r="N160" s="26"/>
      <c r="O160" s="25"/>
      <c r="P160" s="26"/>
      <c r="Q160" s="26"/>
      <c r="R160" s="26"/>
      <c r="S160" s="26"/>
      <c r="T160" s="26"/>
      <c r="U160" s="26"/>
      <c r="V160" s="26"/>
      <c r="W160" s="26"/>
      <c r="X160" s="35"/>
      <c r="Y160" s="26"/>
      <c r="Z160" s="26"/>
      <c r="AA160" s="26">
        <v>1227.3972602739725</v>
      </c>
      <c r="AB160" s="35"/>
      <c r="AC160" s="26"/>
      <c r="AD160" s="26">
        <v>1227.3972602739725</v>
      </c>
      <c r="AE160" s="26">
        <v>1902.4657534246574</v>
      </c>
      <c r="AF160" s="26"/>
      <c r="AG160" s="26"/>
      <c r="AH160" s="26">
        <v>3129.8630136986299</v>
      </c>
      <c r="AI160" s="26">
        <v>1902.4657534246574</v>
      </c>
      <c r="AJ160" s="26"/>
      <c r="AK160" s="26"/>
      <c r="AL160" s="26">
        <v>5032.3287671232874</v>
      </c>
      <c r="AM160" s="26">
        <v>1841.0958904109589</v>
      </c>
      <c r="AN160" s="26"/>
      <c r="AO160" s="26"/>
      <c r="AP160" s="26">
        <f>+AL160+AM160+AN160+AO160</f>
        <v>6873.4246575342459</v>
      </c>
      <c r="AQ160" s="25"/>
    </row>
    <row r="161" spans="1:43" s="1" customFormat="1" x14ac:dyDescent="0.3">
      <c r="A161" s="37">
        <v>5060</v>
      </c>
      <c r="B161" s="25" t="s">
        <v>40</v>
      </c>
      <c r="C161" s="25" t="s">
        <v>133</v>
      </c>
      <c r="D161" s="25" t="s">
        <v>132</v>
      </c>
      <c r="E161" s="35">
        <v>955000</v>
      </c>
      <c r="F161" s="31">
        <v>43992</v>
      </c>
      <c r="G161" s="31">
        <v>44357</v>
      </c>
      <c r="H161" s="26"/>
      <c r="I161" s="35">
        <v>6.4</v>
      </c>
      <c r="J161" s="26"/>
      <c r="K161" s="26"/>
      <c r="L161" s="26"/>
      <c r="M161" s="26"/>
      <c r="N161" s="26"/>
      <c r="O161" s="25"/>
      <c r="P161" s="26"/>
      <c r="Q161" s="26"/>
      <c r="R161" s="26"/>
      <c r="S161" s="26"/>
      <c r="T161" s="26"/>
      <c r="U161" s="26"/>
      <c r="V161" s="26"/>
      <c r="W161" s="26"/>
      <c r="X161" s="35"/>
      <c r="Y161" s="26"/>
      <c r="Z161" s="26"/>
      <c r="AA161" s="26">
        <v>3349.0410958904108</v>
      </c>
      <c r="AB161" s="35"/>
      <c r="AC161" s="26"/>
      <c r="AD161" s="26">
        <v>3349.0410958904108</v>
      </c>
      <c r="AE161" s="26">
        <v>5191.0136986301368</v>
      </c>
      <c r="AF161" s="26"/>
      <c r="AG161" s="26"/>
      <c r="AH161" s="26">
        <v>8540.0547945205471</v>
      </c>
      <c r="AI161" s="26">
        <v>5191.0136986301368</v>
      </c>
      <c r="AJ161" s="26"/>
      <c r="AK161" s="26"/>
      <c r="AL161" s="26">
        <v>13731.068493150684</v>
      </c>
      <c r="AM161" s="26">
        <v>5023.5616438356165</v>
      </c>
      <c r="AN161" s="26"/>
      <c r="AO161" s="26"/>
      <c r="AP161" s="26">
        <f>+AL161+AM161+AN161+AO161</f>
        <v>18754.630136986299</v>
      </c>
      <c r="AQ161" s="25"/>
    </row>
    <row r="162" spans="1:43" s="1" customFormat="1" x14ac:dyDescent="0.3">
      <c r="A162" s="37">
        <v>5063</v>
      </c>
      <c r="B162" s="25" t="s">
        <v>13</v>
      </c>
      <c r="C162" s="25" t="s">
        <v>131</v>
      </c>
      <c r="D162" s="25" t="s">
        <v>130</v>
      </c>
      <c r="E162" s="35">
        <v>437500</v>
      </c>
      <c r="F162" s="31">
        <v>43993</v>
      </c>
      <c r="G162" s="31">
        <v>44358</v>
      </c>
      <c r="H162" s="26"/>
      <c r="I162" s="35">
        <v>8.9</v>
      </c>
      <c r="J162" s="26"/>
      <c r="K162" s="26"/>
      <c r="L162" s="26"/>
      <c r="M162" s="26"/>
      <c r="N162" s="26"/>
      <c r="O162" s="25"/>
      <c r="P162" s="26"/>
      <c r="Q162" s="26"/>
      <c r="R162" s="26"/>
      <c r="S162" s="26"/>
      <c r="T162" s="26"/>
      <c r="U162" s="26"/>
      <c r="V162" s="26"/>
      <c r="W162" s="26"/>
      <c r="X162" s="35"/>
      <c r="Y162" s="26"/>
      <c r="Z162" s="26"/>
      <c r="AA162" s="26">
        <v>2026.8835616438359</v>
      </c>
      <c r="AB162" s="35"/>
      <c r="AC162" s="26"/>
      <c r="AD162" s="26">
        <v>2026.8835616438359</v>
      </c>
      <c r="AE162" s="26">
        <v>3307.0205479452061</v>
      </c>
      <c r="AF162" s="26"/>
      <c r="AG162" s="26"/>
      <c r="AH162" s="26">
        <v>5333.9041095890425</v>
      </c>
      <c r="AI162" s="26">
        <v>3307.0205479452061</v>
      </c>
      <c r="AJ162" s="26"/>
      <c r="AK162" s="26"/>
      <c r="AL162" s="26">
        <v>8640.9246575342477</v>
      </c>
      <c r="AM162" s="26">
        <v>3200.3424657534247</v>
      </c>
      <c r="AN162" s="26"/>
      <c r="AO162" s="26"/>
      <c r="AP162" s="26">
        <f>+AL162+AM162+AN162+AO162</f>
        <v>11841.267123287673</v>
      </c>
      <c r="AQ162" s="25"/>
    </row>
    <row r="163" spans="1:43" s="1" customFormat="1" x14ac:dyDescent="0.3">
      <c r="A163" s="37">
        <v>5005</v>
      </c>
      <c r="B163" s="25" t="s">
        <v>127</v>
      </c>
      <c r="C163" s="25" t="s">
        <v>129</v>
      </c>
      <c r="D163" s="25" t="s">
        <v>128</v>
      </c>
      <c r="E163" s="35">
        <v>400000</v>
      </c>
      <c r="F163" s="31">
        <v>43999</v>
      </c>
      <c r="G163" s="31">
        <v>44364</v>
      </c>
      <c r="H163" s="26"/>
      <c r="I163" s="35">
        <v>5.92</v>
      </c>
      <c r="J163" s="26"/>
      <c r="K163" s="26"/>
      <c r="L163" s="26"/>
      <c r="M163" s="26"/>
      <c r="N163" s="26"/>
      <c r="O163" s="25"/>
      <c r="P163" s="26"/>
      <c r="Q163" s="26"/>
      <c r="R163" s="26"/>
      <c r="S163" s="26"/>
      <c r="T163" s="26"/>
      <c r="U163" s="26"/>
      <c r="V163" s="26"/>
      <c r="W163" s="26"/>
      <c r="X163" s="35"/>
      <c r="Y163" s="26"/>
      <c r="Z163" s="26"/>
      <c r="AA163" s="26">
        <v>843.39726027397262</v>
      </c>
      <c r="AB163" s="35"/>
      <c r="AC163" s="26"/>
      <c r="AD163" s="26">
        <v>843.39726027397262</v>
      </c>
      <c r="AE163" s="26">
        <v>2011.178082191781</v>
      </c>
      <c r="AF163" s="26"/>
      <c r="AG163" s="26"/>
      <c r="AH163" s="26">
        <v>2854.5753424657537</v>
      </c>
      <c r="AI163" s="26">
        <v>2011.178082191781</v>
      </c>
      <c r="AJ163" s="26"/>
      <c r="AK163" s="26"/>
      <c r="AL163" s="26">
        <v>4865.7534246575342</v>
      </c>
      <c r="AM163" s="26">
        <v>1946.3013698630139</v>
      </c>
      <c r="AN163" s="26"/>
      <c r="AO163" s="26"/>
      <c r="AP163" s="26">
        <f>+AL163+AM163+AN163+AO163</f>
        <v>6812.0547945205481</v>
      </c>
      <c r="AQ163" s="25"/>
    </row>
    <row r="164" spans="1:43" s="1" customFormat="1" x14ac:dyDescent="0.3">
      <c r="A164" s="37">
        <v>5005</v>
      </c>
      <c r="B164" s="25" t="s">
        <v>127</v>
      </c>
      <c r="C164" s="25" t="s">
        <v>126</v>
      </c>
      <c r="D164" s="25" t="s">
        <v>125</v>
      </c>
      <c r="E164" s="35">
        <v>140000</v>
      </c>
      <c r="F164" s="31">
        <v>43999</v>
      </c>
      <c r="G164" s="31">
        <v>44364</v>
      </c>
      <c r="H164" s="26"/>
      <c r="I164" s="35">
        <v>5.92</v>
      </c>
      <c r="J164" s="26"/>
      <c r="K164" s="26"/>
      <c r="L164" s="26"/>
      <c r="M164" s="26"/>
      <c r="N164" s="26"/>
      <c r="O164" s="25"/>
      <c r="P164" s="26"/>
      <c r="Q164" s="26"/>
      <c r="R164" s="26"/>
      <c r="S164" s="26"/>
      <c r="T164" s="26"/>
      <c r="U164" s="26"/>
      <c r="V164" s="26"/>
      <c r="W164" s="26"/>
      <c r="X164" s="35"/>
      <c r="Y164" s="26"/>
      <c r="Z164" s="26"/>
      <c r="AA164" s="26">
        <v>295.18904109589039</v>
      </c>
      <c r="AB164" s="35"/>
      <c r="AC164" s="26"/>
      <c r="AD164" s="26">
        <v>295.18904109589039</v>
      </c>
      <c r="AE164" s="26">
        <v>703.91232876712331</v>
      </c>
      <c r="AF164" s="26"/>
      <c r="AG164" s="26"/>
      <c r="AH164" s="26">
        <v>999.1013698630137</v>
      </c>
      <c r="AI164" s="26">
        <v>703.91232876712331</v>
      </c>
      <c r="AJ164" s="26"/>
      <c r="AK164" s="26"/>
      <c r="AL164" s="26">
        <v>1703.013698630137</v>
      </c>
      <c r="AM164" s="26">
        <v>681.20547945205476</v>
      </c>
      <c r="AN164" s="26"/>
      <c r="AO164" s="26"/>
      <c r="AP164" s="26">
        <f>+AL164+AM164+AN164+AO164</f>
        <v>2384.2191780821918</v>
      </c>
      <c r="AQ164" s="25"/>
    </row>
    <row r="165" spans="1:43" s="1" customFormat="1" x14ac:dyDescent="0.3">
      <c r="A165" s="37">
        <v>5056</v>
      </c>
      <c r="B165" s="25" t="s">
        <v>124</v>
      </c>
      <c r="C165" s="25" t="s">
        <v>123</v>
      </c>
      <c r="D165" s="25" t="s">
        <v>122</v>
      </c>
      <c r="E165" s="38">
        <v>158000</v>
      </c>
      <c r="F165" s="31">
        <v>43999</v>
      </c>
      <c r="G165" s="31">
        <v>44364</v>
      </c>
      <c r="H165" s="26"/>
      <c r="I165" s="35">
        <v>4.4000000000000004</v>
      </c>
      <c r="J165" s="26"/>
      <c r="K165" s="26"/>
      <c r="L165" s="26"/>
      <c r="M165" s="26"/>
      <c r="N165" s="26"/>
      <c r="O165" s="25"/>
      <c r="P165" s="26"/>
      <c r="Q165" s="26"/>
      <c r="R165" s="26"/>
      <c r="S165" s="26"/>
      <c r="T165" s="26"/>
      <c r="U165" s="26"/>
      <c r="V165" s="26"/>
      <c r="W165" s="26"/>
      <c r="X165" s="35"/>
      <c r="Y165" s="26"/>
      <c r="Z165" s="26"/>
      <c r="AA165" s="26">
        <v>247.60547945205479</v>
      </c>
      <c r="AB165" s="35"/>
      <c r="AC165" s="26"/>
      <c r="AD165" s="26">
        <v>247.60547945205479</v>
      </c>
      <c r="AE165" s="26">
        <v>590.44383561643838</v>
      </c>
      <c r="AF165" s="26"/>
      <c r="AG165" s="26"/>
      <c r="AH165" s="26">
        <v>838.04931506849312</v>
      </c>
      <c r="AI165" s="26">
        <v>590.44383561643838</v>
      </c>
      <c r="AJ165" s="26"/>
      <c r="AK165" s="26"/>
      <c r="AL165" s="26">
        <v>1428.4931506849316</v>
      </c>
      <c r="AM165" s="26">
        <v>571.39726027397262</v>
      </c>
      <c r="AN165" s="26"/>
      <c r="AO165" s="26"/>
      <c r="AP165" s="26">
        <f>+AL165+AM165+AN165+AO165</f>
        <v>1999.8904109589043</v>
      </c>
      <c r="AQ165" s="25"/>
    </row>
    <row r="166" spans="1:43" s="1" customFormat="1" x14ac:dyDescent="0.3">
      <c r="A166" s="37">
        <v>5057</v>
      </c>
      <c r="B166" s="25" t="s">
        <v>74</v>
      </c>
      <c r="C166" s="25" t="s">
        <v>121</v>
      </c>
      <c r="D166" s="25" t="s">
        <v>120</v>
      </c>
      <c r="E166" s="35"/>
      <c r="F166" s="31">
        <v>43999</v>
      </c>
      <c r="G166" s="31">
        <v>44364</v>
      </c>
      <c r="H166" s="26"/>
      <c r="I166" s="35">
        <v>3.4</v>
      </c>
      <c r="J166" s="26"/>
      <c r="K166" s="26"/>
      <c r="L166" s="26"/>
      <c r="M166" s="26"/>
      <c r="N166" s="26"/>
      <c r="O166" s="25"/>
      <c r="P166" s="26"/>
      <c r="Q166" s="26"/>
      <c r="R166" s="26"/>
      <c r="S166" s="26"/>
      <c r="T166" s="26"/>
      <c r="U166" s="26"/>
      <c r="V166" s="26"/>
      <c r="W166" s="26"/>
      <c r="X166" s="35"/>
      <c r="Y166" s="26"/>
      <c r="Z166" s="26"/>
      <c r="AA166" s="26">
        <v>168.32328767123289</v>
      </c>
      <c r="AB166" s="35"/>
      <c r="AC166" s="26"/>
      <c r="AD166" s="26">
        <v>168.32328767123289</v>
      </c>
      <c r="AE166" s="26">
        <v>401.38630136986302</v>
      </c>
      <c r="AF166" s="26">
        <v>-181.27</v>
      </c>
      <c r="AG166" s="26">
        <v>-388.44</v>
      </c>
      <c r="AH166" s="26">
        <v>-4.1095890406950275E-4</v>
      </c>
      <c r="AI166" s="26"/>
      <c r="AJ166" s="26"/>
      <c r="AK166" s="26"/>
      <c r="AL166" s="26">
        <v>-4.1095890406950275E-4</v>
      </c>
      <c r="AM166" s="26">
        <v>0</v>
      </c>
      <c r="AN166" s="26"/>
      <c r="AO166" s="26"/>
      <c r="AP166" s="26">
        <f>+AL166+AM166+AN166+AO166</f>
        <v>-4.1095890406950275E-4</v>
      </c>
      <c r="AQ166" s="25" t="s">
        <v>96</v>
      </c>
    </row>
    <row r="167" spans="1:43" s="1" customFormat="1" x14ac:dyDescent="0.3">
      <c r="A167" s="37">
        <v>5004</v>
      </c>
      <c r="B167" s="25" t="s">
        <v>117</v>
      </c>
      <c r="C167" s="25" t="s">
        <v>119</v>
      </c>
      <c r="D167" s="25" t="s">
        <v>118</v>
      </c>
      <c r="E167" s="28">
        <v>60000</v>
      </c>
      <c r="F167" s="31">
        <v>44010</v>
      </c>
      <c r="G167" s="31">
        <v>44375</v>
      </c>
      <c r="H167" s="26"/>
      <c r="I167" s="35">
        <v>5.85</v>
      </c>
      <c r="J167" s="26"/>
      <c r="K167" s="26"/>
      <c r="L167" s="26"/>
      <c r="M167" s="26"/>
      <c r="N167" s="26"/>
      <c r="O167" s="25"/>
      <c r="P167" s="26"/>
      <c r="Q167" s="26"/>
      <c r="R167" s="26"/>
      <c r="S167" s="26"/>
      <c r="T167" s="26"/>
      <c r="U167" s="26"/>
      <c r="V167" s="26"/>
      <c r="W167" s="26"/>
      <c r="X167" s="35"/>
      <c r="Y167" s="26"/>
      <c r="Z167" s="26"/>
      <c r="AA167" s="26">
        <v>19.232876712328768</v>
      </c>
      <c r="AB167" s="35"/>
      <c r="AC167" s="26"/>
      <c r="AD167" s="26">
        <v>19.232876712328768</v>
      </c>
      <c r="AE167" s="26">
        <v>298.10958904109589</v>
      </c>
      <c r="AF167" s="26"/>
      <c r="AG167" s="26"/>
      <c r="AH167" s="26">
        <v>317.34246575342468</v>
      </c>
      <c r="AI167" s="26">
        <v>298.10958904109589</v>
      </c>
      <c r="AJ167" s="26"/>
      <c r="AK167" s="26"/>
      <c r="AL167" s="26">
        <v>615.45205479452056</v>
      </c>
      <c r="AM167" s="26">
        <v>288.49315068493149</v>
      </c>
      <c r="AN167" s="26"/>
      <c r="AO167" s="26"/>
      <c r="AP167" s="26">
        <f>+AL167+AM167+AN167+AO167</f>
        <v>903.94520547945206</v>
      </c>
      <c r="AQ167" s="25"/>
    </row>
    <row r="168" spans="1:43" s="1" customFormat="1" x14ac:dyDescent="0.3">
      <c r="A168" s="37">
        <v>5004</v>
      </c>
      <c r="B168" s="25" t="s">
        <v>117</v>
      </c>
      <c r="C168" s="25" t="s">
        <v>116</v>
      </c>
      <c r="D168" s="25" t="s">
        <v>115</v>
      </c>
      <c r="E168" s="35">
        <v>100000</v>
      </c>
      <c r="F168" s="31">
        <v>44010</v>
      </c>
      <c r="G168" s="31">
        <v>44375</v>
      </c>
      <c r="H168" s="26"/>
      <c r="I168" s="35">
        <v>5.85</v>
      </c>
      <c r="J168" s="26"/>
      <c r="K168" s="26"/>
      <c r="L168" s="26"/>
      <c r="M168" s="26"/>
      <c r="N168" s="26"/>
      <c r="O168" s="25"/>
      <c r="P168" s="26"/>
      <c r="Q168" s="26"/>
      <c r="R168" s="26"/>
      <c r="S168" s="26"/>
      <c r="T168" s="26"/>
      <c r="U168" s="26"/>
      <c r="V168" s="26"/>
      <c r="W168" s="26"/>
      <c r="X168" s="35"/>
      <c r="Y168" s="26"/>
      <c r="Z168" s="26"/>
      <c r="AA168" s="26">
        <v>32.054794520547944</v>
      </c>
      <c r="AB168" s="35"/>
      <c r="AC168" s="26"/>
      <c r="AD168" s="26">
        <v>32.054794520547944</v>
      </c>
      <c r="AE168" s="26">
        <v>496.84931506849313</v>
      </c>
      <c r="AF168" s="26"/>
      <c r="AG168" s="26"/>
      <c r="AH168" s="26">
        <v>528.90410958904113</v>
      </c>
      <c r="AI168" s="26">
        <v>496.84931506849313</v>
      </c>
      <c r="AJ168" s="26"/>
      <c r="AK168" s="26"/>
      <c r="AL168" s="26">
        <v>1025.7534246575342</v>
      </c>
      <c r="AM168" s="26">
        <v>480.82191780821915</v>
      </c>
      <c r="AN168" s="26"/>
      <c r="AO168" s="26"/>
      <c r="AP168" s="26">
        <f>+AL168+AM168+AN168+AO168</f>
        <v>1506.5753424657532</v>
      </c>
      <c r="AQ168" s="25"/>
    </row>
    <row r="169" spans="1:43" s="1" customFormat="1" x14ac:dyDescent="0.3">
      <c r="A169" s="37">
        <v>5060</v>
      </c>
      <c r="B169" s="25" t="s">
        <v>40</v>
      </c>
      <c r="C169" s="25" t="s">
        <v>114</v>
      </c>
      <c r="D169" s="25" t="s">
        <v>113</v>
      </c>
      <c r="E169" s="35">
        <v>330000</v>
      </c>
      <c r="F169" s="31">
        <v>44012</v>
      </c>
      <c r="G169" s="31">
        <v>44377</v>
      </c>
      <c r="H169" s="26"/>
      <c r="I169" s="35">
        <v>6.4</v>
      </c>
      <c r="J169" s="26"/>
      <c r="K169" s="26"/>
      <c r="L169" s="26"/>
      <c r="M169" s="26"/>
      <c r="N169" s="26"/>
      <c r="O169" s="25"/>
      <c r="P169" s="26"/>
      <c r="Q169" s="26"/>
      <c r="R169" s="26"/>
      <c r="S169" s="26"/>
      <c r="T169" s="26"/>
      <c r="U169" s="26"/>
      <c r="V169" s="26"/>
      <c r="W169" s="26"/>
      <c r="X169" s="35"/>
      <c r="Y169" s="26"/>
      <c r="Z169" s="26"/>
      <c r="AA169" s="26"/>
      <c r="AB169" s="35"/>
      <c r="AC169" s="26"/>
      <c r="AD169" s="26"/>
      <c r="AE169" s="26">
        <v>1793.7534246575342</v>
      </c>
      <c r="AF169" s="26"/>
      <c r="AG169" s="26"/>
      <c r="AH169" s="26">
        <v>1793.7534246575342</v>
      </c>
      <c r="AI169" s="26">
        <v>1793.7534246575342</v>
      </c>
      <c r="AJ169" s="26"/>
      <c r="AK169" s="26"/>
      <c r="AL169" s="26">
        <v>3587.5068493150684</v>
      </c>
      <c r="AM169" s="26">
        <v>1735.8904109589041</v>
      </c>
      <c r="AN169" s="26"/>
      <c r="AO169" s="26"/>
      <c r="AP169" s="26">
        <f>+AL169+AM169+AN169+AO169</f>
        <v>5323.3972602739723</v>
      </c>
      <c r="AQ169" s="25"/>
    </row>
    <row r="170" spans="1:43" s="1" customFormat="1" x14ac:dyDescent="0.3">
      <c r="A170" s="37">
        <v>5063</v>
      </c>
      <c r="B170" s="25" t="s">
        <v>13</v>
      </c>
      <c r="C170" s="25" t="s">
        <v>112</v>
      </c>
      <c r="D170" s="25" t="s">
        <v>111</v>
      </c>
      <c r="E170" s="35">
        <v>200000</v>
      </c>
      <c r="F170" s="31">
        <v>44006</v>
      </c>
      <c r="G170" s="31">
        <v>44371</v>
      </c>
      <c r="H170" s="26"/>
      <c r="I170" s="35">
        <v>4.9000000000000004</v>
      </c>
      <c r="J170" s="26"/>
      <c r="K170" s="26"/>
      <c r="L170" s="26"/>
      <c r="M170" s="26"/>
      <c r="N170" s="26"/>
      <c r="O170" s="25"/>
      <c r="P170" s="26"/>
      <c r="Q170" s="26"/>
      <c r="R170" s="26"/>
      <c r="S170" s="26"/>
      <c r="T170" s="26"/>
      <c r="U170" s="26"/>
      <c r="V170" s="26"/>
      <c r="W170" s="26"/>
      <c r="X170" s="35"/>
      <c r="Y170" s="26"/>
      <c r="Z170" s="26"/>
      <c r="AA170" s="26"/>
      <c r="AB170" s="35"/>
      <c r="AC170" s="26"/>
      <c r="AD170" s="26"/>
      <c r="AE170" s="26">
        <v>993.42465753424665</v>
      </c>
      <c r="AF170" s="26"/>
      <c r="AG170" s="26"/>
      <c r="AH170" s="26">
        <v>993.42465753424665</v>
      </c>
      <c r="AI170" s="26">
        <v>832.32876712328766</v>
      </c>
      <c r="AJ170" s="26"/>
      <c r="AK170" s="26"/>
      <c r="AL170" s="26">
        <v>1825.7534246575342</v>
      </c>
      <c r="AM170" s="26">
        <v>805.47945205479459</v>
      </c>
      <c r="AN170" s="26"/>
      <c r="AO170" s="26"/>
      <c r="AP170" s="26">
        <f>+AL170+AM170+AN170+AO170</f>
        <v>2631.232876712329</v>
      </c>
      <c r="AQ170" s="25"/>
    </row>
    <row r="171" spans="1:43" s="1" customFormat="1" x14ac:dyDescent="0.3">
      <c r="A171" s="37">
        <v>5063</v>
      </c>
      <c r="B171" s="25" t="s">
        <v>25</v>
      </c>
      <c r="C171" s="25" t="s">
        <v>110</v>
      </c>
      <c r="D171" s="25" t="s">
        <v>109</v>
      </c>
      <c r="E171" s="35">
        <v>85425</v>
      </c>
      <c r="F171" s="31">
        <v>44013</v>
      </c>
      <c r="G171" s="31">
        <v>44378</v>
      </c>
      <c r="H171" s="26"/>
      <c r="I171" s="35">
        <v>4.4000000000000004</v>
      </c>
      <c r="J171" s="26"/>
      <c r="K171" s="26"/>
      <c r="L171" s="26"/>
      <c r="M171" s="26"/>
      <c r="N171" s="26"/>
      <c r="O171" s="25"/>
      <c r="P171" s="26"/>
      <c r="Q171" s="26"/>
      <c r="R171" s="26"/>
      <c r="S171" s="26"/>
      <c r="T171" s="26"/>
      <c r="U171" s="26"/>
      <c r="V171" s="26"/>
      <c r="W171" s="26"/>
      <c r="X171" s="35"/>
      <c r="Y171" s="26"/>
      <c r="Z171" s="26"/>
      <c r="AA171" s="26"/>
      <c r="AB171" s="35"/>
      <c r="AC171" s="26"/>
      <c r="AD171" s="26"/>
      <c r="AE171" s="26">
        <v>308.93424657534251</v>
      </c>
      <c r="AF171" s="26"/>
      <c r="AG171" s="26"/>
      <c r="AH171" s="26">
        <v>308.93424657534251</v>
      </c>
      <c r="AI171" s="26">
        <v>319.23205479452059</v>
      </c>
      <c r="AJ171" s="26"/>
      <c r="AK171" s="26"/>
      <c r="AL171" s="26">
        <v>628.16630136986305</v>
      </c>
      <c r="AM171" s="26">
        <v>308.93424657534251</v>
      </c>
      <c r="AN171" s="26"/>
      <c r="AO171" s="26"/>
      <c r="AP171" s="26">
        <f>+AL171+AM171+AN171+AO171</f>
        <v>937.10054794520556</v>
      </c>
      <c r="AQ171" s="25"/>
    </row>
    <row r="172" spans="1:43" s="1" customFormat="1" x14ac:dyDescent="0.3">
      <c r="A172" s="37">
        <v>5060</v>
      </c>
      <c r="B172" s="25" t="s">
        <v>40</v>
      </c>
      <c r="C172" s="25" t="s">
        <v>108</v>
      </c>
      <c r="D172" s="25" t="s">
        <v>107</v>
      </c>
      <c r="E172" s="35">
        <v>1100000</v>
      </c>
      <c r="F172" s="31">
        <v>44024</v>
      </c>
      <c r="G172" s="31">
        <v>44389</v>
      </c>
      <c r="H172" s="26"/>
      <c r="I172" s="35">
        <v>6.4</v>
      </c>
      <c r="J172" s="26"/>
      <c r="K172" s="26"/>
      <c r="L172" s="26"/>
      <c r="M172" s="26"/>
      <c r="N172" s="26"/>
      <c r="O172" s="25"/>
      <c r="P172" s="26"/>
      <c r="Q172" s="26"/>
      <c r="R172" s="26"/>
      <c r="S172" s="26"/>
      <c r="T172" s="26"/>
      <c r="U172" s="26"/>
      <c r="V172" s="26"/>
      <c r="W172" s="26"/>
      <c r="X172" s="35"/>
      <c r="Y172" s="26"/>
      <c r="Z172" s="26"/>
      <c r="AA172" s="26"/>
      <c r="AB172" s="35"/>
      <c r="AC172" s="26"/>
      <c r="AD172" s="26"/>
      <c r="AE172" s="26">
        <v>3664.6575342465753</v>
      </c>
      <c r="AF172" s="26"/>
      <c r="AG172" s="26"/>
      <c r="AH172" s="26">
        <v>3664.6575342465753</v>
      </c>
      <c r="AI172" s="26">
        <v>5979.178082191781</v>
      </c>
      <c r="AJ172" s="26"/>
      <c r="AK172" s="26"/>
      <c r="AL172" s="26">
        <v>9643.8356164383567</v>
      </c>
      <c r="AM172" s="26">
        <v>5786.3013698630139</v>
      </c>
      <c r="AN172" s="26"/>
      <c r="AO172" s="26"/>
      <c r="AP172" s="26">
        <f>+AL172+AM172+AN172+AO172</f>
        <v>15430.136986301372</v>
      </c>
      <c r="AQ172" s="25"/>
    </row>
    <row r="173" spans="1:43" s="1" customFormat="1" x14ac:dyDescent="0.3">
      <c r="A173" s="37">
        <v>5065</v>
      </c>
      <c r="B173" s="25" t="s">
        <v>106</v>
      </c>
      <c r="C173" s="25" t="s">
        <v>105</v>
      </c>
      <c r="D173" s="25" t="s">
        <v>104</v>
      </c>
      <c r="E173" s="35">
        <v>462162.98</v>
      </c>
      <c r="F173" s="31">
        <v>44025</v>
      </c>
      <c r="G173" s="31">
        <v>44390</v>
      </c>
      <c r="H173" s="26"/>
      <c r="I173" s="35">
        <v>5.9</v>
      </c>
      <c r="J173" s="26"/>
      <c r="K173" s="26"/>
      <c r="L173" s="26"/>
      <c r="M173" s="26"/>
      <c r="N173" s="26"/>
      <c r="O173" s="25"/>
      <c r="P173" s="26"/>
      <c r="Q173" s="26"/>
      <c r="R173" s="26"/>
      <c r="S173" s="26"/>
      <c r="T173" s="26"/>
      <c r="U173" s="26"/>
      <c r="V173" s="26"/>
      <c r="W173" s="26"/>
      <c r="X173" s="35"/>
      <c r="Y173" s="26"/>
      <c r="Z173" s="26"/>
      <c r="AA173" s="26"/>
      <c r="AB173" s="35"/>
      <c r="AC173" s="26"/>
      <c r="AD173" s="26"/>
      <c r="AE173" s="26">
        <v>1344.7043418082192</v>
      </c>
      <c r="AF173" s="26"/>
      <c r="AG173" s="26"/>
      <c r="AH173" s="26">
        <v>1344.7043418082192</v>
      </c>
      <c r="AI173" s="26">
        <v>2315.8796997808217</v>
      </c>
      <c r="AJ173" s="26"/>
      <c r="AK173" s="26"/>
      <c r="AL173" s="26">
        <v>3660.5840415890407</v>
      </c>
      <c r="AM173" s="26">
        <v>2241.1739030136987</v>
      </c>
      <c r="AN173" s="26"/>
      <c r="AO173" s="26"/>
      <c r="AP173" s="26">
        <f>+AL173+AM173+AN173+AO173</f>
        <v>5901.7579446027394</v>
      </c>
      <c r="AQ173" s="25"/>
    </row>
    <row r="174" spans="1:43" s="1" customFormat="1" x14ac:dyDescent="0.3">
      <c r="A174" s="37">
        <v>5065</v>
      </c>
      <c r="B174" s="25" t="s">
        <v>103</v>
      </c>
      <c r="C174" s="25" t="s">
        <v>102</v>
      </c>
      <c r="D174" s="25" t="s">
        <v>101</v>
      </c>
      <c r="E174" s="35">
        <v>462162.98</v>
      </c>
      <c r="F174" s="31">
        <v>44025</v>
      </c>
      <c r="G174" s="31">
        <v>44390</v>
      </c>
      <c r="H174" s="26"/>
      <c r="I174" s="35">
        <v>5.9</v>
      </c>
      <c r="J174" s="26"/>
      <c r="K174" s="26"/>
      <c r="L174" s="26"/>
      <c r="M174" s="26"/>
      <c r="N174" s="26"/>
      <c r="O174" s="25"/>
      <c r="P174" s="26"/>
      <c r="Q174" s="26"/>
      <c r="R174" s="26"/>
      <c r="S174" s="26"/>
      <c r="T174" s="26"/>
      <c r="U174" s="26"/>
      <c r="V174" s="26"/>
      <c r="W174" s="26"/>
      <c r="X174" s="35"/>
      <c r="Y174" s="26"/>
      <c r="Z174" s="26"/>
      <c r="AA174" s="26"/>
      <c r="AB174" s="35"/>
      <c r="AC174" s="26"/>
      <c r="AD174" s="26"/>
      <c r="AE174" s="26">
        <v>1344.7043418082192</v>
      </c>
      <c r="AF174" s="26"/>
      <c r="AG174" s="26"/>
      <c r="AH174" s="26">
        <v>1344.7043418082192</v>
      </c>
      <c r="AI174" s="26">
        <v>2315.8796997808217</v>
      </c>
      <c r="AJ174" s="26"/>
      <c r="AK174" s="26"/>
      <c r="AL174" s="26">
        <v>3660.5840415890407</v>
      </c>
      <c r="AM174" s="26">
        <v>2241.1739030136987</v>
      </c>
      <c r="AN174" s="26"/>
      <c r="AO174" s="26"/>
      <c r="AP174" s="26">
        <f>+AL174+AM174+AN174+AO174</f>
        <v>5901.7579446027394</v>
      </c>
      <c r="AQ174" s="25"/>
    </row>
    <row r="175" spans="1:43" s="1" customFormat="1" x14ac:dyDescent="0.3">
      <c r="A175" s="37">
        <v>5060</v>
      </c>
      <c r="B175" s="25" t="s">
        <v>16</v>
      </c>
      <c r="C175" s="25" t="s">
        <v>100</v>
      </c>
      <c r="D175" s="25" t="s">
        <v>99</v>
      </c>
      <c r="E175" s="38">
        <v>50000</v>
      </c>
      <c r="F175" s="31">
        <v>44027</v>
      </c>
      <c r="G175" s="31">
        <v>44392</v>
      </c>
      <c r="H175" s="26"/>
      <c r="I175" s="35">
        <v>1.9</v>
      </c>
      <c r="J175" s="26"/>
      <c r="K175" s="26"/>
      <c r="L175" s="26"/>
      <c r="M175" s="26"/>
      <c r="N175" s="26"/>
      <c r="O175" s="25"/>
      <c r="P175" s="26"/>
      <c r="Q175" s="26"/>
      <c r="R175" s="26"/>
      <c r="S175" s="26"/>
      <c r="T175" s="26"/>
      <c r="U175" s="26"/>
      <c r="V175" s="26"/>
      <c r="W175" s="26"/>
      <c r="X175" s="35"/>
      <c r="Y175" s="26"/>
      <c r="Z175" s="26"/>
      <c r="AA175" s="26"/>
      <c r="AB175" s="35"/>
      <c r="AC175" s="26"/>
      <c r="AD175" s="26"/>
      <c r="AE175" s="26">
        <v>41.643835616438359</v>
      </c>
      <c r="AF175" s="26"/>
      <c r="AG175" s="26"/>
      <c r="AH175" s="26">
        <v>41.643835616438359</v>
      </c>
      <c r="AI175" s="26">
        <v>80.684931506849324</v>
      </c>
      <c r="AJ175" s="26"/>
      <c r="AK175" s="26"/>
      <c r="AL175" s="26">
        <v>122.32876712328769</v>
      </c>
      <c r="AM175" s="26">
        <v>78.08219178082193</v>
      </c>
      <c r="AN175" s="26"/>
      <c r="AO175" s="26"/>
      <c r="AP175" s="26">
        <f>+AL175+AM175+AN175+AO175</f>
        <v>200.41095890410963</v>
      </c>
      <c r="AQ175" s="25"/>
    </row>
    <row r="176" spans="1:43" s="1" customFormat="1" x14ac:dyDescent="0.3">
      <c r="A176" s="37">
        <v>5060</v>
      </c>
      <c r="B176" s="25" t="s">
        <v>40</v>
      </c>
      <c r="C176" s="25" t="s">
        <v>98</v>
      </c>
      <c r="D176" s="25" t="s">
        <v>97</v>
      </c>
      <c r="E176" s="35">
        <v>1100000</v>
      </c>
      <c r="F176" s="31">
        <v>44031</v>
      </c>
      <c r="G176" s="31">
        <v>44396</v>
      </c>
      <c r="H176" s="26"/>
      <c r="I176" s="35">
        <v>6.4</v>
      </c>
      <c r="J176" s="26"/>
      <c r="K176" s="26"/>
      <c r="L176" s="26"/>
      <c r="M176" s="26"/>
      <c r="N176" s="26"/>
      <c r="O176" s="25"/>
      <c r="P176" s="26"/>
      <c r="Q176" s="26"/>
      <c r="R176" s="26"/>
      <c r="S176" s="26"/>
      <c r="T176" s="26"/>
      <c r="U176" s="26"/>
      <c r="V176" s="26"/>
      <c r="W176" s="26"/>
      <c r="X176" s="35"/>
      <c r="Y176" s="26"/>
      <c r="Z176" s="26"/>
      <c r="AA176" s="26"/>
      <c r="AB176" s="35"/>
      <c r="AC176" s="26"/>
      <c r="AD176" s="26"/>
      <c r="AE176" s="26">
        <v>2314.5205479452056</v>
      </c>
      <c r="AF176" s="26"/>
      <c r="AG176" s="26"/>
      <c r="AH176" s="26">
        <v>2314.5205479452056</v>
      </c>
      <c r="AI176" s="26">
        <v>5979.178082191781</v>
      </c>
      <c r="AJ176" s="26">
        <v>-7136.44</v>
      </c>
      <c r="AK176" s="26">
        <v>-1157.26</v>
      </c>
      <c r="AL176" s="26">
        <v>-1.3698630125418276E-3</v>
      </c>
      <c r="AM176" s="26">
        <v>0</v>
      </c>
      <c r="AN176" s="26"/>
      <c r="AO176" s="26"/>
      <c r="AP176" s="26">
        <f>+AL176+AM176+AN176+AO176</f>
        <v>-1.3698630125418276E-3</v>
      </c>
      <c r="AQ176" s="25" t="s">
        <v>96</v>
      </c>
    </row>
    <row r="177" spans="1:43" s="1" customFormat="1" x14ac:dyDescent="0.3">
      <c r="A177" s="37">
        <v>5060</v>
      </c>
      <c r="B177" s="25" t="s">
        <v>19</v>
      </c>
      <c r="C177" s="25" t="s">
        <v>95</v>
      </c>
      <c r="D177" s="25" t="s">
        <v>94</v>
      </c>
      <c r="E177" s="28">
        <v>60000</v>
      </c>
      <c r="F177" s="31">
        <v>44032</v>
      </c>
      <c r="G177" s="31">
        <v>44397</v>
      </c>
      <c r="H177" s="26"/>
      <c r="I177" s="35">
        <v>1.9</v>
      </c>
      <c r="J177" s="26"/>
      <c r="K177" s="26"/>
      <c r="L177" s="26"/>
      <c r="M177" s="26"/>
      <c r="N177" s="26"/>
      <c r="O177" s="25"/>
      <c r="P177" s="26"/>
      <c r="Q177" s="26"/>
      <c r="R177" s="26"/>
      <c r="S177" s="26"/>
      <c r="T177" s="26"/>
      <c r="U177" s="26"/>
      <c r="V177" s="26"/>
      <c r="W177" s="26"/>
      <c r="X177" s="35"/>
      <c r="Y177" s="26"/>
      <c r="Z177" s="26"/>
      <c r="AA177" s="26"/>
      <c r="AB177" s="35"/>
      <c r="AC177" s="26"/>
      <c r="AD177" s="26"/>
      <c r="AE177" s="26">
        <v>34.356164383561648</v>
      </c>
      <c r="AF177" s="26"/>
      <c r="AG177" s="26"/>
      <c r="AH177" s="26">
        <v>34.356164383561648</v>
      </c>
      <c r="AI177" s="26">
        <v>96.821917808219183</v>
      </c>
      <c r="AJ177" s="26"/>
      <c r="AK177" s="26"/>
      <c r="AL177" s="26">
        <v>131.17808219178085</v>
      </c>
      <c r="AM177" s="26">
        <v>93.69863013698631</v>
      </c>
      <c r="AN177" s="26"/>
      <c r="AO177" s="26"/>
      <c r="AP177" s="26">
        <f>+AL177+AM177+AN177+AO177</f>
        <v>224.87671232876716</v>
      </c>
      <c r="AQ177" s="25"/>
    </row>
    <row r="178" spans="1:43" s="1" customFormat="1" x14ac:dyDescent="0.3">
      <c r="A178" s="37">
        <v>5063</v>
      </c>
      <c r="B178" s="25" t="s">
        <v>13</v>
      </c>
      <c r="C178" s="25" t="s">
        <v>93</v>
      </c>
      <c r="D178" s="25" t="s">
        <v>90</v>
      </c>
      <c r="E178" s="35">
        <v>10000</v>
      </c>
      <c r="F178" s="31">
        <v>44028</v>
      </c>
      <c r="G178" s="31">
        <v>44393</v>
      </c>
      <c r="H178" s="26"/>
      <c r="I178" s="35">
        <v>5.15</v>
      </c>
      <c r="J178" s="26"/>
      <c r="K178" s="26"/>
      <c r="L178" s="26"/>
      <c r="M178" s="26"/>
      <c r="N178" s="26"/>
      <c r="O178" s="25"/>
      <c r="P178" s="26"/>
      <c r="Q178" s="26"/>
      <c r="R178" s="26"/>
      <c r="S178" s="26"/>
      <c r="T178" s="26"/>
      <c r="U178" s="26"/>
      <c r="V178" s="26"/>
      <c r="W178" s="26"/>
      <c r="X178" s="35"/>
      <c r="Y178" s="26"/>
      <c r="Z178" s="26"/>
      <c r="AA178" s="26"/>
      <c r="AB178" s="35"/>
      <c r="AC178" s="26"/>
      <c r="AD178" s="26"/>
      <c r="AE178" s="26">
        <v>21.164383561643838</v>
      </c>
      <c r="AF178" s="26"/>
      <c r="AG178" s="26"/>
      <c r="AH178" s="26">
        <v>21.164383561643838</v>
      </c>
      <c r="AI178" s="26">
        <v>43.739726027397261</v>
      </c>
      <c r="AJ178" s="26"/>
      <c r="AK178" s="26"/>
      <c r="AL178" s="26">
        <v>64.904109589041099</v>
      </c>
      <c r="AM178" s="26">
        <v>42.328767123287676</v>
      </c>
      <c r="AN178" s="26"/>
      <c r="AO178" s="26"/>
      <c r="AP178" s="26">
        <f>+AL178+AM178+AN178+AO178</f>
        <v>107.23287671232877</v>
      </c>
      <c r="AQ178" s="25"/>
    </row>
    <row r="179" spans="1:43" s="1" customFormat="1" x14ac:dyDescent="0.3">
      <c r="A179" s="37">
        <v>5063</v>
      </c>
      <c r="B179" s="25" t="s">
        <v>13</v>
      </c>
      <c r="C179" s="25" t="s">
        <v>92</v>
      </c>
      <c r="D179" s="25" t="s">
        <v>90</v>
      </c>
      <c r="E179" s="35">
        <v>10000</v>
      </c>
      <c r="F179" s="31">
        <v>44028</v>
      </c>
      <c r="G179" s="31">
        <v>44393</v>
      </c>
      <c r="H179" s="26"/>
      <c r="I179" s="35">
        <v>5.15</v>
      </c>
      <c r="J179" s="26"/>
      <c r="K179" s="26"/>
      <c r="L179" s="26"/>
      <c r="M179" s="26"/>
      <c r="N179" s="26"/>
      <c r="O179" s="25"/>
      <c r="P179" s="26"/>
      <c r="Q179" s="26"/>
      <c r="R179" s="26"/>
      <c r="S179" s="26"/>
      <c r="T179" s="26"/>
      <c r="U179" s="26"/>
      <c r="V179" s="26"/>
      <c r="W179" s="26"/>
      <c r="X179" s="35"/>
      <c r="Y179" s="26"/>
      <c r="Z179" s="26"/>
      <c r="AA179" s="26"/>
      <c r="AB179" s="35"/>
      <c r="AC179" s="26"/>
      <c r="AD179" s="26"/>
      <c r="AE179" s="26">
        <v>21.164383561643838</v>
      </c>
      <c r="AF179" s="26"/>
      <c r="AG179" s="26"/>
      <c r="AH179" s="26">
        <v>21.164383561643838</v>
      </c>
      <c r="AI179" s="26">
        <v>43.739726027397261</v>
      </c>
      <c r="AJ179" s="26"/>
      <c r="AK179" s="26"/>
      <c r="AL179" s="26">
        <v>64.904109589041099</v>
      </c>
      <c r="AM179" s="26">
        <v>42.328767123287676</v>
      </c>
      <c r="AN179" s="26"/>
      <c r="AO179" s="26"/>
      <c r="AP179" s="26">
        <f>+AL179+AM179+AN179+AO179</f>
        <v>107.23287671232877</v>
      </c>
      <c r="AQ179" s="25"/>
    </row>
    <row r="180" spans="1:43" s="1" customFormat="1" x14ac:dyDescent="0.3">
      <c r="A180" s="37">
        <v>5063</v>
      </c>
      <c r="B180" s="25" t="s">
        <v>13</v>
      </c>
      <c r="C180" s="25" t="s">
        <v>91</v>
      </c>
      <c r="D180" s="25" t="s">
        <v>90</v>
      </c>
      <c r="E180" s="35">
        <v>10000</v>
      </c>
      <c r="F180" s="31">
        <v>44028</v>
      </c>
      <c r="G180" s="31">
        <v>44393</v>
      </c>
      <c r="H180" s="26"/>
      <c r="I180" s="35">
        <v>5.15</v>
      </c>
      <c r="J180" s="26"/>
      <c r="K180" s="26"/>
      <c r="L180" s="26"/>
      <c r="M180" s="26"/>
      <c r="N180" s="26"/>
      <c r="O180" s="25"/>
      <c r="P180" s="26"/>
      <c r="Q180" s="26"/>
      <c r="R180" s="26"/>
      <c r="S180" s="26"/>
      <c r="T180" s="26"/>
      <c r="U180" s="26"/>
      <c r="V180" s="26"/>
      <c r="W180" s="26"/>
      <c r="X180" s="35"/>
      <c r="Y180" s="26"/>
      <c r="Z180" s="26"/>
      <c r="AA180" s="26"/>
      <c r="AB180" s="35"/>
      <c r="AC180" s="26"/>
      <c r="AD180" s="26"/>
      <c r="AE180" s="26">
        <v>21.164383561643838</v>
      </c>
      <c r="AF180" s="26"/>
      <c r="AG180" s="26"/>
      <c r="AH180" s="26">
        <v>21.164383561643838</v>
      </c>
      <c r="AI180" s="26">
        <v>43.739726027397261</v>
      </c>
      <c r="AJ180" s="26"/>
      <c r="AK180" s="26"/>
      <c r="AL180" s="26">
        <v>64.904109589041099</v>
      </c>
      <c r="AM180" s="26">
        <v>42.328767123287676</v>
      </c>
      <c r="AN180" s="26"/>
      <c r="AO180" s="26"/>
      <c r="AP180" s="26">
        <f>+AL180+AM180+AN180+AO180</f>
        <v>107.23287671232877</v>
      </c>
      <c r="AQ180" s="25"/>
    </row>
    <row r="181" spans="1:43" s="1" customFormat="1" x14ac:dyDescent="0.3">
      <c r="A181" s="37">
        <v>5063</v>
      </c>
      <c r="B181" s="25" t="s">
        <v>13</v>
      </c>
      <c r="C181" s="25" t="s">
        <v>89</v>
      </c>
      <c r="D181" s="25" t="s">
        <v>88</v>
      </c>
      <c r="E181" s="35">
        <v>13000</v>
      </c>
      <c r="F181" s="31">
        <v>44028</v>
      </c>
      <c r="G181" s="31">
        <v>44393</v>
      </c>
      <c r="H181" s="26"/>
      <c r="I181" s="35">
        <v>5.15</v>
      </c>
      <c r="J181" s="26"/>
      <c r="K181" s="26"/>
      <c r="L181" s="26"/>
      <c r="M181" s="26"/>
      <c r="N181" s="26"/>
      <c r="O181" s="25"/>
      <c r="P181" s="26"/>
      <c r="Q181" s="26"/>
      <c r="R181" s="26"/>
      <c r="S181" s="26"/>
      <c r="T181" s="26"/>
      <c r="U181" s="26"/>
      <c r="V181" s="26"/>
      <c r="W181" s="26"/>
      <c r="X181" s="35"/>
      <c r="Y181" s="26"/>
      <c r="Z181" s="26"/>
      <c r="AA181" s="26"/>
      <c r="AB181" s="35"/>
      <c r="AC181" s="26"/>
      <c r="AD181" s="26"/>
      <c r="AE181" s="26">
        <v>27.513698630136986</v>
      </c>
      <c r="AF181" s="26"/>
      <c r="AG181" s="26"/>
      <c r="AH181" s="26">
        <v>27.513698630136986</v>
      </c>
      <c r="AI181" s="26">
        <v>56.861643835616434</v>
      </c>
      <c r="AJ181" s="26"/>
      <c r="AK181" s="26"/>
      <c r="AL181" s="26">
        <v>84.37534246575342</v>
      </c>
      <c r="AM181" s="26">
        <v>55.027397260273972</v>
      </c>
      <c r="AN181" s="26"/>
      <c r="AO181" s="26"/>
      <c r="AP181" s="26">
        <f>+AL181+AM181+AN181+AO181</f>
        <v>139.40273972602739</v>
      </c>
      <c r="AQ181" s="25"/>
    </row>
    <row r="182" spans="1:43" s="1" customFormat="1" x14ac:dyDescent="0.3">
      <c r="A182" s="37">
        <v>5062</v>
      </c>
      <c r="B182" s="25" t="s">
        <v>85</v>
      </c>
      <c r="C182" s="25" t="s">
        <v>87</v>
      </c>
      <c r="D182" s="25" t="s">
        <v>86</v>
      </c>
      <c r="E182" s="35">
        <v>75139</v>
      </c>
      <c r="F182" s="31">
        <v>44036</v>
      </c>
      <c r="G182" s="31">
        <v>44401</v>
      </c>
      <c r="H182" s="26"/>
      <c r="I182" s="35">
        <v>3.4</v>
      </c>
      <c r="J182" s="26"/>
      <c r="K182" s="26"/>
      <c r="L182" s="26"/>
      <c r="M182" s="26"/>
      <c r="N182" s="26"/>
      <c r="O182" s="25"/>
      <c r="P182" s="26"/>
      <c r="Q182" s="26"/>
      <c r="R182" s="26"/>
      <c r="S182" s="26"/>
      <c r="T182" s="26"/>
      <c r="U182" s="26"/>
      <c r="V182" s="26"/>
      <c r="W182" s="26"/>
      <c r="X182" s="35"/>
      <c r="Y182" s="26"/>
      <c r="Z182" s="26"/>
      <c r="AA182" s="26"/>
      <c r="AB182" s="35"/>
      <c r="AC182" s="26"/>
      <c r="AD182" s="26"/>
      <c r="AE182" s="26">
        <v>41.995495890410965</v>
      </c>
      <c r="AF182" s="26"/>
      <c r="AG182" s="26"/>
      <c r="AH182" s="26">
        <v>41.995495890410965</v>
      </c>
      <c r="AI182" s="26">
        <v>216.97672876712332</v>
      </c>
      <c r="AJ182" s="26"/>
      <c r="AK182" s="26"/>
      <c r="AL182" s="26">
        <v>258.9722246575343</v>
      </c>
      <c r="AM182" s="26">
        <v>209.97747945205481</v>
      </c>
      <c r="AN182" s="26"/>
      <c r="AO182" s="26"/>
      <c r="AP182" s="26">
        <f>+AL182+AM182+AN182+AO182</f>
        <v>468.94970410958911</v>
      </c>
      <c r="AQ182" s="25"/>
    </row>
    <row r="183" spans="1:43" s="1" customFormat="1" x14ac:dyDescent="0.3">
      <c r="A183" s="37">
        <v>5062</v>
      </c>
      <c r="B183" s="25" t="s">
        <v>85</v>
      </c>
      <c r="C183" s="25" t="s">
        <v>84</v>
      </c>
      <c r="D183" s="25" t="s">
        <v>83</v>
      </c>
      <c r="E183" s="35">
        <v>220000</v>
      </c>
      <c r="F183" s="31">
        <v>44036</v>
      </c>
      <c r="G183" s="31">
        <v>44401</v>
      </c>
      <c r="H183" s="26"/>
      <c r="I183" s="35">
        <v>3.4</v>
      </c>
      <c r="J183" s="26"/>
      <c r="K183" s="26"/>
      <c r="L183" s="26"/>
      <c r="M183" s="26"/>
      <c r="N183" s="26"/>
      <c r="O183" s="25"/>
      <c r="P183" s="26"/>
      <c r="Q183" s="26"/>
      <c r="R183" s="26"/>
      <c r="S183" s="26"/>
      <c r="T183" s="26"/>
      <c r="U183" s="26"/>
      <c r="V183" s="26"/>
      <c r="W183" s="26"/>
      <c r="X183" s="35"/>
      <c r="Y183" s="26"/>
      <c r="Z183" s="26"/>
      <c r="AA183" s="26"/>
      <c r="AB183" s="35"/>
      <c r="AC183" s="26"/>
      <c r="AD183" s="26"/>
      <c r="AE183" s="26">
        <v>122.95890410958907</v>
      </c>
      <c r="AF183" s="26"/>
      <c r="AG183" s="26"/>
      <c r="AH183" s="26">
        <v>122.95890410958907</v>
      </c>
      <c r="AI183" s="26">
        <v>635.28767123287685</v>
      </c>
      <c r="AJ183" s="26"/>
      <c r="AK183" s="26"/>
      <c r="AL183" s="26">
        <v>758.24657534246592</v>
      </c>
      <c r="AM183" s="26">
        <v>614.79452054794524</v>
      </c>
      <c r="AN183" s="26"/>
      <c r="AO183" s="26"/>
      <c r="AP183" s="26">
        <f>+AL183+AM183+AN183+AO183</f>
        <v>1373.0410958904113</v>
      </c>
      <c r="AQ183" s="25"/>
    </row>
    <row r="184" spans="1:43" s="1" customFormat="1" x14ac:dyDescent="0.3">
      <c r="A184" s="37">
        <v>5040</v>
      </c>
      <c r="B184" s="25" t="s">
        <v>82</v>
      </c>
      <c r="C184" s="25" t="s">
        <v>81</v>
      </c>
      <c r="D184" s="25" t="s">
        <v>80</v>
      </c>
      <c r="E184" s="35">
        <v>53900</v>
      </c>
      <c r="F184" s="31">
        <v>44038</v>
      </c>
      <c r="G184" s="31">
        <v>44403</v>
      </c>
      <c r="H184" s="26"/>
      <c r="I184" s="35">
        <v>6.15</v>
      </c>
      <c r="J184" s="26"/>
      <c r="K184" s="26"/>
      <c r="L184" s="26"/>
      <c r="M184" s="26"/>
      <c r="N184" s="26"/>
      <c r="O184" s="25"/>
      <c r="P184" s="26"/>
      <c r="Q184" s="26"/>
      <c r="R184" s="26"/>
      <c r="S184" s="26"/>
      <c r="T184" s="26"/>
      <c r="U184" s="26"/>
      <c r="V184" s="26"/>
      <c r="W184" s="26"/>
      <c r="X184" s="35"/>
      <c r="Y184" s="26"/>
      <c r="Z184" s="26"/>
      <c r="AA184" s="26"/>
      <c r="AB184" s="35"/>
      <c r="AC184" s="26"/>
      <c r="AD184" s="26"/>
      <c r="AE184" s="26">
        <v>45.408904109589045</v>
      </c>
      <c r="AF184" s="26"/>
      <c r="AG184" s="26"/>
      <c r="AH184" s="26">
        <v>45.408904109589045</v>
      </c>
      <c r="AI184" s="26">
        <v>281.53520547945209</v>
      </c>
      <c r="AJ184" s="26"/>
      <c r="AK184" s="26"/>
      <c r="AL184" s="26">
        <v>326.94410958904115</v>
      </c>
      <c r="AM184" s="26">
        <v>272.45342465753424</v>
      </c>
      <c r="AN184" s="26"/>
      <c r="AO184" s="26"/>
      <c r="AP184" s="26">
        <f>+AL184+AM184+AN184+AO184</f>
        <v>599.39753424657533</v>
      </c>
      <c r="AQ184" s="25"/>
    </row>
    <row r="185" spans="1:43" s="1" customFormat="1" x14ac:dyDescent="0.3">
      <c r="A185" s="37">
        <v>5031</v>
      </c>
      <c r="B185" s="25" t="s">
        <v>7</v>
      </c>
      <c r="C185" s="25" t="s">
        <v>79</v>
      </c>
      <c r="D185" s="25" t="s">
        <v>78</v>
      </c>
      <c r="E185" s="35">
        <v>541000</v>
      </c>
      <c r="F185" s="31">
        <v>44037</v>
      </c>
      <c r="G185" s="31">
        <v>44402</v>
      </c>
      <c r="H185" s="26"/>
      <c r="I185" s="35">
        <v>6.9</v>
      </c>
      <c r="J185" s="26"/>
      <c r="K185" s="26"/>
      <c r="L185" s="26"/>
      <c r="M185" s="26"/>
      <c r="N185" s="26"/>
      <c r="O185" s="25"/>
      <c r="P185" s="26"/>
      <c r="Q185" s="26"/>
      <c r="R185" s="26"/>
      <c r="S185" s="26"/>
      <c r="T185" s="26"/>
      <c r="U185" s="26"/>
      <c r="V185" s="26"/>
      <c r="W185" s="26"/>
      <c r="X185" s="35"/>
      <c r="Y185" s="26"/>
      <c r="Z185" s="26"/>
      <c r="AA185" s="26"/>
      <c r="AB185" s="35"/>
      <c r="AC185" s="26"/>
      <c r="AD185" s="26"/>
      <c r="AE185" s="26">
        <v>613.62739726027394</v>
      </c>
      <c r="AF185" s="26"/>
      <c r="AG185" s="26"/>
      <c r="AH185" s="26">
        <v>613.62739726027394</v>
      </c>
      <c r="AI185" s="26">
        <v>3170.4082191780822</v>
      </c>
      <c r="AJ185" s="26"/>
      <c r="AK185" s="26"/>
      <c r="AL185" s="26">
        <v>3784.0356164383561</v>
      </c>
      <c r="AM185" s="26">
        <v>3068.1369863013701</v>
      </c>
      <c r="AN185" s="26"/>
      <c r="AO185" s="26"/>
      <c r="AP185" s="26">
        <f>+AL185+AM185+AN185+AO185</f>
        <v>6852.1726027397262</v>
      </c>
      <c r="AQ185" s="25"/>
    </row>
    <row r="186" spans="1:43" s="1" customFormat="1" x14ac:dyDescent="0.3">
      <c r="A186" s="37"/>
      <c r="B186" s="25" t="s">
        <v>77</v>
      </c>
      <c r="C186" s="25" t="s">
        <v>76</v>
      </c>
      <c r="D186" s="25" t="s">
        <v>75</v>
      </c>
      <c r="E186" s="35">
        <v>240000</v>
      </c>
      <c r="F186" s="31">
        <v>44034</v>
      </c>
      <c r="G186" s="31">
        <v>44399</v>
      </c>
      <c r="H186" s="26"/>
      <c r="I186" s="35">
        <v>5.4</v>
      </c>
      <c r="J186" s="26"/>
      <c r="K186" s="26"/>
      <c r="L186" s="26"/>
      <c r="M186" s="26"/>
      <c r="N186" s="26"/>
      <c r="O186" s="25"/>
      <c r="P186" s="26"/>
      <c r="Q186" s="26"/>
      <c r="R186" s="26"/>
      <c r="S186" s="26"/>
      <c r="T186" s="26"/>
      <c r="U186" s="26"/>
      <c r="V186" s="26"/>
      <c r="W186" s="26"/>
      <c r="X186" s="35"/>
      <c r="Y186" s="26"/>
      <c r="Z186" s="26"/>
      <c r="AA186" s="26"/>
      <c r="AB186" s="35"/>
      <c r="AC186" s="26"/>
      <c r="AD186" s="26"/>
      <c r="AE186" s="26">
        <v>213.04109589041099</v>
      </c>
      <c r="AF186" s="26"/>
      <c r="AG186" s="26"/>
      <c r="AH186" s="26">
        <v>213.04109589041099</v>
      </c>
      <c r="AI186" s="26">
        <v>1100.7123287671236</v>
      </c>
      <c r="AJ186" s="26"/>
      <c r="AK186" s="26"/>
      <c r="AL186" s="26">
        <v>1313.7534246575347</v>
      </c>
      <c r="AM186" s="26">
        <v>1065.2054794520548</v>
      </c>
      <c r="AN186" s="26"/>
      <c r="AO186" s="26"/>
      <c r="AP186" s="26">
        <f>+AL186+AM186+AN186+AO186</f>
        <v>2378.9589041095896</v>
      </c>
      <c r="AQ186" s="25"/>
    </row>
    <row r="187" spans="1:43" s="1" customFormat="1" x14ac:dyDescent="0.3">
      <c r="A187" s="37">
        <v>5057</v>
      </c>
      <c r="B187" s="25" t="s">
        <v>74</v>
      </c>
      <c r="C187" s="25" t="s">
        <v>73</v>
      </c>
      <c r="D187" s="25" t="s">
        <v>72</v>
      </c>
      <c r="E187" s="35">
        <v>139000</v>
      </c>
      <c r="F187" s="31">
        <v>44042</v>
      </c>
      <c r="G187" s="31">
        <v>44407</v>
      </c>
      <c r="H187" s="26"/>
      <c r="I187" s="35">
        <v>3.4</v>
      </c>
      <c r="J187" s="26"/>
      <c r="K187" s="26"/>
      <c r="L187" s="26"/>
      <c r="M187" s="26"/>
      <c r="N187" s="26"/>
      <c r="O187" s="25"/>
      <c r="P187" s="26"/>
      <c r="Q187" s="26"/>
      <c r="R187" s="26"/>
      <c r="S187" s="26"/>
      <c r="T187" s="26"/>
      <c r="U187" s="26"/>
      <c r="V187" s="26"/>
      <c r="W187" s="26"/>
      <c r="X187" s="35"/>
      <c r="Y187" s="26"/>
      <c r="Z187" s="26"/>
      <c r="AA187" s="26"/>
      <c r="AB187" s="35"/>
      <c r="AC187" s="26"/>
      <c r="AD187" s="26"/>
      <c r="AE187" s="26"/>
      <c r="AF187" s="26"/>
      <c r="AG187" s="26"/>
      <c r="AH187" s="26"/>
      <c r="AI187" s="26">
        <v>401.38630136986302</v>
      </c>
      <c r="AJ187" s="26"/>
      <c r="AK187" s="26"/>
      <c r="AL187" s="26">
        <v>401.38630136986302</v>
      </c>
      <c r="AM187" s="26">
        <v>388.43835616438361</v>
      </c>
      <c r="AN187" s="26"/>
      <c r="AO187" s="26"/>
      <c r="AP187" s="26">
        <f>+AL187+AM187+AN187+AO187</f>
        <v>789.82465753424663</v>
      </c>
      <c r="AQ187" s="25"/>
    </row>
    <row r="188" spans="1:43" s="1" customFormat="1" x14ac:dyDescent="0.3">
      <c r="A188" s="37">
        <v>5062</v>
      </c>
      <c r="B188" s="25" t="s">
        <v>71</v>
      </c>
      <c r="C188" s="25" t="s">
        <v>70</v>
      </c>
      <c r="D188" s="25" t="s">
        <v>69</v>
      </c>
      <c r="E188" s="35">
        <v>100000</v>
      </c>
      <c r="F188" s="31">
        <v>44044</v>
      </c>
      <c r="G188" s="31">
        <v>44409</v>
      </c>
      <c r="H188" s="26"/>
      <c r="I188" s="35">
        <v>7.4</v>
      </c>
      <c r="J188" s="26"/>
      <c r="K188" s="26"/>
      <c r="L188" s="26"/>
      <c r="M188" s="26"/>
      <c r="N188" s="26"/>
      <c r="O188" s="25"/>
      <c r="P188" s="26"/>
      <c r="Q188" s="26"/>
      <c r="R188" s="26"/>
      <c r="S188" s="26"/>
      <c r="T188" s="26"/>
      <c r="U188" s="26"/>
      <c r="V188" s="26"/>
      <c r="W188" s="26"/>
      <c r="X188" s="35"/>
      <c r="Y188" s="26"/>
      <c r="Z188" s="26"/>
      <c r="AA188" s="26"/>
      <c r="AB188" s="35"/>
      <c r="AC188" s="26"/>
      <c r="AD188" s="26"/>
      <c r="AE188" s="26"/>
      <c r="AF188" s="26"/>
      <c r="AG188" s="26"/>
      <c r="AH188" s="26"/>
      <c r="AI188" s="26">
        <v>608.21917808219189</v>
      </c>
      <c r="AJ188" s="26"/>
      <c r="AK188" s="26"/>
      <c r="AL188" s="26">
        <v>608.21917808219189</v>
      </c>
      <c r="AM188" s="26">
        <v>608.21917808219177</v>
      </c>
      <c r="AN188" s="26"/>
      <c r="AO188" s="26"/>
      <c r="AP188" s="26">
        <f>+AL188+AM188+AN188+AO188</f>
        <v>1216.4383561643835</v>
      </c>
      <c r="AQ188" s="25"/>
    </row>
    <row r="189" spans="1:43" s="1" customFormat="1" x14ac:dyDescent="0.3">
      <c r="A189" s="37">
        <v>5063</v>
      </c>
      <c r="B189" s="25" t="s">
        <v>25</v>
      </c>
      <c r="C189" s="25" t="s">
        <v>68</v>
      </c>
      <c r="D189" s="25" t="s">
        <v>67</v>
      </c>
      <c r="E189" s="35">
        <v>100000</v>
      </c>
      <c r="F189" s="31">
        <v>44044</v>
      </c>
      <c r="G189" s="31">
        <v>44409</v>
      </c>
      <c r="H189" s="26"/>
      <c r="I189" s="35">
        <v>4.4000000000000004</v>
      </c>
      <c r="J189" s="26"/>
      <c r="K189" s="26"/>
      <c r="L189" s="26"/>
      <c r="M189" s="26"/>
      <c r="N189" s="26"/>
      <c r="O189" s="25"/>
      <c r="P189" s="26"/>
      <c r="Q189" s="26"/>
      <c r="R189" s="26"/>
      <c r="S189" s="26"/>
      <c r="T189" s="26"/>
      <c r="U189" s="26"/>
      <c r="V189" s="26"/>
      <c r="W189" s="26"/>
      <c r="X189" s="35"/>
      <c r="Y189" s="26"/>
      <c r="Z189" s="26"/>
      <c r="AA189" s="26"/>
      <c r="AB189" s="35"/>
      <c r="AC189" s="26"/>
      <c r="AD189" s="26"/>
      <c r="AE189" s="26"/>
      <c r="AF189" s="26"/>
      <c r="AG189" s="26"/>
      <c r="AH189" s="26"/>
      <c r="AI189" s="26">
        <v>361.64383561643837</v>
      </c>
      <c r="AJ189" s="26"/>
      <c r="AK189" s="26"/>
      <c r="AL189" s="26">
        <v>361.64383561643837</v>
      </c>
      <c r="AM189" s="26">
        <v>361.64383561643837</v>
      </c>
      <c r="AN189" s="26"/>
      <c r="AO189" s="26"/>
      <c r="AP189" s="26">
        <f>+AL189+AM189+AN189+AO189</f>
        <v>723.28767123287673</v>
      </c>
      <c r="AQ189" s="25"/>
    </row>
    <row r="190" spans="1:43" s="1" customFormat="1" x14ac:dyDescent="0.3">
      <c r="A190" s="37">
        <v>5060</v>
      </c>
      <c r="B190" s="25" t="s">
        <v>40</v>
      </c>
      <c r="C190" s="25" t="s">
        <v>66</v>
      </c>
      <c r="D190" s="25" t="s">
        <v>65</v>
      </c>
      <c r="E190" s="35">
        <v>2170000</v>
      </c>
      <c r="F190" s="31">
        <v>44058</v>
      </c>
      <c r="G190" s="31">
        <v>44423</v>
      </c>
      <c r="H190" s="26"/>
      <c r="I190" s="35">
        <v>6.4</v>
      </c>
      <c r="J190" s="26"/>
      <c r="K190" s="26"/>
      <c r="L190" s="26"/>
      <c r="M190" s="26"/>
      <c r="N190" s="26"/>
      <c r="O190" s="25"/>
      <c r="P190" s="26"/>
      <c r="Q190" s="26"/>
      <c r="R190" s="26"/>
      <c r="S190" s="26"/>
      <c r="T190" s="26"/>
      <c r="U190" s="26"/>
      <c r="V190" s="26"/>
      <c r="W190" s="26"/>
      <c r="X190" s="35"/>
      <c r="Y190" s="26"/>
      <c r="Z190" s="26"/>
      <c r="AA190" s="26"/>
      <c r="AB190" s="35"/>
      <c r="AC190" s="26"/>
      <c r="AD190" s="26"/>
      <c r="AE190" s="26"/>
      <c r="AF190" s="26"/>
      <c r="AG190" s="26"/>
      <c r="AH190" s="26"/>
      <c r="AI190" s="26">
        <v>6087.8904109589039</v>
      </c>
      <c r="AJ190" s="26"/>
      <c r="AK190" s="26"/>
      <c r="AL190" s="26">
        <v>6087.8904109589039</v>
      </c>
      <c r="AM190" s="26">
        <v>11414.794520547945</v>
      </c>
      <c r="AN190" s="26"/>
      <c r="AO190" s="26"/>
      <c r="AP190" s="26">
        <f>+AL190+AM190+AN190+AO190</f>
        <v>17502.684931506847</v>
      </c>
      <c r="AQ190" s="25"/>
    </row>
    <row r="191" spans="1:43" s="1" customFormat="1" x14ac:dyDescent="0.3">
      <c r="A191" s="37">
        <v>5001</v>
      </c>
      <c r="B191" s="25" t="s">
        <v>64</v>
      </c>
      <c r="C191" s="25" t="s">
        <v>63</v>
      </c>
      <c r="D191" s="25" t="s">
        <v>62</v>
      </c>
      <c r="E191" s="35">
        <v>250000</v>
      </c>
      <c r="F191" s="31">
        <v>44068</v>
      </c>
      <c r="G191" s="31">
        <v>44433</v>
      </c>
      <c r="H191" s="26"/>
      <c r="I191" s="35">
        <v>4.9000000000000004</v>
      </c>
      <c r="J191" s="26"/>
      <c r="K191" s="26"/>
      <c r="L191" s="26"/>
      <c r="M191" s="26"/>
      <c r="N191" s="26"/>
      <c r="O191" s="25"/>
      <c r="P191" s="26"/>
      <c r="Q191" s="26"/>
      <c r="R191" s="26"/>
      <c r="S191" s="26"/>
      <c r="T191" s="26"/>
      <c r="U191" s="26"/>
      <c r="V191" s="26"/>
      <c r="W191" s="26"/>
      <c r="X191" s="35"/>
      <c r="Y191" s="26"/>
      <c r="Z191" s="26"/>
      <c r="AA191" s="26"/>
      <c r="AB191" s="35"/>
      <c r="AC191" s="26"/>
      <c r="AD191" s="26"/>
      <c r="AE191" s="26"/>
      <c r="AF191" s="26"/>
      <c r="AG191" s="26"/>
      <c r="AH191" s="26"/>
      <c r="AI191" s="26">
        <v>201.36986301369862</v>
      </c>
      <c r="AJ191" s="26"/>
      <c r="AK191" s="26"/>
      <c r="AL191" s="26">
        <v>201.36986301369862</v>
      </c>
      <c r="AM191" s="26">
        <v>1006.8493150684931</v>
      </c>
      <c r="AN191" s="26"/>
      <c r="AO191" s="26"/>
      <c r="AP191" s="26">
        <f>+AL191+AM191+AN191+AO191</f>
        <v>1208.2191780821918</v>
      </c>
      <c r="AQ191" s="25"/>
    </row>
    <row r="192" spans="1:43" s="1" customFormat="1" x14ac:dyDescent="0.3">
      <c r="A192" s="37">
        <v>5031</v>
      </c>
      <c r="B192" s="25" t="s">
        <v>7</v>
      </c>
      <c r="C192" s="25" t="s">
        <v>61</v>
      </c>
      <c r="D192" s="25" t="s">
        <v>60</v>
      </c>
      <c r="E192" s="35">
        <v>325000</v>
      </c>
      <c r="F192" s="31">
        <v>44069</v>
      </c>
      <c r="G192" s="31">
        <v>44434</v>
      </c>
      <c r="H192" s="26"/>
      <c r="I192" s="35">
        <v>6.9</v>
      </c>
      <c r="J192" s="26"/>
      <c r="K192" s="26"/>
      <c r="L192" s="26"/>
      <c r="M192" s="26"/>
      <c r="N192" s="26"/>
      <c r="O192" s="25"/>
      <c r="P192" s="26"/>
      <c r="Q192" s="26"/>
      <c r="R192" s="26"/>
      <c r="S192" s="26"/>
      <c r="T192" s="26"/>
      <c r="U192" s="26"/>
      <c r="V192" s="26"/>
      <c r="W192" s="26"/>
      <c r="X192" s="35"/>
      <c r="Y192" s="26"/>
      <c r="Z192" s="26"/>
      <c r="AA192" s="26"/>
      <c r="AB192" s="35"/>
      <c r="AC192" s="26"/>
      <c r="AD192" s="26"/>
      <c r="AE192" s="26"/>
      <c r="AF192" s="26"/>
      <c r="AG192" s="26"/>
      <c r="AH192" s="26"/>
      <c r="AI192" s="26">
        <v>307.19178082191786</v>
      </c>
      <c r="AJ192" s="26"/>
      <c r="AK192" s="26"/>
      <c r="AL192" s="26">
        <v>307.19178082191786</v>
      </c>
      <c r="AM192" s="26">
        <v>1843.1506849315069</v>
      </c>
      <c r="AN192" s="26"/>
      <c r="AO192" s="26"/>
      <c r="AP192" s="26">
        <f>+AL192+AM192+AN192+AO192</f>
        <v>2150.3424657534247</v>
      </c>
      <c r="AQ192" s="25"/>
    </row>
    <row r="193" spans="1:43" s="1" customFormat="1" x14ac:dyDescent="0.3">
      <c r="A193" s="37">
        <v>5040</v>
      </c>
      <c r="B193" s="25" t="s">
        <v>59</v>
      </c>
      <c r="C193" s="25" t="s">
        <v>58</v>
      </c>
      <c r="D193" s="25" t="s">
        <v>57</v>
      </c>
      <c r="E193" s="35">
        <v>100000</v>
      </c>
      <c r="F193" s="31">
        <v>44070</v>
      </c>
      <c r="G193" s="31">
        <v>44435</v>
      </c>
      <c r="H193" s="26"/>
      <c r="I193" s="35">
        <v>6.4</v>
      </c>
      <c r="J193" s="26"/>
      <c r="K193" s="26"/>
      <c r="L193" s="26"/>
      <c r="M193" s="26"/>
      <c r="N193" s="26"/>
      <c r="O193" s="25"/>
      <c r="P193" s="26"/>
      <c r="Q193" s="26"/>
      <c r="R193" s="26"/>
      <c r="S193" s="26"/>
      <c r="T193" s="26"/>
      <c r="U193" s="26"/>
      <c r="V193" s="26"/>
      <c r="W193" s="26"/>
      <c r="X193" s="35"/>
      <c r="Y193" s="26"/>
      <c r="Z193" s="26"/>
      <c r="AA193" s="26"/>
      <c r="AB193" s="35"/>
      <c r="AC193" s="26"/>
      <c r="AD193" s="26"/>
      <c r="AE193" s="26"/>
      <c r="AF193" s="26"/>
      <c r="AG193" s="26"/>
      <c r="AH193" s="26"/>
      <c r="AI193" s="26">
        <v>70.136986301369859</v>
      </c>
      <c r="AJ193" s="26"/>
      <c r="AK193" s="26"/>
      <c r="AL193" s="26">
        <v>70.136986301369859</v>
      </c>
      <c r="AM193" s="26">
        <v>526.02739726027391</v>
      </c>
      <c r="AN193" s="26"/>
      <c r="AO193" s="26"/>
      <c r="AP193" s="26">
        <f>+AL193+AM193+AN193+AO193</f>
        <v>596.16438356164372</v>
      </c>
      <c r="AQ193" s="25"/>
    </row>
    <row r="194" spans="1:43" s="1" customFormat="1" x14ac:dyDescent="0.3">
      <c r="A194" s="37"/>
      <c r="B194" s="25" t="s">
        <v>56</v>
      </c>
      <c r="C194" s="25" t="s">
        <v>55</v>
      </c>
      <c r="D194" s="25" t="s">
        <v>54</v>
      </c>
      <c r="E194" s="35">
        <v>60250</v>
      </c>
      <c r="F194" s="31">
        <v>44055</v>
      </c>
      <c r="G194" s="31">
        <v>44420</v>
      </c>
      <c r="H194" s="26"/>
      <c r="I194" s="35">
        <v>5.67</v>
      </c>
      <c r="J194" s="26"/>
      <c r="K194" s="26"/>
      <c r="L194" s="26"/>
      <c r="M194" s="26"/>
      <c r="N194" s="26"/>
      <c r="O194" s="25"/>
      <c r="P194" s="26"/>
      <c r="Q194" s="26"/>
      <c r="R194" s="26"/>
      <c r="S194" s="26"/>
      <c r="T194" s="26"/>
      <c r="U194" s="26"/>
      <c r="V194" s="26"/>
      <c r="W194" s="26"/>
      <c r="X194" s="35"/>
      <c r="Y194" s="26"/>
      <c r="Z194" s="26"/>
      <c r="AA194" s="26"/>
      <c r="AB194" s="35"/>
      <c r="AC194" s="26"/>
      <c r="AD194" s="26"/>
      <c r="AE194" s="26">
        <v>0</v>
      </c>
      <c r="AF194" s="26"/>
      <c r="AG194" s="26"/>
      <c r="AH194" s="26">
        <v>0</v>
      </c>
      <c r="AI194" s="26">
        <v>93.593835616438369</v>
      </c>
      <c r="AJ194" s="26"/>
      <c r="AK194" s="26"/>
      <c r="AL194" s="26">
        <v>93.593835616438369</v>
      </c>
      <c r="AM194" s="26">
        <v>280.78150684931512</v>
      </c>
      <c r="AN194" s="26"/>
      <c r="AO194" s="26"/>
      <c r="AP194" s="26">
        <f>+AL194+AM194+AN194+AO194</f>
        <v>374.37534246575348</v>
      </c>
      <c r="AQ194" s="25"/>
    </row>
    <row r="195" spans="1:43" s="1" customFormat="1" x14ac:dyDescent="0.3">
      <c r="A195" s="37"/>
      <c r="B195" s="25" t="s">
        <v>53</v>
      </c>
      <c r="C195" s="25" t="s">
        <v>52</v>
      </c>
      <c r="D195" s="25" t="s">
        <v>51</v>
      </c>
      <c r="E195" s="35">
        <v>60250</v>
      </c>
      <c r="F195" s="31">
        <v>44055</v>
      </c>
      <c r="G195" s="31">
        <v>44420</v>
      </c>
      <c r="H195" s="26"/>
      <c r="I195" s="35">
        <v>5.67</v>
      </c>
      <c r="J195" s="26"/>
      <c r="K195" s="26"/>
      <c r="L195" s="26"/>
      <c r="M195" s="26"/>
      <c r="N195" s="26"/>
      <c r="O195" s="25"/>
      <c r="P195" s="26"/>
      <c r="Q195" s="26"/>
      <c r="R195" s="26"/>
      <c r="S195" s="26"/>
      <c r="T195" s="26"/>
      <c r="U195" s="26"/>
      <c r="V195" s="26"/>
      <c r="W195" s="26"/>
      <c r="X195" s="35"/>
      <c r="Y195" s="26"/>
      <c r="Z195" s="26"/>
      <c r="AA195" s="26"/>
      <c r="AB195" s="35"/>
      <c r="AC195" s="26"/>
      <c r="AD195" s="26"/>
      <c r="AE195" s="26"/>
      <c r="AF195" s="26"/>
      <c r="AG195" s="26"/>
      <c r="AH195" s="26"/>
      <c r="AI195" s="26">
        <v>93.593835616438369</v>
      </c>
      <c r="AJ195" s="26"/>
      <c r="AK195" s="26"/>
      <c r="AL195" s="26">
        <v>93.593835616438369</v>
      </c>
      <c r="AM195" s="26">
        <v>280.78150684931512</v>
      </c>
      <c r="AN195" s="26"/>
      <c r="AO195" s="26"/>
      <c r="AP195" s="26">
        <f>+AL195+AM195+AN195+AO195</f>
        <v>374.37534246575348</v>
      </c>
      <c r="AQ195" s="25"/>
    </row>
    <row r="196" spans="1:43" s="1" customFormat="1" x14ac:dyDescent="0.3">
      <c r="A196" s="37"/>
      <c r="B196" s="25" t="s">
        <v>50</v>
      </c>
      <c r="C196" s="25" t="s">
        <v>49</v>
      </c>
      <c r="D196" s="25" t="s">
        <v>48</v>
      </c>
      <c r="E196" s="35">
        <v>150000</v>
      </c>
      <c r="F196" s="31">
        <v>44066</v>
      </c>
      <c r="G196" s="31">
        <v>44431</v>
      </c>
      <c r="H196" s="26"/>
      <c r="I196" s="35">
        <v>4.9000000000000004</v>
      </c>
      <c r="J196" s="26"/>
      <c r="K196" s="26"/>
      <c r="L196" s="26"/>
      <c r="M196" s="26"/>
      <c r="N196" s="26"/>
      <c r="O196" s="25"/>
      <c r="P196" s="26"/>
      <c r="Q196" s="26"/>
      <c r="R196" s="26"/>
      <c r="S196" s="26"/>
      <c r="T196" s="26"/>
      <c r="U196" s="26"/>
      <c r="V196" s="26"/>
      <c r="W196" s="26"/>
      <c r="X196" s="35"/>
      <c r="Y196" s="26"/>
      <c r="Z196" s="26"/>
      <c r="AA196" s="26"/>
      <c r="AB196" s="35"/>
      <c r="AC196" s="26"/>
      <c r="AD196" s="26"/>
      <c r="AE196" s="26"/>
      <c r="AF196" s="26"/>
      <c r="AG196" s="26"/>
      <c r="AH196" s="26"/>
      <c r="AI196" s="26">
        <v>362.46575342465752</v>
      </c>
      <c r="AJ196" s="26"/>
      <c r="AK196" s="26"/>
      <c r="AL196" s="26">
        <v>362.46575342465752</v>
      </c>
      <c r="AM196" s="26">
        <v>604.109589041096</v>
      </c>
      <c r="AN196" s="26"/>
      <c r="AO196" s="26"/>
      <c r="AP196" s="26">
        <f>+AL196+AM196+AN196+AO196</f>
        <v>966.57534246575347</v>
      </c>
      <c r="AQ196" s="25"/>
    </row>
    <row r="197" spans="1:43" s="1" customFormat="1" x14ac:dyDescent="0.3">
      <c r="A197" s="36">
        <v>5060</v>
      </c>
      <c r="B197" s="36" t="s">
        <v>47</v>
      </c>
      <c r="C197" s="36" t="s">
        <v>46</v>
      </c>
      <c r="D197" s="25" t="s">
        <v>45</v>
      </c>
      <c r="E197" s="35">
        <v>160000</v>
      </c>
      <c r="F197" s="31">
        <v>44075</v>
      </c>
      <c r="G197" s="31">
        <v>44440</v>
      </c>
      <c r="H197" s="26"/>
      <c r="I197" s="25">
        <v>6.4</v>
      </c>
      <c r="J197" s="26"/>
      <c r="K197" s="26"/>
      <c r="L197" s="26"/>
      <c r="M197" s="26"/>
      <c r="N197" s="26"/>
      <c r="O197" s="25"/>
      <c r="P197" s="26"/>
      <c r="Q197" s="26"/>
      <c r="R197" s="26"/>
      <c r="S197" s="26"/>
      <c r="T197" s="26"/>
      <c r="U197" s="26"/>
      <c r="V197" s="26"/>
      <c r="W197" s="26"/>
      <c r="X197" s="35"/>
      <c r="Y197" s="26"/>
      <c r="Z197" s="26"/>
      <c r="AA197" s="26"/>
      <c r="AB197" s="35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>
        <v>841.64383561643831</v>
      </c>
      <c r="AN197" s="26"/>
      <c r="AO197" s="26"/>
      <c r="AP197" s="26">
        <f>+AL197+AM197+AN197+AO197</f>
        <v>841.64383561643831</v>
      </c>
      <c r="AQ197" s="25"/>
    </row>
    <row r="198" spans="1:43" s="1" customFormat="1" x14ac:dyDescent="0.3">
      <c r="A198" s="36">
        <v>5060</v>
      </c>
      <c r="B198" s="36" t="s">
        <v>40</v>
      </c>
      <c r="C198" s="36" t="s">
        <v>44</v>
      </c>
      <c r="D198" s="25" t="s">
        <v>43</v>
      </c>
      <c r="E198" s="35">
        <v>615000</v>
      </c>
      <c r="F198" s="31">
        <v>44075</v>
      </c>
      <c r="G198" s="31">
        <v>44440</v>
      </c>
      <c r="H198" s="26"/>
      <c r="I198" s="25">
        <v>6.4</v>
      </c>
      <c r="J198" s="26"/>
      <c r="K198" s="26"/>
      <c r="L198" s="26"/>
      <c r="M198" s="26"/>
      <c r="N198" s="26"/>
      <c r="O198" s="25"/>
      <c r="P198" s="26"/>
      <c r="Q198" s="26"/>
      <c r="R198" s="26"/>
      <c r="S198" s="26"/>
      <c r="T198" s="26"/>
      <c r="U198" s="26"/>
      <c r="V198" s="26"/>
      <c r="W198" s="26"/>
      <c r="X198" s="35"/>
      <c r="Y198" s="26"/>
      <c r="Z198" s="26"/>
      <c r="AA198" s="26"/>
      <c r="AB198" s="35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>
        <v>3235.0684931506848</v>
      </c>
      <c r="AN198" s="26"/>
      <c r="AO198" s="26"/>
      <c r="AP198" s="26">
        <f>+AL198+AM198+AN198+AO198</f>
        <v>3235.0684931506848</v>
      </c>
      <c r="AQ198" s="25"/>
    </row>
    <row r="199" spans="1:43" s="1" customFormat="1" x14ac:dyDescent="0.3">
      <c r="A199" s="36">
        <v>5060</v>
      </c>
      <c r="B199" s="36" t="s">
        <v>40</v>
      </c>
      <c r="C199" s="36" t="s">
        <v>42</v>
      </c>
      <c r="D199" s="25" t="s">
        <v>41</v>
      </c>
      <c r="E199" s="35">
        <v>285000</v>
      </c>
      <c r="F199" s="31">
        <v>44075</v>
      </c>
      <c r="G199" s="31">
        <v>44440</v>
      </c>
      <c r="H199" s="26"/>
      <c r="I199" s="25">
        <v>6.4</v>
      </c>
      <c r="J199" s="26"/>
      <c r="K199" s="26"/>
      <c r="L199" s="26"/>
      <c r="M199" s="26"/>
      <c r="N199" s="26"/>
      <c r="O199" s="25"/>
      <c r="P199" s="26"/>
      <c r="Q199" s="26"/>
      <c r="R199" s="26"/>
      <c r="S199" s="26"/>
      <c r="T199" s="26"/>
      <c r="U199" s="26"/>
      <c r="V199" s="26"/>
      <c r="W199" s="26"/>
      <c r="X199" s="35"/>
      <c r="Y199" s="26"/>
      <c r="Z199" s="26"/>
      <c r="AA199" s="26"/>
      <c r="AB199" s="35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>
        <v>1499.178082191781</v>
      </c>
      <c r="AN199" s="26"/>
      <c r="AO199" s="26"/>
      <c r="AP199" s="26">
        <f>+AL199+AM199+AN199+AO199</f>
        <v>1499.178082191781</v>
      </c>
      <c r="AQ199" s="25"/>
    </row>
    <row r="200" spans="1:43" s="1" customFormat="1" x14ac:dyDescent="0.3">
      <c r="A200" s="36">
        <v>5060</v>
      </c>
      <c r="B200" s="36" t="s">
        <v>40</v>
      </c>
      <c r="C200" s="36" t="s">
        <v>39</v>
      </c>
      <c r="D200" s="25" t="s">
        <v>38</v>
      </c>
      <c r="E200" s="35">
        <v>500000</v>
      </c>
      <c r="F200" s="31">
        <v>44075</v>
      </c>
      <c r="G200" s="31">
        <v>44440</v>
      </c>
      <c r="H200" s="26"/>
      <c r="I200" s="25">
        <v>6.4</v>
      </c>
      <c r="J200" s="26"/>
      <c r="K200" s="26"/>
      <c r="L200" s="26"/>
      <c r="M200" s="26"/>
      <c r="N200" s="26"/>
      <c r="O200" s="25"/>
      <c r="P200" s="26"/>
      <c r="Q200" s="26"/>
      <c r="R200" s="26"/>
      <c r="S200" s="26"/>
      <c r="T200" s="26"/>
      <c r="U200" s="26"/>
      <c r="V200" s="26"/>
      <c r="W200" s="26"/>
      <c r="X200" s="35"/>
      <c r="Y200" s="26"/>
      <c r="Z200" s="26"/>
      <c r="AA200" s="26"/>
      <c r="AB200" s="35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>
        <v>2630.1369863013697</v>
      </c>
      <c r="AN200" s="26"/>
      <c r="AO200" s="26"/>
      <c r="AP200" s="26">
        <f>+AL200+AM200+AN200+AO200</f>
        <v>2630.1369863013697</v>
      </c>
      <c r="AQ200" s="25"/>
    </row>
    <row r="201" spans="1:43" s="1" customFormat="1" x14ac:dyDescent="0.3">
      <c r="A201" s="36">
        <v>5060</v>
      </c>
      <c r="B201" s="36" t="s">
        <v>37</v>
      </c>
      <c r="C201" s="36" t="s">
        <v>36</v>
      </c>
      <c r="D201" s="25" t="s">
        <v>35</v>
      </c>
      <c r="E201" s="35">
        <v>500000</v>
      </c>
      <c r="F201" s="31">
        <v>44075</v>
      </c>
      <c r="G201" s="31">
        <v>44440</v>
      </c>
      <c r="H201" s="26"/>
      <c r="I201" s="25">
        <v>2.9</v>
      </c>
      <c r="J201" s="26"/>
      <c r="K201" s="26"/>
      <c r="L201" s="26"/>
      <c r="M201" s="26"/>
      <c r="N201" s="26"/>
      <c r="O201" s="25"/>
      <c r="P201" s="26"/>
      <c r="Q201" s="26"/>
      <c r="R201" s="26"/>
      <c r="S201" s="26"/>
      <c r="T201" s="26"/>
      <c r="U201" s="26"/>
      <c r="V201" s="26"/>
      <c r="W201" s="26"/>
      <c r="X201" s="35"/>
      <c r="Y201" s="26"/>
      <c r="Z201" s="26"/>
      <c r="AA201" s="26"/>
      <c r="AB201" s="35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>
        <v>1191.7808219178082</v>
      </c>
      <c r="AN201" s="26"/>
      <c r="AO201" s="26"/>
      <c r="AP201" s="26">
        <f>+AL201+AM201+AN201+AO201</f>
        <v>1191.7808219178082</v>
      </c>
      <c r="AQ201" s="25"/>
    </row>
    <row r="202" spans="1:43" s="1" customFormat="1" x14ac:dyDescent="0.3">
      <c r="A202" s="36">
        <v>5050</v>
      </c>
      <c r="B202" s="36" t="s">
        <v>34</v>
      </c>
      <c r="C202" s="36" t="s">
        <v>33</v>
      </c>
      <c r="D202" s="25" t="s">
        <v>32</v>
      </c>
      <c r="E202" s="35">
        <v>300000</v>
      </c>
      <c r="F202" s="31">
        <v>44077</v>
      </c>
      <c r="G202" s="31">
        <v>44442</v>
      </c>
      <c r="H202" s="26"/>
      <c r="I202" s="25">
        <v>5.9</v>
      </c>
      <c r="J202" s="26"/>
      <c r="K202" s="26"/>
      <c r="L202" s="26"/>
      <c r="M202" s="26"/>
      <c r="N202" s="26"/>
      <c r="O202" s="25"/>
      <c r="P202" s="26"/>
      <c r="Q202" s="26"/>
      <c r="R202" s="26"/>
      <c r="S202" s="26"/>
      <c r="T202" s="26"/>
      <c r="U202" s="26"/>
      <c r="V202" s="26"/>
      <c r="W202" s="26"/>
      <c r="X202" s="35"/>
      <c r="Y202" s="26"/>
      <c r="Z202" s="26"/>
      <c r="AA202" s="26"/>
      <c r="AB202" s="35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>
        <v>1454.7945205479452</v>
      </c>
      <c r="AN202" s="26"/>
      <c r="AO202" s="26"/>
      <c r="AP202" s="26">
        <f>+AL202+AM202+AN202+AO202</f>
        <v>1454.7945205479452</v>
      </c>
      <c r="AQ202" s="25"/>
    </row>
    <row r="203" spans="1:43" s="1" customFormat="1" x14ac:dyDescent="0.3">
      <c r="A203" s="36">
        <v>5050</v>
      </c>
      <c r="B203" s="36" t="s">
        <v>31</v>
      </c>
      <c r="C203" s="36" t="s">
        <v>30</v>
      </c>
      <c r="D203" s="25" t="s">
        <v>29</v>
      </c>
      <c r="E203" s="35">
        <v>220000</v>
      </c>
      <c r="F203" s="31">
        <v>44077</v>
      </c>
      <c r="G203" s="31">
        <v>44442</v>
      </c>
      <c r="H203" s="26"/>
      <c r="I203" s="25">
        <v>5.9</v>
      </c>
      <c r="J203" s="26"/>
      <c r="K203" s="26"/>
      <c r="L203" s="26"/>
      <c r="M203" s="26"/>
      <c r="N203" s="26"/>
      <c r="O203" s="25"/>
      <c r="P203" s="26"/>
      <c r="Q203" s="26"/>
      <c r="R203" s="26"/>
      <c r="S203" s="26"/>
      <c r="T203" s="26"/>
      <c r="U203" s="26"/>
      <c r="V203" s="26"/>
      <c r="W203" s="26"/>
      <c r="X203" s="35"/>
      <c r="Y203" s="26"/>
      <c r="Z203" s="26"/>
      <c r="AA203" s="26"/>
      <c r="AB203" s="35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>
        <v>1066.8493150684931</v>
      </c>
      <c r="AN203" s="26"/>
      <c r="AO203" s="26"/>
      <c r="AP203" s="26">
        <f>+AL203+AM203+AN203+AO203</f>
        <v>1066.8493150684931</v>
      </c>
      <c r="AQ203" s="25"/>
    </row>
    <row r="204" spans="1:43" s="1" customFormat="1" x14ac:dyDescent="0.3">
      <c r="A204" s="36">
        <v>5064</v>
      </c>
      <c r="B204" s="36" t="s">
        <v>28</v>
      </c>
      <c r="C204" s="36" t="s">
        <v>27</v>
      </c>
      <c r="D204" s="25" t="s">
        <v>26</v>
      </c>
      <c r="E204" s="35">
        <v>100000</v>
      </c>
      <c r="F204" s="31">
        <v>44083</v>
      </c>
      <c r="G204" s="31">
        <v>44448</v>
      </c>
      <c r="H204" s="26"/>
      <c r="I204" s="25">
        <v>5.9</v>
      </c>
      <c r="J204" s="26"/>
      <c r="K204" s="26"/>
      <c r="L204" s="26"/>
      <c r="M204" s="26"/>
      <c r="N204" s="26"/>
      <c r="O204" s="25"/>
      <c r="P204" s="26"/>
      <c r="Q204" s="26"/>
      <c r="R204" s="26"/>
      <c r="S204" s="26"/>
      <c r="T204" s="26"/>
      <c r="U204" s="26"/>
      <c r="V204" s="26"/>
      <c r="W204" s="26"/>
      <c r="X204" s="35"/>
      <c r="Y204" s="26"/>
      <c r="Z204" s="26"/>
      <c r="AA204" s="26"/>
      <c r="AB204" s="35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>
        <v>484.93150684931504</v>
      </c>
      <c r="AN204" s="26"/>
      <c r="AO204" s="26"/>
      <c r="AP204" s="26">
        <f>+AL204+AM204+AN204+AO204</f>
        <v>484.93150684931504</v>
      </c>
      <c r="AQ204" s="25"/>
    </row>
    <row r="205" spans="1:43" s="1" customFormat="1" x14ac:dyDescent="0.3">
      <c r="A205" s="36">
        <v>5063</v>
      </c>
      <c r="B205" s="36" t="s">
        <v>25</v>
      </c>
      <c r="C205" s="36" t="s">
        <v>24</v>
      </c>
      <c r="D205" s="25" t="s">
        <v>23</v>
      </c>
      <c r="E205" s="35">
        <v>173000</v>
      </c>
      <c r="F205" s="31">
        <v>44075</v>
      </c>
      <c r="G205" s="31">
        <v>44440</v>
      </c>
      <c r="H205" s="26"/>
      <c r="I205" s="25">
        <v>4.4000000000000004</v>
      </c>
      <c r="J205" s="26"/>
      <c r="K205" s="26"/>
      <c r="L205" s="26"/>
      <c r="M205" s="26"/>
      <c r="N205" s="26"/>
      <c r="O205" s="25"/>
      <c r="P205" s="26"/>
      <c r="Q205" s="26"/>
      <c r="R205" s="26"/>
      <c r="S205" s="26"/>
      <c r="T205" s="26"/>
      <c r="U205" s="26"/>
      <c r="V205" s="26"/>
      <c r="W205" s="26"/>
      <c r="X205" s="35"/>
      <c r="Y205" s="26"/>
      <c r="Z205" s="26"/>
      <c r="AA205" s="26"/>
      <c r="AB205" s="35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>
        <v>625.64383561643842</v>
      </c>
      <c r="AN205" s="26"/>
      <c r="AO205" s="26"/>
      <c r="AP205" s="26">
        <f>+AL205+AM205+AN205+AO205</f>
        <v>625.64383561643842</v>
      </c>
      <c r="AQ205" s="25"/>
    </row>
    <row r="206" spans="1:43" s="1" customFormat="1" x14ac:dyDescent="0.3">
      <c r="A206" s="36">
        <v>5057</v>
      </c>
      <c r="B206" s="36" t="s">
        <v>22</v>
      </c>
      <c r="C206" s="36" t="s">
        <v>21</v>
      </c>
      <c r="D206" s="25" t="s">
        <v>20</v>
      </c>
      <c r="E206" s="35">
        <v>600000</v>
      </c>
      <c r="F206" s="31">
        <v>44094</v>
      </c>
      <c r="G206" s="31">
        <v>44459</v>
      </c>
      <c r="H206" s="26"/>
      <c r="I206" s="25">
        <v>6.6</v>
      </c>
      <c r="J206" s="26"/>
      <c r="K206" s="26"/>
      <c r="L206" s="26"/>
      <c r="M206" s="26"/>
      <c r="N206" s="26"/>
      <c r="O206" s="25"/>
      <c r="P206" s="26"/>
      <c r="Q206" s="26"/>
      <c r="R206" s="26"/>
      <c r="S206" s="26"/>
      <c r="T206" s="26"/>
      <c r="U206" s="26"/>
      <c r="V206" s="26"/>
      <c r="W206" s="26"/>
      <c r="X206" s="35"/>
      <c r="Y206" s="26"/>
      <c r="Z206" s="26"/>
      <c r="AA206" s="26"/>
      <c r="AB206" s="35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>
        <v>3254.794520547945</v>
      </c>
      <c r="AN206" s="26"/>
      <c r="AO206" s="26"/>
      <c r="AP206" s="26">
        <f>+AL206+AM206+AN206+AO206</f>
        <v>3254.794520547945</v>
      </c>
      <c r="AQ206" s="25"/>
    </row>
    <row r="207" spans="1:43" s="1" customFormat="1" x14ac:dyDescent="0.3">
      <c r="A207" s="36">
        <v>5060</v>
      </c>
      <c r="B207" s="36" t="s">
        <v>19</v>
      </c>
      <c r="C207" s="36" t="s">
        <v>18</v>
      </c>
      <c r="D207" s="25" t="s">
        <v>17</v>
      </c>
      <c r="E207" s="35">
        <v>330000</v>
      </c>
      <c r="F207" s="31">
        <v>44098</v>
      </c>
      <c r="G207" s="31">
        <v>44463</v>
      </c>
      <c r="H207" s="26"/>
      <c r="I207" s="25">
        <v>1.9</v>
      </c>
      <c r="J207" s="26"/>
      <c r="K207" s="26"/>
      <c r="L207" s="26"/>
      <c r="M207" s="26"/>
      <c r="N207" s="26"/>
      <c r="O207" s="25"/>
      <c r="P207" s="26"/>
      <c r="Q207" s="26"/>
      <c r="R207" s="26"/>
      <c r="S207" s="26"/>
      <c r="T207" s="26"/>
      <c r="U207" s="26"/>
      <c r="V207" s="26"/>
      <c r="W207" s="26"/>
      <c r="X207" s="35"/>
      <c r="Y207" s="26"/>
      <c r="Z207" s="26"/>
      <c r="AA207" s="26"/>
      <c r="AB207" s="35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>
        <v>515.34246575342456</v>
      </c>
      <c r="AN207" s="26"/>
      <c r="AO207" s="26"/>
      <c r="AP207" s="26">
        <f>+AL207+AM207+AN207+AO207</f>
        <v>515.34246575342456</v>
      </c>
      <c r="AQ207" s="25"/>
    </row>
    <row r="208" spans="1:43" s="1" customFormat="1" x14ac:dyDescent="0.3">
      <c r="A208" s="36">
        <v>5060</v>
      </c>
      <c r="B208" s="36" t="s">
        <v>16</v>
      </c>
      <c r="C208" s="36" t="s">
        <v>15</v>
      </c>
      <c r="D208" s="25" t="s">
        <v>14</v>
      </c>
      <c r="E208" s="35">
        <v>330000</v>
      </c>
      <c r="F208" s="31">
        <v>44099</v>
      </c>
      <c r="G208" s="31">
        <v>44464</v>
      </c>
      <c r="H208" s="26"/>
      <c r="I208" s="25">
        <v>1.9</v>
      </c>
      <c r="J208" s="26"/>
      <c r="K208" s="26"/>
      <c r="L208" s="26"/>
      <c r="M208" s="26"/>
      <c r="N208" s="26"/>
      <c r="O208" s="25"/>
      <c r="P208" s="26"/>
      <c r="Q208" s="26"/>
      <c r="R208" s="26"/>
      <c r="S208" s="26"/>
      <c r="T208" s="26"/>
      <c r="U208" s="26"/>
      <c r="V208" s="26"/>
      <c r="W208" s="26"/>
      <c r="X208" s="35"/>
      <c r="Y208" s="26"/>
      <c r="Z208" s="26"/>
      <c r="AA208" s="26"/>
      <c r="AB208" s="35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>
        <v>515.34246575342456</v>
      </c>
      <c r="AN208" s="26"/>
      <c r="AO208" s="26"/>
      <c r="AP208" s="26">
        <f>+AL208+AM208+AN208+AO208</f>
        <v>515.34246575342456</v>
      </c>
      <c r="AQ208" s="25"/>
    </row>
    <row r="209" spans="1:43" s="1" customFormat="1" x14ac:dyDescent="0.3">
      <c r="A209" s="36">
        <v>5063</v>
      </c>
      <c r="B209" s="36" t="s">
        <v>13</v>
      </c>
      <c r="C209" s="36" t="s">
        <v>12</v>
      </c>
      <c r="D209" s="25" t="s">
        <v>11</v>
      </c>
      <c r="E209" s="35">
        <v>200000</v>
      </c>
      <c r="F209" s="31">
        <v>44101</v>
      </c>
      <c r="G209" s="31">
        <v>44466</v>
      </c>
      <c r="H209" s="26"/>
      <c r="I209" s="25">
        <v>8.9</v>
      </c>
      <c r="J209" s="26"/>
      <c r="K209" s="26"/>
      <c r="L209" s="26"/>
      <c r="M209" s="26"/>
      <c r="N209" s="26"/>
      <c r="O209" s="25"/>
      <c r="P209" s="26"/>
      <c r="Q209" s="26"/>
      <c r="R209" s="26"/>
      <c r="S209" s="26"/>
      <c r="T209" s="26"/>
      <c r="U209" s="26"/>
      <c r="V209" s="26"/>
      <c r="W209" s="26"/>
      <c r="X209" s="35"/>
      <c r="Y209" s="26"/>
      <c r="Z209" s="26"/>
      <c r="AA209" s="26"/>
      <c r="AB209" s="35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>
        <v>1463.013698630137</v>
      </c>
      <c r="AN209" s="26"/>
      <c r="AO209" s="26"/>
      <c r="AP209" s="26">
        <f>+AL209+AM209+AN209+AO209</f>
        <v>1463.013698630137</v>
      </c>
      <c r="AQ209" s="25"/>
    </row>
    <row r="210" spans="1:43" s="1" customFormat="1" x14ac:dyDescent="0.3">
      <c r="A210" s="36">
        <v>5066</v>
      </c>
      <c r="B210" s="36" t="s">
        <v>10</v>
      </c>
      <c r="C210" s="36" t="s">
        <v>9</v>
      </c>
      <c r="D210" s="25" t="s">
        <v>8</v>
      </c>
      <c r="E210" s="35">
        <v>1030000</v>
      </c>
      <c r="F210" s="31">
        <v>44099</v>
      </c>
      <c r="G210" s="31">
        <v>44464</v>
      </c>
      <c r="H210" s="26"/>
      <c r="I210" s="25">
        <v>0.4</v>
      </c>
      <c r="J210" s="26"/>
      <c r="K210" s="26"/>
      <c r="L210" s="26"/>
      <c r="M210" s="26"/>
      <c r="N210" s="26"/>
      <c r="O210" s="25"/>
      <c r="P210" s="26"/>
      <c r="Q210" s="26"/>
      <c r="R210" s="26"/>
      <c r="S210" s="26"/>
      <c r="T210" s="26"/>
      <c r="U210" s="26"/>
      <c r="V210" s="26"/>
      <c r="W210" s="26"/>
      <c r="X210" s="35"/>
      <c r="Y210" s="26"/>
      <c r="Z210" s="26"/>
      <c r="AA210" s="26"/>
      <c r="AB210" s="35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>
        <v>338.63013698630141</v>
      </c>
      <c r="AN210" s="26"/>
      <c r="AO210" s="26"/>
      <c r="AP210" s="26">
        <f>+AL210+AM210+AN210+AO210</f>
        <v>338.63013698630141</v>
      </c>
      <c r="AQ210" s="25"/>
    </row>
    <row r="211" spans="1:43" s="1" customFormat="1" x14ac:dyDescent="0.3">
      <c r="A211" s="36">
        <v>5031</v>
      </c>
      <c r="B211" s="36" t="s">
        <v>7</v>
      </c>
      <c r="C211" s="36" t="s">
        <v>6</v>
      </c>
      <c r="D211" s="25" t="s">
        <v>5</v>
      </c>
      <c r="E211" s="35">
        <v>501000</v>
      </c>
      <c r="F211" s="31">
        <v>44099</v>
      </c>
      <c r="G211" s="31">
        <v>44464</v>
      </c>
      <c r="H211" s="26"/>
      <c r="I211" s="25">
        <v>6.4</v>
      </c>
      <c r="J211" s="26"/>
      <c r="K211" s="26"/>
      <c r="L211" s="26"/>
      <c r="M211" s="26"/>
      <c r="N211" s="26"/>
      <c r="O211" s="25"/>
      <c r="P211" s="26"/>
      <c r="Q211" s="26"/>
      <c r="R211" s="26"/>
      <c r="S211" s="26"/>
      <c r="T211" s="26"/>
      <c r="U211" s="26"/>
      <c r="V211" s="26"/>
      <c r="W211" s="26"/>
      <c r="X211" s="35"/>
      <c r="Y211" s="26"/>
      <c r="Z211" s="26"/>
      <c r="AA211" s="26"/>
      <c r="AB211" s="35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>
        <v>2635.3972602739727</v>
      </c>
      <c r="AN211" s="26"/>
      <c r="AO211" s="26"/>
      <c r="AP211" s="26">
        <f>+AL211+AM211+AN211+AO211</f>
        <v>2635.3972602739727</v>
      </c>
      <c r="AQ211" s="25"/>
    </row>
    <row r="212" spans="1:43" s="1" customFormat="1" x14ac:dyDescent="0.3">
      <c r="A212" s="34"/>
      <c r="B212" s="33"/>
      <c r="C212" s="33"/>
      <c r="D212" s="33"/>
      <c r="E212" s="32"/>
      <c r="F212" s="31"/>
      <c r="G212" s="31"/>
      <c r="H212" s="26"/>
      <c r="I212" s="30"/>
      <c r="J212" s="27">
        <v>0</v>
      </c>
      <c r="K212" s="27"/>
      <c r="L212" s="27"/>
      <c r="M212" s="27"/>
      <c r="N212" s="27">
        <v>0</v>
      </c>
      <c r="O212" s="27"/>
      <c r="P212" s="27"/>
      <c r="Q212" s="27"/>
      <c r="R212" s="27">
        <v>0</v>
      </c>
      <c r="S212" s="27"/>
      <c r="T212" s="27"/>
      <c r="U212" s="27"/>
      <c r="V212" s="27">
        <v>0</v>
      </c>
      <c r="W212" s="27"/>
      <c r="X212" s="29"/>
      <c r="Y212" s="27"/>
      <c r="Z212" s="27">
        <v>0</v>
      </c>
      <c r="AA212" s="27">
        <v>0</v>
      </c>
      <c r="AB212" s="28"/>
      <c r="AC212" s="27"/>
      <c r="AD212" s="27">
        <v>0</v>
      </c>
      <c r="AE212" s="27">
        <v>0</v>
      </c>
      <c r="AF212" s="27"/>
      <c r="AG212" s="27"/>
      <c r="AH212" s="27">
        <v>0</v>
      </c>
      <c r="AI212" s="27"/>
      <c r="AJ212" s="27"/>
      <c r="AK212" s="27"/>
      <c r="AL212" s="27"/>
      <c r="AM212" s="27"/>
      <c r="AN212" s="27"/>
      <c r="AO212" s="27"/>
      <c r="AP212" s="26"/>
      <c r="AQ212" s="25"/>
    </row>
    <row r="213" spans="1:43" s="1" customFormat="1" ht="15" thickBot="1" x14ac:dyDescent="0.35">
      <c r="A213" s="24" t="s">
        <v>4</v>
      </c>
      <c r="B213" s="23"/>
      <c r="C213" s="23"/>
      <c r="D213" s="20"/>
      <c r="E213" s="22">
        <f>SUM(E29:E212)-E176-E118-E102-E99-E46-E29-E30-E31-E32-E33-E34-E35-E36-E37-E38-E39-E40-E41-E42-E43-E45-E47-E48-E49-E61-E120-E122-E127-E131-E133-E148</f>
        <v>41835475.249999985</v>
      </c>
      <c r="F213" s="21"/>
      <c r="G213" s="21"/>
      <c r="H213" s="20"/>
      <c r="I213" s="16">
        <f>AVERAGE(I6:I28)</f>
        <v>6.1034782608695659</v>
      </c>
      <c r="J213" s="16">
        <f>SUM(J6:J212)</f>
        <v>634864.88402892789</v>
      </c>
      <c r="K213" s="16">
        <f>SUM(K6:K212)</f>
        <v>129870.58138125</v>
      </c>
      <c r="L213" s="16">
        <f>SUM(L6:L212)</f>
        <v>0</v>
      </c>
      <c r="M213" s="16">
        <f>SUM(M6:M212)</f>
        <v>0</v>
      </c>
      <c r="N213" s="16">
        <f>SUM(N6:N212)</f>
        <v>764735.46541017795</v>
      </c>
      <c r="O213" s="16">
        <f>SUM(O6:O212)</f>
        <v>180015.46730072217</v>
      </c>
      <c r="P213" s="19">
        <f>SUM(P6:P212)</f>
        <v>0</v>
      </c>
      <c r="Q213" s="16">
        <f>SUM(Q6:Q212)</f>
        <v>91069.154325683325</v>
      </c>
      <c r="R213" s="16">
        <f>SUM(R6:R212)</f>
        <v>1035820.0870365833</v>
      </c>
      <c r="S213" s="16">
        <f>SUM(S6:S212)</f>
        <v>187681.25389108324</v>
      </c>
      <c r="T213" s="16">
        <f>SUM(T6:T212)</f>
        <v>0</v>
      </c>
      <c r="U213" s="16">
        <f>SUM(U6:U212)</f>
        <v>0</v>
      </c>
      <c r="V213" s="16">
        <f>SUM(V6:V212)</f>
        <v>1223501.3409276658</v>
      </c>
      <c r="W213" s="16">
        <f>SUM(W6:W212)</f>
        <v>217912.0182632778</v>
      </c>
      <c r="X213" s="18">
        <f>SUM(X6:X212)</f>
        <v>-32078.47</v>
      </c>
      <c r="Y213" s="16">
        <f>SUM(Y6:Y212)</f>
        <v>935.41</v>
      </c>
      <c r="Z213" s="16">
        <f>SUM(Z6:Z212)</f>
        <v>1410270.3191909445</v>
      </c>
      <c r="AA213" s="16">
        <f>SUM(AA6:AA212)</f>
        <v>195842.85326466858</v>
      </c>
      <c r="AB213" s="17">
        <f>SUM(AB6:AB212)</f>
        <v>-423577.63</v>
      </c>
      <c r="AC213" s="16">
        <f>SUM(AC6:AC212)</f>
        <v>3330.3500000000004</v>
      </c>
      <c r="AD213" s="16">
        <f>SUM(AD6:AD212)</f>
        <v>1185865.8924556128</v>
      </c>
      <c r="AE213" s="16">
        <v>211567.46896775893</v>
      </c>
      <c r="AF213" s="16">
        <v>-278424.93000000005</v>
      </c>
      <c r="AG213" s="16">
        <v>1367.5600000000002</v>
      </c>
      <c r="AH213" s="16">
        <f>SUM(AH6:AH212)</f>
        <v>1120375.9914233722</v>
      </c>
      <c r="AI213" s="16">
        <f>SUM(AI6:AI212)</f>
        <v>210426.00172466296</v>
      </c>
      <c r="AJ213" s="16">
        <f>SUM(AJ6:AJ212)</f>
        <v>-263316.33999999997</v>
      </c>
      <c r="AK213" s="16">
        <f>SUM(AK6:AK212)</f>
        <v>-12152.86</v>
      </c>
      <c r="AL213" s="16">
        <f>SUM(AL6:AL212)</f>
        <v>1055332.7896988939</v>
      </c>
      <c r="AM213" s="16">
        <f>SUM(AM6:AM212)</f>
        <v>207056.29405509593</v>
      </c>
      <c r="AN213" s="16">
        <f>SUM(AN6:AN212)</f>
        <v>-247849.75000000003</v>
      </c>
      <c r="AO213" s="16">
        <f>SUM(AO6:AO212)</f>
        <v>-4307.9269254185665</v>
      </c>
      <c r="AP213" s="16">
        <f>SUM(AP6:AP212)</f>
        <v>1010231.4068285708</v>
      </c>
      <c r="AQ213"/>
    </row>
    <row r="214" spans="1:43" s="1" customFormat="1" ht="15" thickTop="1" x14ac:dyDescent="0.3">
      <c r="A214" s="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 s="9"/>
      <c r="Y214"/>
      <c r="Z214"/>
      <c r="AA214"/>
      <c r="AB214" s="8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</row>
    <row r="215" spans="1:43" s="1" customFormat="1" x14ac:dyDescent="0.3">
      <c r="A215" s="4"/>
      <c r="B215" t="s">
        <v>3</v>
      </c>
      <c r="C215"/>
      <c r="D215"/>
      <c r="E215" s="9"/>
      <c r="F215" s="9"/>
      <c r="G215"/>
      <c r="H215"/>
      <c r="I215" t="s">
        <v>1</v>
      </c>
      <c r="J215"/>
      <c r="K215"/>
      <c r="L215" s="6"/>
      <c r="M215" t="s">
        <v>2</v>
      </c>
      <c r="N215" s="9">
        <v>1346787.82</v>
      </c>
      <c r="O215"/>
      <c r="P215" s="6"/>
      <c r="Q215" t="s">
        <v>2</v>
      </c>
      <c r="R215" s="9">
        <v>1473310.06</v>
      </c>
      <c r="S215" s="9"/>
      <c r="T215" s="9"/>
      <c r="U215" t="s">
        <v>2</v>
      </c>
      <c r="V215" s="9">
        <v>1363849.45</v>
      </c>
      <c r="W215" s="9"/>
      <c r="X215" s="9"/>
      <c r="Y215" t="s">
        <v>2</v>
      </c>
      <c r="Z215" s="9">
        <v>1410270.32</v>
      </c>
      <c r="AA215" s="8"/>
      <c r="AB215" s="8"/>
      <c r="AC215" t="s">
        <v>2</v>
      </c>
      <c r="AD215" s="9">
        <v>1185865.8899999999</v>
      </c>
      <c r="AE215"/>
      <c r="AF215" s="9"/>
      <c r="AG215" t="s">
        <v>1</v>
      </c>
      <c r="AH215" s="9">
        <v>1120375.99</v>
      </c>
      <c r="AI215" s="9"/>
      <c r="AJ215" s="9"/>
      <c r="AK215" t="s">
        <v>1</v>
      </c>
      <c r="AL215" s="9">
        <v>1055332.79</v>
      </c>
      <c r="AM215" s="9"/>
      <c r="AN215" s="9"/>
      <c r="AO215" t="s">
        <v>1</v>
      </c>
      <c r="AP215" s="8">
        <v>1010231.4</v>
      </c>
      <c r="AQ215"/>
    </row>
    <row r="216" spans="1:43" s="1" customFormat="1" ht="15" thickBot="1" x14ac:dyDescent="0.35">
      <c r="A216" s="4"/>
      <c r="B216"/>
      <c r="C216"/>
      <c r="D216"/>
      <c r="E216" s="6"/>
      <c r="F216" s="15"/>
      <c r="G216"/>
      <c r="H216"/>
      <c r="I216" t="s">
        <v>0</v>
      </c>
      <c r="J216"/>
      <c r="K216" s="11"/>
      <c r="L216"/>
      <c r="M216" s="9"/>
      <c r="N216"/>
      <c r="O216" s="11"/>
      <c r="P216"/>
      <c r="Q216" s="9"/>
      <c r="R216" s="12">
        <f>+R215-R213</f>
        <v>437489.97296341672</v>
      </c>
      <c r="S216" s="11"/>
      <c r="T216" s="11"/>
      <c r="U216" s="9"/>
      <c r="V216" s="12">
        <f>+V215-V213</f>
        <v>140348.10907233413</v>
      </c>
      <c r="W216" s="11"/>
      <c r="X216" s="14"/>
      <c r="Y216" s="9"/>
      <c r="Z216" s="12">
        <f>+Z215-Z213</f>
        <v>8.09055520221591E-4</v>
      </c>
      <c r="AA216" s="11"/>
      <c r="AB216" s="13"/>
      <c r="AC216" s="8"/>
      <c r="AD216" s="12">
        <f>+AD215-AD213</f>
        <v>-2.4556128773838282E-3</v>
      </c>
      <c r="AE216"/>
      <c r="AF216" s="6"/>
      <c r="AG216" t="s">
        <v>0</v>
      </c>
      <c r="AH216" s="12">
        <f>+AH215-AH213</f>
        <v>-1.4233721885830164E-3</v>
      </c>
      <c r="AI216" s="11"/>
      <c r="AJ216" s="11"/>
      <c r="AK216" t="s">
        <v>0</v>
      </c>
      <c r="AL216" s="11">
        <f>+AL215-AL213</f>
        <v>3.0110613442957401E-4</v>
      </c>
      <c r="AM216" s="11"/>
      <c r="AN216" s="11"/>
      <c r="AO216" t="s">
        <v>0</v>
      </c>
      <c r="AP216" s="11">
        <f>+AP215-AP213</f>
        <v>-6.8285707384347916E-3</v>
      </c>
      <c r="AQ216"/>
    </row>
    <row r="217" spans="1:43" s="1" customFormat="1" ht="15" thickTop="1" x14ac:dyDescent="0.3">
      <c r="A217" s="4"/>
      <c r="B217"/>
      <c r="C217"/>
      <c r="D217"/>
      <c r="E217"/>
      <c r="F217" s="10"/>
      <c r="G217"/>
      <c r="H217"/>
      <c r="I217"/>
      <c r="J217" s="6"/>
      <c r="K217"/>
      <c r="L217"/>
      <c r="M217" s="6"/>
      <c r="N217" s="6"/>
      <c r="O217"/>
      <c r="P217"/>
      <c r="Q217" s="6"/>
      <c r="R217" s="6"/>
      <c r="S217" s="6"/>
      <c r="T217" s="6"/>
      <c r="U217" s="6"/>
      <c r="V217" s="6"/>
      <c r="W217" s="6"/>
      <c r="X217" s="9"/>
      <c r="Y217" s="6"/>
      <c r="Z217" s="6"/>
      <c r="AA217" s="6"/>
      <c r="AB217" s="8"/>
      <c r="AC217" s="6"/>
      <c r="AD217" s="6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</row>
    <row r="218" spans="1:43" s="1" customFormat="1" x14ac:dyDescent="0.3">
      <c r="A218" s="4"/>
      <c r="B218"/>
      <c r="C218"/>
      <c r="D218"/>
      <c r="E218"/>
      <c r="F218"/>
      <c r="G218"/>
      <c r="H218"/>
      <c r="I218"/>
      <c r="J218" s="6"/>
      <c r="K218"/>
      <c r="L218"/>
      <c r="M218"/>
      <c r="N218" s="6"/>
      <c r="O218"/>
      <c r="P218"/>
      <c r="Q218"/>
      <c r="R218" s="6"/>
      <c r="S218" s="6"/>
      <c r="T218" s="6"/>
      <c r="U218" s="6"/>
      <c r="V218" s="6"/>
      <c r="W218" s="6"/>
      <c r="X218" s="9"/>
      <c r="Y218" s="6"/>
      <c r="Z218" s="6"/>
      <c r="AA218" s="6"/>
      <c r="AB218" s="8"/>
      <c r="AC218" s="6"/>
      <c r="AD218" s="6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</row>
    <row r="219" spans="1:43" s="1" customFormat="1" x14ac:dyDescent="0.3">
      <c r="A219" s="4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 s="9"/>
      <c r="Y219"/>
      <c r="Z219" s="6"/>
      <c r="AA219"/>
      <c r="AB219" s="8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</row>
    <row r="220" spans="1:43" s="1" customFormat="1" x14ac:dyDescent="0.3">
      <c r="A220" s="4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 s="6"/>
      <c r="X220" s="3"/>
      <c r="Y220"/>
      <c r="Z220"/>
      <c r="AA220" s="6"/>
      <c r="AB220" s="2"/>
      <c r="AC220"/>
      <c r="AD220"/>
      <c r="AO220"/>
      <c r="AP220"/>
    </row>
    <row r="221" spans="1:43" s="1" customFormat="1" x14ac:dyDescent="0.3">
      <c r="A221" s="4"/>
      <c r="B221"/>
      <c r="C221"/>
      <c r="D221"/>
      <c r="E221"/>
      <c r="F221"/>
      <c r="G221"/>
      <c r="H221" s="3"/>
      <c r="I221" s="7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 s="6"/>
      <c r="X221" s="3"/>
      <c r="Y221"/>
      <c r="Z221"/>
      <c r="AA221" s="6"/>
      <c r="AB221" s="2"/>
      <c r="AC221"/>
      <c r="AD221"/>
      <c r="AO221" s="5"/>
    </row>
    <row r="222" spans="1:43" s="1" customFormat="1" x14ac:dyDescent="0.3">
      <c r="A222" s="4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 s="3"/>
      <c r="Y222"/>
      <c r="Z222"/>
      <c r="AA222"/>
      <c r="AB222" s="2"/>
      <c r="AC222"/>
      <c r="AD222"/>
      <c r="AO222" s="5"/>
    </row>
    <row r="223" spans="1:43" s="1" customFormat="1" x14ac:dyDescent="0.3">
      <c r="A223" s="4"/>
      <c r="B223"/>
      <c r="C223"/>
      <c r="D223"/>
      <c r="E223"/>
      <c r="F223"/>
      <c r="G223"/>
      <c r="H223" s="6"/>
      <c r="I223" s="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 s="3"/>
      <c r="Y223"/>
      <c r="Z223"/>
      <c r="AA223"/>
      <c r="AB223" s="2"/>
      <c r="AC223"/>
      <c r="AD223"/>
      <c r="AO223" s="5"/>
    </row>
    <row r="224" spans="1:43" s="1" customFormat="1" x14ac:dyDescent="0.3">
      <c r="A224" s="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 s="3"/>
      <c r="Y224"/>
      <c r="Z224"/>
      <c r="AA224"/>
      <c r="AB224" s="2"/>
      <c r="AC224"/>
      <c r="AD224"/>
      <c r="AO224" s="5"/>
    </row>
  </sheetData>
  <sheetProtection formatCells="0" formatColumns="0" formatRows="0" insertColumns="0" insertRows="0" insertHyperlinks="0" deleteColumns="0" deleteRows="0" sort="0" autoFilter="0" pivotTables="0"/>
  <pageMargins left="0.70866141732283472" right="0.70866141732283472" top="0.74803149606299213" bottom="0.74803149606299213" header="0.31496062992125984" footer="0.31496062992125984"/>
  <pageSetup paperSize="9" scale="60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A58C-0591-4132-9592-365F7B0A99D5}">
  <dimension ref="A2:S164"/>
  <sheetViews>
    <sheetView topLeftCell="A19" workbookViewId="0">
      <selection activeCell="I33" sqref="I33"/>
    </sheetView>
  </sheetViews>
  <sheetFormatPr baseColWidth="10" defaultRowHeight="14.4" x14ac:dyDescent="0.3"/>
  <cols>
    <col min="14" max="14" width="13" bestFit="1" customWidth="1"/>
    <col min="18" max="18" width="13" bestFit="1" customWidth="1"/>
  </cols>
  <sheetData>
    <row r="2" spans="1:19" x14ac:dyDescent="0.3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4">
        <v>44135</v>
      </c>
      <c r="P2" s="375"/>
      <c r="Q2" s="375"/>
      <c r="R2" s="375"/>
      <c r="S2" s="375"/>
    </row>
    <row r="3" spans="1:19" ht="28.8" x14ac:dyDescent="0.3">
      <c r="A3" s="441" t="s">
        <v>497</v>
      </c>
      <c r="B3" s="442" t="s">
        <v>496</v>
      </c>
      <c r="C3" s="442" t="s">
        <v>495</v>
      </c>
      <c r="D3" s="443" t="s">
        <v>494</v>
      </c>
      <c r="E3" s="443" t="s">
        <v>493</v>
      </c>
      <c r="F3" s="444" t="s">
        <v>492</v>
      </c>
      <c r="G3" s="444" t="s">
        <v>491</v>
      </c>
      <c r="H3" s="443"/>
      <c r="I3" s="445" t="s">
        <v>490</v>
      </c>
      <c r="J3" s="447" t="s">
        <v>484</v>
      </c>
      <c r="K3" s="447" t="s">
        <v>487</v>
      </c>
      <c r="L3" s="447" t="s">
        <v>486</v>
      </c>
      <c r="M3" s="447" t="s">
        <v>485</v>
      </c>
      <c r="N3" s="447" t="s">
        <v>484</v>
      </c>
      <c r="O3" s="482" t="s">
        <v>487</v>
      </c>
      <c r="P3" s="482" t="s">
        <v>486</v>
      </c>
      <c r="Q3" s="482" t="s">
        <v>485</v>
      </c>
      <c r="R3" s="482" t="s">
        <v>484</v>
      </c>
      <c r="S3" s="446" t="s">
        <v>483</v>
      </c>
    </row>
    <row r="4" spans="1:19" ht="57.6" x14ac:dyDescent="0.3">
      <c r="A4" s="454">
        <v>5057</v>
      </c>
      <c r="B4" s="455" t="s">
        <v>74</v>
      </c>
      <c r="C4" s="455" t="s">
        <v>373</v>
      </c>
      <c r="D4" s="455" t="s">
        <v>372</v>
      </c>
      <c r="E4" s="456">
        <v>170000</v>
      </c>
      <c r="F4" s="457">
        <v>43739</v>
      </c>
      <c r="G4" s="457">
        <v>44105</v>
      </c>
      <c r="H4" s="453"/>
      <c r="I4" s="453">
        <v>3.4</v>
      </c>
      <c r="J4" s="449">
        <v>5358.3767123287671</v>
      </c>
      <c r="K4" s="449">
        <v>475.0684931506849</v>
      </c>
      <c r="L4" s="449"/>
      <c r="M4" s="449"/>
      <c r="N4" s="449">
        <v>5833.4452054794519</v>
      </c>
      <c r="O4" s="449"/>
      <c r="P4" s="449">
        <v>-5780</v>
      </c>
      <c r="Q4" s="449">
        <v>-53.45</v>
      </c>
      <c r="R4" s="449">
        <v>-4.7945205480601771E-3</v>
      </c>
      <c r="S4" s="452" t="s">
        <v>218</v>
      </c>
    </row>
    <row r="5" spans="1:19" ht="57.6" x14ac:dyDescent="0.3">
      <c r="A5" s="454">
        <v>5063</v>
      </c>
      <c r="B5" s="455" t="s">
        <v>25</v>
      </c>
      <c r="C5" s="455" t="s">
        <v>371</v>
      </c>
      <c r="D5" s="455" t="s">
        <v>370</v>
      </c>
      <c r="E5" s="456">
        <v>188000</v>
      </c>
      <c r="F5" s="457">
        <v>43739</v>
      </c>
      <c r="G5" s="457">
        <v>44105</v>
      </c>
      <c r="H5" s="453"/>
      <c r="I5" s="453">
        <v>4.4000000000000004</v>
      </c>
      <c r="J5" s="449">
        <v>7668.597260273973</v>
      </c>
      <c r="K5" s="449">
        <v>679.89041095890411</v>
      </c>
      <c r="L5" s="449"/>
      <c r="M5" s="449"/>
      <c r="N5" s="449">
        <v>8348.4876712328769</v>
      </c>
      <c r="O5" s="449"/>
      <c r="P5" s="449">
        <v>-8272</v>
      </c>
      <c r="Q5" s="449">
        <v>-76.489999999999995</v>
      </c>
      <c r="R5" s="449">
        <v>-2.3287671231031482E-3</v>
      </c>
      <c r="S5" s="452" t="s">
        <v>218</v>
      </c>
    </row>
    <row r="6" spans="1:19" ht="57.6" x14ac:dyDescent="0.3">
      <c r="A6" s="454">
        <v>5005</v>
      </c>
      <c r="B6" s="455" t="s">
        <v>10</v>
      </c>
      <c r="C6" s="455" t="s">
        <v>369</v>
      </c>
      <c r="D6" s="455" t="s">
        <v>368</v>
      </c>
      <c r="E6" s="456">
        <v>300000</v>
      </c>
      <c r="F6" s="457">
        <v>43739</v>
      </c>
      <c r="G6" s="457">
        <v>44105</v>
      </c>
      <c r="H6" s="453"/>
      <c r="I6" s="453">
        <v>0.4</v>
      </c>
      <c r="J6" s="449">
        <v>1112.4657534246576</v>
      </c>
      <c r="K6" s="449">
        <v>98.630136986301366</v>
      </c>
      <c r="L6" s="449"/>
      <c r="M6" s="449"/>
      <c r="N6" s="449">
        <v>1211.0958904109589</v>
      </c>
      <c r="O6" s="449"/>
      <c r="P6" s="449">
        <v>-1200</v>
      </c>
      <c r="Q6" s="449">
        <v>-11.1</v>
      </c>
      <c r="R6" s="449">
        <v>-4.1095890411266822E-3</v>
      </c>
      <c r="S6" s="452" t="s">
        <v>218</v>
      </c>
    </row>
    <row r="7" spans="1:19" ht="57.6" x14ac:dyDescent="0.3">
      <c r="A7" s="454">
        <v>5063</v>
      </c>
      <c r="B7" s="455" t="s">
        <v>77</v>
      </c>
      <c r="C7" s="455" t="s">
        <v>367</v>
      </c>
      <c r="D7" s="455" t="s">
        <v>366</v>
      </c>
      <c r="E7" s="456">
        <v>50000</v>
      </c>
      <c r="F7" s="457">
        <v>43745</v>
      </c>
      <c r="G7" s="457">
        <v>44111</v>
      </c>
      <c r="H7" s="453"/>
      <c r="I7" s="453">
        <v>5.4</v>
      </c>
      <c r="J7" s="449">
        <v>2503.0479452054797</v>
      </c>
      <c r="K7" s="449">
        <v>221.91780821917808</v>
      </c>
      <c r="L7" s="449"/>
      <c r="M7" s="449"/>
      <c r="N7" s="449">
        <v>2724.9657534246576</v>
      </c>
      <c r="O7" s="449">
        <v>44.38356164383562</v>
      </c>
      <c r="P7" s="449">
        <v>-2700</v>
      </c>
      <c r="Q7" s="449">
        <v>-69.349999999999994</v>
      </c>
      <c r="R7" s="449">
        <v>-6.8493150692461313E-4</v>
      </c>
      <c r="S7" s="452" t="s">
        <v>218</v>
      </c>
    </row>
    <row r="8" spans="1:19" ht="57.6" x14ac:dyDescent="0.3">
      <c r="A8" s="454">
        <v>5060</v>
      </c>
      <c r="B8" s="455" t="s">
        <v>16</v>
      </c>
      <c r="C8" s="455" t="s">
        <v>365</v>
      </c>
      <c r="D8" s="455" t="s">
        <v>364</v>
      </c>
      <c r="E8" s="456">
        <v>25000</v>
      </c>
      <c r="F8" s="457">
        <v>43748</v>
      </c>
      <c r="G8" s="457">
        <v>44114</v>
      </c>
      <c r="H8" s="453"/>
      <c r="I8" s="453">
        <v>1.9</v>
      </c>
      <c r="J8" s="449">
        <v>428.47602739726034</v>
      </c>
      <c r="K8" s="449">
        <v>39.041095890410965</v>
      </c>
      <c r="L8" s="449"/>
      <c r="M8" s="449"/>
      <c r="N8" s="449">
        <v>467.51712328767132</v>
      </c>
      <c r="O8" s="449">
        <v>11.712328767123289</v>
      </c>
      <c r="P8" s="449">
        <v>-475</v>
      </c>
      <c r="Q8" s="449">
        <v>-4.2300000000000004</v>
      </c>
      <c r="R8" s="449">
        <v>-5.479452054082401E-4</v>
      </c>
      <c r="S8" s="452" t="s">
        <v>218</v>
      </c>
    </row>
    <row r="9" spans="1:19" ht="57.6" x14ac:dyDescent="0.3">
      <c r="A9" s="454">
        <v>5060</v>
      </c>
      <c r="B9" s="455" t="s">
        <v>19</v>
      </c>
      <c r="C9" s="455" t="s">
        <v>363</v>
      </c>
      <c r="D9" s="455" t="s">
        <v>362</v>
      </c>
      <c r="E9" s="456">
        <v>25000</v>
      </c>
      <c r="F9" s="457">
        <v>43748</v>
      </c>
      <c r="G9" s="457">
        <v>44114</v>
      </c>
      <c r="H9" s="453"/>
      <c r="I9" s="453">
        <v>1.9</v>
      </c>
      <c r="J9" s="449">
        <v>428.47602739726034</v>
      </c>
      <c r="K9" s="449">
        <v>39.041095890410965</v>
      </c>
      <c r="L9" s="449"/>
      <c r="M9" s="449"/>
      <c r="N9" s="449">
        <v>467.51712328767132</v>
      </c>
      <c r="O9" s="449">
        <v>11.712328767123289</v>
      </c>
      <c r="P9" s="449">
        <v>-475</v>
      </c>
      <c r="Q9" s="449">
        <v>-4.2300000000000004</v>
      </c>
      <c r="R9" s="449">
        <v>-5.479452054082401E-4</v>
      </c>
      <c r="S9" s="452" t="s">
        <v>218</v>
      </c>
    </row>
    <row r="10" spans="1:19" ht="57.6" x14ac:dyDescent="0.3">
      <c r="A10" s="454">
        <v>5062</v>
      </c>
      <c r="B10" s="455" t="s">
        <v>359</v>
      </c>
      <c r="C10" s="455" t="s">
        <v>358</v>
      </c>
      <c r="D10" s="455" t="s">
        <v>357</v>
      </c>
      <c r="E10" s="456">
        <v>200000</v>
      </c>
      <c r="F10" s="457">
        <v>43750</v>
      </c>
      <c r="G10" s="457">
        <v>44116</v>
      </c>
      <c r="H10" s="453"/>
      <c r="I10" s="453">
        <v>6.4</v>
      </c>
      <c r="J10" s="449">
        <v>11475.190258751902</v>
      </c>
      <c r="K10" s="449">
        <v>1052.0547945205478</v>
      </c>
      <c r="L10" s="449"/>
      <c r="M10" s="449"/>
      <c r="N10" s="449">
        <v>12527.245053272449</v>
      </c>
      <c r="O10" s="449">
        <v>385.7534246575342</v>
      </c>
      <c r="P10" s="449">
        <v>-12800</v>
      </c>
      <c r="Q10" s="449">
        <v>-113</v>
      </c>
      <c r="R10" s="449">
        <v>-1.5220700170175405E-3</v>
      </c>
      <c r="S10" s="452" t="s">
        <v>218</v>
      </c>
    </row>
    <row r="11" spans="1:19" ht="57.6" x14ac:dyDescent="0.3">
      <c r="A11" s="454">
        <v>5057</v>
      </c>
      <c r="B11" s="455" t="s">
        <v>74</v>
      </c>
      <c r="C11" s="455" t="s">
        <v>354</v>
      </c>
      <c r="D11" s="455" t="s">
        <v>353</v>
      </c>
      <c r="E11" s="456">
        <v>118000</v>
      </c>
      <c r="F11" s="457">
        <v>43768</v>
      </c>
      <c r="G11" s="457">
        <v>44134</v>
      </c>
      <c r="H11" s="453"/>
      <c r="I11" s="453">
        <v>3.4</v>
      </c>
      <c r="J11" s="449">
        <v>3396.1549467275499</v>
      </c>
      <c r="K11" s="449">
        <v>329.75342465753425</v>
      </c>
      <c r="L11" s="449"/>
      <c r="M11" s="449"/>
      <c r="N11" s="449">
        <v>3725.9083713850841</v>
      </c>
      <c r="O11" s="449">
        <v>318.76164383561644</v>
      </c>
      <c r="P11" s="449">
        <v>-4012</v>
      </c>
      <c r="Q11" s="449">
        <v>-32.67</v>
      </c>
      <c r="R11" s="449">
        <v>1.5220700404938725E-5</v>
      </c>
      <c r="S11" s="452" t="s">
        <v>218</v>
      </c>
    </row>
    <row r="12" spans="1:19" ht="57.6" x14ac:dyDescent="0.3">
      <c r="A12" s="454">
        <v>5063</v>
      </c>
      <c r="B12" s="455" t="s">
        <v>77</v>
      </c>
      <c r="C12" s="455" t="s">
        <v>352</v>
      </c>
      <c r="D12" s="455" t="s">
        <v>351</v>
      </c>
      <c r="E12" s="456">
        <v>120000</v>
      </c>
      <c r="F12" s="457">
        <v>43768</v>
      </c>
      <c r="G12" s="457">
        <v>44134</v>
      </c>
      <c r="H12" s="453"/>
      <c r="I12" s="453">
        <v>5.4</v>
      </c>
      <c r="J12" s="449">
        <v>5485.3150684931516</v>
      </c>
      <c r="K12" s="449">
        <v>532.60273972602738</v>
      </c>
      <c r="L12" s="449"/>
      <c r="M12" s="449"/>
      <c r="N12" s="449">
        <v>6017.9178082191793</v>
      </c>
      <c r="O12" s="449">
        <v>514.8493150684933</v>
      </c>
      <c r="P12" s="449">
        <v>-6480</v>
      </c>
      <c r="Q12" s="449">
        <v>-52.77</v>
      </c>
      <c r="R12" s="449">
        <v>-2.8767123272004369E-3</v>
      </c>
      <c r="S12" s="452" t="s">
        <v>218</v>
      </c>
    </row>
    <row r="13" spans="1:19" ht="57.6" x14ac:dyDescent="0.3">
      <c r="A13" s="454">
        <v>5004</v>
      </c>
      <c r="B13" s="455" t="s">
        <v>336</v>
      </c>
      <c r="C13" s="455" t="s">
        <v>348</v>
      </c>
      <c r="D13" s="455" t="s">
        <v>347</v>
      </c>
      <c r="E13" s="456">
        <v>38000</v>
      </c>
      <c r="F13" s="457">
        <v>43774</v>
      </c>
      <c r="G13" s="457">
        <v>44140</v>
      </c>
      <c r="H13" s="453"/>
      <c r="I13" s="453">
        <v>5.9</v>
      </c>
      <c r="J13" s="449">
        <v>1860.4846270928465</v>
      </c>
      <c r="K13" s="449">
        <v>184.27397260273972</v>
      </c>
      <c r="L13" s="449"/>
      <c r="M13" s="449"/>
      <c r="N13" s="449">
        <v>2044.7585996955863</v>
      </c>
      <c r="O13" s="449">
        <v>190.41643835616438</v>
      </c>
      <c r="P13" s="449"/>
      <c r="Q13" s="449"/>
      <c r="R13" s="449">
        <v>2235.1750380517506</v>
      </c>
      <c r="S13" s="452"/>
    </row>
    <row r="14" spans="1:19" ht="57.6" x14ac:dyDescent="0.3">
      <c r="A14" s="454">
        <v>5063</v>
      </c>
      <c r="B14" s="455" t="s">
        <v>77</v>
      </c>
      <c r="C14" s="455" t="s">
        <v>346</v>
      </c>
      <c r="D14" s="455" t="s">
        <v>345</v>
      </c>
      <c r="E14" s="456">
        <v>80000</v>
      </c>
      <c r="F14" s="457">
        <v>43772</v>
      </c>
      <c r="G14" s="457">
        <v>44138</v>
      </c>
      <c r="H14" s="453"/>
      <c r="I14" s="453">
        <v>5.4</v>
      </c>
      <c r="J14" s="449">
        <v>3608.8767123287676</v>
      </c>
      <c r="K14" s="449">
        <v>355.0684931506849</v>
      </c>
      <c r="L14" s="449"/>
      <c r="M14" s="449"/>
      <c r="N14" s="449">
        <v>3963.9452054794524</v>
      </c>
      <c r="O14" s="449">
        <v>366.90410958904118</v>
      </c>
      <c r="P14" s="449"/>
      <c r="Q14" s="449"/>
      <c r="R14" s="449">
        <v>4330.8493150684935</v>
      </c>
      <c r="S14" s="452"/>
    </row>
    <row r="15" spans="1:19" ht="57.6" x14ac:dyDescent="0.3">
      <c r="A15" s="454">
        <v>5060</v>
      </c>
      <c r="B15" s="455" t="s">
        <v>19</v>
      </c>
      <c r="C15" s="455" t="s">
        <v>344</v>
      </c>
      <c r="D15" s="455" t="s">
        <v>343</v>
      </c>
      <c r="E15" s="456">
        <v>78000</v>
      </c>
      <c r="F15" s="457">
        <v>43771</v>
      </c>
      <c r="G15" s="457">
        <v>44137</v>
      </c>
      <c r="H15" s="453"/>
      <c r="I15" s="453">
        <v>1.9</v>
      </c>
      <c r="J15" s="449">
        <v>1242.1618721461189</v>
      </c>
      <c r="K15" s="449">
        <v>121.8082191780822</v>
      </c>
      <c r="L15" s="449"/>
      <c r="M15" s="449"/>
      <c r="N15" s="449">
        <v>1363.9700913242011</v>
      </c>
      <c r="O15" s="449">
        <v>125.86849315068494</v>
      </c>
      <c r="P15" s="449"/>
      <c r="Q15" s="449"/>
      <c r="R15" s="449">
        <v>1489.8385844748861</v>
      </c>
      <c r="S15" s="452"/>
    </row>
    <row r="16" spans="1:19" ht="57.6" x14ac:dyDescent="0.3">
      <c r="A16" s="454">
        <v>5063</v>
      </c>
      <c r="B16" s="455" t="s">
        <v>25</v>
      </c>
      <c r="C16" s="455" t="s">
        <v>342</v>
      </c>
      <c r="D16" s="455" t="s">
        <v>341</v>
      </c>
      <c r="E16" s="456">
        <v>138000</v>
      </c>
      <c r="F16" s="457">
        <v>43770</v>
      </c>
      <c r="G16" s="457">
        <v>44136</v>
      </c>
      <c r="H16" s="453"/>
      <c r="I16" s="453">
        <v>4.4000000000000004</v>
      </c>
      <c r="J16" s="449">
        <v>5106.210045662101</v>
      </c>
      <c r="K16" s="449">
        <v>499.06849315068496</v>
      </c>
      <c r="L16" s="449"/>
      <c r="M16" s="449"/>
      <c r="N16" s="449">
        <v>5605.2785388127859</v>
      </c>
      <c r="O16" s="449">
        <v>515.7041095890412</v>
      </c>
      <c r="P16" s="449"/>
      <c r="Q16" s="449"/>
      <c r="R16" s="449">
        <v>6120.9826484018267</v>
      </c>
      <c r="S16" s="452"/>
    </row>
    <row r="17" spans="1:19" ht="57.6" x14ac:dyDescent="0.3">
      <c r="A17" s="454">
        <v>5060</v>
      </c>
      <c r="B17" s="455" t="s">
        <v>40</v>
      </c>
      <c r="C17" s="455" t="s">
        <v>340</v>
      </c>
      <c r="D17" s="455" t="s">
        <v>339</v>
      </c>
      <c r="E17" s="456">
        <v>727000</v>
      </c>
      <c r="F17" s="457">
        <v>43784</v>
      </c>
      <c r="G17" s="457">
        <v>44150</v>
      </c>
      <c r="H17" s="453"/>
      <c r="I17" s="453">
        <v>6.4</v>
      </c>
      <c r="J17" s="449">
        <v>37318.005479452047</v>
      </c>
      <c r="K17" s="449">
        <v>3824.2191780821918</v>
      </c>
      <c r="L17" s="449"/>
      <c r="M17" s="449"/>
      <c r="N17" s="449">
        <v>41142.224657534236</v>
      </c>
      <c r="O17" s="449">
        <v>3951.6931506849314</v>
      </c>
      <c r="P17" s="449"/>
      <c r="Q17" s="449"/>
      <c r="R17" s="449">
        <v>45093.917808219165</v>
      </c>
      <c r="S17" s="452"/>
    </row>
    <row r="18" spans="1:19" ht="57.6" x14ac:dyDescent="0.3">
      <c r="A18" s="454">
        <v>5004</v>
      </c>
      <c r="B18" s="455" t="s">
        <v>336</v>
      </c>
      <c r="C18" s="455" t="s">
        <v>338</v>
      </c>
      <c r="D18" s="455" t="s">
        <v>337</v>
      </c>
      <c r="E18" s="456">
        <v>100000</v>
      </c>
      <c r="F18" s="457">
        <v>43792</v>
      </c>
      <c r="G18" s="457">
        <v>44158</v>
      </c>
      <c r="H18" s="453"/>
      <c r="I18" s="453">
        <v>5.9</v>
      </c>
      <c r="J18" s="449">
        <v>4764.9010654490103</v>
      </c>
      <c r="K18" s="449">
        <v>484.93150684931504</v>
      </c>
      <c r="L18" s="449"/>
      <c r="M18" s="449"/>
      <c r="N18" s="449">
        <v>5249.8325722983254</v>
      </c>
      <c r="O18" s="449">
        <v>501.09589041095887</v>
      </c>
      <c r="P18" s="449"/>
      <c r="Q18" s="449"/>
      <c r="R18" s="449">
        <v>5750.9284627092838</v>
      </c>
      <c r="S18" s="452"/>
    </row>
    <row r="19" spans="1:19" ht="57.6" x14ac:dyDescent="0.3">
      <c r="A19" s="454">
        <v>5004</v>
      </c>
      <c r="B19" s="455" t="s">
        <v>336</v>
      </c>
      <c r="C19" s="455" t="s">
        <v>335</v>
      </c>
      <c r="D19" s="455" t="s">
        <v>334</v>
      </c>
      <c r="E19" s="456">
        <v>94477.4</v>
      </c>
      <c r="F19" s="457">
        <v>43792</v>
      </c>
      <c r="G19" s="457">
        <v>44158</v>
      </c>
      <c r="H19" s="453"/>
      <c r="I19" s="453">
        <v>5.9</v>
      </c>
      <c r="J19" s="449">
        <v>4501.7546392085242</v>
      </c>
      <c r="K19" s="449">
        <v>458.15067945205476</v>
      </c>
      <c r="L19" s="449"/>
      <c r="M19" s="449"/>
      <c r="N19" s="449">
        <v>4959.9053186605788</v>
      </c>
      <c r="O19" s="449">
        <v>473.42236876712332</v>
      </c>
      <c r="P19" s="449"/>
      <c r="Q19" s="449"/>
      <c r="R19" s="449">
        <v>5433.3276874277017</v>
      </c>
      <c r="S19" s="452"/>
    </row>
    <row r="20" spans="1:19" ht="57.6" x14ac:dyDescent="0.3">
      <c r="A20" s="454">
        <v>5004</v>
      </c>
      <c r="B20" s="455" t="s">
        <v>117</v>
      </c>
      <c r="C20" s="455" t="s">
        <v>333</v>
      </c>
      <c r="D20" s="455" t="s">
        <v>332</v>
      </c>
      <c r="E20" s="456">
        <v>100000</v>
      </c>
      <c r="F20" s="457">
        <v>43792</v>
      </c>
      <c r="G20" s="457">
        <v>44158</v>
      </c>
      <c r="H20" s="453"/>
      <c r="I20" s="453">
        <v>5.85</v>
      </c>
      <c r="J20" s="449">
        <v>4724.5205479452061</v>
      </c>
      <c r="K20" s="449">
        <v>480.82191780821915</v>
      </c>
      <c r="L20" s="449"/>
      <c r="M20" s="449"/>
      <c r="N20" s="449">
        <v>5205.3424657534251</v>
      </c>
      <c r="O20" s="449">
        <v>496.84931506849313</v>
      </c>
      <c r="P20" s="449"/>
      <c r="Q20" s="449"/>
      <c r="R20" s="449">
        <v>5702.1917808219187</v>
      </c>
      <c r="S20" s="452"/>
    </row>
    <row r="21" spans="1:19" ht="57.6" x14ac:dyDescent="0.3">
      <c r="A21" s="454">
        <v>5004</v>
      </c>
      <c r="B21" s="455" t="s">
        <v>117</v>
      </c>
      <c r="C21" s="455" t="s">
        <v>331</v>
      </c>
      <c r="D21" s="455" t="s">
        <v>330</v>
      </c>
      <c r="E21" s="456">
        <v>150000</v>
      </c>
      <c r="F21" s="457">
        <v>43793</v>
      </c>
      <c r="G21" s="457">
        <v>44159</v>
      </c>
      <c r="H21" s="453"/>
      <c r="I21" s="453">
        <v>5.85</v>
      </c>
      <c r="J21" s="449">
        <v>7062.4058219178078</v>
      </c>
      <c r="K21" s="449">
        <v>721.23287671232879</v>
      </c>
      <c r="L21" s="449"/>
      <c r="M21" s="449"/>
      <c r="N21" s="449">
        <v>7783.6386986301368</v>
      </c>
      <c r="O21" s="449">
        <v>745.27397260273972</v>
      </c>
      <c r="P21" s="449"/>
      <c r="Q21" s="449"/>
      <c r="R21" s="449">
        <v>8528.9126712328762</v>
      </c>
      <c r="S21" s="452"/>
    </row>
    <row r="22" spans="1:19" x14ac:dyDescent="0.3">
      <c r="A22" s="451">
        <v>5063</v>
      </c>
      <c r="B22" s="452" t="s">
        <v>25</v>
      </c>
      <c r="C22" s="452" t="s">
        <v>326</v>
      </c>
      <c r="D22" s="452" t="s">
        <v>325</v>
      </c>
      <c r="E22" s="450">
        <v>138000</v>
      </c>
      <c r="F22" s="457">
        <v>43800</v>
      </c>
      <c r="G22" s="457">
        <v>44166</v>
      </c>
      <c r="H22" s="453"/>
      <c r="I22" s="453">
        <v>4.4000000000000004</v>
      </c>
      <c r="J22" s="449">
        <v>4111.0767123287678</v>
      </c>
      <c r="K22" s="449">
        <v>499.06849315068496</v>
      </c>
      <c r="L22" s="449"/>
      <c r="M22" s="449"/>
      <c r="N22" s="449">
        <v>4610.1452054794527</v>
      </c>
      <c r="O22" s="449">
        <v>515.7041095890412</v>
      </c>
      <c r="P22" s="449"/>
      <c r="Q22" s="449"/>
      <c r="R22" s="449">
        <v>5125.8493150684935</v>
      </c>
      <c r="S22" s="452"/>
    </row>
    <row r="23" spans="1:19" x14ac:dyDescent="0.3">
      <c r="A23" s="451">
        <v>5005</v>
      </c>
      <c r="B23" s="452" t="s">
        <v>10</v>
      </c>
      <c r="C23" s="452" t="s">
        <v>324</v>
      </c>
      <c r="D23" s="452" t="s">
        <v>323</v>
      </c>
      <c r="E23" s="450">
        <v>1400000</v>
      </c>
      <c r="F23" s="457">
        <v>43803</v>
      </c>
      <c r="G23" s="457">
        <v>44169</v>
      </c>
      <c r="H23" s="453"/>
      <c r="I23" s="453">
        <v>0.4</v>
      </c>
      <c r="J23" s="449">
        <v>3838.1735159817358</v>
      </c>
      <c r="K23" s="449">
        <v>460.27397260273972</v>
      </c>
      <c r="L23" s="449"/>
      <c r="M23" s="449"/>
      <c r="N23" s="449">
        <v>4298.4474885844756</v>
      </c>
      <c r="O23" s="449">
        <v>475.61643835616434</v>
      </c>
      <c r="P23" s="449"/>
      <c r="Q23" s="449"/>
      <c r="R23" s="449">
        <v>4774.0639269406402</v>
      </c>
      <c r="S23" s="452"/>
    </row>
    <row r="24" spans="1:19" x14ac:dyDescent="0.3">
      <c r="A24" s="451">
        <v>5056</v>
      </c>
      <c r="B24" s="452" t="s">
        <v>322</v>
      </c>
      <c r="C24" s="452" t="s">
        <v>321</v>
      </c>
      <c r="D24" s="452" t="s">
        <v>320</v>
      </c>
      <c r="E24" s="450">
        <v>33000</v>
      </c>
      <c r="F24" s="457">
        <v>43811</v>
      </c>
      <c r="G24" s="457">
        <v>44177</v>
      </c>
      <c r="H24" s="453"/>
      <c r="I24" s="453">
        <v>6.4</v>
      </c>
      <c r="J24" s="449">
        <v>1494.4730593607305</v>
      </c>
      <c r="K24" s="449">
        <v>173.58904109589042</v>
      </c>
      <c r="L24" s="449"/>
      <c r="M24" s="449"/>
      <c r="N24" s="449">
        <v>1668.062100456621</v>
      </c>
      <c r="O24" s="449">
        <v>179.37534246575342</v>
      </c>
      <c r="P24" s="449"/>
      <c r="Q24" s="449"/>
      <c r="R24" s="449">
        <v>1847.4374429223744</v>
      </c>
      <c r="S24" s="452"/>
    </row>
    <row r="25" spans="1:19" x14ac:dyDescent="0.3">
      <c r="A25" s="451">
        <v>5005</v>
      </c>
      <c r="B25" s="452" t="s">
        <v>265</v>
      </c>
      <c r="C25" s="452" t="s">
        <v>319</v>
      </c>
      <c r="D25" s="452" t="s">
        <v>318</v>
      </c>
      <c r="E25" s="450">
        <v>30000</v>
      </c>
      <c r="F25" s="457">
        <v>43815</v>
      </c>
      <c r="G25" s="457">
        <v>44181</v>
      </c>
      <c r="H25" s="453"/>
      <c r="I25" s="453">
        <v>6.9</v>
      </c>
      <c r="J25" s="449">
        <v>1487.7534246575344</v>
      </c>
      <c r="K25" s="449">
        <v>170.13698630136986</v>
      </c>
      <c r="L25" s="449"/>
      <c r="M25" s="449"/>
      <c r="N25" s="449">
        <v>1657.8904109589043</v>
      </c>
      <c r="O25" s="449">
        <v>175.80821917808217</v>
      </c>
      <c r="P25" s="449"/>
      <c r="Q25" s="449"/>
      <c r="R25" s="449">
        <v>1833.6986301369866</v>
      </c>
      <c r="S25" s="452"/>
    </row>
    <row r="26" spans="1:19" x14ac:dyDescent="0.3">
      <c r="A26" s="451">
        <v>5061</v>
      </c>
      <c r="B26" s="452" t="s">
        <v>317</v>
      </c>
      <c r="C26" s="452" t="s">
        <v>316</v>
      </c>
      <c r="D26" s="452" t="s">
        <v>315</v>
      </c>
      <c r="E26" s="450">
        <v>200000</v>
      </c>
      <c r="F26" s="457">
        <v>43816</v>
      </c>
      <c r="G26" s="457">
        <v>44182</v>
      </c>
      <c r="H26" s="453"/>
      <c r="I26" s="453">
        <v>5.65</v>
      </c>
      <c r="J26" s="449">
        <v>8152.9414003044139</v>
      </c>
      <c r="K26" s="449">
        <v>928.76712328767121</v>
      </c>
      <c r="L26" s="449"/>
      <c r="M26" s="449"/>
      <c r="N26" s="449">
        <v>9081.7085235920858</v>
      </c>
      <c r="O26" s="449">
        <v>959.72602739726028</v>
      </c>
      <c r="P26" s="449"/>
      <c r="Q26" s="449"/>
      <c r="R26" s="449">
        <v>10041.434550989346</v>
      </c>
      <c r="S26" s="452"/>
    </row>
    <row r="27" spans="1:19" x14ac:dyDescent="0.3">
      <c r="A27" s="451">
        <v>5060</v>
      </c>
      <c r="B27" s="452" t="s">
        <v>233</v>
      </c>
      <c r="C27" s="452" t="s">
        <v>314</v>
      </c>
      <c r="D27" s="452" t="s">
        <v>313</v>
      </c>
      <c r="E27" s="450">
        <v>170000</v>
      </c>
      <c r="F27" s="457">
        <v>43822</v>
      </c>
      <c r="G27" s="457">
        <v>44186</v>
      </c>
      <c r="H27" s="453"/>
      <c r="I27" s="453">
        <v>5.65</v>
      </c>
      <c r="J27" s="449">
        <v>7036.7224124809745</v>
      </c>
      <c r="K27" s="449">
        <v>789.45205479452056</v>
      </c>
      <c r="L27" s="449"/>
      <c r="M27" s="449"/>
      <c r="N27" s="449">
        <v>7826.1744672754949</v>
      </c>
      <c r="O27" s="449">
        <v>815.76712328767132</v>
      </c>
      <c r="P27" s="449"/>
      <c r="Q27" s="449"/>
      <c r="R27" s="449">
        <v>8641.9415905631668</v>
      </c>
      <c r="S27" s="452"/>
    </row>
    <row r="28" spans="1:19" x14ac:dyDescent="0.3">
      <c r="A28" s="451">
        <v>5060</v>
      </c>
      <c r="B28" s="452" t="s">
        <v>233</v>
      </c>
      <c r="C28" s="452" t="s">
        <v>312</v>
      </c>
      <c r="D28" s="452" t="s">
        <v>311</v>
      </c>
      <c r="E28" s="450">
        <v>254800</v>
      </c>
      <c r="F28" s="457">
        <v>43822</v>
      </c>
      <c r="G28" s="457">
        <v>44186</v>
      </c>
      <c r="H28" s="453"/>
      <c r="I28" s="453">
        <v>5.65</v>
      </c>
      <c r="J28" s="449">
        <v>10546.805121765603</v>
      </c>
      <c r="K28" s="449">
        <v>1183.2493150684932</v>
      </c>
      <c r="L28" s="449"/>
      <c r="M28" s="449"/>
      <c r="N28" s="449">
        <v>11730.054436834096</v>
      </c>
      <c r="O28" s="449">
        <v>1222.6909589041097</v>
      </c>
      <c r="P28" s="449"/>
      <c r="Q28" s="449"/>
      <c r="R28" s="449">
        <v>12952.745395738206</v>
      </c>
      <c r="S28" s="452"/>
    </row>
    <row r="29" spans="1:19" x14ac:dyDescent="0.3">
      <c r="A29" s="451">
        <v>5060</v>
      </c>
      <c r="B29" s="452" t="s">
        <v>233</v>
      </c>
      <c r="C29" s="452" t="s">
        <v>310</v>
      </c>
      <c r="D29" s="452" t="s">
        <v>309</v>
      </c>
      <c r="E29" s="450">
        <v>126000</v>
      </c>
      <c r="F29" s="457">
        <v>43822</v>
      </c>
      <c r="G29" s="457">
        <v>44186</v>
      </c>
      <c r="H29" s="453"/>
      <c r="I29" s="453">
        <v>5.65</v>
      </c>
      <c r="J29" s="449">
        <v>5215.4530821917815</v>
      </c>
      <c r="K29" s="449">
        <v>585.1232876712329</v>
      </c>
      <c r="L29" s="449"/>
      <c r="M29" s="449"/>
      <c r="N29" s="449">
        <v>5800.5763698630144</v>
      </c>
      <c r="O29" s="449">
        <v>604.62739726027394</v>
      </c>
      <c r="P29" s="449"/>
      <c r="Q29" s="449"/>
      <c r="R29" s="449">
        <v>6405.2037671232883</v>
      </c>
      <c r="S29" s="452"/>
    </row>
    <row r="30" spans="1:19" x14ac:dyDescent="0.3">
      <c r="A30" s="451">
        <v>5060</v>
      </c>
      <c r="B30" s="452" t="s">
        <v>233</v>
      </c>
      <c r="C30" s="452" t="s">
        <v>308</v>
      </c>
      <c r="D30" s="452" t="s">
        <v>307</v>
      </c>
      <c r="E30" s="450">
        <v>275000</v>
      </c>
      <c r="F30" s="457">
        <v>43822</v>
      </c>
      <c r="G30" s="457">
        <v>44186</v>
      </c>
      <c r="H30" s="453"/>
      <c r="I30" s="453">
        <v>5.65</v>
      </c>
      <c r="J30" s="449">
        <v>11382.933314307458</v>
      </c>
      <c r="K30" s="449">
        <v>1277.0547945205481</v>
      </c>
      <c r="L30" s="449"/>
      <c r="M30" s="449"/>
      <c r="N30" s="449">
        <v>12659.988108828005</v>
      </c>
      <c r="O30" s="449">
        <v>1319.6232876712329</v>
      </c>
      <c r="P30" s="449"/>
      <c r="Q30" s="449"/>
      <c r="R30" s="449">
        <v>13979.611396499238</v>
      </c>
      <c r="S30" s="452"/>
    </row>
    <row r="31" spans="1:19" x14ac:dyDescent="0.3">
      <c r="A31" s="451">
        <v>5060</v>
      </c>
      <c r="B31" s="452" t="s">
        <v>233</v>
      </c>
      <c r="C31" s="452" t="s">
        <v>306</v>
      </c>
      <c r="D31" s="452" t="s">
        <v>305</v>
      </c>
      <c r="E31" s="450">
        <v>206000</v>
      </c>
      <c r="F31" s="457">
        <v>43822</v>
      </c>
      <c r="G31" s="457">
        <v>44186</v>
      </c>
      <c r="H31" s="453"/>
      <c r="I31" s="453">
        <v>5.65</v>
      </c>
      <c r="J31" s="449">
        <v>8526.851864535769</v>
      </c>
      <c r="K31" s="449">
        <v>956.63013698630141</v>
      </c>
      <c r="L31" s="449"/>
      <c r="M31" s="449"/>
      <c r="N31" s="449">
        <v>9483.4820015220703</v>
      </c>
      <c r="O31" s="449">
        <v>988.51780821917805</v>
      </c>
      <c r="P31" s="449"/>
      <c r="Q31" s="449"/>
      <c r="R31" s="449">
        <v>10471.999809741248</v>
      </c>
      <c r="S31" s="452"/>
    </row>
    <row r="32" spans="1:19" x14ac:dyDescent="0.3">
      <c r="A32" s="451">
        <v>5060</v>
      </c>
      <c r="B32" s="452" t="s">
        <v>233</v>
      </c>
      <c r="C32" s="452" t="s">
        <v>304</v>
      </c>
      <c r="D32" s="452" t="s">
        <v>303</v>
      </c>
      <c r="E32" s="450">
        <v>130000</v>
      </c>
      <c r="F32" s="457">
        <v>43822</v>
      </c>
      <c r="G32" s="457">
        <v>44186</v>
      </c>
      <c r="H32" s="453"/>
      <c r="I32" s="453">
        <v>5.65</v>
      </c>
      <c r="J32" s="449">
        <v>5381.0230213089799</v>
      </c>
      <c r="K32" s="449">
        <v>603.69863013698637</v>
      </c>
      <c r="L32" s="449"/>
      <c r="M32" s="449"/>
      <c r="N32" s="449">
        <v>5984.721651445966</v>
      </c>
      <c r="O32" s="449">
        <v>623.82191780821915</v>
      </c>
      <c r="P32" s="449"/>
      <c r="Q32" s="449"/>
      <c r="R32" s="449">
        <v>6608.5435692541851</v>
      </c>
      <c r="S32" s="452"/>
    </row>
    <row r="33" spans="1:19" x14ac:dyDescent="0.3">
      <c r="A33" s="451">
        <v>5060</v>
      </c>
      <c r="B33" s="452" t="s">
        <v>233</v>
      </c>
      <c r="C33" s="452" t="s">
        <v>302</v>
      </c>
      <c r="D33" s="452" t="s">
        <v>301</v>
      </c>
      <c r="E33" s="450">
        <v>51138.69</v>
      </c>
      <c r="F33" s="457">
        <v>43822</v>
      </c>
      <c r="G33" s="457">
        <v>44186</v>
      </c>
      <c r="H33" s="453"/>
      <c r="I33" s="453">
        <v>5.65</v>
      </c>
      <c r="J33" s="449">
        <v>2116.7574474583334</v>
      </c>
      <c r="K33" s="449">
        <v>237.47967000000003</v>
      </c>
      <c r="L33" s="449"/>
      <c r="M33" s="449"/>
      <c r="N33" s="449">
        <v>2354.2371174583336</v>
      </c>
      <c r="O33" s="449">
        <v>245.39565900000002</v>
      </c>
      <c r="P33" s="449"/>
      <c r="Q33" s="449"/>
      <c r="R33" s="449">
        <v>2599.6327764583339</v>
      </c>
      <c r="S33" s="452"/>
    </row>
    <row r="34" spans="1:19" x14ac:dyDescent="0.3">
      <c r="A34" s="451">
        <v>5060</v>
      </c>
      <c r="B34" s="452" t="s">
        <v>233</v>
      </c>
      <c r="C34" s="452" t="s">
        <v>300</v>
      </c>
      <c r="D34" s="452" t="s">
        <v>299</v>
      </c>
      <c r="E34" s="450">
        <v>200000</v>
      </c>
      <c r="F34" s="457">
        <v>43822</v>
      </c>
      <c r="G34" s="457">
        <v>44186</v>
      </c>
      <c r="H34" s="453"/>
      <c r="I34" s="453">
        <v>5.65</v>
      </c>
      <c r="J34" s="449">
        <v>8278.4969558599696</v>
      </c>
      <c r="K34" s="449">
        <v>928.76712328767121</v>
      </c>
      <c r="L34" s="449"/>
      <c r="M34" s="449"/>
      <c r="N34" s="449">
        <v>9207.2640791476406</v>
      </c>
      <c r="O34" s="449">
        <v>959.72602739726028</v>
      </c>
      <c r="P34" s="449"/>
      <c r="Q34" s="449"/>
      <c r="R34" s="449">
        <v>10166.990106544901</v>
      </c>
      <c r="S34" s="452"/>
    </row>
    <row r="35" spans="1:19" x14ac:dyDescent="0.3">
      <c r="A35" s="451">
        <v>5055</v>
      </c>
      <c r="B35" s="452" t="s">
        <v>53</v>
      </c>
      <c r="C35" s="452" t="s">
        <v>217</v>
      </c>
      <c r="D35" s="452" t="s">
        <v>216</v>
      </c>
      <c r="E35" s="450">
        <v>800000</v>
      </c>
      <c r="F35" s="457">
        <v>43829</v>
      </c>
      <c r="G35" s="457">
        <v>44195</v>
      </c>
      <c r="H35" s="453"/>
      <c r="I35" s="450">
        <v>6.85</v>
      </c>
      <c r="J35" s="449">
        <v>37102.602739726019</v>
      </c>
      <c r="K35" s="449">
        <v>4504.1095890410961</v>
      </c>
      <c r="L35" s="449"/>
      <c r="M35" s="449"/>
      <c r="N35" s="449">
        <v>41606.712328767113</v>
      </c>
      <c r="O35" s="449">
        <v>4654.2465753424649</v>
      </c>
      <c r="P35" s="449"/>
      <c r="Q35" s="449"/>
      <c r="R35" s="449">
        <v>46260.958904109575</v>
      </c>
      <c r="S35" s="452"/>
    </row>
    <row r="36" spans="1:19" x14ac:dyDescent="0.3">
      <c r="A36" s="451">
        <v>5063</v>
      </c>
      <c r="B36" s="452" t="s">
        <v>25</v>
      </c>
      <c r="C36" s="452" t="s">
        <v>298</v>
      </c>
      <c r="D36" s="452" t="s">
        <v>297</v>
      </c>
      <c r="E36" s="450">
        <v>160000</v>
      </c>
      <c r="F36" s="457">
        <v>43832</v>
      </c>
      <c r="G36" s="457">
        <v>44198</v>
      </c>
      <c r="H36" s="453"/>
      <c r="I36" s="453">
        <v>4.4000000000000004</v>
      </c>
      <c r="J36" s="449">
        <v>4707.7990867579911</v>
      </c>
      <c r="K36" s="449">
        <v>578.63013698630141</v>
      </c>
      <c r="L36" s="449"/>
      <c r="M36" s="449"/>
      <c r="N36" s="449">
        <v>5286.4292237442924</v>
      </c>
      <c r="O36" s="449">
        <v>597.91780821917814</v>
      </c>
      <c r="P36" s="449"/>
      <c r="Q36" s="449"/>
      <c r="R36" s="449">
        <v>5884.3470319634707</v>
      </c>
      <c r="S36" s="452"/>
    </row>
    <row r="37" spans="1:19" x14ac:dyDescent="0.3">
      <c r="A37" s="451">
        <v>5060</v>
      </c>
      <c r="B37" s="452" t="s">
        <v>19</v>
      </c>
      <c r="C37" s="452" t="s">
        <v>296</v>
      </c>
      <c r="D37" s="452" t="s">
        <v>295</v>
      </c>
      <c r="E37" s="450">
        <v>60000</v>
      </c>
      <c r="F37" s="457">
        <v>43837</v>
      </c>
      <c r="G37" s="457">
        <v>44203</v>
      </c>
      <c r="H37" s="453"/>
      <c r="I37" s="453">
        <v>1.9</v>
      </c>
      <c r="J37" s="449">
        <v>746.50913242009119</v>
      </c>
      <c r="K37" s="449">
        <v>93.69863013698631</v>
      </c>
      <c r="L37" s="449"/>
      <c r="M37" s="449"/>
      <c r="N37" s="449">
        <v>840.20776255707756</v>
      </c>
      <c r="O37" s="449">
        <v>96.821917808219183</v>
      </c>
      <c r="P37" s="449"/>
      <c r="Q37" s="449"/>
      <c r="R37" s="449">
        <v>937.02968036529671</v>
      </c>
      <c r="S37" s="452"/>
    </row>
    <row r="38" spans="1:19" x14ac:dyDescent="0.3">
      <c r="A38" s="451">
        <v>5060</v>
      </c>
      <c r="B38" s="452" t="s">
        <v>16</v>
      </c>
      <c r="C38" s="452" t="s">
        <v>294</v>
      </c>
      <c r="D38" s="452" t="s">
        <v>293</v>
      </c>
      <c r="E38" s="450">
        <v>60000</v>
      </c>
      <c r="F38" s="457">
        <v>43838</v>
      </c>
      <c r="G38" s="457">
        <v>44204</v>
      </c>
      <c r="H38" s="453"/>
      <c r="I38" s="453">
        <v>1.9</v>
      </c>
      <c r="J38" s="449">
        <v>743.34246575342468</v>
      </c>
      <c r="K38" s="449">
        <v>93.69863013698631</v>
      </c>
      <c r="L38" s="449"/>
      <c r="M38" s="449"/>
      <c r="N38" s="449">
        <v>837.04109589041104</v>
      </c>
      <c r="O38" s="449">
        <v>96.821917808219183</v>
      </c>
      <c r="P38" s="449"/>
      <c r="Q38" s="449"/>
      <c r="R38" s="449">
        <v>933.8630136986302</v>
      </c>
      <c r="S38" s="452"/>
    </row>
    <row r="39" spans="1:19" x14ac:dyDescent="0.3">
      <c r="A39" s="451">
        <v>5060</v>
      </c>
      <c r="B39" s="452" t="s">
        <v>233</v>
      </c>
      <c r="C39" s="452" t="s">
        <v>292</v>
      </c>
      <c r="D39" s="452" t="s">
        <v>291</v>
      </c>
      <c r="E39" s="450">
        <v>59000</v>
      </c>
      <c r="F39" s="457">
        <v>43846</v>
      </c>
      <c r="G39" s="457">
        <v>44212</v>
      </c>
      <c r="H39" s="453"/>
      <c r="I39" s="453">
        <v>5.65</v>
      </c>
      <c r="J39" s="449">
        <v>2192.1441019786912</v>
      </c>
      <c r="K39" s="449">
        <v>273.98630136986304</v>
      </c>
      <c r="L39" s="449"/>
      <c r="M39" s="449"/>
      <c r="N39" s="449">
        <v>2466.1304033485544</v>
      </c>
      <c r="O39" s="449">
        <v>283.11917808219181</v>
      </c>
      <c r="P39" s="449"/>
      <c r="Q39" s="449"/>
      <c r="R39" s="449">
        <v>2749.2495814307463</v>
      </c>
      <c r="S39" s="452"/>
    </row>
    <row r="40" spans="1:19" x14ac:dyDescent="0.3">
      <c r="A40" s="451">
        <v>5060</v>
      </c>
      <c r="B40" s="452" t="s">
        <v>19</v>
      </c>
      <c r="C40" s="452" t="s">
        <v>290</v>
      </c>
      <c r="D40" s="452" t="s">
        <v>289</v>
      </c>
      <c r="E40" s="450">
        <v>50000</v>
      </c>
      <c r="F40" s="457">
        <v>43846</v>
      </c>
      <c r="G40" s="457">
        <v>44212</v>
      </c>
      <c r="H40" s="453"/>
      <c r="I40" s="453">
        <v>1.9</v>
      </c>
      <c r="J40" s="449">
        <v>624.72983257229839</v>
      </c>
      <c r="K40" s="449">
        <v>78.08219178082193</v>
      </c>
      <c r="L40" s="449"/>
      <c r="M40" s="449"/>
      <c r="N40" s="449">
        <v>702.81202435312036</v>
      </c>
      <c r="O40" s="449">
        <v>80.684931506849324</v>
      </c>
      <c r="P40" s="449"/>
      <c r="Q40" s="449"/>
      <c r="R40" s="449">
        <v>783.49695585996972</v>
      </c>
      <c r="S40" s="452"/>
    </row>
    <row r="41" spans="1:19" x14ac:dyDescent="0.3">
      <c r="A41" s="451">
        <v>5055</v>
      </c>
      <c r="B41" s="452" t="s">
        <v>159</v>
      </c>
      <c r="C41" s="452" t="s">
        <v>288</v>
      </c>
      <c r="D41" s="452" t="s">
        <v>287</v>
      </c>
      <c r="E41" s="450">
        <v>746000</v>
      </c>
      <c r="F41" s="457">
        <v>43851</v>
      </c>
      <c r="G41" s="457">
        <v>44206</v>
      </c>
      <c r="H41" s="453"/>
      <c r="I41" s="453">
        <v>7.55</v>
      </c>
      <c r="J41" s="449">
        <v>36412.776636225266</v>
      </c>
      <c r="K41" s="449">
        <v>4629.2876712328771</v>
      </c>
      <c r="L41" s="449"/>
      <c r="M41" s="449"/>
      <c r="N41" s="449">
        <v>41042.064307458146</v>
      </c>
      <c r="O41" s="449">
        <v>4783.597260273973</v>
      </c>
      <c r="P41" s="449"/>
      <c r="Q41" s="449"/>
      <c r="R41" s="449">
        <v>45825.661567732117</v>
      </c>
      <c r="S41" s="452"/>
    </row>
    <row r="42" spans="1:19" x14ac:dyDescent="0.3">
      <c r="A42" s="451">
        <v>5055</v>
      </c>
      <c r="B42" s="452" t="s">
        <v>159</v>
      </c>
      <c r="C42" s="452" t="s">
        <v>286</v>
      </c>
      <c r="D42" s="452" t="s">
        <v>285</v>
      </c>
      <c r="E42" s="450">
        <v>50000</v>
      </c>
      <c r="F42" s="457">
        <v>43851</v>
      </c>
      <c r="G42" s="457">
        <v>44210</v>
      </c>
      <c r="H42" s="453"/>
      <c r="I42" s="453">
        <v>5.65</v>
      </c>
      <c r="J42" s="449">
        <v>1794.9714611872146</v>
      </c>
      <c r="K42" s="449">
        <v>232.1917808219178</v>
      </c>
      <c r="L42" s="449"/>
      <c r="M42" s="449"/>
      <c r="N42" s="449">
        <v>2027.1632420091323</v>
      </c>
      <c r="O42" s="449">
        <v>239.93150684931507</v>
      </c>
      <c r="P42" s="449"/>
      <c r="Q42" s="449"/>
      <c r="R42" s="449">
        <v>2267.0947488584475</v>
      </c>
      <c r="S42" s="452"/>
    </row>
    <row r="43" spans="1:19" x14ac:dyDescent="0.3">
      <c r="A43" s="451">
        <v>5055</v>
      </c>
      <c r="B43" s="452" t="s">
        <v>159</v>
      </c>
      <c r="C43" s="452" t="s">
        <v>284</v>
      </c>
      <c r="D43" s="452" t="s">
        <v>283</v>
      </c>
      <c r="E43" s="450">
        <v>220000</v>
      </c>
      <c r="F43" s="457">
        <v>43852</v>
      </c>
      <c r="G43" s="457">
        <v>44218</v>
      </c>
      <c r="H43" s="453"/>
      <c r="I43" s="453">
        <v>5.65</v>
      </c>
      <c r="J43" s="449">
        <v>7621.6522070015217</v>
      </c>
      <c r="K43" s="449">
        <v>1021.6438356164383</v>
      </c>
      <c r="L43" s="449"/>
      <c r="M43" s="449"/>
      <c r="N43" s="449">
        <v>8643.2960426179598</v>
      </c>
      <c r="O43" s="449">
        <v>1055.6986301369861</v>
      </c>
      <c r="P43" s="449"/>
      <c r="Q43" s="449"/>
      <c r="R43" s="449">
        <v>9698.9946727549468</v>
      </c>
      <c r="S43" s="452"/>
    </row>
    <row r="44" spans="1:19" x14ac:dyDescent="0.3">
      <c r="A44" s="451">
        <v>5060</v>
      </c>
      <c r="B44" s="452" t="s">
        <v>16</v>
      </c>
      <c r="C44" s="452" t="s">
        <v>282</v>
      </c>
      <c r="D44" s="452" t="s">
        <v>281</v>
      </c>
      <c r="E44" s="450">
        <v>60000</v>
      </c>
      <c r="F44" s="457">
        <v>43852</v>
      </c>
      <c r="G44" s="457">
        <v>44218</v>
      </c>
      <c r="H44" s="453"/>
      <c r="I44" s="453">
        <v>1.9</v>
      </c>
      <c r="J44" s="449">
        <v>699.0091324200913</v>
      </c>
      <c r="K44" s="449">
        <v>93.69863013698631</v>
      </c>
      <c r="L44" s="449"/>
      <c r="M44" s="449"/>
      <c r="N44" s="449">
        <v>792.70776255707756</v>
      </c>
      <c r="O44" s="449">
        <v>96.821917808219183</v>
      </c>
      <c r="P44" s="449"/>
      <c r="Q44" s="449"/>
      <c r="R44" s="449">
        <v>889.52968036529671</v>
      </c>
      <c r="S44" s="452"/>
    </row>
    <row r="45" spans="1:19" x14ac:dyDescent="0.3">
      <c r="A45" s="451">
        <v>5055</v>
      </c>
      <c r="B45" s="452" t="s">
        <v>159</v>
      </c>
      <c r="C45" s="452" t="s">
        <v>280</v>
      </c>
      <c r="D45" s="452" t="s">
        <v>279</v>
      </c>
      <c r="E45" s="450">
        <v>2200000</v>
      </c>
      <c r="F45" s="457">
        <v>43848</v>
      </c>
      <c r="G45" s="457">
        <v>44214</v>
      </c>
      <c r="H45" s="453"/>
      <c r="I45" s="453">
        <v>6.85</v>
      </c>
      <c r="J45" s="449">
        <v>94078.546423135442</v>
      </c>
      <c r="K45" s="449">
        <v>12386.301369863013</v>
      </c>
      <c r="L45" s="449"/>
      <c r="M45" s="449"/>
      <c r="N45" s="449">
        <v>106464.84779299845</v>
      </c>
      <c r="O45" s="449">
        <v>12799.178082191778</v>
      </c>
      <c r="P45" s="449"/>
      <c r="Q45" s="449"/>
      <c r="R45" s="449">
        <v>119264.02587519023</v>
      </c>
      <c r="S45" s="452"/>
    </row>
    <row r="46" spans="1:19" x14ac:dyDescent="0.3">
      <c r="A46" s="451">
        <v>5063</v>
      </c>
      <c r="B46" s="452" t="s">
        <v>25</v>
      </c>
      <c r="C46" s="452" t="s">
        <v>278</v>
      </c>
      <c r="D46" s="452" t="s">
        <v>277</v>
      </c>
      <c r="E46" s="440">
        <v>175000</v>
      </c>
      <c r="F46" s="457">
        <v>43862</v>
      </c>
      <c r="G46" s="457">
        <v>44228</v>
      </c>
      <c r="H46" s="453"/>
      <c r="I46" s="458">
        <v>4.4000000000000004</v>
      </c>
      <c r="J46" s="449">
        <v>4528.8774733637756</v>
      </c>
      <c r="K46" s="449">
        <v>632.8767123287671</v>
      </c>
      <c r="L46" s="449"/>
      <c r="M46" s="449"/>
      <c r="N46" s="449">
        <v>5161.7541856925427</v>
      </c>
      <c r="O46" s="449">
        <v>653.97260273972609</v>
      </c>
      <c r="P46" s="449"/>
      <c r="Q46" s="449"/>
      <c r="R46" s="449">
        <v>5815.7267884322691</v>
      </c>
      <c r="S46" s="452"/>
    </row>
    <row r="47" spans="1:19" x14ac:dyDescent="0.3">
      <c r="A47" s="451">
        <v>5005</v>
      </c>
      <c r="B47" s="452" t="s">
        <v>265</v>
      </c>
      <c r="C47" s="452" t="s">
        <v>276</v>
      </c>
      <c r="D47" s="452" t="s">
        <v>275</v>
      </c>
      <c r="E47" s="440">
        <v>15300</v>
      </c>
      <c r="F47" s="457">
        <v>43865</v>
      </c>
      <c r="G47" s="457">
        <v>44231</v>
      </c>
      <c r="H47" s="453"/>
      <c r="I47" s="458">
        <v>6.9</v>
      </c>
      <c r="J47" s="449">
        <v>609.19674657534244</v>
      </c>
      <c r="K47" s="449">
        <v>86.76986301369864</v>
      </c>
      <c r="L47" s="449"/>
      <c r="M47" s="449"/>
      <c r="N47" s="449">
        <v>695.96660958904113</v>
      </c>
      <c r="O47" s="449">
        <v>89.662191780821928</v>
      </c>
      <c r="P47" s="449"/>
      <c r="Q47" s="449"/>
      <c r="R47" s="449">
        <v>785.62880136986303</v>
      </c>
      <c r="S47" s="452"/>
    </row>
    <row r="48" spans="1:19" x14ac:dyDescent="0.3">
      <c r="A48" s="451">
        <v>5028</v>
      </c>
      <c r="B48" s="452" t="s">
        <v>274</v>
      </c>
      <c r="C48" s="452" t="s">
        <v>273</v>
      </c>
      <c r="D48" s="452" t="s">
        <v>272</v>
      </c>
      <c r="E48" s="440">
        <v>1400000</v>
      </c>
      <c r="F48" s="457">
        <v>43865</v>
      </c>
      <c r="G48" s="457">
        <v>44231</v>
      </c>
      <c r="H48" s="453"/>
      <c r="I48" s="458">
        <v>7.9</v>
      </c>
      <c r="J48" s="449">
        <v>63822.260273972606</v>
      </c>
      <c r="K48" s="449">
        <v>9090.4109589041109</v>
      </c>
      <c r="L48" s="449"/>
      <c r="M48" s="449"/>
      <c r="N48" s="449">
        <v>72912.671232876717</v>
      </c>
      <c r="O48" s="449">
        <v>9393.4246575342477</v>
      </c>
      <c r="P48" s="449"/>
      <c r="Q48" s="449"/>
      <c r="R48" s="449">
        <v>82306.095890410972</v>
      </c>
      <c r="S48" s="452"/>
    </row>
    <row r="49" spans="1:19" x14ac:dyDescent="0.3">
      <c r="A49" s="451">
        <v>5057</v>
      </c>
      <c r="B49" s="452" t="s">
        <v>268</v>
      </c>
      <c r="C49" s="452" t="s">
        <v>267</v>
      </c>
      <c r="D49" s="452" t="s">
        <v>266</v>
      </c>
      <c r="E49" s="440">
        <v>500000</v>
      </c>
      <c r="F49" s="457">
        <v>43866</v>
      </c>
      <c r="G49" s="457">
        <v>44232</v>
      </c>
      <c r="H49" s="453"/>
      <c r="I49" s="453">
        <v>3.4</v>
      </c>
      <c r="J49" s="449">
        <v>9762.7092846270934</v>
      </c>
      <c r="K49" s="449">
        <v>1397.2602739726026</v>
      </c>
      <c r="L49" s="449"/>
      <c r="M49" s="449"/>
      <c r="N49" s="449">
        <v>11159.969558599696</v>
      </c>
      <c r="O49" s="449">
        <v>1443.8356164383561</v>
      </c>
      <c r="P49" s="449"/>
      <c r="Q49" s="449"/>
      <c r="R49" s="449">
        <v>12603.805175038053</v>
      </c>
      <c r="S49" s="452"/>
    </row>
    <row r="50" spans="1:19" x14ac:dyDescent="0.3">
      <c r="A50" s="451">
        <v>5005</v>
      </c>
      <c r="B50" s="452" t="s">
        <v>265</v>
      </c>
      <c r="C50" s="452" t="s">
        <v>264</v>
      </c>
      <c r="D50" s="452" t="s">
        <v>263</v>
      </c>
      <c r="E50" s="440">
        <v>188600</v>
      </c>
      <c r="F50" s="457">
        <v>43867</v>
      </c>
      <c r="G50" s="457">
        <v>44233</v>
      </c>
      <c r="H50" s="453"/>
      <c r="I50" s="453">
        <v>6.9</v>
      </c>
      <c r="J50" s="449">
        <v>7437.1481963470342</v>
      </c>
      <c r="K50" s="449">
        <v>1069.5945205479454</v>
      </c>
      <c r="L50" s="449"/>
      <c r="M50" s="449"/>
      <c r="N50" s="449">
        <v>8506.7427168949798</v>
      </c>
      <c r="O50" s="449">
        <v>1105.2476712328769</v>
      </c>
      <c r="P50" s="449"/>
      <c r="Q50" s="449"/>
      <c r="R50" s="449">
        <v>9611.9903881278569</v>
      </c>
      <c r="S50" s="452"/>
    </row>
    <row r="51" spans="1:19" x14ac:dyDescent="0.3">
      <c r="A51" s="451">
        <v>5060</v>
      </c>
      <c r="B51" s="452" t="s">
        <v>19</v>
      </c>
      <c r="C51" s="452" t="s">
        <v>259</v>
      </c>
      <c r="D51" s="452" t="s">
        <v>258</v>
      </c>
      <c r="E51" s="440">
        <v>72500</v>
      </c>
      <c r="F51" s="457">
        <v>43864</v>
      </c>
      <c r="G51" s="457">
        <v>44230</v>
      </c>
      <c r="H51" s="453"/>
      <c r="I51" s="453">
        <v>1.9</v>
      </c>
      <c r="J51" s="449">
        <v>798.71936834094367</v>
      </c>
      <c r="K51" s="449">
        <v>113.21917808219179</v>
      </c>
      <c r="L51" s="449"/>
      <c r="M51" s="449"/>
      <c r="N51" s="449">
        <v>911.93854642313545</v>
      </c>
      <c r="O51" s="449">
        <v>116.99315068493151</v>
      </c>
      <c r="P51" s="449"/>
      <c r="Q51" s="449"/>
      <c r="R51" s="449">
        <v>1028.9316971080671</v>
      </c>
      <c r="S51" s="452"/>
    </row>
    <row r="52" spans="1:19" x14ac:dyDescent="0.3">
      <c r="A52" s="451">
        <v>5060</v>
      </c>
      <c r="B52" s="452" t="s">
        <v>19</v>
      </c>
      <c r="C52" s="452" t="s">
        <v>257</v>
      </c>
      <c r="D52" s="452" t="s">
        <v>256</v>
      </c>
      <c r="E52" s="440">
        <v>90000</v>
      </c>
      <c r="F52" s="457">
        <v>43864</v>
      </c>
      <c r="G52" s="457">
        <v>44230</v>
      </c>
      <c r="H52" s="453"/>
      <c r="I52" s="453">
        <v>1.9</v>
      </c>
      <c r="J52" s="449">
        <v>991.51369863013701</v>
      </c>
      <c r="K52" s="449">
        <v>140.54794520547946</v>
      </c>
      <c r="L52" s="449"/>
      <c r="M52" s="449"/>
      <c r="N52" s="449">
        <v>1132.0616438356165</v>
      </c>
      <c r="O52" s="449">
        <v>145.23287671232876</v>
      </c>
      <c r="P52" s="449"/>
      <c r="Q52" s="449"/>
      <c r="R52" s="449">
        <v>1277.2945205479452</v>
      </c>
      <c r="S52" s="452"/>
    </row>
    <row r="53" spans="1:19" x14ac:dyDescent="0.3">
      <c r="A53" s="451">
        <v>5055</v>
      </c>
      <c r="B53" s="452" t="s">
        <v>56</v>
      </c>
      <c r="C53" s="452" t="s">
        <v>255</v>
      </c>
      <c r="D53" s="452" t="s">
        <v>254</v>
      </c>
      <c r="E53" s="440">
        <v>1000000</v>
      </c>
      <c r="F53" s="457">
        <v>43878</v>
      </c>
      <c r="G53" s="457">
        <v>44244</v>
      </c>
      <c r="H53" s="453"/>
      <c r="I53" s="453">
        <v>5.4</v>
      </c>
      <c r="J53" s="449">
        <v>29210.958904109597</v>
      </c>
      <c r="K53" s="449">
        <v>4438.3561643835619</v>
      </c>
      <c r="L53" s="449"/>
      <c r="M53" s="449"/>
      <c r="N53" s="449">
        <v>33649.315068493161</v>
      </c>
      <c r="O53" s="449">
        <v>4586.3013698630148</v>
      </c>
      <c r="P53" s="449"/>
      <c r="Q53" s="449"/>
      <c r="R53" s="449">
        <v>38235.616438356177</v>
      </c>
      <c r="S53" s="452"/>
    </row>
    <row r="54" spans="1:19" x14ac:dyDescent="0.3">
      <c r="A54" s="451">
        <v>5055</v>
      </c>
      <c r="B54" s="452" t="s">
        <v>56</v>
      </c>
      <c r="C54" s="452" t="s">
        <v>253</v>
      </c>
      <c r="D54" s="452" t="s">
        <v>252</v>
      </c>
      <c r="E54" s="440">
        <v>1500000</v>
      </c>
      <c r="F54" s="457">
        <v>43879</v>
      </c>
      <c r="G54" s="457">
        <v>44245</v>
      </c>
      <c r="H54" s="453"/>
      <c r="I54" s="453">
        <v>6.9</v>
      </c>
      <c r="J54" s="449">
        <v>55700.171232876724</v>
      </c>
      <c r="K54" s="449">
        <v>8506.8493150684935</v>
      </c>
      <c r="L54" s="449"/>
      <c r="M54" s="449"/>
      <c r="N54" s="449">
        <v>64207.02054794522</v>
      </c>
      <c r="O54" s="449">
        <v>8790.4109589041109</v>
      </c>
      <c r="P54" s="449"/>
      <c r="Q54" s="449"/>
      <c r="R54" s="449">
        <v>72997.431506849331</v>
      </c>
      <c r="S54" s="452"/>
    </row>
    <row r="55" spans="1:19" x14ac:dyDescent="0.3">
      <c r="A55" s="451">
        <v>5063</v>
      </c>
      <c r="B55" s="452" t="s">
        <v>77</v>
      </c>
      <c r="C55" s="452" t="s">
        <v>251</v>
      </c>
      <c r="D55" s="452" t="s">
        <v>250</v>
      </c>
      <c r="E55" s="440">
        <v>23000</v>
      </c>
      <c r="F55" s="457">
        <v>43880</v>
      </c>
      <c r="G55" s="457">
        <v>44246</v>
      </c>
      <c r="H55" s="453"/>
      <c r="I55" s="453">
        <v>5.4</v>
      </c>
      <c r="J55" s="449">
        <v>668.40205479452061</v>
      </c>
      <c r="K55" s="449">
        <v>102.08219178082192</v>
      </c>
      <c r="L55" s="449"/>
      <c r="M55" s="449"/>
      <c r="N55" s="449">
        <v>770.48424657534247</v>
      </c>
      <c r="O55" s="449">
        <v>105.48493150684934</v>
      </c>
      <c r="P55" s="449"/>
      <c r="Q55" s="449"/>
      <c r="R55" s="449">
        <v>875.96917808219177</v>
      </c>
      <c r="S55" s="452"/>
    </row>
    <row r="56" spans="1:19" x14ac:dyDescent="0.3">
      <c r="A56" s="451">
        <v>5060</v>
      </c>
      <c r="B56" s="452" t="s">
        <v>16</v>
      </c>
      <c r="C56" s="452" t="s">
        <v>249</v>
      </c>
      <c r="D56" s="452" t="s">
        <v>248</v>
      </c>
      <c r="E56" s="440">
        <v>87500</v>
      </c>
      <c r="F56" s="457">
        <v>43880</v>
      </c>
      <c r="G56" s="457">
        <v>44246</v>
      </c>
      <c r="H56" s="453"/>
      <c r="I56" s="453">
        <v>1.9</v>
      </c>
      <c r="J56" s="449">
        <v>890.08276255707779</v>
      </c>
      <c r="K56" s="449">
        <v>136.64383561643837</v>
      </c>
      <c r="L56" s="449"/>
      <c r="M56" s="449"/>
      <c r="N56" s="449">
        <v>1026.7265981735161</v>
      </c>
      <c r="O56" s="449">
        <v>141.19863013698631</v>
      </c>
      <c r="P56" s="449"/>
      <c r="Q56" s="449"/>
      <c r="R56" s="449">
        <v>1167.9252283105025</v>
      </c>
      <c r="S56" s="452"/>
    </row>
    <row r="57" spans="1:19" x14ac:dyDescent="0.3">
      <c r="A57" s="451">
        <v>5060</v>
      </c>
      <c r="B57" s="452" t="s">
        <v>19</v>
      </c>
      <c r="C57" s="452" t="s">
        <v>247</v>
      </c>
      <c r="D57" s="452" t="s">
        <v>246</v>
      </c>
      <c r="E57" s="440">
        <v>87500</v>
      </c>
      <c r="F57" s="457">
        <v>43880</v>
      </c>
      <c r="G57" s="457">
        <v>44246</v>
      </c>
      <c r="H57" s="453"/>
      <c r="I57" s="453">
        <v>1.9</v>
      </c>
      <c r="J57" s="449">
        <v>890.08276255707779</v>
      </c>
      <c r="K57" s="449">
        <v>136.64383561643837</v>
      </c>
      <c r="L57" s="449"/>
      <c r="M57" s="449"/>
      <c r="N57" s="449">
        <v>1026.7265981735161</v>
      </c>
      <c r="O57" s="449">
        <v>141.19863013698631</v>
      </c>
      <c r="P57" s="449"/>
      <c r="Q57" s="449"/>
      <c r="R57" s="449">
        <v>1167.9252283105025</v>
      </c>
      <c r="S57" s="452"/>
    </row>
    <row r="58" spans="1:19" x14ac:dyDescent="0.3">
      <c r="A58" s="459">
        <v>5063</v>
      </c>
      <c r="B58" s="460" t="s">
        <v>13</v>
      </c>
      <c r="C58" s="460" t="s">
        <v>245</v>
      </c>
      <c r="D58" s="460" t="s">
        <v>244</v>
      </c>
      <c r="E58" s="440">
        <v>100000</v>
      </c>
      <c r="F58" s="461">
        <v>43881</v>
      </c>
      <c r="G58" s="461">
        <v>44247</v>
      </c>
      <c r="H58" s="462"/>
      <c r="I58" s="453">
        <v>8.9</v>
      </c>
      <c r="J58" s="449">
        <v>4740.2321156773223</v>
      </c>
      <c r="K58" s="449">
        <v>731.50684931506851</v>
      </c>
      <c r="L58" s="449"/>
      <c r="M58" s="449"/>
      <c r="N58" s="449">
        <v>5471.7389649923907</v>
      </c>
      <c r="O58" s="449">
        <v>755.89041095890423</v>
      </c>
      <c r="P58" s="449"/>
      <c r="Q58" s="449"/>
      <c r="R58" s="449">
        <v>6227.6293759512946</v>
      </c>
      <c r="S58" s="460"/>
    </row>
    <row r="59" spans="1:19" x14ac:dyDescent="0.3">
      <c r="A59" s="451">
        <v>5063</v>
      </c>
      <c r="B59" s="452" t="s">
        <v>25</v>
      </c>
      <c r="C59" s="452" t="s">
        <v>243</v>
      </c>
      <c r="D59" s="452" t="s">
        <v>242</v>
      </c>
      <c r="E59" s="450">
        <v>122500</v>
      </c>
      <c r="F59" s="457">
        <v>43891</v>
      </c>
      <c r="G59" s="457">
        <v>44256</v>
      </c>
      <c r="H59" s="453"/>
      <c r="I59" s="453">
        <v>4.4000000000000004</v>
      </c>
      <c r="J59" s="449">
        <v>2706.0753424657537</v>
      </c>
      <c r="K59" s="449">
        <v>443.01369863013696</v>
      </c>
      <c r="L59" s="449"/>
      <c r="M59" s="449"/>
      <c r="N59" s="449">
        <v>3149.0890410958905</v>
      </c>
      <c r="O59" s="449">
        <v>457.78082191780834</v>
      </c>
      <c r="P59" s="449"/>
      <c r="Q59" s="449"/>
      <c r="R59" s="449">
        <v>3606.8698630136987</v>
      </c>
      <c r="S59" s="452"/>
    </row>
    <row r="60" spans="1:19" x14ac:dyDescent="0.3">
      <c r="A60" s="451">
        <v>5056</v>
      </c>
      <c r="B60" s="452" t="s">
        <v>124</v>
      </c>
      <c r="C60" s="452" t="s">
        <v>241</v>
      </c>
      <c r="D60" s="452" t="s">
        <v>240</v>
      </c>
      <c r="E60" s="450">
        <v>200000</v>
      </c>
      <c r="F60" s="457">
        <v>43892</v>
      </c>
      <c r="G60" s="457">
        <v>44257</v>
      </c>
      <c r="H60" s="453"/>
      <c r="I60" s="453">
        <v>5.9</v>
      </c>
      <c r="J60" s="449">
        <v>5891.4687975646884</v>
      </c>
      <c r="K60" s="449">
        <v>969.86301369863008</v>
      </c>
      <c r="L60" s="449"/>
      <c r="M60" s="449"/>
      <c r="N60" s="449">
        <v>6861.3318112633187</v>
      </c>
      <c r="O60" s="449">
        <v>1002.1917808219177</v>
      </c>
      <c r="P60" s="449"/>
      <c r="Q60" s="449"/>
      <c r="R60" s="449">
        <v>7863.5235920852365</v>
      </c>
      <c r="S60" s="452"/>
    </row>
    <row r="61" spans="1:19" x14ac:dyDescent="0.3">
      <c r="A61" s="451">
        <v>5040</v>
      </c>
      <c r="B61" s="452" t="s">
        <v>82</v>
      </c>
      <c r="C61" s="452" t="s">
        <v>239</v>
      </c>
      <c r="D61" s="452" t="s">
        <v>238</v>
      </c>
      <c r="E61" s="450">
        <v>22652.99</v>
      </c>
      <c r="F61" s="457">
        <v>43894</v>
      </c>
      <c r="G61" s="457">
        <v>44259</v>
      </c>
      <c r="H61" s="453"/>
      <c r="I61" s="453">
        <v>6.15</v>
      </c>
      <c r="J61" s="449">
        <v>687.83244036815086</v>
      </c>
      <c r="K61" s="449">
        <v>114.50620972602742</v>
      </c>
      <c r="L61" s="449"/>
      <c r="M61" s="449"/>
      <c r="N61" s="449">
        <v>802.33865009417832</v>
      </c>
      <c r="O61" s="449">
        <v>118.32308338356167</v>
      </c>
      <c r="P61" s="449"/>
      <c r="Q61" s="449"/>
      <c r="R61" s="449">
        <v>920.66173347773997</v>
      </c>
      <c r="S61" s="452"/>
    </row>
    <row r="62" spans="1:19" x14ac:dyDescent="0.3">
      <c r="A62" s="451">
        <v>5056</v>
      </c>
      <c r="B62" s="452" t="s">
        <v>124</v>
      </c>
      <c r="C62" s="452" t="s">
        <v>237</v>
      </c>
      <c r="D62" s="452" t="s">
        <v>236</v>
      </c>
      <c r="E62" s="450">
        <v>50000</v>
      </c>
      <c r="F62" s="457">
        <v>43902</v>
      </c>
      <c r="G62" s="457">
        <v>44267</v>
      </c>
      <c r="H62" s="453"/>
      <c r="I62" s="453">
        <v>4.9000000000000004</v>
      </c>
      <c r="J62" s="449">
        <v>1155.1731354642313</v>
      </c>
      <c r="K62" s="449">
        <v>201.36986301369865</v>
      </c>
      <c r="L62" s="449"/>
      <c r="M62" s="449"/>
      <c r="N62" s="449">
        <v>1356.54299847793</v>
      </c>
      <c r="O62" s="449">
        <v>208.08219178082192</v>
      </c>
      <c r="P62" s="449"/>
      <c r="Q62" s="449"/>
      <c r="R62" s="449">
        <v>1564.6251902587519</v>
      </c>
      <c r="S62" s="452"/>
    </row>
    <row r="63" spans="1:19" x14ac:dyDescent="0.3">
      <c r="A63" s="451">
        <v>5060</v>
      </c>
      <c r="B63" s="452" t="s">
        <v>16</v>
      </c>
      <c r="C63" s="452" t="s">
        <v>235</v>
      </c>
      <c r="D63" s="452" t="s">
        <v>234</v>
      </c>
      <c r="E63" s="450">
        <v>72500</v>
      </c>
      <c r="F63" s="457">
        <v>43903</v>
      </c>
      <c r="G63" s="457">
        <v>44268</v>
      </c>
      <c r="H63" s="453"/>
      <c r="I63" s="453">
        <v>1.9</v>
      </c>
      <c r="J63" s="449">
        <v>645.66381278538813</v>
      </c>
      <c r="K63" s="449">
        <v>113.21917808219179</v>
      </c>
      <c r="L63" s="449"/>
      <c r="M63" s="449"/>
      <c r="N63" s="449">
        <v>758.88299086757991</v>
      </c>
      <c r="O63" s="449">
        <v>116.99315068493151</v>
      </c>
      <c r="P63" s="449"/>
      <c r="Q63" s="449"/>
      <c r="R63" s="449">
        <v>875.8761415525114</v>
      </c>
      <c r="S63" s="452"/>
    </row>
    <row r="64" spans="1:19" x14ac:dyDescent="0.3">
      <c r="A64" s="451">
        <v>5060</v>
      </c>
      <c r="B64" s="452" t="s">
        <v>233</v>
      </c>
      <c r="C64" s="452" t="s">
        <v>232</v>
      </c>
      <c r="D64" s="452" t="s">
        <v>231</v>
      </c>
      <c r="E64" s="450">
        <v>80000</v>
      </c>
      <c r="F64" s="457">
        <v>43903</v>
      </c>
      <c r="G64" s="457">
        <v>44268</v>
      </c>
      <c r="H64" s="453"/>
      <c r="I64" s="453">
        <v>5.65</v>
      </c>
      <c r="J64" s="449">
        <v>2118.6210045662101</v>
      </c>
      <c r="K64" s="449">
        <v>371.50684931506851</v>
      </c>
      <c r="L64" s="449"/>
      <c r="M64" s="449"/>
      <c r="N64" s="449">
        <v>2490.1278538812785</v>
      </c>
      <c r="O64" s="449">
        <v>383.89041095890411</v>
      </c>
      <c r="P64" s="449"/>
      <c r="Q64" s="449"/>
      <c r="R64" s="449">
        <v>2874.0182648401824</v>
      </c>
      <c r="S64" s="452"/>
    </row>
    <row r="65" spans="1:19" x14ac:dyDescent="0.3">
      <c r="A65" s="451">
        <v>5063</v>
      </c>
      <c r="B65" s="452" t="s">
        <v>13</v>
      </c>
      <c r="C65" s="452" t="s">
        <v>230</v>
      </c>
      <c r="D65" s="452" t="s">
        <v>229</v>
      </c>
      <c r="E65" s="463">
        <v>100000</v>
      </c>
      <c r="F65" s="457">
        <v>43904</v>
      </c>
      <c r="G65" s="457">
        <v>44269</v>
      </c>
      <c r="H65" s="453"/>
      <c r="I65" s="453">
        <v>4.6500000000000004</v>
      </c>
      <c r="J65" s="449">
        <v>2166.638127853882</v>
      </c>
      <c r="K65" s="449">
        <v>382.1917808219178</v>
      </c>
      <c r="L65" s="449"/>
      <c r="M65" s="449"/>
      <c r="N65" s="449">
        <v>2548.8299086757997</v>
      </c>
      <c r="O65" s="449">
        <v>394.93150684931516</v>
      </c>
      <c r="P65" s="449"/>
      <c r="Q65" s="449"/>
      <c r="R65" s="449">
        <v>2943.7614155251149</v>
      </c>
      <c r="S65" s="452"/>
    </row>
    <row r="66" spans="1:19" ht="57.6" x14ac:dyDescent="0.3">
      <c r="A66" s="454">
        <v>5063</v>
      </c>
      <c r="B66" s="455" t="s">
        <v>25</v>
      </c>
      <c r="C66" s="455" t="s">
        <v>215</v>
      </c>
      <c r="D66" s="455" t="s">
        <v>214</v>
      </c>
      <c r="E66" s="456">
        <v>122500</v>
      </c>
      <c r="F66" s="457">
        <v>43922</v>
      </c>
      <c r="G66" s="457">
        <v>44287</v>
      </c>
      <c r="H66" s="453"/>
      <c r="I66" s="450">
        <v>4.4000000000000004</v>
      </c>
      <c r="J66" s="449">
        <v>2256.9086757990872</v>
      </c>
      <c r="K66" s="449">
        <v>443.01369863013696</v>
      </c>
      <c r="L66" s="449"/>
      <c r="M66" s="449"/>
      <c r="N66" s="449">
        <v>2699.922374429224</v>
      </c>
      <c r="O66" s="449">
        <v>457.78082191780834</v>
      </c>
      <c r="P66" s="449"/>
      <c r="Q66" s="449"/>
      <c r="R66" s="449">
        <v>3157.7031963470322</v>
      </c>
      <c r="S66" s="452"/>
    </row>
    <row r="67" spans="1:19" ht="43.2" x14ac:dyDescent="0.3">
      <c r="A67" s="454">
        <v>5060</v>
      </c>
      <c r="B67" s="455" t="s">
        <v>16</v>
      </c>
      <c r="C67" s="455" t="s">
        <v>213</v>
      </c>
      <c r="D67" s="455" t="s">
        <v>212</v>
      </c>
      <c r="E67" s="456">
        <v>90000</v>
      </c>
      <c r="F67" s="457">
        <v>43925</v>
      </c>
      <c r="G67" s="457">
        <v>44290</v>
      </c>
      <c r="H67" s="453"/>
      <c r="I67" s="450">
        <v>1.9</v>
      </c>
      <c r="J67" s="449">
        <v>716.01369863013701</v>
      </c>
      <c r="K67" s="449">
        <v>140.54794520547946</v>
      </c>
      <c r="L67" s="449"/>
      <c r="M67" s="449"/>
      <c r="N67" s="449">
        <v>856.56164383561645</v>
      </c>
      <c r="O67" s="449">
        <v>145.23287671232876</v>
      </c>
      <c r="P67" s="449"/>
      <c r="Q67" s="449"/>
      <c r="R67" s="449">
        <v>1001.7945205479452</v>
      </c>
      <c r="S67" s="452"/>
    </row>
    <row r="68" spans="1:19" ht="57.6" x14ac:dyDescent="0.3">
      <c r="A68" s="454">
        <v>5005</v>
      </c>
      <c r="B68" s="455" t="s">
        <v>211</v>
      </c>
      <c r="C68" s="455" t="s">
        <v>210</v>
      </c>
      <c r="D68" s="455" t="s">
        <v>209</v>
      </c>
      <c r="E68" s="456">
        <v>1100000</v>
      </c>
      <c r="F68" s="457">
        <v>43927</v>
      </c>
      <c r="G68" s="457">
        <v>44292</v>
      </c>
      <c r="H68" s="453"/>
      <c r="I68" s="450">
        <v>5.92</v>
      </c>
      <c r="J68" s="449">
        <v>26362.697108066972</v>
      </c>
      <c r="K68" s="449">
        <v>5352.3287671232874</v>
      </c>
      <c r="L68" s="449"/>
      <c r="M68" s="449"/>
      <c r="N68" s="449">
        <v>31715.025875190258</v>
      </c>
      <c r="O68" s="449">
        <v>5530.7397260273965</v>
      </c>
      <c r="P68" s="449"/>
      <c r="Q68" s="449"/>
      <c r="R68" s="449">
        <v>37245.765601217652</v>
      </c>
      <c r="S68" s="452"/>
    </row>
    <row r="69" spans="1:19" ht="57.6" x14ac:dyDescent="0.3">
      <c r="A69" s="454">
        <v>5004</v>
      </c>
      <c r="B69" s="455" t="s">
        <v>174</v>
      </c>
      <c r="C69" s="455" t="s">
        <v>206</v>
      </c>
      <c r="D69" s="455" t="s">
        <v>205</v>
      </c>
      <c r="E69" s="456">
        <v>810000</v>
      </c>
      <c r="F69" s="457">
        <v>43936</v>
      </c>
      <c r="G69" s="457">
        <v>44301</v>
      </c>
      <c r="H69" s="453"/>
      <c r="I69" s="450">
        <v>5.65</v>
      </c>
      <c r="J69" s="449">
        <v>17383.037671232876</v>
      </c>
      <c r="K69" s="449">
        <v>3761.5068493150684</v>
      </c>
      <c r="L69" s="449"/>
      <c r="M69" s="449"/>
      <c r="N69" s="449">
        <v>21144.544520547945</v>
      </c>
      <c r="O69" s="449">
        <v>3886.8904109589043</v>
      </c>
      <c r="P69" s="449"/>
      <c r="Q69" s="449"/>
      <c r="R69" s="449">
        <v>25031.43493150685</v>
      </c>
      <c r="S69" s="452"/>
    </row>
    <row r="70" spans="1:19" ht="57.6" x14ac:dyDescent="0.3">
      <c r="A70" s="454">
        <v>5031</v>
      </c>
      <c r="B70" s="455" t="s">
        <v>204</v>
      </c>
      <c r="C70" s="455" t="s">
        <v>203</v>
      </c>
      <c r="D70" s="455" t="s">
        <v>202</v>
      </c>
      <c r="E70" s="456">
        <v>330000</v>
      </c>
      <c r="F70" s="457">
        <v>43937</v>
      </c>
      <c r="G70" s="457">
        <v>44302</v>
      </c>
      <c r="H70" s="453"/>
      <c r="I70" s="450">
        <v>4.9000000000000004</v>
      </c>
      <c r="J70" s="449">
        <v>6096.9760273972606</v>
      </c>
      <c r="K70" s="449">
        <v>1329.041095890411</v>
      </c>
      <c r="L70" s="449"/>
      <c r="M70" s="449"/>
      <c r="N70" s="449">
        <v>7426.0171232876719</v>
      </c>
      <c r="O70" s="449">
        <v>1373.3424657534247</v>
      </c>
      <c r="P70" s="449"/>
      <c r="Q70" s="449"/>
      <c r="R70" s="449">
        <v>8799.3595890410961</v>
      </c>
      <c r="S70" s="452"/>
    </row>
    <row r="71" spans="1:19" ht="57.6" x14ac:dyDescent="0.3">
      <c r="A71" s="454">
        <v>5060</v>
      </c>
      <c r="B71" s="455" t="s">
        <v>177</v>
      </c>
      <c r="C71" s="455" t="s">
        <v>201</v>
      </c>
      <c r="D71" s="455" t="s">
        <v>200</v>
      </c>
      <c r="E71" s="456">
        <v>33000</v>
      </c>
      <c r="F71" s="457">
        <v>43942</v>
      </c>
      <c r="G71" s="457">
        <v>44307</v>
      </c>
      <c r="H71" s="453"/>
      <c r="I71" s="450">
        <v>6.4</v>
      </c>
      <c r="J71" s="449">
        <v>767.00639269406383</v>
      </c>
      <c r="K71" s="449">
        <v>173.58904109589042</v>
      </c>
      <c r="L71" s="449"/>
      <c r="M71" s="449"/>
      <c r="N71" s="449">
        <v>940.59543378995431</v>
      </c>
      <c r="O71" s="449">
        <v>179.37534246575342</v>
      </c>
      <c r="P71" s="449"/>
      <c r="Q71" s="449"/>
      <c r="R71" s="449">
        <v>1119.9707762557077</v>
      </c>
      <c r="S71" s="452"/>
    </row>
    <row r="72" spans="1:19" ht="57.6" x14ac:dyDescent="0.3">
      <c r="A72" s="454"/>
      <c r="B72" s="455" t="s">
        <v>174</v>
      </c>
      <c r="C72" s="455" t="s">
        <v>197</v>
      </c>
      <c r="D72" s="455" t="s">
        <v>196</v>
      </c>
      <c r="E72" s="456">
        <v>631303.15</v>
      </c>
      <c r="F72" s="457">
        <v>44102</v>
      </c>
      <c r="G72" s="457">
        <v>44308</v>
      </c>
      <c r="H72" s="453"/>
      <c r="I72" s="450">
        <v>5.65</v>
      </c>
      <c r="J72" s="449"/>
      <c r="K72" s="449">
        <v>2931.6680527397261</v>
      </c>
      <c r="L72" s="449"/>
      <c r="M72" s="449"/>
      <c r="N72" s="449">
        <v>2931.6680527397261</v>
      </c>
      <c r="O72" s="449">
        <v>3029.3903211643837</v>
      </c>
      <c r="P72" s="449"/>
      <c r="Q72" s="449"/>
      <c r="R72" s="449">
        <v>5961.0583739041103</v>
      </c>
      <c r="S72" s="452"/>
    </row>
    <row r="73" spans="1:19" ht="57.6" x14ac:dyDescent="0.3">
      <c r="A73" s="454">
        <v>5063</v>
      </c>
      <c r="B73" s="455" t="s">
        <v>77</v>
      </c>
      <c r="C73" s="455" t="s">
        <v>193</v>
      </c>
      <c r="D73" s="455" t="s">
        <v>192</v>
      </c>
      <c r="E73" s="456">
        <v>191200</v>
      </c>
      <c r="F73" s="457">
        <v>43948</v>
      </c>
      <c r="G73" s="457">
        <v>44312</v>
      </c>
      <c r="H73" s="453"/>
      <c r="I73" s="450">
        <v>5.4</v>
      </c>
      <c r="J73" s="449">
        <v>3577.5353424657542</v>
      </c>
      <c r="K73" s="449">
        <v>848.61369863013704</v>
      </c>
      <c r="L73" s="449"/>
      <c r="M73" s="449"/>
      <c r="N73" s="449">
        <v>4426.1490410958913</v>
      </c>
      <c r="O73" s="449">
        <v>876.90082191780834</v>
      </c>
      <c r="P73" s="449"/>
      <c r="Q73" s="449"/>
      <c r="R73" s="449">
        <v>5303.0498630136999</v>
      </c>
      <c r="S73" s="452"/>
    </row>
    <row r="74" spans="1:19" ht="57.6" x14ac:dyDescent="0.3">
      <c r="A74" s="454">
        <v>5060</v>
      </c>
      <c r="B74" s="455" t="s">
        <v>177</v>
      </c>
      <c r="C74" s="455" t="s">
        <v>191</v>
      </c>
      <c r="D74" s="455" t="s">
        <v>190</v>
      </c>
      <c r="E74" s="456">
        <v>20000</v>
      </c>
      <c r="F74" s="457">
        <v>43946</v>
      </c>
      <c r="G74" s="457">
        <v>44311</v>
      </c>
      <c r="H74" s="453"/>
      <c r="I74" s="450">
        <v>6</v>
      </c>
      <c r="J74" s="449">
        <v>422.46575342465752</v>
      </c>
      <c r="K74" s="449">
        <v>98.630136986301366</v>
      </c>
      <c r="L74" s="449"/>
      <c r="M74" s="449"/>
      <c r="N74" s="449">
        <v>521.09589041095887</v>
      </c>
      <c r="O74" s="449">
        <v>101.91780821917807</v>
      </c>
      <c r="P74" s="449"/>
      <c r="Q74" s="449"/>
      <c r="R74" s="449">
        <v>623.0136986301369</v>
      </c>
      <c r="S74" s="452"/>
    </row>
    <row r="75" spans="1:19" ht="57.6" x14ac:dyDescent="0.3">
      <c r="A75" s="465">
        <v>5060</v>
      </c>
      <c r="B75" s="466" t="s">
        <v>177</v>
      </c>
      <c r="C75" s="466" t="s">
        <v>189</v>
      </c>
      <c r="D75" s="466" t="s">
        <v>188</v>
      </c>
      <c r="E75" s="467">
        <v>60000</v>
      </c>
      <c r="F75" s="457">
        <v>43946</v>
      </c>
      <c r="G75" s="457">
        <v>44311</v>
      </c>
      <c r="H75" s="453"/>
      <c r="I75" s="450">
        <v>6</v>
      </c>
      <c r="J75" s="449">
        <v>1267.3972602739725</v>
      </c>
      <c r="K75" s="449">
        <v>295.89041095890411</v>
      </c>
      <c r="L75" s="449"/>
      <c r="M75" s="449"/>
      <c r="N75" s="449">
        <v>1563.2876712328766</v>
      </c>
      <c r="O75" s="449">
        <v>305.75342465753425</v>
      </c>
      <c r="P75" s="449"/>
      <c r="Q75" s="449"/>
      <c r="R75" s="449">
        <v>1869.0410958904108</v>
      </c>
      <c r="S75" s="452"/>
    </row>
    <row r="76" spans="1:19" ht="57.6" x14ac:dyDescent="0.3">
      <c r="A76" s="465">
        <v>5060</v>
      </c>
      <c r="B76" s="466" t="s">
        <v>177</v>
      </c>
      <c r="C76" s="466" t="s">
        <v>187</v>
      </c>
      <c r="D76" s="466" t="s">
        <v>186</v>
      </c>
      <c r="E76" s="467">
        <v>87995</v>
      </c>
      <c r="F76" s="457">
        <v>43946</v>
      </c>
      <c r="G76" s="457">
        <v>44311</v>
      </c>
      <c r="H76" s="453"/>
      <c r="I76" s="450">
        <v>6</v>
      </c>
      <c r="J76" s="449">
        <v>1858.7436986301368</v>
      </c>
      <c r="K76" s="449">
        <v>433.94794520547947</v>
      </c>
      <c r="L76" s="449"/>
      <c r="M76" s="449"/>
      <c r="N76" s="449">
        <v>2292.6916438356161</v>
      </c>
      <c r="O76" s="449">
        <v>448.41287671232874</v>
      </c>
      <c r="P76" s="449"/>
      <c r="Q76" s="449"/>
      <c r="R76" s="449">
        <v>2741.104520547945</v>
      </c>
      <c r="S76" s="452"/>
    </row>
    <row r="77" spans="1:19" ht="57.6" x14ac:dyDescent="0.3">
      <c r="A77" s="465">
        <v>5060</v>
      </c>
      <c r="B77" s="466" t="s">
        <v>177</v>
      </c>
      <c r="C77" s="466" t="s">
        <v>185</v>
      </c>
      <c r="D77" s="466" t="s">
        <v>184</v>
      </c>
      <c r="E77" s="467">
        <v>17500</v>
      </c>
      <c r="F77" s="457">
        <v>43946</v>
      </c>
      <c r="G77" s="457">
        <v>44311</v>
      </c>
      <c r="H77" s="453"/>
      <c r="I77" s="450">
        <v>6</v>
      </c>
      <c r="J77" s="449">
        <v>369.65753424657532</v>
      </c>
      <c r="K77" s="449">
        <v>86.30136986301369</v>
      </c>
      <c r="L77" s="449"/>
      <c r="M77" s="449"/>
      <c r="N77" s="449">
        <v>455.95890410958901</v>
      </c>
      <c r="O77" s="449">
        <v>89.178082191780817</v>
      </c>
      <c r="P77" s="449"/>
      <c r="Q77" s="449"/>
      <c r="R77" s="449">
        <v>545.1369863013698</v>
      </c>
      <c r="S77" s="452"/>
    </row>
    <row r="78" spans="1:19" ht="57.6" x14ac:dyDescent="0.3">
      <c r="A78" s="465">
        <v>5060</v>
      </c>
      <c r="B78" s="466" t="s">
        <v>177</v>
      </c>
      <c r="C78" s="466" t="s">
        <v>183</v>
      </c>
      <c r="D78" s="466" t="s">
        <v>182</v>
      </c>
      <c r="E78" s="467">
        <v>48500</v>
      </c>
      <c r="F78" s="457">
        <v>43946</v>
      </c>
      <c r="G78" s="457">
        <v>44311</v>
      </c>
      <c r="H78" s="453"/>
      <c r="I78" s="450">
        <v>6</v>
      </c>
      <c r="J78" s="449">
        <v>1024.4794520547946</v>
      </c>
      <c r="K78" s="449">
        <v>239.17808219178082</v>
      </c>
      <c r="L78" s="449"/>
      <c r="M78" s="449"/>
      <c r="N78" s="449">
        <v>1263.6575342465753</v>
      </c>
      <c r="O78" s="449">
        <v>247.15068493150685</v>
      </c>
      <c r="P78" s="449"/>
      <c r="Q78" s="449"/>
      <c r="R78" s="449">
        <v>1510.8082191780823</v>
      </c>
      <c r="S78" s="452"/>
    </row>
    <row r="79" spans="1:19" ht="57.6" x14ac:dyDescent="0.3">
      <c r="A79" s="465">
        <v>5060</v>
      </c>
      <c r="B79" s="466" t="s">
        <v>177</v>
      </c>
      <c r="C79" s="466" t="s">
        <v>181</v>
      </c>
      <c r="D79" s="466" t="s">
        <v>180</v>
      </c>
      <c r="E79" s="467">
        <v>100000</v>
      </c>
      <c r="F79" s="457">
        <v>43946</v>
      </c>
      <c r="G79" s="457">
        <v>44311</v>
      </c>
      <c r="H79" s="453"/>
      <c r="I79" s="450">
        <v>6</v>
      </c>
      <c r="J79" s="449">
        <v>2112.3287671232879</v>
      </c>
      <c r="K79" s="449">
        <v>493.15068493150693</v>
      </c>
      <c r="L79" s="449"/>
      <c r="M79" s="449"/>
      <c r="N79" s="449">
        <v>2605.4794520547948</v>
      </c>
      <c r="O79" s="449">
        <v>509.58904109589048</v>
      </c>
      <c r="P79" s="449"/>
      <c r="Q79" s="449"/>
      <c r="R79" s="449">
        <v>3115.0684931506853</v>
      </c>
      <c r="S79" s="452"/>
    </row>
    <row r="80" spans="1:19" ht="57.6" x14ac:dyDescent="0.3">
      <c r="A80" s="465">
        <v>5060</v>
      </c>
      <c r="B80" s="466" t="s">
        <v>177</v>
      </c>
      <c r="C80" s="466" t="s">
        <v>179</v>
      </c>
      <c r="D80" s="466" t="s">
        <v>178</v>
      </c>
      <c r="E80" s="467">
        <v>50000</v>
      </c>
      <c r="F80" s="457">
        <v>43946</v>
      </c>
      <c r="G80" s="457">
        <v>44311</v>
      </c>
      <c r="H80" s="453"/>
      <c r="I80" s="450">
        <v>6</v>
      </c>
      <c r="J80" s="449">
        <v>1056.1643835616439</v>
      </c>
      <c r="K80" s="449">
        <v>246.57534246575347</v>
      </c>
      <c r="L80" s="449"/>
      <c r="M80" s="449"/>
      <c r="N80" s="449">
        <v>1302.7397260273974</v>
      </c>
      <c r="O80" s="449">
        <v>254.79452054794524</v>
      </c>
      <c r="P80" s="449"/>
      <c r="Q80" s="449"/>
      <c r="R80" s="449">
        <v>1557.5342465753426</v>
      </c>
      <c r="S80" s="452"/>
    </row>
    <row r="81" spans="1:19" ht="57.6" x14ac:dyDescent="0.3">
      <c r="A81" s="465">
        <v>5060</v>
      </c>
      <c r="B81" s="466" t="s">
        <v>177</v>
      </c>
      <c r="C81" s="466" t="s">
        <v>176</v>
      </c>
      <c r="D81" s="466" t="s">
        <v>175</v>
      </c>
      <c r="E81" s="467">
        <v>50000</v>
      </c>
      <c r="F81" s="457">
        <v>43946</v>
      </c>
      <c r="G81" s="457">
        <v>44311</v>
      </c>
      <c r="H81" s="453"/>
      <c r="I81" s="450">
        <v>6</v>
      </c>
      <c r="J81" s="449">
        <v>1056.1643835616439</v>
      </c>
      <c r="K81" s="449">
        <v>246.57534246575347</v>
      </c>
      <c r="L81" s="449"/>
      <c r="M81" s="449"/>
      <c r="N81" s="449">
        <v>1302.7397260273974</v>
      </c>
      <c r="O81" s="449">
        <v>254.79452054794524</v>
      </c>
      <c r="P81" s="449"/>
      <c r="Q81" s="449"/>
      <c r="R81" s="449">
        <v>1557.5342465753426</v>
      </c>
      <c r="S81" s="452"/>
    </row>
    <row r="82" spans="1:19" ht="57.6" x14ac:dyDescent="0.3">
      <c r="A82" s="465">
        <v>5004</v>
      </c>
      <c r="B82" s="466" t="s">
        <v>174</v>
      </c>
      <c r="C82" s="466" t="s">
        <v>173</v>
      </c>
      <c r="D82" s="466" t="s">
        <v>172</v>
      </c>
      <c r="E82" s="467">
        <v>985000</v>
      </c>
      <c r="F82" s="457">
        <v>43950</v>
      </c>
      <c r="G82" s="457">
        <v>44315</v>
      </c>
      <c r="H82" s="453"/>
      <c r="I82" s="450">
        <v>6.15</v>
      </c>
      <c r="J82" s="449">
        <v>20653.515981735163</v>
      </c>
      <c r="K82" s="449">
        <v>4978.9726027397255</v>
      </c>
      <c r="L82" s="449"/>
      <c r="M82" s="449"/>
      <c r="N82" s="449">
        <v>25632.48858447489</v>
      </c>
      <c r="O82" s="449">
        <v>5144.9383561643845</v>
      </c>
      <c r="P82" s="449"/>
      <c r="Q82" s="449"/>
      <c r="R82" s="449">
        <v>30777.426940639274</v>
      </c>
      <c r="S82" s="452"/>
    </row>
    <row r="83" spans="1:19" x14ac:dyDescent="0.3">
      <c r="A83" s="451">
        <v>5063</v>
      </c>
      <c r="B83" s="452" t="s">
        <v>13</v>
      </c>
      <c r="C83" s="452" t="s">
        <v>171</v>
      </c>
      <c r="D83" s="452" t="s">
        <v>170</v>
      </c>
      <c r="E83" s="450">
        <v>100000</v>
      </c>
      <c r="F83" s="457">
        <v>43953</v>
      </c>
      <c r="G83" s="457">
        <v>44318</v>
      </c>
      <c r="H83" s="453"/>
      <c r="I83" s="452">
        <v>4.9000000000000004</v>
      </c>
      <c r="J83" s="449">
        <v>1629.790715372907</v>
      </c>
      <c r="K83" s="449">
        <v>402.7397260273973</v>
      </c>
      <c r="L83" s="449"/>
      <c r="M83" s="449"/>
      <c r="N83" s="449">
        <v>2032.5304414003044</v>
      </c>
      <c r="O83" s="449">
        <v>416.16438356164383</v>
      </c>
      <c r="P83" s="449"/>
      <c r="Q83" s="449"/>
      <c r="R83" s="449">
        <v>2448.6948249619481</v>
      </c>
      <c r="S83" s="452"/>
    </row>
    <row r="84" spans="1:19" x14ac:dyDescent="0.3">
      <c r="A84" s="451">
        <v>5063</v>
      </c>
      <c r="B84" s="452" t="s">
        <v>25</v>
      </c>
      <c r="C84" s="452" t="s">
        <v>169</v>
      </c>
      <c r="D84" s="452" t="s">
        <v>168</v>
      </c>
      <c r="E84" s="450">
        <v>150000</v>
      </c>
      <c r="F84" s="457">
        <v>43953</v>
      </c>
      <c r="G84" s="457">
        <v>44318</v>
      </c>
      <c r="H84" s="453"/>
      <c r="I84" s="452">
        <v>4.4000000000000004</v>
      </c>
      <c r="J84" s="449">
        <v>2195.2283105022834</v>
      </c>
      <c r="K84" s="449">
        <v>542.46575342465758</v>
      </c>
      <c r="L84" s="449"/>
      <c r="M84" s="449"/>
      <c r="N84" s="449">
        <v>2737.694063926941</v>
      </c>
      <c r="O84" s="449">
        <v>560.54794520547944</v>
      </c>
      <c r="P84" s="449"/>
      <c r="Q84" s="449"/>
      <c r="R84" s="449">
        <v>3298.2420091324202</v>
      </c>
      <c r="S84" s="452"/>
    </row>
    <row r="85" spans="1:19" x14ac:dyDescent="0.3">
      <c r="A85" s="451">
        <v>5040</v>
      </c>
      <c r="B85" s="452" t="s">
        <v>82</v>
      </c>
      <c r="C85" s="452" t="s">
        <v>167</v>
      </c>
      <c r="D85" s="452" t="s">
        <v>166</v>
      </c>
      <c r="E85" s="450">
        <v>41000</v>
      </c>
      <c r="F85" s="457">
        <v>43954</v>
      </c>
      <c r="G85" s="457">
        <v>44319</v>
      </c>
      <c r="H85" s="453"/>
      <c r="I85" s="452">
        <v>6.15</v>
      </c>
      <c r="J85" s="449">
        <v>831.67283105022841</v>
      </c>
      <c r="K85" s="449">
        <v>207.24657534246575</v>
      </c>
      <c r="L85" s="449"/>
      <c r="M85" s="449"/>
      <c r="N85" s="449">
        <v>1038.9194063926941</v>
      </c>
      <c r="O85" s="449">
        <v>214.15479452054799</v>
      </c>
      <c r="P85" s="449"/>
      <c r="Q85" s="449"/>
      <c r="R85" s="449">
        <v>1253.0742009132421</v>
      </c>
      <c r="S85" s="452"/>
    </row>
    <row r="86" spans="1:19" x14ac:dyDescent="0.3">
      <c r="A86" s="451">
        <v>5062</v>
      </c>
      <c r="B86" s="452" t="s">
        <v>85</v>
      </c>
      <c r="C86" s="452" t="s">
        <v>165</v>
      </c>
      <c r="D86" s="452" t="s">
        <v>164</v>
      </c>
      <c r="E86" s="450">
        <v>200000</v>
      </c>
      <c r="F86" s="457">
        <v>43959</v>
      </c>
      <c r="G86" s="457">
        <v>44324</v>
      </c>
      <c r="H86" s="453"/>
      <c r="I86" s="452">
        <v>4.4000000000000004</v>
      </c>
      <c r="J86" s="449">
        <v>2780.3044140030443</v>
      </c>
      <c r="K86" s="449">
        <v>723.28767123287673</v>
      </c>
      <c r="L86" s="449"/>
      <c r="M86" s="449"/>
      <c r="N86" s="449">
        <v>3503.5920852359209</v>
      </c>
      <c r="O86" s="449">
        <v>747.39726027397262</v>
      </c>
      <c r="P86" s="449"/>
      <c r="Q86" s="449"/>
      <c r="R86" s="449">
        <v>4250.9893455098936</v>
      </c>
      <c r="S86" s="452"/>
    </row>
    <row r="87" spans="1:19" x14ac:dyDescent="0.3">
      <c r="A87" s="451">
        <v>5057</v>
      </c>
      <c r="B87" s="452" t="s">
        <v>74</v>
      </c>
      <c r="C87" s="452" t="s">
        <v>161</v>
      </c>
      <c r="D87" s="452" t="s">
        <v>160</v>
      </c>
      <c r="E87" s="450">
        <v>75000</v>
      </c>
      <c r="F87" s="457">
        <v>43965</v>
      </c>
      <c r="G87" s="457">
        <v>44330</v>
      </c>
      <c r="H87" s="453"/>
      <c r="I87" s="452">
        <v>3.4</v>
      </c>
      <c r="J87" s="449">
        <v>763.15639269406404</v>
      </c>
      <c r="K87" s="449">
        <v>209.58904109589042</v>
      </c>
      <c r="L87" s="449"/>
      <c r="M87" s="449"/>
      <c r="N87" s="449">
        <v>972.7454337899544</v>
      </c>
      <c r="O87" s="449">
        <v>216.57534246575344</v>
      </c>
      <c r="P87" s="449"/>
      <c r="Q87" s="449"/>
      <c r="R87" s="449">
        <v>1189.3207762557079</v>
      </c>
      <c r="S87" s="452"/>
    </row>
    <row r="88" spans="1:19" x14ac:dyDescent="0.3">
      <c r="A88" s="451">
        <v>5055</v>
      </c>
      <c r="B88" s="452" t="s">
        <v>159</v>
      </c>
      <c r="C88" s="452" t="s">
        <v>158</v>
      </c>
      <c r="D88" s="452" t="s">
        <v>157</v>
      </c>
      <c r="E88" s="450">
        <v>500000</v>
      </c>
      <c r="F88" s="457">
        <v>43966</v>
      </c>
      <c r="G88" s="457">
        <v>44331</v>
      </c>
      <c r="H88" s="453"/>
      <c r="I88" s="452">
        <v>7.55</v>
      </c>
      <c r="J88" s="449">
        <v>11192.846270928461</v>
      </c>
      <c r="K88" s="449">
        <v>3102.7397260273974</v>
      </c>
      <c r="L88" s="449"/>
      <c r="M88" s="449"/>
      <c r="N88" s="449">
        <v>14295.585996955859</v>
      </c>
      <c r="O88" s="449">
        <v>3206.1643835616437</v>
      </c>
      <c r="P88" s="449"/>
      <c r="Q88" s="449"/>
      <c r="R88" s="449">
        <v>17501.750380517504</v>
      </c>
      <c r="S88" s="452"/>
    </row>
    <row r="89" spans="1:19" x14ac:dyDescent="0.3">
      <c r="A89" s="451">
        <v>5055</v>
      </c>
      <c r="B89" s="452" t="s">
        <v>53</v>
      </c>
      <c r="C89" s="452" t="s">
        <v>156</v>
      </c>
      <c r="D89" s="452" t="s">
        <v>155</v>
      </c>
      <c r="E89" s="450">
        <v>500000</v>
      </c>
      <c r="F89" s="457">
        <v>43966</v>
      </c>
      <c r="G89" s="457">
        <v>44331</v>
      </c>
      <c r="H89" s="453"/>
      <c r="I89" s="452">
        <v>7.55</v>
      </c>
      <c r="J89" s="449">
        <v>11192.846270928461</v>
      </c>
      <c r="K89" s="449">
        <v>3102.7397260273974</v>
      </c>
      <c r="L89" s="449"/>
      <c r="M89" s="449"/>
      <c r="N89" s="449">
        <v>14295.585996955859</v>
      </c>
      <c r="O89" s="449">
        <v>3206.1643835616437</v>
      </c>
      <c r="P89" s="449"/>
      <c r="Q89" s="449"/>
      <c r="R89" s="449">
        <v>17501.750380517504</v>
      </c>
      <c r="S89" s="452"/>
    </row>
    <row r="90" spans="1:19" x14ac:dyDescent="0.3">
      <c r="A90" s="451">
        <v>5031</v>
      </c>
      <c r="B90" s="452" t="s">
        <v>7</v>
      </c>
      <c r="C90" s="452" t="s">
        <v>154</v>
      </c>
      <c r="D90" s="452" t="s">
        <v>153</v>
      </c>
      <c r="E90" s="450">
        <v>103000</v>
      </c>
      <c r="F90" s="457">
        <v>43967</v>
      </c>
      <c r="G90" s="457">
        <v>44332</v>
      </c>
      <c r="H90" s="453"/>
      <c r="I90" s="452">
        <v>6.4</v>
      </c>
      <c r="J90" s="449">
        <v>1936.2118721461188</v>
      </c>
      <c r="K90" s="449">
        <v>541.80821917808225</v>
      </c>
      <c r="L90" s="449"/>
      <c r="M90" s="449"/>
      <c r="N90" s="449">
        <v>2478.0200913242011</v>
      </c>
      <c r="O90" s="449">
        <v>559.86849315068491</v>
      </c>
      <c r="P90" s="449"/>
      <c r="Q90" s="449"/>
      <c r="R90" s="449">
        <v>3037.8885844748861</v>
      </c>
      <c r="S90" s="452"/>
    </row>
    <row r="91" spans="1:19" x14ac:dyDescent="0.3">
      <c r="A91" s="451">
        <v>5031</v>
      </c>
      <c r="B91" s="452" t="s">
        <v>7</v>
      </c>
      <c r="C91" s="452" t="s">
        <v>152</v>
      </c>
      <c r="D91" s="452" t="s">
        <v>151</v>
      </c>
      <c r="E91" s="450">
        <v>200000</v>
      </c>
      <c r="F91" s="457">
        <v>43967</v>
      </c>
      <c r="G91" s="457">
        <v>44332</v>
      </c>
      <c r="H91" s="453"/>
      <c r="I91" s="452">
        <v>6.4</v>
      </c>
      <c r="J91" s="449">
        <v>3759.6347031963469</v>
      </c>
      <c r="K91" s="449">
        <v>1052.0547945205478</v>
      </c>
      <c r="L91" s="449"/>
      <c r="M91" s="449"/>
      <c r="N91" s="449">
        <v>4811.6894977168949</v>
      </c>
      <c r="O91" s="449">
        <v>1087.1232876712329</v>
      </c>
      <c r="P91" s="449"/>
      <c r="Q91" s="449"/>
      <c r="R91" s="449">
        <v>5898.8127853881278</v>
      </c>
      <c r="S91" s="452"/>
    </row>
    <row r="92" spans="1:19" x14ac:dyDescent="0.3">
      <c r="A92" s="451">
        <v>5005</v>
      </c>
      <c r="B92" s="452" t="s">
        <v>127</v>
      </c>
      <c r="C92" s="452" t="s">
        <v>150</v>
      </c>
      <c r="D92" s="452" t="s">
        <v>149</v>
      </c>
      <c r="E92" s="450">
        <v>110000</v>
      </c>
      <c r="F92" s="457">
        <v>43978</v>
      </c>
      <c r="G92" s="457">
        <v>44343</v>
      </c>
      <c r="H92" s="453"/>
      <c r="I92" s="452">
        <v>3.91</v>
      </c>
      <c r="J92" s="449">
        <v>1131.8765601217656</v>
      </c>
      <c r="K92" s="449">
        <v>353.50684931506851</v>
      </c>
      <c r="L92" s="449"/>
      <c r="M92" s="449"/>
      <c r="N92" s="449">
        <v>1485.383409436834</v>
      </c>
      <c r="O92" s="449">
        <v>365.29041095890409</v>
      </c>
      <c r="P92" s="449"/>
      <c r="Q92" s="449"/>
      <c r="R92" s="449">
        <v>1850.6738203957379</v>
      </c>
      <c r="S92" s="452"/>
    </row>
    <row r="93" spans="1:19" x14ac:dyDescent="0.3">
      <c r="A93" s="465">
        <v>5003</v>
      </c>
      <c r="B93" s="466" t="s">
        <v>148</v>
      </c>
      <c r="C93" s="452" t="s">
        <v>147</v>
      </c>
      <c r="D93" s="452" t="s">
        <v>146</v>
      </c>
      <c r="E93" s="467">
        <v>150000</v>
      </c>
      <c r="F93" s="457">
        <v>43980</v>
      </c>
      <c r="G93" s="457">
        <v>44345</v>
      </c>
      <c r="H93" s="453"/>
      <c r="I93" s="450">
        <v>5.9</v>
      </c>
      <c r="J93" s="449">
        <v>2230.6849315068494</v>
      </c>
      <c r="K93" s="449">
        <v>727.39726027397262</v>
      </c>
      <c r="L93" s="449"/>
      <c r="M93" s="449"/>
      <c r="N93" s="449">
        <v>2958.0821917808221</v>
      </c>
      <c r="O93" s="449">
        <v>751.64383561643831</v>
      </c>
      <c r="P93" s="449"/>
      <c r="Q93" s="449"/>
      <c r="R93" s="449">
        <v>3709.7260273972606</v>
      </c>
      <c r="S93" s="452"/>
    </row>
    <row r="94" spans="1:19" x14ac:dyDescent="0.3">
      <c r="A94" s="451">
        <v>5057</v>
      </c>
      <c r="B94" s="452" t="s">
        <v>22</v>
      </c>
      <c r="C94" s="452" t="s">
        <v>145</v>
      </c>
      <c r="D94" s="452" t="s">
        <v>144</v>
      </c>
      <c r="E94" s="450">
        <v>1100000</v>
      </c>
      <c r="F94" s="457">
        <v>43983</v>
      </c>
      <c r="G94" s="457">
        <v>44348</v>
      </c>
      <c r="H94" s="453"/>
      <c r="I94" s="450">
        <v>6.6</v>
      </c>
      <c r="J94" s="449">
        <v>18100.273972602739</v>
      </c>
      <c r="K94" s="449">
        <v>5967.1232876712329</v>
      </c>
      <c r="L94" s="449"/>
      <c r="M94" s="449"/>
      <c r="N94" s="449">
        <v>24067.397260273974</v>
      </c>
      <c r="O94" s="449">
        <v>6166.0273972602745</v>
      </c>
      <c r="P94" s="449"/>
      <c r="Q94" s="449"/>
      <c r="R94" s="449">
        <v>30233.424657534248</v>
      </c>
      <c r="S94" s="452"/>
    </row>
    <row r="95" spans="1:19" x14ac:dyDescent="0.3">
      <c r="A95" s="451">
        <v>5005</v>
      </c>
      <c r="B95" s="452" t="s">
        <v>143</v>
      </c>
      <c r="C95" s="452" t="s">
        <v>142</v>
      </c>
      <c r="D95" s="452" t="s">
        <v>141</v>
      </c>
      <c r="E95" s="450">
        <v>1400055.56</v>
      </c>
      <c r="F95" s="457">
        <v>43985</v>
      </c>
      <c r="G95" s="457">
        <v>44350</v>
      </c>
      <c r="H95" s="453"/>
      <c r="I95" s="450">
        <v>6.92</v>
      </c>
      <c r="J95" s="449">
        <v>23623.732008021922</v>
      </c>
      <c r="K95" s="449">
        <v>7963.0557330410938</v>
      </c>
      <c r="L95" s="449"/>
      <c r="M95" s="449"/>
      <c r="N95" s="449">
        <v>31586.787741063017</v>
      </c>
      <c r="O95" s="449">
        <v>8228.4909241424666</v>
      </c>
      <c r="P95" s="449"/>
      <c r="Q95" s="449"/>
      <c r="R95" s="449">
        <v>39815.278665205486</v>
      </c>
      <c r="S95" s="452"/>
    </row>
    <row r="96" spans="1:19" x14ac:dyDescent="0.3">
      <c r="A96" s="451">
        <v>5063</v>
      </c>
      <c r="B96" s="452" t="s">
        <v>77</v>
      </c>
      <c r="C96" s="452" t="s">
        <v>140</v>
      </c>
      <c r="D96" s="452" t="s">
        <v>139</v>
      </c>
      <c r="E96" s="450">
        <v>240000</v>
      </c>
      <c r="F96" s="457">
        <v>43988</v>
      </c>
      <c r="G96" s="457">
        <v>44353</v>
      </c>
      <c r="H96" s="453"/>
      <c r="I96" s="450">
        <v>5.4</v>
      </c>
      <c r="J96" s="449">
        <v>3053.5890410958909</v>
      </c>
      <c r="K96" s="449">
        <v>1065.2054794520548</v>
      </c>
      <c r="L96" s="449"/>
      <c r="M96" s="449"/>
      <c r="N96" s="449">
        <v>4118.7945205479455</v>
      </c>
      <c r="O96" s="449">
        <v>1100.7123287671236</v>
      </c>
      <c r="P96" s="449"/>
      <c r="Q96" s="449"/>
      <c r="R96" s="449">
        <v>5219.5068493150693</v>
      </c>
      <c r="S96" s="452"/>
    </row>
    <row r="97" spans="1:19" x14ac:dyDescent="0.3">
      <c r="A97" s="451">
        <v>5031</v>
      </c>
      <c r="B97" s="452" t="s">
        <v>138</v>
      </c>
      <c r="C97" s="452" t="s">
        <v>137</v>
      </c>
      <c r="D97" s="452" t="s">
        <v>136</v>
      </c>
      <c r="E97" s="450">
        <v>150162.5</v>
      </c>
      <c r="F97" s="457">
        <v>43990</v>
      </c>
      <c r="G97" s="457">
        <v>44354</v>
      </c>
      <c r="H97" s="453"/>
      <c r="I97" s="450">
        <v>6.42</v>
      </c>
      <c r="J97" s="449">
        <v>2245.032226027397</v>
      </c>
      <c r="K97" s="449">
        <v>792.36431506849317</v>
      </c>
      <c r="L97" s="449"/>
      <c r="M97" s="449"/>
      <c r="N97" s="449">
        <v>3037.3965410958899</v>
      </c>
      <c r="O97" s="449">
        <v>818.77645890410952</v>
      </c>
      <c r="P97" s="449"/>
      <c r="Q97" s="449"/>
      <c r="R97" s="449">
        <v>3856.1729999999993</v>
      </c>
      <c r="S97" s="452"/>
    </row>
    <row r="98" spans="1:19" x14ac:dyDescent="0.3">
      <c r="A98" s="451">
        <v>5060</v>
      </c>
      <c r="B98" s="452" t="s">
        <v>40</v>
      </c>
      <c r="C98" s="452" t="s">
        <v>135</v>
      </c>
      <c r="D98" s="452" t="s">
        <v>134</v>
      </c>
      <c r="E98" s="450">
        <v>350000</v>
      </c>
      <c r="F98" s="457">
        <v>43992</v>
      </c>
      <c r="G98" s="457">
        <v>44357</v>
      </c>
      <c r="H98" s="453"/>
      <c r="I98" s="450">
        <v>6.4</v>
      </c>
      <c r="J98" s="449">
        <v>5032.3287671232874</v>
      </c>
      <c r="K98" s="449">
        <v>1841.0958904109589</v>
      </c>
      <c r="L98" s="449"/>
      <c r="M98" s="449"/>
      <c r="N98" s="449">
        <v>6873.4246575342459</v>
      </c>
      <c r="O98" s="449">
        <v>1902.4657534246574</v>
      </c>
      <c r="P98" s="449"/>
      <c r="Q98" s="449"/>
      <c r="R98" s="449">
        <v>8775.8904109589039</v>
      </c>
      <c r="S98" s="452"/>
    </row>
    <row r="99" spans="1:19" x14ac:dyDescent="0.3">
      <c r="A99" s="451">
        <v>5060</v>
      </c>
      <c r="B99" s="452" t="s">
        <v>40</v>
      </c>
      <c r="C99" s="452" t="s">
        <v>133</v>
      </c>
      <c r="D99" s="452" t="s">
        <v>132</v>
      </c>
      <c r="E99" s="450">
        <v>955000</v>
      </c>
      <c r="F99" s="457">
        <v>43992</v>
      </c>
      <c r="G99" s="457">
        <v>44357</v>
      </c>
      <c r="H99" s="453"/>
      <c r="I99" s="450">
        <v>6.4</v>
      </c>
      <c r="J99" s="449">
        <v>13731.068493150684</v>
      </c>
      <c r="K99" s="449">
        <v>5023.5616438356165</v>
      </c>
      <c r="L99" s="449"/>
      <c r="M99" s="449"/>
      <c r="N99" s="449">
        <v>18754.630136986299</v>
      </c>
      <c r="O99" s="449">
        <v>5191.0136986301368</v>
      </c>
      <c r="P99" s="449"/>
      <c r="Q99" s="449"/>
      <c r="R99" s="449">
        <v>23945.643835616436</v>
      </c>
      <c r="S99" s="452"/>
    </row>
    <row r="100" spans="1:19" x14ac:dyDescent="0.3">
      <c r="A100" s="451">
        <v>5063</v>
      </c>
      <c r="B100" s="452" t="s">
        <v>13</v>
      </c>
      <c r="C100" s="452" t="s">
        <v>131</v>
      </c>
      <c r="D100" s="452" t="s">
        <v>130</v>
      </c>
      <c r="E100" s="450">
        <v>437500</v>
      </c>
      <c r="F100" s="457">
        <v>43993</v>
      </c>
      <c r="G100" s="457">
        <v>44358</v>
      </c>
      <c r="H100" s="453"/>
      <c r="I100" s="450">
        <v>8.9</v>
      </c>
      <c r="J100" s="449">
        <v>8640.9246575342477</v>
      </c>
      <c r="K100" s="449">
        <v>3200.3424657534247</v>
      </c>
      <c r="L100" s="449"/>
      <c r="M100" s="449"/>
      <c r="N100" s="449">
        <v>11841.267123287673</v>
      </c>
      <c r="O100" s="449">
        <v>3307.0205479452061</v>
      </c>
      <c r="P100" s="449"/>
      <c r="Q100" s="449"/>
      <c r="R100" s="449">
        <v>15148.28767123288</v>
      </c>
      <c r="S100" s="452"/>
    </row>
    <row r="101" spans="1:19" x14ac:dyDescent="0.3">
      <c r="A101" s="451">
        <v>5005</v>
      </c>
      <c r="B101" s="452" t="s">
        <v>127</v>
      </c>
      <c r="C101" s="452" t="s">
        <v>129</v>
      </c>
      <c r="D101" s="452" t="s">
        <v>128</v>
      </c>
      <c r="E101" s="450">
        <v>400000</v>
      </c>
      <c r="F101" s="457">
        <v>43999</v>
      </c>
      <c r="G101" s="457">
        <v>44364</v>
      </c>
      <c r="H101" s="453"/>
      <c r="I101" s="450">
        <v>5.92</v>
      </c>
      <c r="J101" s="449">
        <v>4865.7534246575342</v>
      </c>
      <c r="K101" s="449">
        <v>1946.3013698630139</v>
      </c>
      <c r="L101" s="449"/>
      <c r="M101" s="449"/>
      <c r="N101" s="449">
        <v>6812.0547945205481</v>
      </c>
      <c r="O101" s="449">
        <v>2011.178082191781</v>
      </c>
      <c r="P101" s="449"/>
      <c r="Q101" s="449"/>
      <c r="R101" s="449">
        <v>8823.232876712329</v>
      </c>
      <c r="S101" s="452"/>
    </row>
    <row r="102" spans="1:19" x14ac:dyDescent="0.3">
      <c r="A102" s="451">
        <v>5005</v>
      </c>
      <c r="B102" s="452" t="s">
        <v>127</v>
      </c>
      <c r="C102" s="452" t="s">
        <v>126</v>
      </c>
      <c r="D102" s="452" t="s">
        <v>125</v>
      </c>
      <c r="E102" s="450">
        <v>140000</v>
      </c>
      <c r="F102" s="457">
        <v>43999</v>
      </c>
      <c r="G102" s="457">
        <v>44364</v>
      </c>
      <c r="H102" s="453"/>
      <c r="I102" s="450">
        <v>5.92</v>
      </c>
      <c r="J102" s="449">
        <v>1703.013698630137</v>
      </c>
      <c r="K102" s="449">
        <v>681.20547945205476</v>
      </c>
      <c r="L102" s="449"/>
      <c r="M102" s="449"/>
      <c r="N102" s="449">
        <v>2384.2191780821918</v>
      </c>
      <c r="O102" s="449">
        <v>703.91232876712331</v>
      </c>
      <c r="P102" s="449"/>
      <c r="Q102" s="449"/>
      <c r="R102" s="449">
        <v>3088.131506849315</v>
      </c>
      <c r="S102" s="452"/>
    </row>
    <row r="103" spans="1:19" x14ac:dyDescent="0.3">
      <c r="A103" s="451">
        <v>5056</v>
      </c>
      <c r="B103" s="452" t="s">
        <v>124</v>
      </c>
      <c r="C103" s="452" t="s">
        <v>123</v>
      </c>
      <c r="D103" s="452" t="s">
        <v>122</v>
      </c>
      <c r="E103" s="463">
        <v>158000</v>
      </c>
      <c r="F103" s="457">
        <v>43999</v>
      </c>
      <c r="G103" s="457">
        <v>44364</v>
      </c>
      <c r="H103" s="453"/>
      <c r="I103" s="450">
        <v>4.4000000000000004</v>
      </c>
      <c r="J103" s="449">
        <v>1428.4931506849316</v>
      </c>
      <c r="K103" s="449">
        <v>571.39726027397262</v>
      </c>
      <c r="L103" s="449"/>
      <c r="M103" s="449"/>
      <c r="N103" s="449">
        <v>1999.8904109589043</v>
      </c>
      <c r="O103" s="449">
        <v>590.44383561643838</v>
      </c>
      <c r="P103" s="449"/>
      <c r="Q103" s="449"/>
      <c r="R103" s="449">
        <v>2590.3342465753426</v>
      </c>
      <c r="S103" s="452"/>
    </row>
    <row r="104" spans="1:19" x14ac:dyDescent="0.3">
      <c r="A104" s="451">
        <v>5004</v>
      </c>
      <c r="B104" s="452" t="s">
        <v>117</v>
      </c>
      <c r="C104" s="452" t="s">
        <v>119</v>
      </c>
      <c r="D104" s="452" t="s">
        <v>118</v>
      </c>
      <c r="E104" s="464">
        <v>60000</v>
      </c>
      <c r="F104" s="457">
        <v>44010</v>
      </c>
      <c r="G104" s="457">
        <v>44375</v>
      </c>
      <c r="H104" s="453"/>
      <c r="I104" s="450">
        <v>5.85</v>
      </c>
      <c r="J104" s="449">
        <v>615.45205479452056</v>
      </c>
      <c r="K104" s="449">
        <v>288.49315068493149</v>
      </c>
      <c r="L104" s="449"/>
      <c r="M104" s="449"/>
      <c r="N104" s="449">
        <v>903.94520547945206</v>
      </c>
      <c r="O104" s="449">
        <v>298.10958904109589</v>
      </c>
      <c r="P104" s="449"/>
      <c r="Q104" s="449"/>
      <c r="R104" s="449">
        <v>1202.0547945205481</v>
      </c>
      <c r="S104" s="452"/>
    </row>
    <row r="105" spans="1:19" x14ac:dyDescent="0.3">
      <c r="A105" s="451">
        <v>5004</v>
      </c>
      <c r="B105" s="452" t="s">
        <v>117</v>
      </c>
      <c r="C105" s="452" t="s">
        <v>116</v>
      </c>
      <c r="D105" s="452" t="s">
        <v>115</v>
      </c>
      <c r="E105" s="450">
        <v>100000</v>
      </c>
      <c r="F105" s="457">
        <v>44010</v>
      </c>
      <c r="G105" s="457">
        <v>44375</v>
      </c>
      <c r="H105" s="453"/>
      <c r="I105" s="450">
        <v>5.85</v>
      </c>
      <c r="J105" s="449">
        <v>1025.7534246575342</v>
      </c>
      <c r="K105" s="449">
        <v>480.82191780821915</v>
      </c>
      <c r="L105" s="449"/>
      <c r="M105" s="449"/>
      <c r="N105" s="449">
        <v>1506.5753424657532</v>
      </c>
      <c r="O105" s="449">
        <v>496.84931506849313</v>
      </c>
      <c r="P105" s="449"/>
      <c r="Q105" s="449"/>
      <c r="R105" s="449">
        <v>2003.4246575342463</v>
      </c>
      <c r="S105" s="452"/>
    </row>
    <row r="106" spans="1:19" x14ac:dyDescent="0.3">
      <c r="A106" s="451">
        <v>5060</v>
      </c>
      <c r="B106" s="452" t="s">
        <v>40</v>
      </c>
      <c r="C106" s="452" t="s">
        <v>114</v>
      </c>
      <c r="D106" s="452" t="s">
        <v>113</v>
      </c>
      <c r="E106" s="450">
        <v>330000</v>
      </c>
      <c r="F106" s="457">
        <v>44012</v>
      </c>
      <c r="G106" s="457">
        <v>44377</v>
      </c>
      <c r="H106" s="453"/>
      <c r="I106" s="450">
        <v>6.4</v>
      </c>
      <c r="J106" s="449">
        <v>3587.5068493150684</v>
      </c>
      <c r="K106" s="449">
        <v>1735.8904109589041</v>
      </c>
      <c r="L106" s="449"/>
      <c r="M106" s="449"/>
      <c r="N106" s="449">
        <v>5323.3972602739723</v>
      </c>
      <c r="O106" s="449">
        <v>1793.7534246575342</v>
      </c>
      <c r="P106" s="449"/>
      <c r="Q106" s="449"/>
      <c r="R106" s="449">
        <v>7117.1506849315065</v>
      </c>
      <c r="S106" s="452"/>
    </row>
    <row r="107" spans="1:19" x14ac:dyDescent="0.3">
      <c r="A107" s="451">
        <v>5063</v>
      </c>
      <c r="B107" s="452" t="s">
        <v>13</v>
      </c>
      <c r="C107" s="452" t="s">
        <v>112</v>
      </c>
      <c r="D107" s="452" t="s">
        <v>111</v>
      </c>
      <c r="E107" s="450">
        <v>200000</v>
      </c>
      <c r="F107" s="457">
        <v>44006</v>
      </c>
      <c r="G107" s="457">
        <v>44371</v>
      </c>
      <c r="H107" s="453"/>
      <c r="I107" s="450">
        <v>4.9000000000000004</v>
      </c>
      <c r="J107" s="449">
        <v>1825.7534246575342</v>
      </c>
      <c r="K107" s="449">
        <v>805.47945205479459</v>
      </c>
      <c r="L107" s="449"/>
      <c r="M107" s="449"/>
      <c r="N107" s="449">
        <v>2631.232876712329</v>
      </c>
      <c r="O107" s="449">
        <v>832.32876712328766</v>
      </c>
      <c r="P107" s="449"/>
      <c r="Q107" s="449"/>
      <c r="R107" s="449">
        <v>3463.5616438356165</v>
      </c>
      <c r="S107" s="452"/>
    </row>
    <row r="108" spans="1:19" x14ac:dyDescent="0.3">
      <c r="A108" s="451">
        <v>5063</v>
      </c>
      <c r="B108" s="452" t="s">
        <v>25</v>
      </c>
      <c r="C108" s="452" t="s">
        <v>110</v>
      </c>
      <c r="D108" s="452" t="s">
        <v>109</v>
      </c>
      <c r="E108" s="450">
        <v>85425</v>
      </c>
      <c r="F108" s="457">
        <v>44013</v>
      </c>
      <c r="G108" s="457">
        <v>44378</v>
      </c>
      <c r="H108" s="453"/>
      <c r="I108" s="450">
        <v>4.4000000000000004</v>
      </c>
      <c r="J108" s="449">
        <v>628.16630136986305</v>
      </c>
      <c r="K108" s="449">
        <v>308.93424657534251</v>
      </c>
      <c r="L108" s="449"/>
      <c r="M108" s="449"/>
      <c r="N108" s="449">
        <v>937.10054794520556</v>
      </c>
      <c r="O108" s="449">
        <v>319.23205479452059</v>
      </c>
      <c r="P108" s="449"/>
      <c r="Q108" s="449"/>
      <c r="R108" s="449">
        <v>1256.3326027397261</v>
      </c>
      <c r="S108" s="452"/>
    </row>
    <row r="109" spans="1:19" x14ac:dyDescent="0.3">
      <c r="A109" s="451">
        <v>5060</v>
      </c>
      <c r="B109" s="452" t="s">
        <v>40</v>
      </c>
      <c r="C109" s="452" t="s">
        <v>108</v>
      </c>
      <c r="D109" s="452" t="s">
        <v>107</v>
      </c>
      <c r="E109" s="450">
        <v>1100000</v>
      </c>
      <c r="F109" s="457">
        <v>44024</v>
      </c>
      <c r="G109" s="457">
        <v>44389</v>
      </c>
      <c r="H109" s="453"/>
      <c r="I109" s="450">
        <v>6.4</v>
      </c>
      <c r="J109" s="449">
        <v>9643.8356164383567</v>
      </c>
      <c r="K109" s="449">
        <v>5786.3013698630139</v>
      </c>
      <c r="L109" s="449"/>
      <c r="M109" s="449"/>
      <c r="N109" s="449">
        <v>15430.136986301372</v>
      </c>
      <c r="O109" s="449">
        <v>5979.178082191781</v>
      </c>
      <c r="P109" s="449"/>
      <c r="Q109" s="449"/>
      <c r="R109" s="449">
        <v>21409.315068493153</v>
      </c>
      <c r="S109" s="452"/>
    </row>
    <row r="110" spans="1:19" x14ac:dyDescent="0.3">
      <c r="A110" s="451">
        <v>5065</v>
      </c>
      <c r="B110" s="452" t="s">
        <v>106</v>
      </c>
      <c r="C110" s="452" t="s">
        <v>105</v>
      </c>
      <c r="D110" s="452" t="s">
        <v>104</v>
      </c>
      <c r="E110" s="450">
        <v>462162.98</v>
      </c>
      <c r="F110" s="457">
        <v>44025</v>
      </c>
      <c r="G110" s="457">
        <v>44390</v>
      </c>
      <c r="H110" s="453"/>
      <c r="I110" s="450">
        <v>5.9</v>
      </c>
      <c r="J110" s="449">
        <v>3660.5840415890407</v>
      </c>
      <c r="K110" s="449">
        <v>2241.1739030136987</v>
      </c>
      <c r="L110" s="449"/>
      <c r="M110" s="449"/>
      <c r="N110" s="449">
        <v>5901.7579446027394</v>
      </c>
      <c r="O110" s="449">
        <v>2315.8796997808217</v>
      </c>
      <c r="P110" s="449"/>
      <c r="Q110" s="449"/>
      <c r="R110" s="449">
        <v>8217.6376443835616</v>
      </c>
      <c r="S110" s="452"/>
    </row>
    <row r="111" spans="1:19" x14ac:dyDescent="0.3">
      <c r="A111" s="451">
        <v>5065</v>
      </c>
      <c r="B111" s="452" t="s">
        <v>103</v>
      </c>
      <c r="C111" s="452" t="s">
        <v>102</v>
      </c>
      <c r="D111" s="452" t="s">
        <v>101</v>
      </c>
      <c r="E111" s="450">
        <v>462162.98</v>
      </c>
      <c r="F111" s="457">
        <v>44025</v>
      </c>
      <c r="G111" s="457">
        <v>44390</v>
      </c>
      <c r="H111" s="453"/>
      <c r="I111" s="450">
        <v>5.9</v>
      </c>
      <c r="J111" s="449">
        <v>3660.5840415890407</v>
      </c>
      <c r="K111" s="449">
        <v>2241.1739030136987</v>
      </c>
      <c r="L111" s="449"/>
      <c r="M111" s="449"/>
      <c r="N111" s="449">
        <v>5901.7579446027394</v>
      </c>
      <c r="O111" s="449">
        <v>2315.8796997808217</v>
      </c>
      <c r="P111" s="449"/>
      <c r="Q111" s="449"/>
      <c r="R111" s="449">
        <v>8217.6376443835616</v>
      </c>
      <c r="S111" s="452"/>
    </row>
    <row r="112" spans="1:19" x14ac:dyDescent="0.3">
      <c r="A112" s="451">
        <v>5060</v>
      </c>
      <c r="B112" s="452" t="s">
        <v>16</v>
      </c>
      <c r="C112" s="452" t="s">
        <v>100</v>
      </c>
      <c r="D112" s="452" t="s">
        <v>99</v>
      </c>
      <c r="E112" s="463">
        <v>50000</v>
      </c>
      <c r="F112" s="457">
        <v>44027</v>
      </c>
      <c r="G112" s="457">
        <v>44392</v>
      </c>
      <c r="H112" s="453"/>
      <c r="I112" s="450">
        <v>1.9</v>
      </c>
      <c r="J112" s="449">
        <v>122.32876712328769</v>
      </c>
      <c r="K112" s="449">
        <v>78.08219178082193</v>
      </c>
      <c r="L112" s="449"/>
      <c r="M112" s="449"/>
      <c r="N112" s="449">
        <v>200.41095890410963</v>
      </c>
      <c r="O112" s="449">
        <v>80.684931506849324</v>
      </c>
      <c r="P112" s="449"/>
      <c r="Q112" s="449"/>
      <c r="R112" s="449">
        <v>281.09589041095899</v>
      </c>
      <c r="S112" s="452"/>
    </row>
    <row r="113" spans="1:19" x14ac:dyDescent="0.3">
      <c r="A113" s="451">
        <v>5060</v>
      </c>
      <c r="B113" s="452" t="s">
        <v>19</v>
      </c>
      <c r="C113" s="452" t="s">
        <v>95</v>
      </c>
      <c r="D113" s="452" t="s">
        <v>94</v>
      </c>
      <c r="E113" s="464">
        <v>60000</v>
      </c>
      <c r="F113" s="457">
        <v>44032</v>
      </c>
      <c r="G113" s="457">
        <v>44397</v>
      </c>
      <c r="H113" s="453"/>
      <c r="I113" s="450">
        <v>1.9</v>
      </c>
      <c r="J113" s="449">
        <v>131.17808219178085</v>
      </c>
      <c r="K113" s="449">
        <v>93.69863013698631</v>
      </c>
      <c r="L113" s="449"/>
      <c r="M113" s="449"/>
      <c r="N113" s="449">
        <v>224.87671232876716</v>
      </c>
      <c r="O113" s="449">
        <v>96.821917808219183</v>
      </c>
      <c r="P113" s="449"/>
      <c r="Q113" s="449"/>
      <c r="R113" s="449">
        <v>321.69863013698637</v>
      </c>
      <c r="S113" s="452"/>
    </row>
    <row r="114" spans="1:19" x14ac:dyDescent="0.3">
      <c r="A114" s="451">
        <v>5063</v>
      </c>
      <c r="B114" s="452" t="s">
        <v>13</v>
      </c>
      <c r="C114" s="452" t="s">
        <v>93</v>
      </c>
      <c r="D114" s="452" t="s">
        <v>90</v>
      </c>
      <c r="E114" s="450">
        <v>10000</v>
      </c>
      <c r="F114" s="457">
        <v>44028</v>
      </c>
      <c r="G114" s="457">
        <v>44393</v>
      </c>
      <c r="H114" s="453"/>
      <c r="I114" s="450">
        <v>5.15</v>
      </c>
      <c r="J114" s="449">
        <v>64.904109589041099</v>
      </c>
      <c r="K114" s="449">
        <v>42.328767123287676</v>
      </c>
      <c r="L114" s="449"/>
      <c r="M114" s="449"/>
      <c r="N114" s="449">
        <v>107.23287671232877</v>
      </c>
      <c r="O114" s="449">
        <v>43.739726027397261</v>
      </c>
      <c r="P114" s="449"/>
      <c r="Q114" s="449"/>
      <c r="R114" s="449">
        <v>150.97260273972603</v>
      </c>
      <c r="S114" s="452"/>
    </row>
    <row r="115" spans="1:19" x14ac:dyDescent="0.3">
      <c r="A115" s="451">
        <v>5063</v>
      </c>
      <c r="B115" s="452" t="s">
        <v>13</v>
      </c>
      <c r="C115" s="452" t="s">
        <v>92</v>
      </c>
      <c r="D115" s="452" t="s">
        <v>90</v>
      </c>
      <c r="E115" s="450">
        <v>10000</v>
      </c>
      <c r="F115" s="457">
        <v>44028</v>
      </c>
      <c r="G115" s="457">
        <v>44393</v>
      </c>
      <c r="H115" s="453"/>
      <c r="I115" s="450">
        <v>5.15</v>
      </c>
      <c r="J115" s="449">
        <v>64.904109589041099</v>
      </c>
      <c r="K115" s="449">
        <v>42.328767123287676</v>
      </c>
      <c r="L115" s="449"/>
      <c r="M115" s="449"/>
      <c r="N115" s="449">
        <v>107.23287671232877</v>
      </c>
      <c r="O115" s="449">
        <v>43.739726027397261</v>
      </c>
      <c r="P115" s="449"/>
      <c r="Q115" s="449"/>
      <c r="R115" s="449">
        <v>150.97260273972603</v>
      </c>
      <c r="S115" s="452"/>
    </row>
    <row r="116" spans="1:19" x14ac:dyDescent="0.3">
      <c r="A116" s="451">
        <v>5063</v>
      </c>
      <c r="B116" s="452" t="s">
        <v>13</v>
      </c>
      <c r="C116" s="452" t="s">
        <v>91</v>
      </c>
      <c r="D116" s="452" t="s">
        <v>90</v>
      </c>
      <c r="E116" s="450">
        <v>10000</v>
      </c>
      <c r="F116" s="457">
        <v>44028</v>
      </c>
      <c r="G116" s="457">
        <v>44393</v>
      </c>
      <c r="H116" s="453"/>
      <c r="I116" s="450">
        <v>5.15</v>
      </c>
      <c r="J116" s="449">
        <v>64.904109589041099</v>
      </c>
      <c r="K116" s="449">
        <v>42.328767123287676</v>
      </c>
      <c r="L116" s="449"/>
      <c r="M116" s="449"/>
      <c r="N116" s="449">
        <v>107.23287671232877</v>
      </c>
      <c r="O116" s="449">
        <v>43.739726027397261</v>
      </c>
      <c r="P116" s="449"/>
      <c r="Q116" s="449"/>
      <c r="R116" s="449">
        <v>150.97260273972603</v>
      </c>
      <c r="S116" s="452"/>
    </row>
    <row r="117" spans="1:19" x14ac:dyDescent="0.3">
      <c r="A117" s="451">
        <v>5063</v>
      </c>
      <c r="B117" s="452" t="s">
        <v>13</v>
      </c>
      <c r="C117" s="452" t="s">
        <v>89</v>
      </c>
      <c r="D117" s="452" t="s">
        <v>88</v>
      </c>
      <c r="E117" s="450">
        <v>13000</v>
      </c>
      <c r="F117" s="457">
        <v>44028</v>
      </c>
      <c r="G117" s="457">
        <v>44393</v>
      </c>
      <c r="H117" s="453"/>
      <c r="I117" s="450">
        <v>5.15</v>
      </c>
      <c r="J117" s="449">
        <v>84.37534246575342</v>
      </c>
      <c r="K117" s="449">
        <v>55.027397260273972</v>
      </c>
      <c r="L117" s="449"/>
      <c r="M117" s="449"/>
      <c r="N117" s="449">
        <v>139.40273972602739</v>
      </c>
      <c r="O117" s="449">
        <v>56.861643835616434</v>
      </c>
      <c r="P117" s="449"/>
      <c r="Q117" s="449"/>
      <c r="R117" s="449">
        <v>196.26438356164383</v>
      </c>
      <c r="S117" s="452"/>
    </row>
    <row r="118" spans="1:19" x14ac:dyDescent="0.3">
      <c r="A118" s="451">
        <v>5062</v>
      </c>
      <c r="B118" s="452" t="s">
        <v>85</v>
      </c>
      <c r="C118" s="452" t="s">
        <v>87</v>
      </c>
      <c r="D118" s="452" t="s">
        <v>86</v>
      </c>
      <c r="E118" s="450">
        <v>75139</v>
      </c>
      <c r="F118" s="457">
        <v>44036</v>
      </c>
      <c r="G118" s="457">
        <v>44401</v>
      </c>
      <c r="H118" s="453"/>
      <c r="I118" s="450">
        <v>3.4</v>
      </c>
      <c r="J118" s="449">
        <v>258.9722246575343</v>
      </c>
      <c r="K118" s="449">
        <v>209.97747945205481</v>
      </c>
      <c r="L118" s="449"/>
      <c r="M118" s="449"/>
      <c r="N118" s="449">
        <v>468.94970410958911</v>
      </c>
      <c r="O118" s="449">
        <v>216.97672876712332</v>
      </c>
      <c r="P118" s="449"/>
      <c r="Q118" s="449"/>
      <c r="R118" s="449">
        <v>685.9264328767124</v>
      </c>
      <c r="S118" s="452"/>
    </row>
    <row r="119" spans="1:19" x14ac:dyDescent="0.3">
      <c r="A119" s="451">
        <v>5062</v>
      </c>
      <c r="B119" s="452" t="s">
        <v>85</v>
      </c>
      <c r="C119" s="452" t="s">
        <v>84</v>
      </c>
      <c r="D119" s="452" t="s">
        <v>83</v>
      </c>
      <c r="E119" s="450">
        <v>220000</v>
      </c>
      <c r="F119" s="457">
        <v>44036</v>
      </c>
      <c r="G119" s="457">
        <v>44401</v>
      </c>
      <c r="H119" s="453"/>
      <c r="I119" s="450">
        <v>3.4</v>
      </c>
      <c r="J119" s="449">
        <v>758.24657534246592</v>
      </c>
      <c r="K119" s="449">
        <v>614.79452054794524</v>
      </c>
      <c r="L119" s="449"/>
      <c r="M119" s="449"/>
      <c r="N119" s="449">
        <v>1373.0410958904113</v>
      </c>
      <c r="O119" s="449">
        <v>635.28767123287685</v>
      </c>
      <c r="P119" s="449"/>
      <c r="Q119" s="449"/>
      <c r="R119" s="449">
        <v>2008.3287671232881</v>
      </c>
      <c r="S119" s="452"/>
    </row>
    <row r="120" spans="1:19" x14ac:dyDescent="0.3">
      <c r="A120" s="451">
        <v>5040</v>
      </c>
      <c r="B120" s="452" t="s">
        <v>82</v>
      </c>
      <c r="C120" s="452" t="s">
        <v>81</v>
      </c>
      <c r="D120" s="452" t="s">
        <v>80</v>
      </c>
      <c r="E120" s="450">
        <v>53900</v>
      </c>
      <c r="F120" s="457">
        <v>44038</v>
      </c>
      <c r="G120" s="457">
        <v>44403</v>
      </c>
      <c r="H120" s="453"/>
      <c r="I120" s="450">
        <v>6.15</v>
      </c>
      <c r="J120" s="449">
        <v>326.94410958904115</v>
      </c>
      <c r="K120" s="449">
        <v>272.45342465753424</v>
      </c>
      <c r="L120" s="449"/>
      <c r="M120" s="449"/>
      <c r="N120" s="449">
        <v>599.39753424657533</v>
      </c>
      <c r="O120" s="449">
        <v>281.53520547945209</v>
      </c>
      <c r="P120" s="449"/>
      <c r="Q120" s="449"/>
      <c r="R120" s="449">
        <v>880.93273972602742</v>
      </c>
      <c r="S120" s="452"/>
    </row>
    <row r="121" spans="1:19" x14ac:dyDescent="0.3">
      <c r="A121" s="451">
        <v>5031</v>
      </c>
      <c r="B121" s="452" t="s">
        <v>7</v>
      </c>
      <c r="C121" s="452" t="s">
        <v>79</v>
      </c>
      <c r="D121" s="452" t="s">
        <v>78</v>
      </c>
      <c r="E121" s="450">
        <v>541000</v>
      </c>
      <c r="F121" s="457">
        <v>44037</v>
      </c>
      <c r="G121" s="457">
        <v>44402</v>
      </c>
      <c r="H121" s="453"/>
      <c r="I121" s="450">
        <v>6.9</v>
      </c>
      <c r="J121" s="449">
        <v>3784.0356164383561</v>
      </c>
      <c r="K121" s="449">
        <v>3068.1369863013701</v>
      </c>
      <c r="L121" s="449"/>
      <c r="M121" s="449"/>
      <c r="N121" s="449">
        <v>6852.1726027397262</v>
      </c>
      <c r="O121" s="449">
        <v>3170.4082191780822</v>
      </c>
      <c r="P121" s="449"/>
      <c r="Q121" s="449"/>
      <c r="R121" s="449">
        <v>10022.580821917809</v>
      </c>
      <c r="S121" s="452"/>
    </row>
    <row r="122" spans="1:19" x14ac:dyDescent="0.3">
      <c r="A122" s="451">
        <v>5063</v>
      </c>
      <c r="B122" s="452" t="s">
        <v>77</v>
      </c>
      <c r="C122" s="452" t="s">
        <v>76</v>
      </c>
      <c r="D122" s="452" t="s">
        <v>75</v>
      </c>
      <c r="E122" s="450">
        <v>240000</v>
      </c>
      <c r="F122" s="457">
        <v>44034</v>
      </c>
      <c r="G122" s="457">
        <v>44399</v>
      </c>
      <c r="H122" s="453"/>
      <c r="I122" s="450">
        <v>5.4</v>
      </c>
      <c r="J122" s="449">
        <v>1313.7534246575347</v>
      </c>
      <c r="K122" s="449">
        <v>1065.2054794520548</v>
      </c>
      <c r="L122" s="449"/>
      <c r="M122" s="449"/>
      <c r="N122" s="449">
        <v>2378.9589041095896</v>
      </c>
      <c r="O122" s="449">
        <v>1100.7123287671236</v>
      </c>
      <c r="P122" s="449"/>
      <c r="Q122" s="449"/>
      <c r="R122" s="449">
        <v>3479.6712328767135</v>
      </c>
      <c r="S122" s="452"/>
    </row>
    <row r="123" spans="1:19" x14ac:dyDescent="0.3">
      <c r="A123" s="451">
        <v>5057</v>
      </c>
      <c r="B123" s="452" t="s">
        <v>74</v>
      </c>
      <c r="C123" s="452" t="s">
        <v>73</v>
      </c>
      <c r="D123" s="452" t="s">
        <v>72</v>
      </c>
      <c r="E123" s="450">
        <v>139000</v>
      </c>
      <c r="F123" s="457">
        <v>44042</v>
      </c>
      <c r="G123" s="457">
        <v>44407</v>
      </c>
      <c r="H123" s="453"/>
      <c r="I123" s="450">
        <v>3.4</v>
      </c>
      <c r="J123" s="449">
        <v>401.38630136986302</v>
      </c>
      <c r="K123" s="449">
        <v>388.43835616438361</v>
      </c>
      <c r="L123" s="449"/>
      <c r="M123" s="449"/>
      <c r="N123" s="449">
        <v>789.82465753424663</v>
      </c>
      <c r="O123" s="449">
        <v>401.38630136986302</v>
      </c>
      <c r="P123" s="449"/>
      <c r="Q123" s="449"/>
      <c r="R123" s="449">
        <v>1191.2109589041097</v>
      </c>
      <c r="S123" s="452"/>
    </row>
    <row r="124" spans="1:19" x14ac:dyDescent="0.3">
      <c r="A124" s="451">
        <v>5062</v>
      </c>
      <c r="B124" s="452" t="s">
        <v>71</v>
      </c>
      <c r="C124" s="452" t="s">
        <v>70</v>
      </c>
      <c r="D124" s="452" t="s">
        <v>69</v>
      </c>
      <c r="E124" s="450">
        <v>100000</v>
      </c>
      <c r="F124" s="457">
        <v>44044</v>
      </c>
      <c r="G124" s="457">
        <v>44409</v>
      </c>
      <c r="H124" s="453"/>
      <c r="I124" s="450">
        <v>7.4</v>
      </c>
      <c r="J124" s="449">
        <v>608.21917808219189</v>
      </c>
      <c r="K124" s="449">
        <v>608.21917808219177</v>
      </c>
      <c r="L124" s="449"/>
      <c r="M124" s="449"/>
      <c r="N124" s="449">
        <v>1216.4383561643835</v>
      </c>
      <c r="O124" s="449">
        <v>628.49315068493161</v>
      </c>
      <c r="P124" s="449"/>
      <c r="Q124" s="449"/>
      <c r="R124" s="449">
        <v>1844.9315068493152</v>
      </c>
      <c r="S124" s="452"/>
    </row>
    <row r="125" spans="1:19" x14ac:dyDescent="0.3">
      <c r="A125" s="451">
        <v>5063</v>
      </c>
      <c r="B125" s="452" t="s">
        <v>25</v>
      </c>
      <c r="C125" s="452" t="s">
        <v>68</v>
      </c>
      <c r="D125" s="452" t="s">
        <v>67</v>
      </c>
      <c r="E125" s="450">
        <v>100000</v>
      </c>
      <c r="F125" s="457">
        <v>44044</v>
      </c>
      <c r="G125" s="457">
        <v>44409</v>
      </c>
      <c r="H125" s="453"/>
      <c r="I125" s="450">
        <v>4.4000000000000004</v>
      </c>
      <c r="J125" s="449">
        <v>361.64383561643837</v>
      </c>
      <c r="K125" s="449">
        <v>361.64383561643837</v>
      </c>
      <c r="L125" s="449"/>
      <c r="M125" s="449"/>
      <c r="N125" s="449">
        <v>723.28767123287673</v>
      </c>
      <c r="O125" s="449">
        <v>373.69863013698631</v>
      </c>
      <c r="P125" s="449"/>
      <c r="Q125" s="449"/>
      <c r="R125" s="449">
        <v>1096.986301369863</v>
      </c>
      <c r="S125" s="452"/>
    </row>
    <row r="126" spans="1:19" x14ac:dyDescent="0.3">
      <c r="A126" s="451">
        <v>5060</v>
      </c>
      <c r="B126" s="452" t="s">
        <v>40</v>
      </c>
      <c r="C126" s="452" t="s">
        <v>66</v>
      </c>
      <c r="D126" s="452" t="s">
        <v>65</v>
      </c>
      <c r="E126" s="450">
        <v>2170000</v>
      </c>
      <c r="F126" s="457">
        <v>44058</v>
      </c>
      <c r="G126" s="457">
        <v>44423</v>
      </c>
      <c r="H126" s="453"/>
      <c r="I126" s="450">
        <v>6.4</v>
      </c>
      <c r="J126" s="449">
        <v>6087.8904109589039</v>
      </c>
      <c r="K126" s="449">
        <v>11414.794520547945</v>
      </c>
      <c r="L126" s="449"/>
      <c r="M126" s="449"/>
      <c r="N126" s="449">
        <v>17502.684931506847</v>
      </c>
      <c r="O126" s="449">
        <v>11795.287671232876</v>
      </c>
      <c r="P126" s="449"/>
      <c r="Q126" s="449">
        <v>-28917.48</v>
      </c>
      <c r="R126" s="449">
        <v>380.49260273972322</v>
      </c>
      <c r="S126" s="452"/>
    </row>
    <row r="127" spans="1:19" x14ac:dyDescent="0.3">
      <c r="A127" s="451">
        <v>5001</v>
      </c>
      <c r="B127" s="452" t="s">
        <v>64</v>
      </c>
      <c r="C127" s="452" t="s">
        <v>63</v>
      </c>
      <c r="D127" s="452" t="s">
        <v>62</v>
      </c>
      <c r="E127" s="450">
        <v>250000</v>
      </c>
      <c r="F127" s="457">
        <v>44068</v>
      </c>
      <c r="G127" s="457">
        <v>44433</v>
      </c>
      <c r="H127" s="453"/>
      <c r="I127" s="450">
        <v>4.9000000000000004</v>
      </c>
      <c r="J127" s="449">
        <v>201.36986301369862</v>
      </c>
      <c r="K127" s="449">
        <v>1006.8493150684931</v>
      </c>
      <c r="L127" s="449"/>
      <c r="M127" s="449"/>
      <c r="N127" s="449">
        <v>1208.2191780821918</v>
      </c>
      <c r="O127" s="449">
        <v>1040.4109589041095</v>
      </c>
      <c r="P127" s="449"/>
      <c r="Q127" s="449"/>
      <c r="R127" s="449">
        <v>2248.6301369863013</v>
      </c>
      <c r="S127" s="452"/>
    </row>
    <row r="128" spans="1:19" x14ac:dyDescent="0.3">
      <c r="A128" s="451">
        <v>5031</v>
      </c>
      <c r="B128" s="452" t="s">
        <v>7</v>
      </c>
      <c r="C128" s="452" t="s">
        <v>61</v>
      </c>
      <c r="D128" s="452" t="s">
        <v>60</v>
      </c>
      <c r="E128" s="450">
        <v>325000</v>
      </c>
      <c r="F128" s="457">
        <v>44069</v>
      </c>
      <c r="G128" s="457">
        <v>44434</v>
      </c>
      <c r="H128" s="453"/>
      <c r="I128" s="450">
        <v>6.9</v>
      </c>
      <c r="J128" s="449">
        <v>307.19178082191786</v>
      </c>
      <c r="K128" s="449">
        <v>1843.1506849315069</v>
      </c>
      <c r="L128" s="449"/>
      <c r="M128" s="449"/>
      <c r="N128" s="449">
        <v>2150.3424657534247</v>
      </c>
      <c r="O128" s="449">
        <v>1904.5890410958907</v>
      </c>
      <c r="P128" s="449"/>
      <c r="Q128" s="449"/>
      <c r="R128" s="449">
        <v>4054.9315068493152</v>
      </c>
      <c r="S128" s="452"/>
    </row>
    <row r="129" spans="1:19" x14ac:dyDescent="0.3">
      <c r="A129" s="451">
        <v>5040</v>
      </c>
      <c r="B129" s="452" t="s">
        <v>59</v>
      </c>
      <c r="C129" s="452" t="s">
        <v>58</v>
      </c>
      <c r="D129" s="452" t="s">
        <v>57</v>
      </c>
      <c r="E129" s="450">
        <v>100000</v>
      </c>
      <c r="F129" s="457">
        <v>44070</v>
      </c>
      <c r="G129" s="457">
        <v>44435</v>
      </c>
      <c r="H129" s="453"/>
      <c r="I129" s="450">
        <v>6.4</v>
      </c>
      <c r="J129" s="449">
        <v>70.136986301369859</v>
      </c>
      <c r="K129" s="449">
        <v>526.02739726027391</v>
      </c>
      <c r="L129" s="449"/>
      <c r="M129" s="449"/>
      <c r="N129" s="449">
        <v>596.16438356164372</v>
      </c>
      <c r="O129" s="449">
        <v>543.56164383561645</v>
      </c>
      <c r="P129" s="449"/>
      <c r="Q129" s="449"/>
      <c r="R129" s="449">
        <v>1139.7260273972602</v>
      </c>
      <c r="S129" s="452"/>
    </row>
    <row r="130" spans="1:19" x14ac:dyDescent="0.3">
      <c r="A130" s="451">
        <v>5055</v>
      </c>
      <c r="B130" s="452" t="s">
        <v>56</v>
      </c>
      <c r="C130" s="452" t="s">
        <v>55</v>
      </c>
      <c r="D130" s="452" t="s">
        <v>54</v>
      </c>
      <c r="E130" s="450">
        <v>60250</v>
      </c>
      <c r="F130" s="457">
        <v>44055</v>
      </c>
      <c r="G130" s="457">
        <v>44420</v>
      </c>
      <c r="H130" s="453"/>
      <c r="I130" s="450">
        <v>5.67</v>
      </c>
      <c r="J130" s="449">
        <v>93.593835616438369</v>
      </c>
      <c r="K130" s="449">
        <v>280.78150684931512</v>
      </c>
      <c r="L130" s="449"/>
      <c r="M130" s="449"/>
      <c r="N130" s="449">
        <v>374.37534246575348</v>
      </c>
      <c r="O130" s="449">
        <v>290.14089041095895</v>
      </c>
      <c r="P130" s="449"/>
      <c r="Q130" s="449"/>
      <c r="R130" s="449">
        <v>664.51623287671237</v>
      </c>
      <c r="S130" s="452"/>
    </row>
    <row r="131" spans="1:19" x14ac:dyDescent="0.3">
      <c r="A131" s="451">
        <v>5055</v>
      </c>
      <c r="B131" s="452" t="s">
        <v>53</v>
      </c>
      <c r="C131" s="452" t="s">
        <v>52</v>
      </c>
      <c r="D131" s="452" t="s">
        <v>51</v>
      </c>
      <c r="E131" s="450">
        <v>60250</v>
      </c>
      <c r="F131" s="457">
        <v>44055</v>
      </c>
      <c r="G131" s="457">
        <v>44420</v>
      </c>
      <c r="H131" s="453"/>
      <c r="I131" s="450">
        <v>5.67</v>
      </c>
      <c r="J131" s="449">
        <v>93.593835616438369</v>
      </c>
      <c r="K131" s="449">
        <v>280.78150684931512</v>
      </c>
      <c r="L131" s="449"/>
      <c r="M131" s="449"/>
      <c r="N131" s="449">
        <v>374.37534246575348</v>
      </c>
      <c r="O131" s="449">
        <v>290.14089041095895</v>
      </c>
      <c r="P131" s="449"/>
      <c r="Q131" s="449"/>
      <c r="R131" s="449">
        <v>664.51623287671237</v>
      </c>
      <c r="S131" s="452"/>
    </row>
    <row r="132" spans="1:19" x14ac:dyDescent="0.3">
      <c r="A132" s="451">
        <v>5057</v>
      </c>
      <c r="B132" s="452" t="s">
        <v>50</v>
      </c>
      <c r="C132" s="452" t="s">
        <v>49</v>
      </c>
      <c r="D132" s="452" t="s">
        <v>48</v>
      </c>
      <c r="E132" s="450">
        <v>150000</v>
      </c>
      <c r="F132" s="457">
        <v>44066</v>
      </c>
      <c r="G132" s="457">
        <v>44431</v>
      </c>
      <c r="H132" s="453"/>
      <c r="I132" s="450">
        <v>4.9000000000000004</v>
      </c>
      <c r="J132" s="449">
        <v>362.46575342465752</v>
      </c>
      <c r="K132" s="449">
        <v>604.109589041096</v>
      </c>
      <c r="L132" s="449"/>
      <c r="M132" s="449"/>
      <c r="N132" s="449">
        <v>966.57534246575347</v>
      </c>
      <c r="O132" s="449">
        <v>624.24657534246569</v>
      </c>
      <c r="P132" s="449"/>
      <c r="Q132" s="449"/>
      <c r="R132" s="449">
        <v>1590.821917808219</v>
      </c>
      <c r="S132" s="452"/>
    </row>
    <row r="133" spans="1:19" x14ac:dyDescent="0.3">
      <c r="A133" s="451">
        <v>5060</v>
      </c>
      <c r="B133" s="468" t="s">
        <v>47</v>
      </c>
      <c r="C133" s="468" t="s">
        <v>46</v>
      </c>
      <c r="D133" s="452" t="s">
        <v>45</v>
      </c>
      <c r="E133" s="450">
        <v>160000</v>
      </c>
      <c r="F133" s="457">
        <v>44075</v>
      </c>
      <c r="G133" s="457">
        <v>44440</v>
      </c>
      <c r="H133" s="453"/>
      <c r="I133" s="448">
        <v>6.4</v>
      </c>
      <c r="J133" s="449"/>
      <c r="K133" s="449">
        <v>841.64383561643831</v>
      </c>
      <c r="L133" s="449"/>
      <c r="M133" s="449"/>
      <c r="N133" s="449">
        <v>841.64383561643831</v>
      </c>
      <c r="O133" s="449">
        <v>869.69863013698625</v>
      </c>
      <c r="P133" s="449"/>
      <c r="Q133" s="449"/>
      <c r="R133" s="449">
        <v>1711.3424657534247</v>
      </c>
      <c r="S133" s="452"/>
    </row>
    <row r="134" spans="1:19" x14ac:dyDescent="0.3">
      <c r="A134" s="451">
        <v>5060</v>
      </c>
      <c r="B134" s="468" t="s">
        <v>40</v>
      </c>
      <c r="C134" s="468" t="s">
        <v>44</v>
      </c>
      <c r="D134" s="452" t="s">
        <v>43</v>
      </c>
      <c r="E134" s="450">
        <v>615000</v>
      </c>
      <c r="F134" s="457">
        <v>44075</v>
      </c>
      <c r="G134" s="457">
        <v>44440</v>
      </c>
      <c r="H134" s="453"/>
      <c r="I134" s="448">
        <v>6.4</v>
      </c>
      <c r="J134" s="449"/>
      <c r="K134" s="449">
        <v>3235.0684931506848</v>
      </c>
      <c r="L134" s="449"/>
      <c r="M134" s="449"/>
      <c r="N134" s="449">
        <v>3235.0684931506848</v>
      </c>
      <c r="O134" s="449">
        <v>3342.9041095890411</v>
      </c>
      <c r="P134" s="449"/>
      <c r="Q134" s="449"/>
      <c r="R134" s="449">
        <v>6577.9726027397264</v>
      </c>
      <c r="S134" s="452"/>
    </row>
    <row r="135" spans="1:19" x14ac:dyDescent="0.3">
      <c r="A135" s="451">
        <v>5060</v>
      </c>
      <c r="B135" s="468" t="s">
        <v>40</v>
      </c>
      <c r="C135" s="468" t="s">
        <v>42</v>
      </c>
      <c r="D135" s="452" t="s">
        <v>41</v>
      </c>
      <c r="E135" s="450">
        <v>285000</v>
      </c>
      <c r="F135" s="457">
        <v>44075</v>
      </c>
      <c r="G135" s="457">
        <v>44440</v>
      </c>
      <c r="H135" s="453"/>
      <c r="I135" s="448">
        <v>6.4</v>
      </c>
      <c r="J135" s="449"/>
      <c r="K135" s="449">
        <v>1499.178082191781</v>
      </c>
      <c r="L135" s="449"/>
      <c r="M135" s="449"/>
      <c r="N135" s="449">
        <v>1499.178082191781</v>
      </c>
      <c r="O135" s="449">
        <v>1549.1506849315069</v>
      </c>
      <c r="P135" s="449"/>
      <c r="Q135" s="449"/>
      <c r="R135" s="449">
        <v>3048.3287671232879</v>
      </c>
      <c r="S135" s="452"/>
    </row>
    <row r="136" spans="1:19" x14ac:dyDescent="0.3">
      <c r="A136" s="451">
        <v>5060</v>
      </c>
      <c r="B136" s="468" t="s">
        <v>40</v>
      </c>
      <c r="C136" s="468" t="s">
        <v>39</v>
      </c>
      <c r="D136" s="452" t="s">
        <v>38</v>
      </c>
      <c r="E136" s="450">
        <v>500000</v>
      </c>
      <c r="F136" s="457">
        <v>44075</v>
      </c>
      <c r="G136" s="457">
        <v>44440</v>
      </c>
      <c r="H136" s="453"/>
      <c r="I136" s="448">
        <v>6.4</v>
      </c>
      <c r="J136" s="449"/>
      <c r="K136" s="449">
        <v>2630.1369863013697</v>
      </c>
      <c r="L136" s="449"/>
      <c r="M136" s="449"/>
      <c r="N136" s="449">
        <v>2630.1369863013697</v>
      </c>
      <c r="O136" s="449">
        <v>2717.8082191780823</v>
      </c>
      <c r="P136" s="449"/>
      <c r="Q136" s="449"/>
      <c r="R136" s="449">
        <v>5347.9452054794519</v>
      </c>
      <c r="S136" s="452"/>
    </row>
    <row r="137" spans="1:19" x14ac:dyDescent="0.3">
      <c r="A137" s="451">
        <v>5060</v>
      </c>
      <c r="B137" s="468" t="s">
        <v>37</v>
      </c>
      <c r="C137" s="468" t="s">
        <v>36</v>
      </c>
      <c r="D137" s="452" t="s">
        <v>35</v>
      </c>
      <c r="E137" s="450">
        <v>500000</v>
      </c>
      <c r="F137" s="457">
        <v>44075</v>
      </c>
      <c r="G137" s="457">
        <v>44440</v>
      </c>
      <c r="H137" s="453"/>
      <c r="I137" s="448">
        <v>2.9</v>
      </c>
      <c r="J137" s="449"/>
      <c r="K137" s="449">
        <v>1191.7808219178082</v>
      </c>
      <c r="L137" s="449"/>
      <c r="M137" s="449"/>
      <c r="N137" s="449">
        <v>1191.7808219178082</v>
      </c>
      <c r="O137" s="449">
        <v>1231.5068493150684</v>
      </c>
      <c r="P137" s="449"/>
      <c r="Q137" s="449"/>
      <c r="R137" s="449">
        <v>2423.2876712328766</v>
      </c>
      <c r="S137" s="452"/>
    </row>
    <row r="138" spans="1:19" x14ac:dyDescent="0.3">
      <c r="A138" s="451">
        <v>5050</v>
      </c>
      <c r="B138" s="468" t="s">
        <v>34</v>
      </c>
      <c r="C138" s="468" t="s">
        <v>33</v>
      </c>
      <c r="D138" s="452" t="s">
        <v>32</v>
      </c>
      <c r="E138" s="450">
        <v>300000</v>
      </c>
      <c r="F138" s="457">
        <v>44077</v>
      </c>
      <c r="G138" s="457">
        <v>44442</v>
      </c>
      <c r="H138" s="453"/>
      <c r="I138" s="448">
        <v>5.9</v>
      </c>
      <c r="J138" s="449"/>
      <c r="K138" s="449">
        <v>1454.7945205479452</v>
      </c>
      <c r="L138" s="449"/>
      <c r="M138" s="449"/>
      <c r="N138" s="449">
        <v>1454.7945205479452</v>
      </c>
      <c r="O138" s="449">
        <v>1503.2876712328766</v>
      </c>
      <c r="P138" s="449"/>
      <c r="Q138" s="449"/>
      <c r="R138" s="449">
        <v>2958.0821917808216</v>
      </c>
      <c r="S138" s="452"/>
    </row>
    <row r="139" spans="1:19" x14ac:dyDescent="0.3">
      <c r="A139" s="451">
        <v>5050</v>
      </c>
      <c r="B139" s="468" t="s">
        <v>31</v>
      </c>
      <c r="C139" s="468" t="s">
        <v>30</v>
      </c>
      <c r="D139" s="452" t="s">
        <v>29</v>
      </c>
      <c r="E139" s="450">
        <v>220000</v>
      </c>
      <c r="F139" s="457">
        <v>44077</v>
      </c>
      <c r="G139" s="457">
        <v>44442</v>
      </c>
      <c r="H139" s="453"/>
      <c r="I139" s="448">
        <v>5.9</v>
      </c>
      <c r="J139" s="449"/>
      <c r="K139" s="449">
        <v>1066.8493150684931</v>
      </c>
      <c r="L139" s="449"/>
      <c r="M139" s="449"/>
      <c r="N139" s="449">
        <v>1066.8493150684931</v>
      </c>
      <c r="O139" s="449">
        <v>1102.4109589041095</v>
      </c>
      <c r="P139" s="449"/>
      <c r="Q139" s="449"/>
      <c r="R139" s="449">
        <v>2169.2602739726026</v>
      </c>
      <c r="S139" s="452"/>
    </row>
    <row r="140" spans="1:19" x14ac:dyDescent="0.3">
      <c r="A140" s="451">
        <v>5064</v>
      </c>
      <c r="B140" s="468" t="s">
        <v>28</v>
      </c>
      <c r="C140" s="468" t="s">
        <v>27</v>
      </c>
      <c r="D140" s="452" t="s">
        <v>26</v>
      </c>
      <c r="E140" s="450">
        <v>100000</v>
      </c>
      <c r="F140" s="457">
        <v>44083</v>
      </c>
      <c r="G140" s="457">
        <v>44448</v>
      </c>
      <c r="H140" s="453"/>
      <c r="I140" s="448">
        <v>5.9</v>
      </c>
      <c r="J140" s="449"/>
      <c r="K140" s="449">
        <v>484.93150684931504</v>
      </c>
      <c r="L140" s="449"/>
      <c r="M140" s="449"/>
      <c r="N140" s="449">
        <v>484.93150684931504</v>
      </c>
      <c r="O140" s="449">
        <v>501.09589041095887</v>
      </c>
      <c r="P140" s="449"/>
      <c r="Q140" s="449"/>
      <c r="R140" s="449">
        <v>986.02739726027391</v>
      </c>
      <c r="S140" s="452"/>
    </row>
    <row r="141" spans="1:19" x14ac:dyDescent="0.3">
      <c r="A141" s="451">
        <v>5063</v>
      </c>
      <c r="B141" s="468" t="s">
        <v>25</v>
      </c>
      <c r="C141" s="468" t="s">
        <v>24</v>
      </c>
      <c r="D141" s="452" t="s">
        <v>23</v>
      </c>
      <c r="E141" s="450">
        <v>173000</v>
      </c>
      <c r="F141" s="457">
        <v>44075</v>
      </c>
      <c r="G141" s="457">
        <v>44440</v>
      </c>
      <c r="H141" s="453"/>
      <c r="I141" s="448">
        <v>4.4000000000000004</v>
      </c>
      <c r="J141" s="449"/>
      <c r="K141" s="449">
        <v>625.64383561643842</v>
      </c>
      <c r="L141" s="449"/>
      <c r="M141" s="449"/>
      <c r="N141" s="449">
        <v>625.64383561643842</v>
      </c>
      <c r="O141" s="449">
        <v>646.49863013698643</v>
      </c>
      <c r="P141" s="449"/>
      <c r="Q141" s="449"/>
      <c r="R141" s="449">
        <v>1272.1424657534249</v>
      </c>
      <c r="S141" s="452"/>
    </row>
    <row r="142" spans="1:19" x14ac:dyDescent="0.3">
      <c r="A142" s="451">
        <v>5057</v>
      </c>
      <c r="B142" s="468" t="s">
        <v>22</v>
      </c>
      <c r="C142" s="468" t="s">
        <v>21</v>
      </c>
      <c r="D142" s="452" t="s">
        <v>20</v>
      </c>
      <c r="E142" s="450">
        <v>600000</v>
      </c>
      <c r="F142" s="457">
        <v>44094</v>
      </c>
      <c r="G142" s="457">
        <v>44459</v>
      </c>
      <c r="H142" s="453"/>
      <c r="I142" s="448">
        <v>6.6</v>
      </c>
      <c r="J142" s="449"/>
      <c r="K142" s="449">
        <v>3254.794520547945</v>
      </c>
      <c r="L142" s="449"/>
      <c r="M142" s="449"/>
      <c r="N142" s="449">
        <v>3254.794520547945</v>
      </c>
      <c r="O142" s="449">
        <v>3363.2876712328766</v>
      </c>
      <c r="P142" s="449"/>
      <c r="Q142" s="449"/>
      <c r="R142" s="449">
        <v>6618.0821917808216</v>
      </c>
      <c r="S142" s="452"/>
    </row>
    <row r="143" spans="1:19" x14ac:dyDescent="0.3">
      <c r="A143" s="451">
        <v>5060</v>
      </c>
      <c r="B143" s="468" t="s">
        <v>19</v>
      </c>
      <c r="C143" s="468" t="s">
        <v>18</v>
      </c>
      <c r="D143" s="452" t="s">
        <v>17</v>
      </c>
      <c r="E143" s="450">
        <v>330000</v>
      </c>
      <c r="F143" s="457">
        <v>44098</v>
      </c>
      <c r="G143" s="457">
        <v>44463</v>
      </c>
      <c r="H143" s="453"/>
      <c r="I143" s="448">
        <v>1.9</v>
      </c>
      <c r="J143" s="449"/>
      <c r="K143" s="449">
        <v>515.34246575342456</v>
      </c>
      <c r="L143" s="449"/>
      <c r="M143" s="449"/>
      <c r="N143" s="449">
        <v>515.34246575342456</v>
      </c>
      <c r="O143" s="449">
        <v>532.52054794520541</v>
      </c>
      <c r="P143" s="449"/>
      <c r="Q143" s="449"/>
      <c r="R143" s="449">
        <v>1047.8630136986299</v>
      </c>
      <c r="S143" s="452"/>
    </row>
    <row r="144" spans="1:19" x14ac:dyDescent="0.3">
      <c r="A144" s="451">
        <v>5060</v>
      </c>
      <c r="B144" s="468" t="s">
        <v>16</v>
      </c>
      <c r="C144" s="468" t="s">
        <v>15</v>
      </c>
      <c r="D144" s="452" t="s">
        <v>14</v>
      </c>
      <c r="E144" s="450">
        <v>330000</v>
      </c>
      <c r="F144" s="457">
        <v>44099</v>
      </c>
      <c r="G144" s="457">
        <v>44464</v>
      </c>
      <c r="H144" s="453"/>
      <c r="I144" s="448">
        <v>1.9</v>
      </c>
      <c r="J144" s="449"/>
      <c r="K144" s="449">
        <v>515.34246575342456</v>
      </c>
      <c r="L144" s="449"/>
      <c r="M144" s="449"/>
      <c r="N144" s="449">
        <v>515.34246575342456</v>
      </c>
      <c r="O144" s="449">
        <v>532.52054794520541</v>
      </c>
      <c r="P144" s="449"/>
      <c r="Q144" s="449"/>
      <c r="R144" s="449">
        <v>1047.8630136986299</v>
      </c>
      <c r="S144" s="452"/>
    </row>
    <row r="145" spans="1:19" x14ac:dyDescent="0.3">
      <c r="A145" s="451">
        <v>5063</v>
      </c>
      <c r="B145" s="468" t="s">
        <v>13</v>
      </c>
      <c r="C145" s="468" t="s">
        <v>12</v>
      </c>
      <c r="D145" s="452" t="s">
        <v>11</v>
      </c>
      <c r="E145" s="450">
        <v>200000</v>
      </c>
      <c r="F145" s="457">
        <v>44101</v>
      </c>
      <c r="G145" s="457">
        <v>44466</v>
      </c>
      <c r="H145" s="453"/>
      <c r="I145" s="448">
        <v>8.9</v>
      </c>
      <c r="J145" s="449"/>
      <c r="K145" s="449">
        <v>1463.013698630137</v>
      </c>
      <c r="L145" s="449"/>
      <c r="M145" s="449"/>
      <c r="N145" s="449">
        <v>1463.013698630137</v>
      </c>
      <c r="O145" s="449">
        <v>1511.7808219178085</v>
      </c>
      <c r="P145" s="449"/>
      <c r="Q145" s="449"/>
      <c r="R145" s="449">
        <v>2974.7945205479455</v>
      </c>
      <c r="S145" s="452"/>
    </row>
    <row r="146" spans="1:19" x14ac:dyDescent="0.3">
      <c r="A146" s="451">
        <v>5066</v>
      </c>
      <c r="B146" s="468" t="s">
        <v>10</v>
      </c>
      <c r="C146" s="468" t="s">
        <v>9</v>
      </c>
      <c r="D146" s="452" t="s">
        <v>8</v>
      </c>
      <c r="E146" s="450">
        <v>1030000</v>
      </c>
      <c r="F146" s="457">
        <v>44099</v>
      </c>
      <c r="G146" s="457">
        <v>44464</v>
      </c>
      <c r="H146" s="453"/>
      <c r="I146" s="448">
        <v>0.4</v>
      </c>
      <c r="J146" s="449"/>
      <c r="K146" s="449">
        <v>338.63013698630141</v>
      </c>
      <c r="L146" s="449"/>
      <c r="M146" s="449"/>
      <c r="N146" s="449">
        <v>338.63013698630141</v>
      </c>
      <c r="O146" s="449">
        <v>349.91780821917808</v>
      </c>
      <c r="P146" s="449"/>
      <c r="Q146" s="449"/>
      <c r="R146" s="449">
        <v>688.54794520547944</v>
      </c>
      <c r="S146" s="452"/>
    </row>
    <row r="147" spans="1:19" x14ac:dyDescent="0.3">
      <c r="A147" s="451">
        <v>5031</v>
      </c>
      <c r="B147" s="484" t="s">
        <v>7</v>
      </c>
      <c r="C147" s="484" t="s">
        <v>6</v>
      </c>
      <c r="D147" s="460" t="s">
        <v>5</v>
      </c>
      <c r="E147" s="450">
        <v>501000</v>
      </c>
      <c r="F147" s="457">
        <v>44099</v>
      </c>
      <c r="G147" s="457">
        <v>44464</v>
      </c>
      <c r="H147" s="453"/>
      <c r="I147" s="448">
        <v>6.4</v>
      </c>
      <c r="J147" s="449"/>
      <c r="K147" s="449">
        <v>2635.3972602739727</v>
      </c>
      <c r="L147" s="449"/>
      <c r="M147" s="449"/>
      <c r="N147" s="449">
        <v>2635.3972602739727</v>
      </c>
      <c r="O147" s="449">
        <v>2723.2438356164384</v>
      </c>
      <c r="P147" s="449"/>
      <c r="Q147" s="449"/>
      <c r="R147" s="449">
        <v>5358.6410958904107</v>
      </c>
      <c r="S147" s="452"/>
    </row>
    <row r="148" spans="1:19" ht="52.8" x14ac:dyDescent="0.3">
      <c r="A148" s="451">
        <v>5062</v>
      </c>
      <c r="B148" s="485" t="s">
        <v>359</v>
      </c>
      <c r="C148" s="485" t="s">
        <v>746</v>
      </c>
      <c r="D148" s="485" t="s">
        <v>747</v>
      </c>
      <c r="E148" s="486">
        <v>197000</v>
      </c>
      <c r="F148" s="457">
        <v>44119</v>
      </c>
      <c r="G148" s="457">
        <v>44481</v>
      </c>
      <c r="H148" s="453"/>
      <c r="I148" s="483">
        <v>6.4</v>
      </c>
      <c r="J148" s="481"/>
      <c r="K148" s="481"/>
      <c r="L148" s="481"/>
      <c r="M148" s="481"/>
      <c r="N148" s="449"/>
      <c r="O148" s="449">
        <v>552.67945205479452</v>
      </c>
      <c r="P148" s="481">
        <v>-105.21</v>
      </c>
      <c r="Q148" s="481"/>
      <c r="R148" s="449">
        <v>447.46945205479454</v>
      </c>
      <c r="S148" s="452"/>
    </row>
    <row r="149" spans="1:19" ht="52.8" x14ac:dyDescent="0.3">
      <c r="A149" s="451">
        <v>5060</v>
      </c>
      <c r="B149" s="485" t="s">
        <v>16</v>
      </c>
      <c r="C149" s="485" t="s">
        <v>748</v>
      </c>
      <c r="D149" s="485" t="s">
        <v>749</v>
      </c>
      <c r="E149" s="450">
        <v>25000</v>
      </c>
      <c r="F149" s="457">
        <v>44114</v>
      </c>
      <c r="G149" s="457">
        <v>44479</v>
      </c>
      <c r="H149" s="453"/>
      <c r="I149" s="483">
        <v>1.9</v>
      </c>
      <c r="J149" s="481"/>
      <c r="K149" s="481"/>
      <c r="L149" s="481"/>
      <c r="M149" s="481"/>
      <c r="N149" s="449"/>
      <c r="O149" s="449">
        <v>27.328767123287673</v>
      </c>
      <c r="P149" s="481"/>
      <c r="Q149" s="481"/>
      <c r="R149" s="449">
        <v>27.328767123287673</v>
      </c>
      <c r="S149" s="452"/>
    </row>
    <row r="150" spans="1:19" ht="52.8" x14ac:dyDescent="0.3">
      <c r="A150" s="451">
        <v>5063</v>
      </c>
      <c r="B150" s="485" t="s">
        <v>77</v>
      </c>
      <c r="C150" s="485" t="s">
        <v>750</v>
      </c>
      <c r="D150" s="485" t="s">
        <v>751</v>
      </c>
      <c r="E150" s="450">
        <v>50000</v>
      </c>
      <c r="F150" s="457">
        <v>44111</v>
      </c>
      <c r="G150" s="457">
        <v>44476</v>
      </c>
      <c r="H150" s="453"/>
      <c r="I150" s="483">
        <v>5.4</v>
      </c>
      <c r="J150" s="481"/>
      <c r="K150" s="481"/>
      <c r="L150" s="481"/>
      <c r="M150" s="481"/>
      <c r="N150" s="449"/>
      <c r="O150" s="449">
        <v>177.53424657534248</v>
      </c>
      <c r="P150" s="481"/>
      <c r="Q150" s="481"/>
      <c r="R150" s="449">
        <v>177.53424657534248</v>
      </c>
      <c r="S150" s="452"/>
    </row>
    <row r="151" spans="1:19" ht="52.8" x14ac:dyDescent="0.3">
      <c r="A151" s="451">
        <v>5060</v>
      </c>
      <c r="B151" s="485" t="s">
        <v>19</v>
      </c>
      <c r="C151" s="485" t="s">
        <v>752</v>
      </c>
      <c r="D151" s="485" t="s">
        <v>753</v>
      </c>
      <c r="E151" s="450">
        <v>25000</v>
      </c>
      <c r="F151" s="457">
        <v>44114</v>
      </c>
      <c r="G151" s="457">
        <v>44479</v>
      </c>
      <c r="H151" s="453"/>
      <c r="I151" s="483">
        <v>1.9</v>
      </c>
      <c r="J151" s="481"/>
      <c r="K151" s="481"/>
      <c r="L151" s="481"/>
      <c r="M151" s="481"/>
      <c r="N151" s="449"/>
      <c r="O151" s="449">
        <v>27.328767123287673</v>
      </c>
      <c r="P151" s="481"/>
      <c r="Q151" s="481"/>
      <c r="R151" s="449">
        <v>27.328767123287673</v>
      </c>
      <c r="S151" s="452"/>
    </row>
    <row r="152" spans="1:19" ht="52.8" x14ac:dyDescent="0.3">
      <c r="A152" s="451">
        <v>5031</v>
      </c>
      <c r="B152" s="485" t="s">
        <v>7</v>
      </c>
      <c r="C152" s="485" t="s">
        <v>754</v>
      </c>
      <c r="D152" s="485" t="s">
        <v>755</v>
      </c>
      <c r="E152" s="450">
        <v>300000</v>
      </c>
      <c r="F152" s="457">
        <v>44124</v>
      </c>
      <c r="G152" s="457">
        <v>44489</v>
      </c>
      <c r="H152" s="453"/>
      <c r="I152" s="483">
        <v>6.9</v>
      </c>
      <c r="J152" s="481"/>
      <c r="K152" s="481"/>
      <c r="L152" s="481"/>
      <c r="M152" s="481"/>
      <c r="N152" s="449"/>
      <c r="O152" s="449">
        <v>623.83561643835617</v>
      </c>
      <c r="P152" s="481"/>
      <c r="Q152" s="481"/>
      <c r="R152" s="449">
        <v>623.83561643835617</v>
      </c>
      <c r="S152" s="452"/>
    </row>
    <row r="153" spans="1:19" ht="52.8" x14ac:dyDescent="0.3">
      <c r="A153" s="451">
        <v>5066</v>
      </c>
      <c r="B153" s="485" t="s">
        <v>10</v>
      </c>
      <c r="C153" s="485" t="s">
        <v>756</v>
      </c>
      <c r="D153" s="485" t="s">
        <v>757</v>
      </c>
      <c r="E153" s="450">
        <v>300000</v>
      </c>
      <c r="F153" s="457">
        <v>44105</v>
      </c>
      <c r="G153" s="457">
        <v>44470</v>
      </c>
      <c r="H153" s="453"/>
      <c r="I153" s="483">
        <v>0.4</v>
      </c>
      <c r="J153" s="481"/>
      <c r="K153" s="481"/>
      <c r="L153" s="481"/>
      <c r="M153" s="481"/>
      <c r="N153" s="449"/>
      <c r="O153" s="449">
        <v>98.630136986301366</v>
      </c>
      <c r="P153" s="481"/>
      <c r="Q153" s="481"/>
      <c r="R153" s="449">
        <v>98.630136986301366</v>
      </c>
      <c r="S153" s="452"/>
    </row>
    <row r="154" spans="1:19" ht="52.8" x14ac:dyDescent="0.3">
      <c r="A154" s="451">
        <v>5063</v>
      </c>
      <c r="B154" s="485" t="s">
        <v>25</v>
      </c>
      <c r="C154" s="485" t="s">
        <v>758</v>
      </c>
      <c r="D154" s="485" t="s">
        <v>759</v>
      </c>
      <c r="E154" s="450">
        <v>188000</v>
      </c>
      <c r="F154" s="457">
        <v>44105</v>
      </c>
      <c r="G154" s="457">
        <v>44470</v>
      </c>
      <c r="H154" s="453"/>
      <c r="I154" s="483">
        <v>4.4000000000000004</v>
      </c>
      <c r="J154" s="481"/>
      <c r="K154" s="481"/>
      <c r="L154" s="481"/>
      <c r="M154" s="481"/>
      <c r="N154" s="449"/>
      <c r="O154" s="449">
        <v>679.89041095890411</v>
      </c>
      <c r="P154" s="481"/>
      <c r="Q154" s="481"/>
      <c r="R154" s="449">
        <v>679.89041095890411</v>
      </c>
      <c r="S154" s="452"/>
    </row>
    <row r="155" spans="1:19" ht="52.8" x14ac:dyDescent="0.3">
      <c r="A155" s="451">
        <v>5064</v>
      </c>
      <c r="B155" s="485" t="s">
        <v>28</v>
      </c>
      <c r="C155" s="485" t="s">
        <v>760</v>
      </c>
      <c r="D155" s="485" t="s">
        <v>761</v>
      </c>
      <c r="E155" s="450">
        <v>100000</v>
      </c>
      <c r="F155" s="457">
        <v>44127</v>
      </c>
      <c r="G155" s="457">
        <v>44492</v>
      </c>
      <c r="H155" s="453"/>
      <c r="I155" s="483">
        <v>5.9</v>
      </c>
      <c r="J155" s="481"/>
      <c r="K155" s="481"/>
      <c r="L155" s="481"/>
      <c r="M155" s="481"/>
      <c r="N155" s="449"/>
      <c r="O155" s="449">
        <v>290.95890410958901</v>
      </c>
      <c r="P155" s="481"/>
      <c r="Q155" s="481"/>
      <c r="R155" s="449">
        <v>290.95890410958901</v>
      </c>
      <c r="S155" s="452"/>
    </row>
    <row r="156" spans="1:19" ht="52.8" x14ac:dyDescent="0.3">
      <c r="A156" s="451">
        <v>5063</v>
      </c>
      <c r="B156" s="485" t="s">
        <v>77</v>
      </c>
      <c r="C156" s="485" t="s">
        <v>762</v>
      </c>
      <c r="D156" s="485" t="s">
        <v>763</v>
      </c>
      <c r="E156" s="450">
        <v>120000</v>
      </c>
      <c r="F156" s="457">
        <v>44134</v>
      </c>
      <c r="G156" s="457">
        <v>44499</v>
      </c>
      <c r="H156" s="453"/>
      <c r="I156" s="483">
        <v>5.4</v>
      </c>
      <c r="J156" s="481"/>
      <c r="K156" s="481"/>
      <c r="L156" s="481"/>
      <c r="M156" s="481"/>
      <c r="N156" s="449"/>
      <c r="O156" s="449">
        <v>35.5068493150685</v>
      </c>
      <c r="P156" s="481"/>
      <c r="Q156" s="481"/>
      <c r="R156" s="449">
        <v>35.5068493150685</v>
      </c>
      <c r="S156" s="452"/>
    </row>
    <row r="157" spans="1:19" ht="52.8" x14ac:dyDescent="0.3">
      <c r="A157" s="451">
        <v>5057</v>
      </c>
      <c r="B157" s="485" t="s">
        <v>74</v>
      </c>
      <c r="C157" s="485" t="s">
        <v>764</v>
      </c>
      <c r="D157" s="485" t="s">
        <v>765</v>
      </c>
      <c r="E157" s="450">
        <v>118000</v>
      </c>
      <c r="F157" s="457">
        <v>44134</v>
      </c>
      <c r="G157" s="457">
        <v>44499</v>
      </c>
      <c r="H157" s="453"/>
      <c r="I157" s="483">
        <v>3.4</v>
      </c>
      <c r="J157" s="481"/>
      <c r="K157" s="481"/>
      <c r="L157" s="481"/>
      <c r="M157" s="481"/>
      <c r="N157" s="449"/>
      <c r="O157" s="449">
        <v>21.983561643835618</v>
      </c>
      <c r="P157" s="481"/>
      <c r="Q157" s="481"/>
      <c r="R157" s="449">
        <v>21.983561643835618</v>
      </c>
      <c r="S157" s="452"/>
    </row>
    <row r="158" spans="1:19" x14ac:dyDescent="0.3">
      <c r="A158" s="451"/>
      <c r="B158" s="469"/>
      <c r="C158" s="469"/>
      <c r="D158" s="469"/>
      <c r="E158" s="456"/>
      <c r="F158" s="470"/>
      <c r="G158" s="470"/>
      <c r="H158" s="471"/>
      <c r="I158" s="472"/>
      <c r="J158" s="481"/>
      <c r="K158" s="481"/>
      <c r="L158" s="481"/>
      <c r="M158" s="481"/>
      <c r="N158" s="449"/>
      <c r="O158" s="481"/>
      <c r="P158" s="481"/>
      <c r="Q158" s="481"/>
      <c r="R158" s="449"/>
      <c r="S158" s="452"/>
    </row>
    <row r="159" spans="1:19" ht="15" thickBot="1" x14ac:dyDescent="0.35">
      <c r="A159" s="473" t="s">
        <v>4</v>
      </c>
      <c r="B159" s="474"/>
      <c r="C159" s="474"/>
      <c r="D159" s="475"/>
      <c r="E159" s="476">
        <v>42062475.25</v>
      </c>
      <c r="F159" s="477"/>
      <c r="G159" s="477"/>
      <c r="H159" s="475"/>
      <c r="I159" s="478">
        <v>5.1263513513513423</v>
      </c>
      <c r="J159" s="479">
        <v>817020.02174776362</v>
      </c>
      <c r="K159" s="479">
        <v>193211.36090441098</v>
      </c>
      <c r="L159" s="479"/>
      <c r="M159" s="479"/>
      <c r="N159" s="479">
        <v>1010231.38265217</v>
      </c>
      <c r="O159" s="479">
        <v>199890.98891629311</v>
      </c>
      <c r="P159" s="479">
        <v>-42299.21</v>
      </c>
      <c r="Q159" s="479">
        <v>-29334.77</v>
      </c>
      <c r="R159" s="479">
        <v>1138488.3915684673</v>
      </c>
      <c r="S159" s="480"/>
    </row>
    <row r="160" spans="1:19" ht="15" thickTop="1" x14ac:dyDescent="0.3">
      <c r="A160" s="375"/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</row>
    <row r="161" spans="9:18" x14ac:dyDescent="0.3">
      <c r="I161" s="375"/>
      <c r="J161" s="375"/>
      <c r="K161" s="375"/>
      <c r="L161" s="375"/>
      <c r="M161" s="375"/>
      <c r="N161" s="375"/>
      <c r="O161" s="375"/>
      <c r="P161" s="375"/>
      <c r="Q161" s="375" t="s">
        <v>2</v>
      </c>
      <c r="R161" s="487">
        <v>1138488.4099999999</v>
      </c>
    </row>
    <row r="162" spans="9:18" x14ac:dyDescent="0.3">
      <c r="I162" s="375"/>
      <c r="J162" s="375"/>
      <c r="K162" s="375"/>
      <c r="L162" s="375"/>
      <c r="M162" s="375"/>
      <c r="N162" s="375"/>
      <c r="O162" s="375"/>
      <c r="P162" s="375"/>
      <c r="Q162" s="375" t="s">
        <v>824</v>
      </c>
      <c r="R162" s="438">
        <v>1.843153266236186E-2</v>
      </c>
    </row>
    <row r="163" spans="9:18" x14ac:dyDescent="0.3">
      <c r="I163" s="375"/>
      <c r="J163" s="375"/>
      <c r="K163" s="375"/>
      <c r="L163" s="375"/>
      <c r="M163" s="375"/>
      <c r="N163" s="375"/>
      <c r="O163" s="375"/>
      <c r="P163" s="375"/>
      <c r="Q163" s="375"/>
      <c r="R163" s="438"/>
    </row>
    <row r="164" spans="9:18" x14ac:dyDescent="0.3">
      <c r="I164" s="439"/>
      <c r="J164" s="375"/>
      <c r="K164" s="375"/>
      <c r="L164" s="375"/>
      <c r="M164" s="375"/>
      <c r="N164" s="375"/>
      <c r="O164" s="375"/>
      <c r="P164" s="375"/>
      <c r="Q164" s="375"/>
      <c r="R164" s="37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484C140229E542B560DE6A9448FBE9" ma:contentTypeVersion="" ma:contentTypeDescription="Crear nuevo documento." ma:contentTypeScope="" ma:versionID="8132806c8fa7fbe99e644ca8ca961765">
  <xsd:schema xmlns:xsd="http://www.w3.org/2001/XMLSchema" xmlns:xs="http://www.w3.org/2001/XMLSchema" xmlns:p="http://schemas.microsoft.com/office/2006/metadata/properties" xmlns:ns2="5C4BF1E0-F2A9-4C0D-9ACC-5E67FF2F6604" xmlns:ns3="c3694efb-c593-4da6-92ea-7373864e9812" xmlns:ns4="5c4bf1e0-f2a9-4c0d-9acc-5e67ff2f6604" targetNamespace="http://schemas.microsoft.com/office/2006/metadata/properties" ma:root="true" ma:fieldsID="0395b84c8f877ac84687a8c9fb721352" ns2:_="" ns3:_="" ns4:_="">
    <xsd:import namespace="5C4BF1E0-F2A9-4C0D-9ACC-5E67FF2F6604"/>
    <xsd:import namespace="c3694efb-c593-4da6-92ea-7373864e9812"/>
    <xsd:import namespace="5c4bf1e0-f2a9-4c0d-9acc-5e67ff2f6604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2:_x0075_vx8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BF1E0-F2A9-4C0D-9ACC-5E67FF2F6604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_x0075_vx8" ma:index="9" nillable="true" ma:displayName="Fecha y hora" ma:internalName="_x0075_vx8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94efb-c593-4da6-92ea-7373864e98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bf1e0-f2a9-4c0d-9acc-5e67ff2f6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75_vx8 xmlns="5C4BF1E0-F2A9-4C0D-9ACC-5E67FF2F6604" xsi:nil="true"/>
    <Fecha xmlns="5C4BF1E0-F2A9-4C0D-9ACC-5E67FF2F6604" xsi:nil="true"/>
  </documentManagement>
</p:properties>
</file>

<file path=customXml/itemProps1.xml><?xml version="1.0" encoding="utf-8"?>
<ds:datastoreItem xmlns:ds="http://schemas.openxmlformats.org/officeDocument/2006/customXml" ds:itemID="{FC4A6C23-3515-499D-AD80-7CD51CEFE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BF1E0-F2A9-4C0D-9ACC-5E67FF2F6604"/>
    <ds:schemaRef ds:uri="c3694efb-c593-4da6-92ea-7373864e9812"/>
    <ds:schemaRef ds:uri="5c4bf1e0-f2a9-4c0d-9acc-5e67ff2f66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C64997-13D1-4059-B9A0-7863AB1F1F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C3D75F-5E43-4A35-B3B4-5CA9F9951D7E}">
  <ds:schemaRefs>
    <ds:schemaRef ds:uri="http://schemas.microsoft.com/office/2006/documentManagement/types"/>
    <ds:schemaRef ds:uri="5C4BF1E0-F2A9-4C0D-9ACC-5E67FF2F6604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5c4bf1e0-f2a9-4c0d-9acc-5e67ff2f6604"/>
    <ds:schemaRef ds:uri="http://purl.org/dc/dcmitype/"/>
    <ds:schemaRef ds:uri="http://schemas.microsoft.com/office/infopath/2007/PartnerControls"/>
    <ds:schemaRef ds:uri="c3694efb-c593-4da6-92ea-7373864e981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ENERO 2020</vt:lpstr>
      <vt:lpstr>MARZO</vt:lpstr>
      <vt:lpstr>ABRIL</vt:lpstr>
      <vt:lpstr>MAYO</vt:lpstr>
      <vt:lpstr>junio</vt:lpstr>
      <vt:lpstr>julio</vt:lpstr>
      <vt:lpstr>Auxiliar AGOSTO</vt:lpstr>
      <vt:lpstr>Auxiliar SEPTIEMBRE (2)</vt:lpstr>
      <vt:lpstr>octubre</vt:lpstr>
      <vt:lpstr>Noviembre</vt:lpstr>
      <vt:lpstr>DICIEMBRE</vt:lpstr>
      <vt:lpstr>'Auxiliar AGOSTO'!Área_de_impresión</vt:lpstr>
      <vt:lpstr>'Auxiliar SEPTIEMBRE (2)'!Área_de_impresión</vt:lpstr>
      <vt:lpstr>'Auxiliar AGOSTO'!Títulos_a_imprimir</vt:lpstr>
      <vt:lpstr>'Auxiliar SEPTIEMBRE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Susana</dc:creator>
  <cp:lastModifiedBy>Susana Alexander</cp:lastModifiedBy>
  <dcterms:created xsi:type="dcterms:W3CDTF">2021-02-10T00:05:05Z</dcterms:created>
  <dcterms:modified xsi:type="dcterms:W3CDTF">2021-02-10T01:54:01Z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77dea4-83fe-4a9c-aa98-c3c9335af225_Enabled">
    <vt:lpwstr>True</vt:lpwstr>
  </property>
  <property fmtid="{D5CDD505-2E9C-101B-9397-08002B2CF9AE}" pid="3" name="MSIP_Label_a977dea4-83fe-4a9c-aa98-c3c9335af225_SiteId">
    <vt:lpwstr>d35df106-502d-48d6-8b78-c0293c6c3745</vt:lpwstr>
  </property>
  <property fmtid="{D5CDD505-2E9C-101B-9397-08002B2CF9AE}" pid="4" name="MSIP_Label_a977dea4-83fe-4a9c-aa98-c3c9335af225_Owner">
    <vt:lpwstr>salexander@inteligogroup.com</vt:lpwstr>
  </property>
  <property fmtid="{D5CDD505-2E9C-101B-9397-08002B2CF9AE}" pid="5" name="MSIP_Label_a977dea4-83fe-4a9c-aa98-c3c9335af225_SetDate">
    <vt:lpwstr>2021-02-10T00:07:24.0564295Z</vt:lpwstr>
  </property>
  <property fmtid="{D5CDD505-2E9C-101B-9397-08002B2CF9AE}" pid="6" name="MSIP_Label_a977dea4-83fe-4a9c-aa98-c3c9335af225_Name">
    <vt:lpwstr>Interno</vt:lpwstr>
  </property>
  <property fmtid="{D5CDD505-2E9C-101B-9397-08002B2CF9AE}" pid="7" name="MSIP_Label_a977dea4-83fe-4a9c-aa98-c3c9335af225_Application">
    <vt:lpwstr>Microsoft Azure Information Protection</vt:lpwstr>
  </property>
  <property fmtid="{D5CDD505-2E9C-101B-9397-08002B2CF9AE}" pid="8" name="MSIP_Label_a977dea4-83fe-4a9c-aa98-c3c9335af225_ActionId">
    <vt:lpwstr>f8e8582b-c1f6-4e1f-91a9-8976d964ffd1</vt:lpwstr>
  </property>
  <property fmtid="{D5CDD505-2E9C-101B-9397-08002B2CF9AE}" pid="9" name="MSIP_Label_a977dea4-83fe-4a9c-aa98-c3c9335af225_Extended_MSFT_Method">
    <vt:lpwstr>Automatic</vt:lpwstr>
  </property>
  <property fmtid="{D5CDD505-2E9C-101B-9397-08002B2CF9AE}" pid="10" name="Sensitivity">
    <vt:lpwstr>Interno</vt:lpwstr>
  </property>
  <property fmtid="{D5CDD505-2E9C-101B-9397-08002B2CF9AE}" pid="11" name="ContentTypeId">
    <vt:lpwstr>0x010100CD484C140229E542B560DE6A9448FBE9</vt:lpwstr>
  </property>
</Properties>
</file>