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6"/>
  </bookViews>
  <sheets>
    <sheet name="Equipment" sheetId="1" r:id="rId1"/>
    <sheet name="Office" sheetId="2" r:id="rId2"/>
    <sheet name="Staff" sheetId="3" r:id="rId3"/>
    <sheet name="Expenses" sheetId="5" r:id="rId4"/>
    <sheet name="Corporate" sheetId="4" r:id="rId5"/>
    <sheet name="Total" sheetId="6" r:id="rId6"/>
    <sheet name="License" sheetId="7" r:id="rId7"/>
    <sheet name="Additional Items" sheetId="8" r:id="rId8"/>
  </sheets>
  <definedNames>
    <definedName name="_xlnm.Print_Area" localSheetId="4">Corporate!$A$1:$K$29</definedName>
    <definedName name="_xlnm.Print_Area" localSheetId="0">Equipment!$A$1:$I$42</definedName>
    <definedName name="_xlnm.Print_Area" localSheetId="2">Staff!$A$1:$L$48</definedName>
    <definedName name="_xlnm.Print_Area" localSheetId="5">Total!$A$1:$B$12</definedName>
  </definedNames>
  <calcPr calcId="145621" iterate="1"/>
</workbook>
</file>

<file path=xl/calcChain.xml><?xml version="1.0" encoding="utf-8"?>
<calcChain xmlns="http://schemas.openxmlformats.org/spreadsheetml/2006/main">
  <c r="B5" i="7" l="1"/>
  <c r="B5" i="8" l="1"/>
  <c r="C16" i="8"/>
  <c r="C20" i="8" s="1"/>
  <c r="B16" i="8"/>
  <c r="C8" i="4"/>
  <c r="B9" i="7"/>
  <c r="B10" i="7" s="1"/>
  <c r="B6" i="7"/>
  <c r="B41" i="3"/>
  <c r="E5" i="5"/>
  <c r="E6" i="5" s="1"/>
  <c r="B8" i="6" s="1"/>
  <c r="C29" i="3"/>
  <c r="C32" i="3" s="1"/>
  <c r="C9" i="4" s="1"/>
  <c r="H7" i="3"/>
  <c r="H8" i="3"/>
  <c r="H9" i="3"/>
  <c r="H6" i="3"/>
  <c r="E16" i="2"/>
  <c r="E17" i="2"/>
  <c r="E18" i="2"/>
  <c r="E19" i="2"/>
  <c r="E20" i="2"/>
  <c r="E15" i="2"/>
  <c r="D7" i="2"/>
  <c r="D8" i="2"/>
  <c r="D6" i="2"/>
  <c r="C38" i="1"/>
  <c r="D23" i="1"/>
  <c r="E23" i="1"/>
  <c r="D24" i="1"/>
  <c r="E24" i="1"/>
  <c r="D25" i="1"/>
  <c r="E25" i="1"/>
  <c r="D26" i="1"/>
  <c r="E26" i="1"/>
  <c r="D28" i="1"/>
  <c r="E28" i="1"/>
  <c r="F28" i="1" s="1"/>
  <c r="D29" i="1"/>
  <c r="E29" i="1"/>
  <c r="D30" i="1"/>
  <c r="E30" i="1"/>
  <c r="D31" i="1"/>
  <c r="E31" i="1"/>
  <c r="D33" i="1"/>
  <c r="E33" i="1"/>
  <c r="D34" i="1"/>
  <c r="E34" i="1"/>
  <c r="D35" i="1"/>
  <c r="E35" i="1"/>
  <c r="D36" i="1"/>
  <c r="E36" i="1"/>
  <c r="D38" i="1"/>
  <c r="E38" i="1"/>
  <c r="C36" i="1"/>
  <c r="C35" i="1"/>
  <c r="C34" i="1"/>
  <c r="C33" i="1"/>
  <c r="C31" i="1"/>
  <c r="C30" i="1"/>
  <c r="C29" i="1"/>
  <c r="C28" i="1"/>
  <c r="C26" i="1"/>
  <c r="C25" i="1"/>
  <c r="C24" i="1"/>
  <c r="C23" i="1"/>
  <c r="C12" i="8" l="1"/>
  <c r="D12" i="8" s="1"/>
  <c r="E12" i="8" s="1"/>
  <c r="C6" i="8"/>
  <c r="D6" i="8" s="1"/>
  <c r="E6" i="8" s="1"/>
  <c r="C7" i="8"/>
  <c r="D7" i="8" s="1"/>
  <c r="E7" i="8" s="1"/>
  <c r="C11" i="8"/>
  <c r="D11" i="8" s="1"/>
  <c r="E11" i="8" s="1"/>
  <c r="C9" i="8"/>
  <c r="D9" i="8" s="1"/>
  <c r="E9" i="8" s="1"/>
  <c r="C8" i="8"/>
  <c r="D8" i="8" s="1"/>
  <c r="E8" i="8" s="1"/>
  <c r="C10" i="8"/>
  <c r="D10" i="8" s="1"/>
  <c r="E10" i="8" s="1"/>
  <c r="C5" i="8"/>
  <c r="D5" i="8" s="1"/>
  <c r="E5" i="8" s="1"/>
  <c r="C30" i="3"/>
  <c r="B7" i="6" s="1"/>
  <c r="D9" i="2"/>
  <c r="F17" i="2" s="1"/>
  <c r="H17" i="2" s="1"/>
  <c r="F29" i="1"/>
  <c r="G29" i="1" s="1"/>
  <c r="F30" i="1"/>
  <c r="G30" i="1" s="1"/>
  <c r="F31" i="1"/>
  <c r="G31" i="1" s="1"/>
  <c r="F38" i="1"/>
  <c r="G38" i="1" s="1"/>
  <c r="H37" i="1" s="1"/>
  <c r="F9" i="3" s="1"/>
  <c r="F33" i="1"/>
  <c r="G33" i="1" s="1"/>
  <c r="G28" i="1"/>
  <c r="F23" i="1"/>
  <c r="G23" i="1" s="1"/>
  <c r="F25" i="1"/>
  <c r="G25" i="1" s="1"/>
  <c r="F36" i="1"/>
  <c r="G36" i="1" s="1"/>
  <c r="F35" i="1"/>
  <c r="G35" i="1" s="1"/>
  <c r="F34" i="1"/>
  <c r="G34" i="1" s="1"/>
  <c r="F24" i="1"/>
  <c r="G24" i="1" s="1"/>
  <c r="F26" i="1"/>
  <c r="G26" i="1" s="1"/>
  <c r="F15" i="2" l="1"/>
  <c r="F20" i="2"/>
  <c r="H20" i="2" s="1"/>
  <c r="C33" i="3"/>
  <c r="F16" i="2"/>
  <c r="H16" i="2" s="1"/>
  <c r="F19" i="2"/>
  <c r="H19" i="2" s="1"/>
  <c r="F18" i="2"/>
  <c r="H18" i="2" s="1"/>
  <c r="H15" i="2"/>
  <c r="H27" i="1"/>
  <c r="F7" i="3" s="1"/>
  <c r="H22" i="1"/>
  <c r="F6" i="3" s="1"/>
  <c r="H32" i="1"/>
  <c r="F8" i="3" s="1"/>
  <c r="B5" i="6" l="1"/>
  <c r="H21" i="2"/>
  <c r="C20" i="4"/>
  <c r="D6" i="3"/>
  <c r="J6" i="3" s="1"/>
  <c r="D9" i="3"/>
  <c r="J9" i="3" s="1"/>
  <c r="L9" i="3" s="1"/>
  <c r="C40" i="3" s="1"/>
  <c r="D8" i="3"/>
  <c r="J8" i="3" s="1"/>
  <c r="L8" i="3" s="1"/>
  <c r="C39" i="3" s="1"/>
  <c r="B6" i="6"/>
  <c r="D7" i="3"/>
  <c r="J7" i="3" s="1"/>
  <c r="L7" i="3" s="1"/>
  <c r="C38" i="3" s="1"/>
  <c r="F21" i="2"/>
  <c r="L6" i="3" l="1"/>
  <c r="C37" i="3" s="1"/>
  <c r="C41" i="3" s="1"/>
  <c r="C19" i="4"/>
  <c r="C21" i="4"/>
  <c r="C22" i="4"/>
  <c r="B9" i="6"/>
  <c r="B10" i="6"/>
  <c r="B11" i="6"/>
  <c r="B12" i="6"/>
</calcChain>
</file>

<file path=xl/sharedStrings.xml><?xml version="1.0" encoding="utf-8"?>
<sst xmlns="http://schemas.openxmlformats.org/spreadsheetml/2006/main" count="231" uniqueCount="179">
  <si>
    <t xml:space="preserve">Item </t>
  </si>
  <si>
    <t>Cost</t>
  </si>
  <si>
    <t>Visio</t>
  </si>
  <si>
    <t>Project</t>
  </si>
  <si>
    <t>Office PC</t>
  </si>
  <si>
    <t>Development PC</t>
  </si>
  <si>
    <t>Netbeans</t>
  </si>
  <si>
    <t>Support</t>
  </si>
  <si>
    <t>Internet line rental and bandwidth</t>
  </si>
  <si>
    <t>Consumerables</t>
  </si>
  <si>
    <t>Adobe Design Standard</t>
  </si>
  <si>
    <t>Annual Cost</t>
  </si>
  <si>
    <t>Annual cost</t>
  </si>
  <si>
    <t>Required equipment</t>
  </si>
  <si>
    <t>Capital cost (including VAT)</t>
  </si>
  <si>
    <t>Visual Studio Ultimate + MSDN</t>
  </si>
  <si>
    <t>Annual Lisence</t>
  </si>
  <si>
    <t>Job Role</t>
  </si>
  <si>
    <t>Java Team Leader</t>
  </si>
  <si>
    <t>Matthew Ryder</t>
  </si>
  <si>
    <t>Mark Robinson</t>
  </si>
  <si>
    <t>Peter Ellsum</t>
  </si>
  <si>
    <t>Thomas Hughes</t>
  </si>
  <si>
    <t>Technical Author</t>
  </si>
  <si>
    <t>C++ Developer</t>
  </si>
  <si>
    <t>C# Developer</t>
  </si>
  <si>
    <t>Staff Member</t>
  </si>
  <si>
    <t>3 Year Cost</t>
  </si>
  <si>
    <t>Total Annual Cost</t>
  </si>
  <si>
    <t>Capital Cost</t>
  </si>
  <si>
    <t>Equipment Cost</t>
  </si>
  <si>
    <t>Equipment</t>
  </si>
  <si>
    <t>Rent</t>
  </si>
  <si>
    <t>Maintainance</t>
  </si>
  <si>
    <t>Rates</t>
  </si>
  <si>
    <t>Item</t>
  </si>
  <si>
    <t>Upper Limit</t>
  </si>
  <si>
    <t>Lower Limit</t>
  </si>
  <si>
    <t>Average</t>
  </si>
  <si>
    <t>http://www.occupa.co.uk/howmuch_space.php</t>
  </si>
  <si>
    <t>http://www.devono.com/office-space-calculator/</t>
  </si>
  <si>
    <t>Quantity</t>
  </si>
  <si>
    <t>Space</t>
  </si>
  <si>
    <t>Total Size</t>
  </si>
  <si>
    <t>Medium open plan office</t>
  </si>
  <si>
    <t>Large comms room</t>
  </si>
  <si>
    <t>Medium reception</t>
  </si>
  <si>
    <t>Large reprographics</t>
  </si>
  <si>
    <t>Medium meeting room</t>
  </si>
  <si>
    <t>Medium refreshment area</t>
  </si>
  <si>
    <t>Size (sqft)</t>
  </si>
  <si>
    <t>Total</t>
  </si>
  <si>
    <t>Shared between</t>
  </si>
  <si>
    <t>Per Person Cost</t>
  </si>
  <si>
    <t>Cost/sqft</t>
  </si>
  <si>
    <t>Team Costing</t>
  </si>
  <si>
    <t>Office</t>
  </si>
  <si>
    <t>Staff</t>
  </si>
  <si>
    <t>Role</t>
  </si>
  <si>
    <t>Name</t>
  </si>
  <si>
    <t>Employer NI</t>
  </si>
  <si>
    <t>Training</t>
  </si>
  <si>
    <t>Benefits</t>
  </si>
  <si>
    <t>http://nicecalculator.hmrc.gov.uk/Class1NICs1.aspx</t>
  </si>
  <si>
    <t>Pension</t>
  </si>
  <si>
    <t>NI Source:</t>
  </si>
  <si>
    <t>http://www.itjobswatch.co.uk/</t>
  </si>
  <si>
    <t>Salary Source:</t>
  </si>
  <si>
    <t>IT Support</t>
  </si>
  <si>
    <t>Servers, printers and LAN</t>
  </si>
  <si>
    <t>All Staff</t>
  </si>
  <si>
    <t>Role Specific</t>
  </si>
  <si>
    <t>Cost Source:</t>
  </si>
  <si>
    <t>Floor Space Source:</t>
  </si>
  <si>
    <t>Net Salary</t>
  </si>
  <si>
    <t>Gross Salary</t>
  </si>
  <si>
    <t>http://listentotaxman.com/index.php</t>
  </si>
  <si>
    <t>Net Salary Calculator:</t>
  </si>
  <si>
    <t>Total Cost</t>
  </si>
  <si>
    <t>Annual Costs</t>
  </si>
  <si>
    <t>Staff Cost</t>
  </si>
  <si>
    <t>Weekday Days</t>
  </si>
  <si>
    <t>Paid bank holidays</t>
  </si>
  <si>
    <t>Holidays</t>
  </si>
  <si>
    <t>Average Sickness Days</t>
  </si>
  <si>
    <t>Training Days</t>
  </si>
  <si>
    <t>Maternity/Paternity Leave</t>
  </si>
  <si>
    <t>Birthday</t>
  </si>
  <si>
    <t>Date Type</t>
  </si>
  <si>
    <t>Total Working Days</t>
  </si>
  <si>
    <t>Total Working Hours</t>
  </si>
  <si>
    <t>NB: Per hour cost based on 8 hour day minus one hour for lunch</t>
  </si>
  <si>
    <t>Per Staff Member</t>
  </si>
  <si>
    <t>Team Overall</t>
  </si>
  <si>
    <t>Cost Per Hour</t>
  </si>
  <si>
    <t>Working Hours</t>
  </si>
  <si>
    <t>Expense</t>
  </si>
  <si>
    <t>Type</t>
  </si>
  <si>
    <t>Occurances</t>
  </si>
  <si>
    <t>Expenses</t>
  </si>
  <si>
    <t>Project Expenses</t>
  </si>
  <si>
    <t>Client visit</t>
  </si>
  <si>
    <t>Transport to and from client</t>
  </si>
  <si>
    <t>Work Load</t>
  </si>
  <si>
    <t>Hours</t>
  </si>
  <si>
    <t>Corporate</t>
  </si>
  <si>
    <t>Department</t>
  </si>
  <si>
    <t>Activity</t>
  </si>
  <si>
    <t>Finance</t>
  </si>
  <si>
    <t>Corporate Expenses</t>
  </si>
  <si>
    <t>Acounting</t>
  </si>
  <si>
    <t>Human resources</t>
  </si>
  <si>
    <t>Marketing</t>
  </si>
  <si>
    <t>Taxation</t>
  </si>
  <si>
    <t>Legal</t>
  </si>
  <si>
    <t>Clearing</t>
  </si>
  <si>
    <t>Lisences and contracts</t>
  </si>
  <si>
    <t>Internal Audit</t>
  </si>
  <si>
    <t>Executive Committee</t>
  </si>
  <si>
    <t>Market Research</t>
  </si>
  <si>
    <t>Advertising</t>
  </si>
  <si>
    <t>http://www.xperthr.co.uk/blogs/employment-intelligence/2008/01/cost-of-hr-activities-is-876-p-1.html</t>
  </si>
  <si>
    <t>Software Development</t>
  </si>
  <si>
    <t>Development Team Bonus Fund</t>
  </si>
  <si>
    <t>Total and Summary</t>
  </si>
  <si>
    <t>Summary</t>
  </si>
  <si>
    <t>Profit</t>
  </si>
  <si>
    <t>Company profit</t>
  </si>
  <si>
    <t>Corporate Fees</t>
  </si>
  <si>
    <t>http://www.data360.org/dataset.aspx?Data_Set_Id=997&amp;magnitude=hide</t>
  </si>
  <si>
    <t>Note to examiner: For this to spreadsheet to work iterative formulas must be enabled</t>
  </si>
  <si>
    <t>Gross Total</t>
  </si>
  <si>
    <t>VAT (20%)</t>
  </si>
  <si>
    <t>Net Total</t>
  </si>
  <si>
    <t>Language &amp; Roles</t>
  </si>
  <si>
    <t>Phone Support (2 Years)</t>
  </si>
  <si>
    <t>Installation</t>
  </si>
  <si>
    <t>Price</t>
  </si>
  <si>
    <t>Additional Items</t>
  </si>
  <si>
    <t>Payroll</t>
  </si>
  <si>
    <t>Item Cost</t>
  </si>
  <si>
    <t>Net Cost</t>
  </si>
  <si>
    <t>Full Gross Cost</t>
  </si>
  <si>
    <t>Phone Support (1 Year)</t>
  </si>
  <si>
    <t>German Language Pack</t>
  </si>
  <si>
    <t>French Language Pack</t>
  </si>
  <si>
    <t>Italian Language Pack</t>
  </si>
  <si>
    <t>Russian Language Pack</t>
  </si>
  <si>
    <t>Spanish Language Pack</t>
  </si>
  <si>
    <t>Service</t>
  </si>
  <si>
    <t>Service Cost</t>
  </si>
  <si>
    <t>Service Charges</t>
  </si>
  <si>
    <t>Payment Processing</t>
  </si>
  <si>
    <t>General Protection</t>
  </si>
  <si>
    <t>Upper Management</t>
  </si>
  <si>
    <t>Management and Quality Audit</t>
  </si>
  <si>
    <t>Human Resource Management</t>
  </si>
  <si>
    <t>Lisences and Contracts</t>
  </si>
  <si>
    <t>Accounting</t>
  </si>
  <si>
    <t>Legal protection</t>
  </si>
  <si>
    <t>Dutch Language Pack</t>
  </si>
  <si>
    <t>Number of Days</t>
  </si>
  <si>
    <t>Portuguese Language Pack</t>
  </si>
  <si>
    <t>License</t>
  </si>
  <si>
    <t>License Price</t>
  </si>
  <si>
    <t>Cost Per Square Foot Calculations</t>
  </si>
  <si>
    <t>HR Source:</t>
  </si>
  <si>
    <t>Profit Source:</t>
  </si>
  <si>
    <t>NB: Bonus is Only paid to development team if the project meets the deadline and does not go over budget, otherwise it is absorbed into the development budget</t>
  </si>
  <si>
    <t>Equipment Requirements</t>
  </si>
  <si>
    <t>NB: Benefits include private health insurance and travel insurance</t>
  </si>
  <si>
    <t>BUPA Travel Insurance</t>
  </si>
  <si>
    <t>http://www.bupa.co.uk/business/all-business/travel-insurance/business-travel-cost</t>
  </si>
  <si>
    <t>http://www.uk-insurance-index.co.uk/articles/article-8.html</t>
  </si>
  <si>
    <t>Private health insurance</t>
  </si>
  <si>
    <t>Over Run Insurance</t>
  </si>
  <si>
    <t>Project Management</t>
  </si>
  <si>
    <t>Over Run Source:</t>
  </si>
  <si>
    <t>http://www.galorath.com/wp/software-project-failure-costs-billions-better-estimation-planning-can-help.php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</si>
</sst>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Segoe UI"/>
      <family val="2"/>
    </font>
    <font>
      <sz val="18"/>
      <color theme="1"/>
      <name val="Segoe UI"/>
      <family val="2"/>
    </font>
    <font>
      <b/>
      <sz val="11"/>
      <color theme="1"/>
      <name val="Segoe UI"/>
      <family val="2"/>
    </font>
    <font>
      <sz val="26"/>
      <name val="Segoe UI"/>
      <family val="2"/>
    </font>
    <font>
      <b/>
      <sz val="14"/>
      <name val="Segoe UI"/>
      <family val="2"/>
    </font>
    <font>
      <b/>
      <sz val="13"/>
      <name val="Segoe UI"/>
      <family val="2"/>
    </font>
    <font>
      <b/>
      <sz val="11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2" applyNumberFormat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3" fillId="2" borderId="1"/>
    <xf numFmtId="0" fontId="1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5" fillId="0" borderId="0" xfId="0" applyFont="1" applyBorder="1"/>
    <xf numFmtId="44" fontId="4" fillId="0" borderId="0" xfId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44" fontId="4" fillId="0" borderId="0" xfId="0" applyNumberFormat="1" applyFont="1" applyBorder="1"/>
    <xf numFmtId="0" fontId="10" fillId="0" borderId="3" xfId="5"/>
    <xf numFmtId="0" fontId="7" fillId="0" borderId="0" xfId="2"/>
    <xf numFmtId="0" fontId="10" fillId="0" borderId="3" xfId="5" applyFill="1"/>
    <xf numFmtId="44" fontId="0" fillId="0" borderId="0" xfId="0" applyNumberFormat="1"/>
    <xf numFmtId="0" fontId="0" fillId="0" borderId="0" xfId="0" applyFont="1"/>
    <xf numFmtId="0" fontId="10" fillId="0" borderId="0" xfId="6" applyAlignment="1">
      <alignment horizontal="left"/>
    </xf>
    <xf numFmtId="0" fontId="0" fillId="0" borderId="0" xfId="0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10" fillId="0" borderId="3" xfId="5"/>
    <xf numFmtId="0" fontId="6" fillId="0" borderId="0" xfId="0" applyFont="1"/>
    <xf numFmtId="0" fontId="10" fillId="0" borderId="0" xfId="6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8" applyAlignment="1">
      <alignment horizontal="left"/>
    </xf>
    <xf numFmtId="0" fontId="11" fillId="0" borderId="0" xfId="8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8"/>
    <xf numFmtId="0" fontId="12" fillId="0" borderId="0" xfId="0" applyFont="1"/>
    <xf numFmtId="0" fontId="7" fillId="0" borderId="0" xfId="2" applyAlignment="1"/>
    <xf numFmtId="0" fontId="8" fillId="0" borderId="2" xfId="3" applyAlignment="1">
      <alignment horizontal="left"/>
    </xf>
    <xf numFmtId="0" fontId="0" fillId="0" borderId="0" xfId="0" applyAlignment="1">
      <alignment horizontal="left"/>
    </xf>
    <xf numFmtId="0" fontId="10" fillId="0" borderId="0" xfId="6"/>
    <xf numFmtId="0" fontId="11" fillId="0" borderId="0" xfId="8" applyAlignment="1">
      <alignment horizontal="left"/>
    </xf>
    <xf numFmtId="0" fontId="0" fillId="0" borderId="0" xfId="0" applyAlignment="1">
      <alignment horizontal="left"/>
    </xf>
    <xf numFmtId="0" fontId="8" fillId="0" borderId="2" xfId="3" applyAlignment="1">
      <alignment horizontal="left"/>
    </xf>
    <xf numFmtId="0" fontId="10" fillId="0" borderId="4" xfId="6" applyBorder="1" applyAlignment="1">
      <alignment horizontal="left"/>
    </xf>
    <xf numFmtId="0" fontId="10" fillId="0" borderId="0" xfId="6" applyAlignment="1">
      <alignment horizontal="left"/>
    </xf>
    <xf numFmtId="0" fontId="7" fillId="0" borderId="0" xfId="2" applyAlignment="1">
      <alignment horizontal="left"/>
    </xf>
    <xf numFmtId="0" fontId="9" fillId="0" borderId="2" xfId="4" applyAlignment="1">
      <alignment horizontal="center"/>
    </xf>
    <xf numFmtId="0" fontId="11" fillId="0" borderId="0" xfId="8" applyAlignment="1">
      <alignment horizontal="left"/>
    </xf>
    <xf numFmtId="0" fontId="0" fillId="0" borderId="0" xfId="0" applyAlignment="1">
      <alignment horizontal="left"/>
    </xf>
    <xf numFmtId="0" fontId="9" fillId="0" borderId="5" xfId="4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0">
    <cellStyle name="Currency" xfId="1" builtinId="4"/>
    <cellStyle name="Currency 2" xfId="9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8" builtinId="8"/>
    <cellStyle name="Normal" xfId="0" builtinId="0" customBuiltin="1"/>
    <cellStyle name="Segoe UI" xfId="7"/>
    <cellStyle name="Title" xfId="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ccupa.co.uk/howmuch_space.ph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-insurance-index.co.uk/articles/article-8.html" TargetMode="External"/><Relationship Id="rId2" Type="http://schemas.openxmlformats.org/officeDocument/2006/relationships/hyperlink" Target="http://www.bupa.co.uk/business/all-business/travel-insurance/business-travel-cost" TargetMode="External"/><Relationship Id="rId1" Type="http://schemas.openxmlformats.org/officeDocument/2006/relationships/hyperlink" Target="http://listentotaxman.com/index.php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alorath.com/wp/software-project-failure-costs-billions-better-estimation-planning-can-help.php" TargetMode="External"/><Relationship Id="rId2" Type="http://schemas.openxmlformats.org/officeDocument/2006/relationships/hyperlink" Target="http://www.xperthr.co.uk/blogs/employment-intelligence/2008/01/cost-of-hr-activities-is-876-p-1.html" TargetMode="External"/><Relationship Id="rId1" Type="http://schemas.openxmlformats.org/officeDocument/2006/relationships/hyperlink" Target="http://www.data360.org/dataset.aspx?Data_Set_Id=997&amp;magnitude=hide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view="pageBreakPreview" zoomScale="70" zoomScaleNormal="100" zoomScaleSheetLayoutView="70" workbookViewId="0">
      <selection activeCell="C49" sqref="C49"/>
    </sheetView>
  </sheetViews>
  <sheetFormatPr defaultRowHeight="16.5" outlineLevelRow="1" x14ac:dyDescent="0.3"/>
  <cols>
    <col min="1" max="1" width="29.125" style="2" customWidth="1"/>
    <col min="2" max="2" width="25.375" style="2" customWidth="1"/>
    <col min="3" max="3" width="27.125" style="2" customWidth="1"/>
    <col min="4" max="4" width="11.75" style="2" customWidth="1"/>
    <col min="5" max="5" width="14" style="2" customWidth="1"/>
    <col min="6" max="6" width="11" style="2" customWidth="1"/>
    <col min="7" max="7" width="11.625" style="2" customWidth="1"/>
    <col min="8" max="8" width="10.625" style="2" customWidth="1"/>
    <col min="9" max="11" width="9" style="2"/>
    <col min="12" max="12" width="15" style="2" customWidth="1"/>
    <col min="13" max="16384" width="9" style="2"/>
  </cols>
  <sheetData>
    <row r="1" spans="1:10" ht="38.25" x14ac:dyDescent="0.65">
      <c r="A1" s="40" t="s">
        <v>31</v>
      </c>
      <c r="B1" s="40"/>
      <c r="C1" s="40"/>
      <c r="D1" s="40"/>
      <c r="E1" s="40"/>
      <c r="F1" s="40"/>
      <c r="G1" s="40"/>
      <c r="H1" s="40"/>
      <c r="I1" s="4"/>
    </row>
    <row r="2" spans="1:10" x14ac:dyDescent="0.3">
      <c r="I2" s="4"/>
    </row>
    <row r="3" spans="1:10" ht="22.5" customHeight="1" thickBot="1" x14ac:dyDescent="0.5">
      <c r="A3" s="37" t="s">
        <v>30</v>
      </c>
      <c r="B3" s="37"/>
      <c r="C3" s="37"/>
      <c r="F3" s="4"/>
      <c r="G3" s="5"/>
      <c r="H3" s="5"/>
      <c r="I3" s="5"/>
      <c r="J3" s="5"/>
    </row>
    <row r="4" spans="1:10" ht="18" thickTop="1" thickBot="1" x14ac:dyDescent="0.35">
      <c r="A4" s="10" t="s">
        <v>0</v>
      </c>
      <c r="B4" s="12" t="s">
        <v>14</v>
      </c>
      <c r="C4" s="12" t="s">
        <v>12</v>
      </c>
      <c r="F4" s="4"/>
      <c r="G4" s="4"/>
      <c r="H4" s="4"/>
      <c r="I4" s="4"/>
      <c r="J4" s="4"/>
    </row>
    <row r="5" spans="1:10" x14ac:dyDescent="0.3">
      <c r="A5" s="38" t="s">
        <v>71</v>
      </c>
      <c r="B5" s="38"/>
      <c r="C5" s="38"/>
      <c r="F5" s="4"/>
      <c r="G5" s="7"/>
      <c r="H5" s="7"/>
      <c r="I5" s="7"/>
      <c r="J5" s="7"/>
    </row>
    <row r="6" spans="1:10" x14ac:dyDescent="0.3">
      <c r="A6" s="2" t="s">
        <v>15</v>
      </c>
      <c r="B6" s="6">
        <v>10889</v>
      </c>
      <c r="C6" s="6">
        <v>2965.65</v>
      </c>
    </row>
    <row r="7" spans="1:10" x14ac:dyDescent="0.3">
      <c r="A7" s="17" t="s">
        <v>6</v>
      </c>
      <c r="B7" s="6">
        <v>0</v>
      </c>
      <c r="C7" s="6">
        <v>0</v>
      </c>
      <c r="F7" s="4"/>
      <c r="G7" s="7"/>
      <c r="H7" s="4"/>
      <c r="I7" s="3"/>
      <c r="J7" s="3"/>
    </row>
    <row r="8" spans="1:10" x14ac:dyDescent="0.3">
      <c r="A8" s="17" t="s">
        <v>2</v>
      </c>
      <c r="B8" s="6">
        <v>899</v>
      </c>
      <c r="C8" s="6">
        <v>0</v>
      </c>
      <c r="F8" s="4"/>
      <c r="G8" s="7"/>
      <c r="H8" s="7"/>
      <c r="I8" s="7"/>
      <c r="J8" s="7"/>
    </row>
    <row r="9" spans="1:10" x14ac:dyDescent="0.3">
      <c r="A9" s="17" t="s">
        <v>3</v>
      </c>
      <c r="B9" s="6">
        <v>500</v>
      </c>
      <c r="C9" s="6">
        <v>0</v>
      </c>
      <c r="F9" s="3"/>
      <c r="G9" s="7"/>
      <c r="H9" s="4"/>
      <c r="I9" s="4"/>
      <c r="J9" s="4"/>
    </row>
    <row r="10" spans="1:10" x14ac:dyDescent="0.3">
      <c r="A10" s="17" t="s">
        <v>10</v>
      </c>
      <c r="B10" s="6">
        <v>1180.1400000000001</v>
      </c>
      <c r="C10" s="6">
        <v>0</v>
      </c>
      <c r="F10" s="3"/>
      <c r="G10" s="8"/>
      <c r="H10" s="3"/>
      <c r="I10" s="3"/>
      <c r="J10" s="3"/>
    </row>
    <row r="11" spans="1:10" x14ac:dyDescent="0.3">
      <c r="A11" s="17" t="s">
        <v>4</v>
      </c>
      <c r="B11" s="6">
        <v>799</v>
      </c>
      <c r="C11" s="6">
        <v>0</v>
      </c>
      <c r="I11" s="4"/>
    </row>
    <row r="12" spans="1:10" x14ac:dyDescent="0.3">
      <c r="A12" s="17" t="s">
        <v>5</v>
      </c>
      <c r="B12" s="6">
        <v>4072.54</v>
      </c>
      <c r="C12" s="6">
        <v>0</v>
      </c>
      <c r="D12" s="4"/>
      <c r="E12" s="4"/>
      <c r="F12" s="4"/>
      <c r="G12" s="4"/>
      <c r="H12" s="4"/>
    </row>
    <row r="13" spans="1:10" x14ac:dyDescent="0.3">
      <c r="A13" s="39" t="s">
        <v>70</v>
      </c>
      <c r="B13" s="39"/>
      <c r="C13" s="39"/>
    </row>
    <row r="14" spans="1:10" x14ac:dyDescent="0.3">
      <c r="A14" s="14" t="s">
        <v>68</v>
      </c>
      <c r="B14" s="6">
        <v>0</v>
      </c>
      <c r="C14" s="6">
        <v>200</v>
      </c>
    </row>
    <row r="15" spans="1:10" x14ac:dyDescent="0.3">
      <c r="A15" s="14" t="s">
        <v>69</v>
      </c>
      <c r="B15" s="6">
        <v>250</v>
      </c>
      <c r="C15" s="6">
        <v>0</v>
      </c>
    </row>
    <row r="16" spans="1:10" x14ac:dyDescent="0.3">
      <c r="A16" s="19" t="s">
        <v>8</v>
      </c>
      <c r="B16" s="6">
        <v>0</v>
      </c>
      <c r="C16" s="6">
        <v>250</v>
      </c>
    </row>
    <row r="17" spans="1:8" x14ac:dyDescent="0.3">
      <c r="A17" s="18" t="s">
        <v>9</v>
      </c>
      <c r="B17" s="6">
        <v>0</v>
      </c>
      <c r="C17" s="6">
        <v>120</v>
      </c>
    </row>
    <row r="20" spans="1:8" ht="21" thickBot="1" x14ac:dyDescent="0.4">
      <c r="A20" s="37" t="s">
        <v>169</v>
      </c>
      <c r="B20" s="37"/>
      <c r="C20" s="37"/>
      <c r="D20" s="37"/>
      <c r="E20" s="37"/>
      <c r="F20" s="37"/>
      <c r="G20" s="37"/>
      <c r="H20" s="37"/>
    </row>
    <row r="21" spans="1:8" ht="18" thickTop="1" thickBot="1" x14ac:dyDescent="0.35">
      <c r="A21" s="10" t="s">
        <v>26</v>
      </c>
      <c r="B21" s="10" t="s">
        <v>17</v>
      </c>
      <c r="C21" s="10" t="s">
        <v>13</v>
      </c>
      <c r="D21" s="10" t="s">
        <v>29</v>
      </c>
      <c r="E21" s="10" t="s">
        <v>16</v>
      </c>
      <c r="F21" s="10" t="s">
        <v>27</v>
      </c>
      <c r="G21" s="10" t="s">
        <v>12</v>
      </c>
      <c r="H21" s="10" t="s">
        <v>28</v>
      </c>
    </row>
    <row r="22" spans="1:8" x14ac:dyDescent="0.3">
      <c r="A22" s="2" t="s">
        <v>20</v>
      </c>
      <c r="B22" s="2" t="s">
        <v>18</v>
      </c>
      <c r="H22" s="9">
        <f>SUM(G23:G26)</f>
        <v>1917.56</v>
      </c>
    </row>
    <row r="23" spans="1:8" outlineLevel="1" x14ac:dyDescent="0.3">
      <c r="C23" s="2" t="str">
        <f t="shared" ref="C23:E24" si="0">A9</f>
        <v>Project</v>
      </c>
      <c r="D23" s="6">
        <f t="shared" si="0"/>
        <v>500</v>
      </c>
      <c r="E23" s="6">
        <f t="shared" si="0"/>
        <v>0</v>
      </c>
      <c r="F23" s="9">
        <f>D23+(3*E23)</f>
        <v>500</v>
      </c>
      <c r="G23" s="9">
        <f>F23/3</f>
        <v>166.66666666666666</v>
      </c>
    </row>
    <row r="24" spans="1:8" outlineLevel="1" x14ac:dyDescent="0.3">
      <c r="C24" s="2" t="str">
        <f t="shared" si="0"/>
        <v>Adobe Design Standard</v>
      </c>
      <c r="D24" s="6">
        <f t="shared" si="0"/>
        <v>1180.1400000000001</v>
      </c>
      <c r="E24" s="6">
        <f t="shared" si="0"/>
        <v>0</v>
      </c>
      <c r="F24" s="9">
        <f>D24+(3*E24)</f>
        <v>1180.1400000000001</v>
      </c>
      <c r="G24" s="9">
        <f>F24/3</f>
        <v>393.38000000000005</v>
      </c>
    </row>
    <row r="25" spans="1:8" outlineLevel="1" x14ac:dyDescent="0.3">
      <c r="C25" s="2" t="str">
        <f>A7</f>
        <v>Netbeans</v>
      </c>
      <c r="D25" s="6">
        <f>B7</f>
        <v>0</v>
      </c>
      <c r="E25" s="6">
        <f>C7</f>
        <v>0</v>
      </c>
      <c r="F25" s="9">
        <f>D25+(3*E25)</f>
        <v>0</v>
      </c>
      <c r="G25" s="9">
        <f>F25/3</f>
        <v>0</v>
      </c>
    </row>
    <row r="26" spans="1:8" outlineLevel="1" x14ac:dyDescent="0.3">
      <c r="C26" s="2" t="str">
        <f>A12</f>
        <v>Development PC</v>
      </c>
      <c r="D26" s="6">
        <f>B12</f>
        <v>4072.54</v>
      </c>
      <c r="E26" s="6">
        <f>C12</f>
        <v>0</v>
      </c>
      <c r="F26" s="9">
        <f>D26+(3*E26)</f>
        <v>4072.54</v>
      </c>
      <c r="G26" s="9">
        <f>F26/3</f>
        <v>1357.5133333333333</v>
      </c>
    </row>
    <row r="27" spans="1:8" x14ac:dyDescent="0.3">
      <c r="A27" s="2" t="s">
        <v>19</v>
      </c>
      <c r="B27" s="2" t="s">
        <v>25</v>
      </c>
      <c r="H27" s="9">
        <f>SUM(G28:G31)</f>
        <v>8645.876666666667</v>
      </c>
    </row>
    <row r="28" spans="1:8" outlineLevel="1" x14ac:dyDescent="0.3">
      <c r="C28" s="2" t="str">
        <f>A6</f>
        <v>Visual Studio Ultimate + MSDN</v>
      </c>
      <c r="D28" s="6">
        <f>B6</f>
        <v>10889</v>
      </c>
      <c r="E28" s="6">
        <f>C6</f>
        <v>2965.65</v>
      </c>
      <c r="F28" s="9">
        <f>D28+(3*E28)</f>
        <v>19785.95</v>
      </c>
      <c r="G28" s="9">
        <f t="shared" ref="G28:G31" si="1">F28/3</f>
        <v>6595.3166666666666</v>
      </c>
    </row>
    <row r="29" spans="1:8" outlineLevel="1" x14ac:dyDescent="0.3">
      <c r="C29" s="2" t="str">
        <f>A8</f>
        <v>Visio</v>
      </c>
      <c r="D29" s="6">
        <f>B8</f>
        <v>899</v>
      </c>
      <c r="E29" s="6">
        <f>C8</f>
        <v>0</v>
      </c>
      <c r="F29" s="9">
        <f t="shared" ref="F29:F31" si="2">D29+(3*E29)</f>
        <v>899</v>
      </c>
      <c r="G29" s="9">
        <f t="shared" si="1"/>
        <v>299.66666666666669</v>
      </c>
    </row>
    <row r="30" spans="1:8" outlineLevel="1" x14ac:dyDescent="0.3">
      <c r="C30" s="2" t="str">
        <f>A10</f>
        <v>Adobe Design Standard</v>
      </c>
      <c r="D30" s="6">
        <f>B10</f>
        <v>1180.1400000000001</v>
      </c>
      <c r="E30" s="6">
        <f>C10</f>
        <v>0</v>
      </c>
      <c r="F30" s="9">
        <f t="shared" si="2"/>
        <v>1180.1400000000001</v>
      </c>
      <c r="G30" s="9">
        <f t="shared" si="1"/>
        <v>393.38000000000005</v>
      </c>
    </row>
    <row r="31" spans="1:8" outlineLevel="1" x14ac:dyDescent="0.3">
      <c r="C31" s="2" t="str">
        <f>A12</f>
        <v>Development PC</v>
      </c>
      <c r="D31" s="6">
        <f>B12</f>
        <v>4072.54</v>
      </c>
      <c r="E31" s="6">
        <f>C12</f>
        <v>0</v>
      </c>
      <c r="F31" s="9">
        <f t="shared" si="2"/>
        <v>4072.54</v>
      </c>
      <c r="G31" s="9">
        <f t="shared" si="1"/>
        <v>1357.5133333333333</v>
      </c>
    </row>
    <row r="32" spans="1:8" x14ac:dyDescent="0.3">
      <c r="A32" s="2" t="s">
        <v>21</v>
      </c>
      <c r="B32" s="2" t="s">
        <v>24</v>
      </c>
      <c r="H32" s="9">
        <f>SUM(G33:G36)</f>
        <v>8645.876666666667</v>
      </c>
    </row>
    <row r="33" spans="1:8" outlineLevel="1" x14ac:dyDescent="0.3">
      <c r="C33" s="2" t="str">
        <f>A6</f>
        <v>Visual Studio Ultimate + MSDN</v>
      </c>
      <c r="D33" s="6">
        <f>B6</f>
        <v>10889</v>
      </c>
      <c r="E33" s="6">
        <f>C6</f>
        <v>2965.65</v>
      </c>
      <c r="F33" s="9">
        <f>D33+(3*E33)</f>
        <v>19785.95</v>
      </c>
      <c r="G33" s="9">
        <f>F33/3</f>
        <v>6595.3166666666666</v>
      </c>
    </row>
    <row r="34" spans="1:8" outlineLevel="1" x14ac:dyDescent="0.3">
      <c r="C34" s="2" t="str">
        <f>A8</f>
        <v>Visio</v>
      </c>
      <c r="D34" s="6">
        <f>B8</f>
        <v>899</v>
      </c>
      <c r="E34" s="6">
        <f>C8</f>
        <v>0</v>
      </c>
      <c r="F34" s="9">
        <f>D34+(3*E34)</f>
        <v>899</v>
      </c>
      <c r="G34" s="9">
        <f>F34/3</f>
        <v>299.66666666666669</v>
      </c>
    </row>
    <row r="35" spans="1:8" outlineLevel="1" x14ac:dyDescent="0.3">
      <c r="C35" s="2" t="str">
        <f>A10</f>
        <v>Adobe Design Standard</v>
      </c>
      <c r="D35" s="6">
        <f>B10</f>
        <v>1180.1400000000001</v>
      </c>
      <c r="E35" s="6">
        <f>C10</f>
        <v>0</v>
      </c>
      <c r="F35" s="9">
        <f>D35+(3*E35)</f>
        <v>1180.1400000000001</v>
      </c>
      <c r="G35" s="9">
        <f>F35/3</f>
        <v>393.38000000000005</v>
      </c>
    </row>
    <row r="36" spans="1:8" outlineLevel="1" x14ac:dyDescent="0.3">
      <c r="C36" s="2" t="str">
        <f>A12</f>
        <v>Development PC</v>
      </c>
      <c r="D36" s="6">
        <f>B12</f>
        <v>4072.54</v>
      </c>
      <c r="E36" s="6">
        <f>C12</f>
        <v>0</v>
      </c>
      <c r="F36" s="9">
        <f>D36+(3*E36)</f>
        <v>4072.54</v>
      </c>
      <c r="G36" s="9">
        <f>F36/3</f>
        <v>1357.5133333333333</v>
      </c>
    </row>
    <row r="37" spans="1:8" x14ac:dyDescent="0.3">
      <c r="A37" s="2" t="s">
        <v>22</v>
      </c>
      <c r="B37" s="2" t="s">
        <v>23</v>
      </c>
      <c r="H37" s="9">
        <f>SUM(G38)</f>
        <v>266.33333333333331</v>
      </c>
    </row>
    <row r="38" spans="1:8" outlineLevel="1" x14ac:dyDescent="0.3">
      <c r="C38" s="2" t="str">
        <f>A11</f>
        <v>Office PC</v>
      </c>
      <c r="D38" s="6">
        <f>B11</f>
        <v>799</v>
      </c>
      <c r="E38" s="6">
        <f>C11</f>
        <v>0</v>
      </c>
      <c r="F38" s="9">
        <f>D38+(3*E38)</f>
        <v>799</v>
      </c>
      <c r="G38" s="9">
        <f>F38/3</f>
        <v>266.33333333333331</v>
      </c>
    </row>
  </sheetData>
  <mergeCells count="5">
    <mergeCell ref="A20:H20"/>
    <mergeCell ref="A5:C5"/>
    <mergeCell ref="A13:C13"/>
    <mergeCell ref="A3:C3"/>
    <mergeCell ref="A1:H1"/>
  </mergeCells>
  <pageMargins left="0.25" right="0.25" top="0.75" bottom="0.75" header="0.3" footer="0.3"/>
  <pageSetup scale="84" fitToHeight="0" orientation="landscape" r:id="rId1"/>
  <rowBreaks count="1" manualBreakCount="1">
    <brk id="19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view="pageBreakPreview" zoomScale="60" zoomScaleNormal="100" workbookViewId="0">
      <selection activeCell="B57" sqref="B57"/>
    </sheetView>
  </sheetViews>
  <sheetFormatPr defaultRowHeight="16.5" x14ac:dyDescent="0.3"/>
  <cols>
    <col min="1" max="1" width="13.375" customWidth="1"/>
    <col min="2" max="2" width="8.75" customWidth="1"/>
    <col min="3" max="3" width="13.25" customWidth="1"/>
    <col min="4" max="4" width="10.75" customWidth="1"/>
    <col min="5" max="5" width="13.375" customWidth="1"/>
    <col min="6" max="6" width="11.375" customWidth="1"/>
    <col min="7" max="7" width="14.625" customWidth="1"/>
    <col min="8" max="8" width="16.625" customWidth="1"/>
  </cols>
  <sheetData>
    <row r="1" spans="1:11" ht="38.25" x14ac:dyDescent="0.65">
      <c r="A1" s="40" t="s">
        <v>56</v>
      </c>
      <c r="B1" s="40"/>
      <c r="C1" s="40"/>
      <c r="D1" s="40"/>
      <c r="E1" s="40"/>
      <c r="F1" s="40"/>
      <c r="G1" s="40"/>
      <c r="H1" s="40"/>
      <c r="I1" s="40"/>
    </row>
    <row r="3" spans="1:11" ht="21" thickBot="1" x14ac:dyDescent="0.4">
      <c r="A3" s="37" t="s">
        <v>165</v>
      </c>
      <c r="B3" s="37"/>
      <c r="C3" s="37"/>
      <c r="D3" s="37"/>
      <c r="E3" s="37"/>
      <c r="F3" s="37"/>
      <c r="G3" s="16"/>
      <c r="H3" s="16"/>
      <c r="I3" s="16"/>
      <c r="J3" s="16"/>
      <c r="K3" s="16"/>
    </row>
    <row r="4" spans="1:11" ht="20.25" thickTop="1" thickBot="1" x14ac:dyDescent="0.4">
      <c r="B4" s="41" t="s">
        <v>54</v>
      </c>
      <c r="C4" s="41"/>
      <c r="D4" s="41"/>
    </row>
    <row r="5" spans="1:11" ht="18" thickTop="1" thickBot="1" x14ac:dyDescent="0.35">
      <c r="A5" s="20" t="s">
        <v>35</v>
      </c>
      <c r="B5" s="20" t="s">
        <v>37</v>
      </c>
      <c r="C5" s="20" t="s">
        <v>36</v>
      </c>
      <c r="D5" s="20" t="s">
        <v>38</v>
      </c>
    </row>
    <row r="6" spans="1:11" x14ac:dyDescent="0.3">
      <c r="A6" t="s">
        <v>32</v>
      </c>
      <c r="B6">
        <v>30</v>
      </c>
      <c r="C6">
        <v>50</v>
      </c>
      <c r="D6">
        <f>SUM(B6:C6)/COUNT(B6:C6)</f>
        <v>40</v>
      </c>
    </row>
    <row r="7" spans="1:11" x14ac:dyDescent="0.3">
      <c r="A7" t="s">
        <v>33</v>
      </c>
      <c r="B7">
        <v>5</v>
      </c>
      <c r="C7">
        <v>10</v>
      </c>
      <c r="D7">
        <f t="shared" ref="D7:D8" si="0">SUM(B7:C7)/COUNT(B7:C7)</f>
        <v>7.5</v>
      </c>
    </row>
    <row r="8" spans="1:11" x14ac:dyDescent="0.3">
      <c r="A8" t="s">
        <v>34</v>
      </c>
      <c r="B8">
        <v>10</v>
      </c>
      <c r="C8">
        <v>14</v>
      </c>
      <c r="D8">
        <f t="shared" si="0"/>
        <v>12</v>
      </c>
    </row>
    <row r="9" spans="1:11" x14ac:dyDescent="0.3">
      <c r="A9" s="22" t="s">
        <v>51</v>
      </c>
      <c r="D9">
        <f>SUM(D6:D8)</f>
        <v>59.5</v>
      </c>
    </row>
    <row r="10" spans="1:11" ht="17.25" customHeight="1" x14ac:dyDescent="0.3"/>
    <row r="11" spans="1:11" x14ac:dyDescent="0.3">
      <c r="A11" s="39" t="s">
        <v>72</v>
      </c>
      <c r="B11" s="39"/>
      <c r="C11" s="42" t="s">
        <v>39</v>
      </c>
      <c r="D11" s="42"/>
      <c r="E11" s="42"/>
      <c r="F11" s="42"/>
    </row>
    <row r="13" spans="1:11" ht="21" thickBot="1" x14ac:dyDescent="0.4">
      <c r="A13" s="37" t="s">
        <v>55</v>
      </c>
      <c r="B13" s="37"/>
      <c r="C13" s="37"/>
      <c r="D13" s="37"/>
      <c r="E13" s="37"/>
      <c r="F13" s="37"/>
      <c r="G13" s="16"/>
      <c r="H13" s="16"/>
      <c r="I13" s="16"/>
      <c r="J13" s="16"/>
      <c r="K13" s="16"/>
    </row>
    <row r="14" spans="1:11" ht="18" thickTop="1" thickBot="1" x14ac:dyDescent="0.35">
      <c r="A14" s="20" t="s">
        <v>42</v>
      </c>
      <c r="B14" s="20"/>
      <c r="C14" s="20" t="s">
        <v>50</v>
      </c>
      <c r="D14" s="20" t="s">
        <v>41</v>
      </c>
      <c r="E14" s="20" t="s">
        <v>43</v>
      </c>
      <c r="F14" s="20" t="s">
        <v>11</v>
      </c>
      <c r="G14" s="20" t="s">
        <v>52</v>
      </c>
      <c r="H14" s="20" t="s">
        <v>53</v>
      </c>
    </row>
    <row r="15" spans="1:11" x14ac:dyDescent="0.3">
      <c r="A15" s="23" t="s">
        <v>44</v>
      </c>
      <c r="B15" s="23"/>
      <c r="C15" s="16">
        <v>100</v>
      </c>
      <c r="D15" s="16">
        <v>4</v>
      </c>
      <c r="E15" s="16">
        <f>C15*D15</f>
        <v>400</v>
      </c>
      <c r="F15" s="1">
        <f t="shared" ref="F15:F20" si="1">D$9*E15</f>
        <v>23800</v>
      </c>
      <c r="G15" s="16">
        <v>4</v>
      </c>
      <c r="H15" s="1">
        <f>F15/G15</f>
        <v>5950</v>
      </c>
      <c r="I15" s="16"/>
      <c r="J15" s="16"/>
      <c r="K15" s="16"/>
    </row>
    <row r="16" spans="1:11" x14ac:dyDescent="0.3">
      <c r="A16" s="23" t="s">
        <v>45</v>
      </c>
      <c r="B16" s="23"/>
      <c r="C16" s="16">
        <v>180</v>
      </c>
      <c r="D16" s="16">
        <v>1</v>
      </c>
      <c r="E16" s="16">
        <f t="shared" ref="E16:E20" si="2">C16*D16</f>
        <v>180</v>
      </c>
      <c r="F16" s="1">
        <f t="shared" si="1"/>
        <v>10710</v>
      </c>
      <c r="G16" s="16">
        <v>40</v>
      </c>
      <c r="H16" s="1">
        <f t="shared" ref="H16:H20" si="3">F16/G16</f>
        <v>267.75</v>
      </c>
      <c r="I16" s="22"/>
      <c r="J16" s="16"/>
      <c r="K16" s="16"/>
    </row>
    <row r="17" spans="1:11" x14ac:dyDescent="0.3">
      <c r="A17" s="23" t="s">
        <v>46</v>
      </c>
      <c r="B17" s="23"/>
      <c r="C17" s="16">
        <v>200</v>
      </c>
      <c r="D17" s="16">
        <v>1</v>
      </c>
      <c r="E17" s="16">
        <f t="shared" si="2"/>
        <v>200</v>
      </c>
      <c r="F17" s="1">
        <f t="shared" si="1"/>
        <v>11900</v>
      </c>
      <c r="G17" s="16">
        <v>200</v>
      </c>
      <c r="H17" s="1">
        <f t="shared" si="3"/>
        <v>59.5</v>
      </c>
      <c r="I17" s="16"/>
      <c r="J17" s="16"/>
      <c r="K17" s="16"/>
    </row>
    <row r="18" spans="1:11" x14ac:dyDescent="0.3">
      <c r="A18" s="23" t="s">
        <v>47</v>
      </c>
      <c r="B18" s="23"/>
      <c r="C18" s="16">
        <v>60</v>
      </c>
      <c r="D18" s="16">
        <v>1</v>
      </c>
      <c r="E18" s="16">
        <f t="shared" si="2"/>
        <v>60</v>
      </c>
      <c r="F18" s="1">
        <f t="shared" si="1"/>
        <v>3570</v>
      </c>
      <c r="G18" s="16">
        <v>40</v>
      </c>
      <c r="H18" s="1">
        <f t="shared" si="3"/>
        <v>89.25</v>
      </c>
      <c r="I18" s="16"/>
      <c r="J18" s="16"/>
      <c r="K18" s="16"/>
    </row>
    <row r="19" spans="1:11" x14ac:dyDescent="0.3">
      <c r="A19" s="23" t="s">
        <v>48</v>
      </c>
      <c r="B19" s="23"/>
      <c r="C19" s="24">
        <v>200</v>
      </c>
      <c r="D19" s="16">
        <v>1</v>
      </c>
      <c r="E19" s="16">
        <f t="shared" si="2"/>
        <v>200</v>
      </c>
      <c r="F19" s="1">
        <f t="shared" si="1"/>
        <v>11900</v>
      </c>
      <c r="G19" s="16">
        <v>40</v>
      </c>
      <c r="H19" s="1">
        <f t="shared" si="3"/>
        <v>297.5</v>
      </c>
      <c r="I19" s="16"/>
      <c r="J19" s="16"/>
      <c r="K19" s="16"/>
    </row>
    <row r="20" spans="1:11" x14ac:dyDescent="0.3">
      <c r="A20" s="23" t="s">
        <v>49</v>
      </c>
      <c r="B20" s="23"/>
      <c r="C20" s="16">
        <v>110</v>
      </c>
      <c r="D20" s="16">
        <v>1</v>
      </c>
      <c r="E20" s="16">
        <f t="shared" si="2"/>
        <v>110</v>
      </c>
      <c r="F20" s="1">
        <f t="shared" si="1"/>
        <v>6545</v>
      </c>
      <c r="G20" s="16">
        <v>40</v>
      </c>
      <c r="H20" s="1">
        <f t="shared" si="3"/>
        <v>163.625</v>
      </c>
      <c r="I20" s="16"/>
      <c r="J20" s="16"/>
      <c r="K20" s="16"/>
    </row>
    <row r="21" spans="1:11" x14ac:dyDescent="0.3">
      <c r="A21" s="15" t="s">
        <v>51</v>
      </c>
      <c r="B21" s="23"/>
      <c r="C21" s="16"/>
      <c r="D21" s="16"/>
      <c r="E21" s="16"/>
      <c r="F21" s="1">
        <f>SUM(F15:F20)</f>
        <v>68425</v>
      </c>
      <c r="G21" s="16"/>
      <c r="H21" s="1">
        <f t="shared" ref="H21" si="4">SUM(H15:H20)</f>
        <v>6827.625</v>
      </c>
      <c r="I21" s="16"/>
      <c r="J21" s="16"/>
      <c r="K21" s="16"/>
    </row>
    <row r="22" spans="1:1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A23" s="28" t="s">
        <v>73</v>
      </c>
      <c r="B23" s="28"/>
      <c r="C23" s="29" t="s">
        <v>40</v>
      </c>
      <c r="D23" s="29"/>
      <c r="E23" s="29"/>
      <c r="F23" s="29"/>
      <c r="G23" s="16"/>
      <c r="H23" s="16"/>
      <c r="I23" s="16"/>
      <c r="J23" s="16"/>
      <c r="K23" s="16"/>
    </row>
    <row r="24" spans="1:11" x14ac:dyDescent="0.3">
      <c r="I24" s="16"/>
      <c r="J24" s="16"/>
      <c r="K24" s="16"/>
    </row>
    <row r="25" spans="1:11" x14ac:dyDescent="0.3">
      <c r="I25" s="16"/>
      <c r="J25" s="16"/>
      <c r="K25" s="16"/>
    </row>
  </sheetData>
  <mergeCells count="6">
    <mergeCell ref="A13:F13"/>
    <mergeCell ref="B4:D4"/>
    <mergeCell ref="A1:I1"/>
    <mergeCell ref="A11:B11"/>
    <mergeCell ref="C11:F11"/>
    <mergeCell ref="A3:F3"/>
  </mergeCells>
  <hyperlinks>
    <hyperlink ref="C11" r:id="rId1"/>
  </hyperlinks>
  <pageMargins left="0.25" right="0.25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view="pageBreakPreview" topLeftCell="A7" zoomScale="85" zoomScaleNormal="85" zoomScaleSheetLayoutView="85" zoomScalePageLayoutView="55" workbookViewId="0">
      <selection activeCell="B40" sqref="B40"/>
    </sheetView>
  </sheetViews>
  <sheetFormatPr defaultRowHeight="16.5" x14ac:dyDescent="0.3"/>
  <cols>
    <col min="1" max="1" width="14.25" customWidth="1"/>
    <col min="2" max="2" width="15.75" customWidth="1"/>
    <col min="3" max="3" width="12.375" customWidth="1"/>
    <col min="4" max="4" width="13" customWidth="1"/>
    <col min="5" max="5" width="11.25" customWidth="1"/>
    <col min="6" max="6" width="13.5" customWidth="1"/>
    <col min="7" max="8" width="10.125" bestFit="1" customWidth="1"/>
    <col min="9" max="9" width="11.125" bestFit="1" customWidth="1"/>
    <col min="10" max="10" width="12.5" customWidth="1"/>
    <col min="11" max="11" width="11.125" bestFit="1" customWidth="1"/>
    <col min="12" max="12" width="16.875" customWidth="1"/>
    <col min="13" max="13" width="13.125" customWidth="1"/>
    <col min="14" max="21" width="9" customWidth="1"/>
  </cols>
  <sheetData>
    <row r="1" spans="1:18" ht="38.25" x14ac:dyDescent="0.65">
      <c r="A1" s="11" t="s">
        <v>57</v>
      </c>
    </row>
    <row r="3" spans="1:18" ht="21" thickBot="1" x14ac:dyDescent="0.4">
      <c r="A3" s="37" t="s">
        <v>80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8" ht="20.25" thickTop="1" thickBot="1" x14ac:dyDescent="0.4">
      <c r="A4" s="16"/>
      <c r="B4" s="16"/>
      <c r="C4" s="44" t="s">
        <v>79</v>
      </c>
      <c r="D4" s="44"/>
      <c r="E4" s="44"/>
      <c r="F4" s="44"/>
      <c r="G4" s="44"/>
      <c r="H4" s="44"/>
      <c r="I4" s="44"/>
      <c r="J4" s="44"/>
      <c r="K4" s="44"/>
      <c r="L4" s="16"/>
    </row>
    <row r="5" spans="1:18" ht="17.25" thickTop="1" x14ac:dyDescent="0.3">
      <c r="A5" s="22" t="s">
        <v>59</v>
      </c>
      <c r="B5" s="22" t="s">
        <v>58</v>
      </c>
      <c r="C5" s="22" t="s">
        <v>75</v>
      </c>
      <c r="D5" s="22" t="s">
        <v>56</v>
      </c>
      <c r="E5" s="22" t="s">
        <v>60</v>
      </c>
      <c r="F5" s="22" t="s">
        <v>31</v>
      </c>
      <c r="G5" s="22" t="s">
        <v>61</v>
      </c>
      <c r="H5" s="22" t="s">
        <v>64</v>
      </c>
      <c r="I5" s="22" t="s">
        <v>62</v>
      </c>
      <c r="J5" s="22" t="s">
        <v>78</v>
      </c>
      <c r="K5" s="22" t="s">
        <v>74</v>
      </c>
      <c r="L5" s="22" t="s">
        <v>94</v>
      </c>
      <c r="N5" s="26"/>
      <c r="O5" s="26"/>
      <c r="P5" s="26"/>
      <c r="Q5" s="26"/>
      <c r="R5" s="26"/>
    </row>
    <row r="6" spans="1:18" x14ac:dyDescent="0.3">
      <c r="A6" s="17" t="s">
        <v>20</v>
      </c>
      <c r="B6" s="14" t="s">
        <v>18</v>
      </c>
      <c r="C6" s="1">
        <v>52500</v>
      </c>
      <c r="D6" s="1">
        <f>Office!$H$21</f>
        <v>6827.625</v>
      </c>
      <c r="E6" s="1">
        <v>6269.52</v>
      </c>
      <c r="F6" s="1">
        <f>Equipment!$H$22</f>
        <v>1917.56</v>
      </c>
      <c r="G6" s="1">
        <v>2000</v>
      </c>
      <c r="H6" s="1">
        <f>0.08*C6</f>
        <v>4200</v>
      </c>
      <c r="I6" s="1">
        <v>204.56</v>
      </c>
      <c r="J6" s="13">
        <f>SUM(C6:I6)</f>
        <v>73919.264999999999</v>
      </c>
      <c r="K6" s="1">
        <v>35956.46</v>
      </c>
      <c r="L6" s="13">
        <f>J6/C$30</f>
        <v>51.461476608187141</v>
      </c>
      <c r="N6" s="26"/>
      <c r="O6" s="26"/>
      <c r="P6" s="26"/>
      <c r="Q6" s="26"/>
      <c r="R6" s="26"/>
    </row>
    <row r="7" spans="1:18" x14ac:dyDescent="0.3">
      <c r="A7" s="17" t="s">
        <v>19</v>
      </c>
      <c r="B7" s="17" t="s">
        <v>25</v>
      </c>
      <c r="C7" s="1">
        <v>40000</v>
      </c>
      <c r="D7" s="1">
        <f>Office!$H$21</f>
        <v>6827.625</v>
      </c>
      <c r="E7" s="1">
        <v>4544.5200000000004</v>
      </c>
      <c r="F7" s="1">
        <f>Equipment!$H$27</f>
        <v>8645.876666666667</v>
      </c>
      <c r="G7" s="1">
        <v>1000</v>
      </c>
      <c r="H7" s="1">
        <f t="shared" ref="H7:H9" si="0">0.08*C7</f>
        <v>3200</v>
      </c>
      <c r="I7" s="1">
        <v>204.56</v>
      </c>
      <c r="J7" s="13">
        <f t="shared" ref="J7:J9" si="1">SUM(C7:I7)</f>
        <v>64422.581666666665</v>
      </c>
      <c r="K7" s="1">
        <v>28442.36</v>
      </c>
      <c r="L7" s="13">
        <f>J7/C$30</f>
        <v>44.85002900770445</v>
      </c>
    </row>
    <row r="8" spans="1:18" x14ac:dyDescent="0.3">
      <c r="A8" s="17" t="s">
        <v>21</v>
      </c>
      <c r="B8" s="14" t="s">
        <v>24</v>
      </c>
      <c r="C8" s="1">
        <v>48500</v>
      </c>
      <c r="D8" s="1">
        <f>Office!$H$21</f>
        <v>6827.625</v>
      </c>
      <c r="E8" s="1">
        <v>5717.52</v>
      </c>
      <c r="F8" s="1">
        <f>Equipment!$H$32</f>
        <v>8645.876666666667</v>
      </c>
      <c r="G8" s="1">
        <v>1000</v>
      </c>
      <c r="H8" s="1">
        <f t="shared" si="0"/>
        <v>3880</v>
      </c>
      <c r="I8" s="1">
        <v>204.56</v>
      </c>
      <c r="J8" s="13">
        <f t="shared" si="1"/>
        <v>74775.581666666665</v>
      </c>
      <c r="K8" s="1">
        <v>33720.46</v>
      </c>
      <c r="L8" s="13">
        <f>J8/C$30</f>
        <v>52.057631346885735</v>
      </c>
    </row>
    <row r="9" spans="1:18" x14ac:dyDescent="0.3">
      <c r="A9" s="17" t="s">
        <v>22</v>
      </c>
      <c r="B9" s="14" t="s">
        <v>23</v>
      </c>
      <c r="C9" s="1">
        <v>35000</v>
      </c>
      <c r="D9" s="1">
        <f>Office!$H$21</f>
        <v>6827.625</v>
      </c>
      <c r="E9" s="1">
        <v>3854.52</v>
      </c>
      <c r="F9" s="1">
        <f>Equipment!$H$37</f>
        <v>266.33333333333331</v>
      </c>
      <c r="G9" s="1">
        <v>1000</v>
      </c>
      <c r="H9" s="1">
        <f t="shared" si="0"/>
        <v>2800</v>
      </c>
      <c r="I9" s="1">
        <v>204.56</v>
      </c>
      <c r="J9" s="13">
        <f t="shared" si="1"/>
        <v>49953.03833333333</v>
      </c>
      <c r="K9" s="1">
        <v>25182.36</v>
      </c>
      <c r="L9" s="13">
        <f>J9/C$30</f>
        <v>34.77655133203379</v>
      </c>
    </row>
    <row r="10" spans="1:18" x14ac:dyDescent="0.3">
      <c r="A10" s="17"/>
      <c r="B10" s="17"/>
      <c r="C10" s="13"/>
      <c r="D10" s="16"/>
      <c r="E10" s="16"/>
      <c r="F10" s="13"/>
      <c r="G10" s="13"/>
      <c r="H10" s="13"/>
      <c r="I10" s="13"/>
      <c r="J10" s="13"/>
      <c r="K10" s="16"/>
      <c r="L10" s="16"/>
    </row>
    <row r="11" spans="1:18" x14ac:dyDescent="0.3">
      <c r="A11" s="17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8" x14ac:dyDescent="0.3">
      <c r="A12" s="28" t="s">
        <v>65</v>
      </c>
      <c r="B12" s="28"/>
      <c r="C12" s="25" t="s">
        <v>63</v>
      </c>
      <c r="D12" s="25"/>
      <c r="E12" s="25"/>
      <c r="F12" s="25"/>
      <c r="G12" s="16"/>
      <c r="H12" s="23"/>
      <c r="I12" s="23"/>
      <c r="J12" s="23"/>
      <c r="K12" s="23"/>
      <c r="L12" s="23"/>
    </row>
    <row r="13" spans="1:18" x14ac:dyDescent="0.3">
      <c r="A13" s="28" t="s">
        <v>67</v>
      </c>
      <c r="B13" s="28"/>
      <c r="C13" s="25" t="s">
        <v>66</v>
      </c>
      <c r="D13" s="25"/>
      <c r="E13" s="25"/>
      <c r="F13" s="25"/>
      <c r="G13" s="16"/>
      <c r="H13" s="16"/>
      <c r="I13" s="16"/>
      <c r="J13" s="16"/>
      <c r="K13" s="16"/>
      <c r="L13" s="16"/>
    </row>
    <row r="14" spans="1:18" x14ac:dyDescent="0.3">
      <c r="A14" s="28" t="s">
        <v>77</v>
      </c>
      <c r="B14" s="28"/>
      <c r="C14" s="25" t="s">
        <v>76</v>
      </c>
      <c r="D14" s="25"/>
      <c r="E14" s="25"/>
      <c r="F14" s="25"/>
      <c r="G14" s="16"/>
      <c r="H14" s="16"/>
      <c r="I14" s="16"/>
      <c r="J14" s="16"/>
      <c r="K14" s="16"/>
      <c r="L14" s="16"/>
    </row>
    <row r="15" spans="1:18" x14ac:dyDescent="0.3">
      <c r="A15" s="17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8" x14ac:dyDescent="0.3">
      <c r="A16" s="46" t="s">
        <v>170</v>
      </c>
      <c r="B16" s="46"/>
      <c r="C16" s="46"/>
      <c r="D16" s="46"/>
      <c r="E16" s="16"/>
      <c r="F16" s="16"/>
      <c r="G16" s="16"/>
      <c r="H16" s="16"/>
      <c r="I16" s="16"/>
      <c r="J16" s="16"/>
      <c r="K16" s="16"/>
      <c r="L16" s="16"/>
    </row>
    <row r="17" spans="1:12" x14ac:dyDescent="0.3">
      <c r="A17" s="45" t="s">
        <v>171</v>
      </c>
      <c r="B17" s="45"/>
      <c r="C17" s="42" t="s">
        <v>172</v>
      </c>
      <c r="D17" s="42"/>
      <c r="E17" s="42"/>
      <c r="F17" s="42"/>
      <c r="G17" s="42"/>
      <c r="H17" s="42"/>
      <c r="I17" s="42"/>
      <c r="J17" s="16"/>
      <c r="K17" s="16"/>
      <c r="L17" s="16"/>
    </row>
    <row r="18" spans="1:12" x14ac:dyDescent="0.3">
      <c r="A18" s="45" t="s">
        <v>174</v>
      </c>
      <c r="B18" s="45"/>
      <c r="C18" s="42" t="s">
        <v>173</v>
      </c>
      <c r="D18" s="43"/>
      <c r="E18" s="43"/>
      <c r="F18" s="43"/>
      <c r="G18" s="43"/>
      <c r="H18" s="43"/>
      <c r="I18" s="43"/>
      <c r="J18" s="16"/>
      <c r="K18" s="16"/>
      <c r="L18" s="16"/>
    </row>
    <row r="19" spans="1:12" ht="21" thickBot="1" x14ac:dyDescent="0.4">
      <c r="A19" s="37" t="s">
        <v>95</v>
      </c>
      <c r="B19" s="37"/>
      <c r="C19" s="37"/>
      <c r="D19" s="37"/>
      <c r="E19" s="37"/>
      <c r="F19" s="37"/>
      <c r="G19" s="37"/>
      <c r="H19" s="37"/>
      <c r="I19" s="37"/>
      <c r="J19" s="16"/>
      <c r="K19" s="16"/>
      <c r="L19" s="16"/>
    </row>
    <row r="20" spans="1:12" ht="18" thickTop="1" thickBot="1" x14ac:dyDescent="0.35">
      <c r="A20" s="20" t="s">
        <v>88</v>
      </c>
      <c r="B20" s="20"/>
      <c r="C20" s="20" t="s">
        <v>161</v>
      </c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3">
      <c r="A21" s="34" t="s">
        <v>92</v>
      </c>
      <c r="B21" s="34"/>
      <c r="C21" s="34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3">
      <c r="A22" s="27" t="s">
        <v>81</v>
      </c>
      <c r="B22" s="27"/>
      <c r="C22" s="16">
        <v>260.89999999999998</v>
      </c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3">
      <c r="A23" s="27" t="s">
        <v>82</v>
      </c>
      <c r="B23" s="27"/>
      <c r="C23" s="16">
        <v>8</v>
      </c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3">
      <c r="A24" s="27" t="s">
        <v>83</v>
      </c>
      <c r="B24" s="27"/>
      <c r="C24" s="16">
        <v>25</v>
      </c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3">
      <c r="A25" s="27" t="s">
        <v>84</v>
      </c>
      <c r="B25" s="27"/>
      <c r="C25" s="16">
        <v>6.7</v>
      </c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3">
      <c r="A26" s="27" t="s">
        <v>85</v>
      </c>
      <c r="B26" s="27"/>
      <c r="C26" s="16">
        <v>10</v>
      </c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3">
      <c r="A27" s="27" t="s">
        <v>86</v>
      </c>
      <c r="B27" s="27"/>
      <c r="C27" s="16">
        <v>5</v>
      </c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3">
      <c r="A28" s="27" t="s">
        <v>87</v>
      </c>
      <c r="B28" s="27"/>
      <c r="C28" s="16">
        <v>1</v>
      </c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3">
      <c r="A29" s="33" t="s">
        <v>89</v>
      </c>
      <c r="B29" s="33"/>
      <c r="C29" s="16">
        <f>C22-SUM(C23:C28)</f>
        <v>205.2</v>
      </c>
      <c r="D29" s="16"/>
      <c r="E29" s="16"/>
      <c r="F29" s="16"/>
      <c r="G29" s="16"/>
      <c r="H29" s="16"/>
      <c r="I29" s="16"/>
      <c r="J29" s="23"/>
      <c r="K29" s="16"/>
      <c r="L29" s="16"/>
    </row>
    <row r="30" spans="1:12" x14ac:dyDescent="0.3">
      <c r="A30" s="33" t="s">
        <v>90</v>
      </c>
      <c r="B30" s="33"/>
      <c r="C30" s="16">
        <f>C29*7</f>
        <v>1436.3999999999999</v>
      </c>
      <c r="D30" s="16"/>
      <c r="E30" s="33" t="s">
        <v>91</v>
      </c>
      <c r="F30" s="33"/>
      <c r="G30" s="33"/>
      <c r="H30" s="33"/>
      <c r="I30" s="33"/>
      <c r="J30" s="16"/>
      <c r="K30" s="16"/>
      <c r="L30" s="16"/>
    </row>
    <row r="31" spans="1:12" x14ac:dyDescent="0.3">
      <c r="A31" s="34" t="s">
        <v>93</v>
      </c>
      <c r="B31" s="34"/>
      <c r="C31" s="34"/>
      <c r="D31" s="16"/>
      <c r="E31" s="16"/>
      <c r="F31" s="16"/>
      <c r="G31" s="16"/>
      <c r="H31" s="16"/>
      <c r="I31" s="16"/>
      <c r="J31" s="16"/>
      <c r="K31" s="16"/>
      <c r="L31" s="16"/>
    </row>
    <row r="32" spans="1:12" x14ac:dyDescent="0.3">
      <c r="A32" s="33" t="s">
        <v>89</v>
      </c>
      <c r="B32" s="33"/>
      <c r="C32" s="16">
        <f>C29*4</f>
        <v>820.8</v>
      </c>
      <c r="D32" s="16"/>
      <c r="E32" s="16"/>
      <c r="F32" s="16"/>
      <c r="G32" s="16"/>
      <c r="H32" s="16"/>
      <c r="I32" s="16"/>
      <c r="J32" s="16"/>
      <c r="K32" s="16"/>
      <c r="L32" s="16"/>
    </row>
    <row r="33" spans="1:21" x14ac:dyDescent="0.3">
      <c r="A33" s="33" t="s">
        <v>90</v>
      </c>
      <c r="B33" s="33"/>
      <c r="C33" s="16">
        <f>C30*4</f>
        <v>5745.5999999999995</v>
      </c>
      <c r="D33" s="16"/>
      <c r="E33" s="16"/>
      <c r="F33" s="16"/>
      <c r="G33" s="16"/>
      <c r="H33" s="16"/>
      <c r="I33" s="16"/>
    </row>
    <row r="34" spans="1:21" x14ac:dyDescent="0.3">
      <c r="A34" s="16"/>
      <c r="B34" s="16"/>
      <c r="C34" s="16"/>
      <c r="D34" s="16"/>
      <c r="E34" s="16"/>
      <c r="F34" s="16"/>
      <c r="G34" s="16"/>
      <c r="H34" s="16"/>
      <c r="I34" s="16"/>
    </row>
    <row r="35" spans="1:21" ht="21" thickBot="1" x14ac:dyDescent="0.4">
      <c r="A35" s="32" t="s">
        <v>103</v>
      </c>
      <c r="B35" s="32"/>
      <c r="C35" s="32"/>
      <c r="D35" s="16"/>
      <c r="E35" s="16"/>
      <c r="F35" s="16"/>
      <c r="G35" s="16"/>
      <c r="H35" s="16"/>
      <c r="I35" s="16"/>
    </row>
    <row r="36" spans="1:21" ht="18" thickTop="1" thickBot="1" x14ac:dyDescent="0.35">
      <c r="A36" s="20" t="s">
        <v>26</v>
      </c>
      <c r="B36" s="20" t="s">
        <v>104</v>
      </c>
      <c r="C36" s="20" t="s">
        <v>1</v>
      </c>
      <c r="D36" s="16"/>
      <c r="E36" s="16"/>
      <c r="F36" s="16"/>
      <c r="G36" s="16"/>
      <c r="H36" s="16"/>
      <c r="I36" s="16"/>
      <c r="L36" s="16"/>
      <c r="M36" s="16"/>
    </row>
    <row r="37" spans="1:21" x14ac:dyDescent="0.3">
      <c r="A37" s="17" t="s">
        <v>20</v>
      </c>
      <c r="B37" s="16">
        <v>796.4</v>
      </c>
      <c r="C37" s="13">
        <f>B37*L6</f>
        <v>40983.919970760238</v>
      </c>
      <c r="D37" s="16"/>
      <c r="E37" s="16"/>
      <c r="F37" s="16"/>
      <c r="G37" s="16"/>
      <c r="H37" s="16"/>
      <c r="I37" s="16"/>
      <c r="L37" s="22"/>
      <c r="M37" s="22"/>
      <c r="N37" s="22"/>
    </row>
    <row r="38" spans="1:21" x14ac:dyDescent="0.3">
      <c r="A38" s="17" t="s">
        <v>19</v>
      </c>
      <c r="B38" s="16">
        <v>340.4</v>
      </c>
      <c r="C38" s="13">
        <f>B38*L7</f>
        <v>15266.949874222593</v>
      </c>
      <c r="D38" s="16"/>
      <c r="E38" s="16"/>
      <c r="F38" s="16"/>
      <c r="G38" s="16"/>
      <c r="H38" s="16"/>
      <c r="I38" s="16"/>
      <c r="L38" s="27"/>
      <c r="M38" s="27"/>
    </row>
    <row r="39" spans="1:21" x14ac:dyDescent="0.3">
      <c r="A39" s="17" t="s">
        <v>21</v>
      </c>
      <c r="B39" s="16">
        <v>470.2</v>
      </c>
      <c r="C39" s="13">
        <f>B39*L8</f>
        <v>24477.49825930567</v>
      </c>
      <c r="D39" s="16"/>
      <c r="E39" s="16"/>
      <c r="F39" s="16"/>
      <c r="G39" s="16"/>
      <c r="H39" s="16"/>
      <c r="I39" s="16"/>
      <c r="L39" s="27"/>
      <c r="M39" s="27"/>
    </row>
    <row r="40" spans="1:21" x14ac:dyDescent="0.3">
      <c r="A40" s="17" t="s">
        <v>22</v>
      </c>
      <c r="B40" s="16">
        <v>62</v>
      </c>
      <c r="C40" s="13">
        <f>B40*L9</f>
        <v>2156.1461825860952</v>
      </c>
      <c r="D40" s="16"/>
      <c r="E40" s="16"/>
      <c r="F40" s="16"/>
      <c r="G40" s="16"/>
      <c r="H40" s="16"/>
      <c r="I40" s="16"/>
      <c r="L40" s="27"/>
      <c r="M40" s="27"/>
    </row>
    <row r="41" spans="1:21" x14ac:dyDescent="0.3">
      <c r="A41" s="34" t="s">
        <v>51</v>
      </c>
      <c r="B41" s="16">
        <f>SUM(B37:B40)</f>
        <v>1669</v>
      </c>
      <c r="C41" s="13">
        <f>SUM(C37:C40)</f>
        <v>82884.51428687459</v>
      </c>
      <c r="D41" s="16"/>
      <c r="E41" s="16"/>
      <c r="F41" s="16"/>
      <c r="G41" s="16"/>
      <c r="H41" s="16"/>
      <c r="I41" s="16"/>
      <c r="L41" s="27"/>
      <c r="M41" s="27"/>
    </row>
    <row r="42" spans="1:21" x14ac:dyDescent="0.3">
      <c r="L42" s="27"/>
      <c r="M42" s="27"/>
    </row>
    <row r="43" spans="1:21" x14ac:dyDescent="0.3">
      <c r="L43" s="27"/>
      <c r="M43" s="27"/>
    </row>
    <row r="44" spans="1:21" x14ac:dyDescent="0.3">
      <c r="L44" s="27"/>
      <c r="M44" s="27"/>
    </row>
    <row r="45" spans="1:21" x14ac:dyDescent="0.3">
      <c r="L45" s="23"/>
      <c r="M45" s="23"/>
    </row>
    <row r="46" spans="1:21" x14ac:dyDescent="0.3">
      <c r="L46" s="23"/>
      <c r="M46" s="23"/>
      <c r="P46" s="43"/>
      <c r="Q46" s="43"/>
      <c r="R46" s="43"/>
      <c r="S46" s="43"/>
      <c r="T46" s="43"/>
      <c r="U46" s="43"/>
    </row>
    <row r="47" spans="1:21" x14ac:dyDescent="0.3">
      <c r="L47" s="15"/>
      <c r="M47" s="15"/>
    </row>
    <row r="48" spans="1:21" x14ac:dyDescent="0.3">
      <c r="L48" s="23"/>
      <c r="M48" s="23"/>
    </row>
    <row r="49" spans="12:13" x14ac:dyDescent="0.3">
      <c r="L49" s="23"/>
      <c r="M49" s="23"/>
    </row>
    <row r="50" spans="12:13" x14ac:dyDescent="0.3">
      <c r="L50" s="16"/>
      <c r="M50" s="16"/>
    </row>
    <row r="51" spans="12:13" x14ac:dyDescent="0.3">
      <c r="L51" s="16"/>
      <c r="M51" s="16"/>
    </row>
    <row r="52" spans="12:13" x14ac:dyDescent="0.3">
      <c r="L52" s="16"/>
      <c r="M52" s="16"/>
    </row>
    <row r="53" spans="12:13" x14ac:dyDescent="0.3">
      <c r="L53" s="16"/>
      <c r="M53" s="16"/>
    </row>
  </sheetData>
  <mergeCells count="9">
    <mergeCell ref="A3:L3"/>
    <mergeCell ref="P46:U46"/>
    <mergeCell ref="C4:K4"/>
    <mergeCell ref="A19:I19"/>
    <mergeCell ref="C17:I17"/>
    <mergeCell ref="C18:I18"/>
    <mergeCell ref="A18:B18"/>
    <mergeCell ref="A17:B17"/>
    <mergeCell ref="A16:D16"/>
  </mergeCells>
  <hyperlinks>
    <hyperlink ref="C14" r:id="rId1"/>
    <hyperlink ref="C17" r:id="rId2"/>
    <hyperlink ref="C18" r:id="rId3"/>
  </hyperlinks>
  <pageMargins left="0.25" right="0.25" top="0.75" bottom="0.75" header="0.3" footer="0.3"/>
  <pageSetup paperSize="9" scale="88" fitToHeight="0" orientation="landscape" r:id="rId4"/>
  <rowBreaks count="1" manualBreakCount="1">
    <brk id="18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6" sqref="A6"/>
    </sheetView>
  </sheetViews>
  <sheetFormatPr defaultRowHeight="16.5" x14ac:dyDescent="0.3"/>
  <cols>
    <col min="1" max="1" width="36.5" customWidth="1"/>
    <col min="2" max="2" width="18" customWidth="1"/>
    <col min="3" max="3" width="11.5" customWidth="1"/>
    <col min="4" max="4" width="11.25" customWidth="1"/>
  </cols>
  <sheetData>
    <row r="1" spans="1:5" ht="38.25" x14ac:dyDescent="0.65">
      <c r="A1" s="40" t="s">
        <v>99</v>
      </c>
      <c r="B1" s="40"/>
      <c r="C1" s="40"/>
      <c r="D1" s="40"/>
      <c r="E1" s="40"/>
    </row>
    <row r="3" spans="1:5" ht="21" thickBot="1" x14ac:dyDescent="0.4">
      <c r="A3" s="37" t="s">
        <v>100</v>
      </c>
      <c r="B3" s="37"/>
      <c r="C3" s="37"/>
      <c r="D3" s="37"/>
      <c r="E3" s="37"/>
    </row>
    <row r="4" spans="1:5" ht="18" thickTop="1" thickBot="1" x14ac:dyDescent="0.35">
      <c r="A4" s="20" t="s">
        <v>96</v>
      </c>
      <c r="B4" s="20" t="s">
        <v>97</v>
      </c>
      <c r="C4" s="20" t="s">
        <v>1</v>
      </c>
      <c r="D4" s="20" t="s">
        <v>98</v>
      </c>
      <c r="E4" s="20" t="s">
        <v>51</v>
      </c>
    </row>
    <row r="5" spans="1:5" x14ac:dyDescent="0.3">
      <c r="A5" t="s">
        <v>102</v>
      </c>
      <c r="B5" t="s">
        <v>101</v>
      </c>
      <c r="C5" s="1">
        <v>250</v>
      </c>
      <c r="D5">
        <v>3</v>
      </c>
      <c r="E5" s="1">
        <f>C5*D5</f>
        <v>750</v>
      </c>
    </row>
    <row r="6" spans="1:5" x14ac:dyDescent="0.3">
      <c r="A6" s="22" t="s">
        <v>51</v>
      </c>
      <c r="C6" s="1"/>
      <c r="E6" s="1">
        <f>SUM(E5)</f>
        <v>750</v>
      </c>
    </row>
    <row r="7" spans="1:5" x14ac:dyDescent="0.3">
      <c r="C7" s="1"/>
      <c r="E7" s="1"/>
    </row>
    <row r="8" spans="1:5" x14ac:dyDescent="0.3">
      <c r="C8" s="1"/>
      <c r="E8" s="1"/>
    </row>
    <row r="9" spans="1:5" x14ac:dyDescent="0.3">
      <c r="C9" s="1"/>
      <c r="E9" s="1"/>
    </row>
    <row r="10" spans="1:5" x14ac:dyDescent="0.3">
      <c r="C10" s="1"/>
      <c r="E10" s="1"/>
    </row>
    <row r="11" spans="1:5" x14ac:dyDescent="0.3">
      <c r="C11" s="1"/>
      <c r="E11" s="1"/>
    </row>
    <row r="12" spans="1:5" x14ac:dyDescent="0.3">
      <c r="C12" s="1"/>
      <c r="E12" s="1"/>
    </row>
    <row r="13" spans="1:5" x14ac:dyDescent="0.3">
      <c r="C13" s="1"/>
      <c r="E13" s="1"/>
    </row>
    <row r="14" spans="1:5" x14ac:dyDescent="0.3">
      <c r="C14" s="1"/>
      <c r="E14" s="1"/>
    </row>
    <row r="15" spans="1:5" x14ac:dyDescent="0.3">
      <c r="C15" s="1"/>
      <c r="E15" s="1"/>
    </row>
    <row r="16" spans="1:5" x14ac:dyDescent="0.3">
      <c r="C16" s="1"/>
      <c r="E16" s="1"/>
    </row>
    <row r="17" spans="3:5" x14ac:dyDescent="0.3">
      <c r="C17" s="1"/>
      <c r="E17" s="1"/>
    </row>
    <row r="18" spans="3:5" x14ac:dyDescent="0.3">
      <c r="C18" s="1"/>
      <c r="E18" s="1"/>
    </row>
    <row r="19" spans="3:5" x14ac:dyDescent="0.3">
      <c r="C19" s="1"/>
      <c r="E19" s="1"/>
    </row>
    <row r="20" spans="3:5" x14ac:dyDescent="0.3">
      <c r="C20" s="1"/>
      <c r="E20" s="1"/>
    </row>
    <row r="21" spans="3:5" x14ac:dyDescent="0.3">
      <c r="C21" s="1"/>
      <c r="E21" s="1"/>
    </row>
    <row r="22" spans="3:5" x14ac:dyDescent="0.3">
      <c r="C22" s="1"/>
      <c r="E22" s="1"/>
    </row>
    <row r="23" spans="3:5" x14ac:dyDescent="0.3">
      <c r="E23" s="1"/>
    </row>
  </sheetData>
  <mergeCells count="2">
    <mergeCell ref="A3:E3"/>
    <mergeCell ref="A1:E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view="pageBreakPreview" zoomScaleNormal="100" zoomScaleSheetLayoutView="100" workbookViewId="0">
      <selection activeCell="A16" sqref="A16"/>
    </sheetView>
  </sheetViews>
  <sheetFormatPr defaultRowHeight="16.5" x14ac:dyDescent="0.3"/>
  <cols>
    <col min="1" max="1" width="20.5" customWidth="1"/>
    <col min="2" max="2" width="35.375" customWidth="1"/>
    <col min="3" max="3" width="12.875" customWidth="1"/>
  </cols>
  <sheetData>
    <row r="1" spans="1:19" ht="38.25" x14ac:dyDescent="0.65">
      <c r="A1" s="40" t="s">
        <v>105</v>
      </c>
      <c r="B1" s="40"/>
      <c r="C1" s="40"/>
      <c r="D1" s="40"/>
    </row>
    <row r="3" spans="1:19" ht="21" thickBot="1" x14ac:dyDescent="0.4">
      <c r="A3" s="37" t="s">
        <v>109</v>
      </c>
      <c r="B3" s="37"/>
      <c r="C3" s="37"/>
    </row>
    <row r="4" spans="1:19" ht="18" thickTop="1" thickBot="1" x14ac:dyDescent="0.35">
      <c r="A4" s="20" t="s">
        <v>106</v>
      </c>
      <c r="B4" s="20" t="s">
        <v>107</v>
      </c>
      <c r="C4" s="20" t="s">
        <v>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3">
      <c r="A5" s="16" t="s">
        <v>108</v>
      </c>
      <c r="B5" s="16" t="s">
        <v>110</v>
      </c>
      <c r="C5" s="1">
        <v>5000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3">
      <c r="A6" s="16" t="s">
        <v>108</v>
      </c>
      <c r="B6" s="16" t="s">
        <v>152</v>
      </c>
      <c r="C6" s="1">
        <v>300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3">
      <c r="A7" s="16" t="s">
        <v>108</v>
      </c>
      <c r="B7" s="16" t="s">
        <v>113</v>
      </c>
      <c r="C7" s="1">
        <v>750</v>
      </c>
      <c r="D7" s="16"/>
      <c r="E7" s="21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  <c r="Q7" s="26"/>
      <c r="R7" s="26"/>
      <c r="S7" s="16"/>
    </row>
    <row r="8" spans="1:19" x14ac:dyDescent="0.3">
      <c r="A8" t="s">
        <v>108</v>
      </c>
      <c r="B8" t="s">
        <v>139</v>
      </c>
      <c r="C8" s="1">
        <f>4*50</f>
        <v>200</v>
      </c>
      <c r="P8" s="16"/>
      <c r="Q8" s="16"/>
      <c r="R8" s="16"/>
      <c r="S8" s="16"/>
    </row>
    <row r="9" spans="1:19" x14ac:dyDescent="0.3">
      <c r="A9" s="16" t="s">
        <v>111</v>
      </c>
      <c r="B9" s="16" t="s">
        <v>156</v>
      </c>
      <c r="C9" s="1">
        <f>(876*4)/(Staff!C32/Staff!B40)</f>
        <v>264.67836257309943</v>
      </c>
      <c r="D9" s="16"/>
      <c r="P9" s="16"/>
      <c r="Q9" s="16"/>
      <c r="R9" s="16"/>
      <c r="S9" s="16"/>
    </row>
    <row r="10" spans="1:19" x14ac:dyDescent="0.3">
      <c r="A10" s="16" t="s">
        <v>112</v>
      </c>
      <c r="B10" s="16" t="s">
        <v>119</v>
      </c>
      <c r="C10" s="1">
        <v>2500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3">
      <c r="A11" s="16" t="s">
        <v>112</v>
      </c>
      <c r="B11" s="16" t="s">
        <v>120</v>
      </c>
      <c r="C11" s="1">
        <v>2500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3">
      <c r="A12" s="16" t="s">
        <v>114</v>
      </c>
      <c r="B12" s="16" t="s">
        <v>115</v>
      </c>
      <c r="C12" s="1">
        <v>1500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3">
      <c r="A13" s="16" t="s">
        <v>114</v>
      </c>
      <c r="B13" s="16" t="s">
        <v>116</v>
      </c>
      <c r="C13" s="1">
        <v>1000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3">
      <c r="A14" s="16" t="s">
        <v>114</v>
      </c>
      <c r="B14" s="16" t="s">
        <v>153</v>
      </c>
      <c r="C14" s="1">
        <v>1000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3">
      <c r="A15" s="16" t="s">
        <v>118</v>
      </c>
      <c r="B15" s="16" t="s">
        <v>154</v>
      </c>
      <c r="C15" s="1">
        <v>4500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x14ac:dyDescent="0.3">
      <c r="A16" s="16" t="s">
        <v>117</v>
      </c>
      <c r="B16" s="16" t="s">
        <v>155</v>
      </c>
      <c r="C16" s="1">
        <v>300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x14ac:dyDescent="0.3">
      <c r="A17" s="16" t="s">
        <v>7</v>
      </c>
      <c r="B17" s="16" t="s">
        <v>135</v>
      </c>
      <c r="C17" s="1">
        <v>2000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23"/>
      <c r="Q17" s="23"/>
      <c r="R17" s="23"/>
      <c r="S17" s="23"/>
    </row>
    <row r="18" spans="1:19" x14ac:dyDescent="0.3">
      <c r="L18" s="23"/>
      <c r="M18" s="23"/>
      <c r="N18" s="23"/>
      <c r="O18" s="23"/>
      <c r="P18" s="16"/>
      <c r="Q18" s="16"/>
      <c r="R18" s="16"/>
      <c r="S18" s="16"/>
    </row>
    <row r="19" spans="1:19" x14ac:dyDescent="0.3">
      <c r="A19" t="s">
        <v>176</v>
      </c>
      <c r="B19" s="16" t="s">
        <v>175</v>
      </c>
      <c r="C19" s="13">
        <f ca="1">((0.62*Total!B10)*0.5)-Corporate!C20</f>
        <v>47925.206889715249</v>
      </c>
      <c r="M19" s="25"/>
      <c r="N19" s="25"/>
      <c r="O19" s="16"/>
      <c r="P19" s="16"/>
      <c r="Q19" s="16"/>
      <c r="R19" s="16"/>
      <c r="S19" s="16"/>
    </row>
    <row r="20" spans="1:19" x14ac:dyDescent="0.3">
      <c r="A20" s="16" t="s">
        <v>122</v>
      </c>
      <c r="B20" s="16" t="s">
        <v>123</v>
      </c>
      <c r="C20" s="13">
        <f>((Staff!$C$6+Staff!$C$7+Staff!$C$8+Staff!$C$9)*(Staff!$B$41/Staff!$C$33))*0.15</f>
        <v>7668.7552213868012</v>
      </c>
      <c r="D20" s="16"/>
      <c r="E20" s="23"/>
      <c r="F20" s="23"/>
      <c r="G20" s="23"/>
      <c r="H20" s="23"/>
      <c r="I20" s="23"/>
      <c r="J20" s="23"/>
      <c r="K20" s="23"/>
      <c r="L20" s="16"/>
      <c r="M20" s="16"/>
      <c r="N20" s="16"/>
      <c r="O20" s="16"/>
      <c r="P20" s="16"/>
      <c r="Q20" s="16"/>
      <c r="R20" s="16"/>
      <c r="S20" s="16"/>
    </row>
    <row r="21" spans="1:19" x14ac:dyDescent="0.3">
      <c r="A21" s="16" t="s">
        <v>126</v>
      </c>
      <c r="B21" s="16" t="s">
        <v>127</v>
      </c>
      <c r="C21" s="1">
        <f ca="1">Total!B10*0.102</f>
        <v>18292.206888169061</v>
      </c>
      <c r="D21" s="16"/>
      <c r="L21" s="16"/>
      <c r="M21" s="16"/>
      <c r="N21" s="16"/>
      <c r="O21" s="16"/>
      <c r="P21" s="16"/>
      <c r="Q21" s="16"/>
      <c r="R21" s="16"/>
      <c r="S21" s="16"/>
    </row>
    <row r="22" spans="1:19" x14ac:dyDescent="0.3">
      <c r="A22" s="34" t="s">
        <v>51</v>
      </c>
      <c r="B22" s="16"/>
      <c r="C22" s="13">
        <f ca="1">SUM(C5:C21)</f>
        <v>95700.847361844222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9" x14ac:dyDescent="0.3">
      <c r="A24" s="36" t="s">
        <v>130</v>
      </c>
      <c r="B24" s="36"/>
      <c r="C24" s="36"/>
      <c r="D24" s="36"/>
      <c r="E24" s="16"/>
      <c r="F24" s="16"/>
      <c r="G24" s="16"/>
      <c r="H24" s="16"/>
      <c r="I24" s="16"/>
      <c r="J24" s="16"/>
      <c r="K24" s="16"/>
    </row>
    <row r="25" spans="1:1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9" x14ac:dyDescent="0.3">
      <c r="A26" s="21" t="s">
        <v>177</v>
      </c>
      <c r="B26" s="42" t="s">
        <v>178</v>
      </c>
      <c r="C26" s="42"/>
      <c r="D26" s="42"/>
      <c r="E26" s="42"/>
      <c r="F26" s="42"/>
      <c r="G26" s="42"/>
      <c r="H26" s="42"/>
      <c r="I26" s="42"/>
      <c r="J26" s="42"/>
      <c r="K26" s="42"/>
    </row>
    <row r="27" spans="1:19" x14ac:dyDescent="0.3">
      <c r="A27" s="21" t="s">
        <v>166</v>
      </c>
      <c r="B27" s="35" t="s">
        <v>121</v>
      </c>
      <c r="C27" s="35"/>
      <c r="D27" s="35"/>
      <c r="E27" s="35"/>
      <c r="F27" s="35"/>
      <c r="G27" s="35"/>
      <c r="H27" s="35"/>
      <c r="I27" s="35"/>
      <c r="J27" s="35"/>
      <c r="K27" s="35"/>
    </row>
    <row r="28" spans="1:19" x14ac:dyDescent="0.3">
      <c r="A28" s="21" t="s">
        <v>167</v>
      </c>
      <c r="B28" s="35" t="s">
        <v>129</v>
      </c>
      <c r="C28" s="35"/>
      <c r="D28" s="35"/>
      <c r="E28" s="35"/>
      <c r="F28" s="35"/>
      <c r="G28" s="35"/>
      <c r="H28" s="35"/>
      <c r="I28" s="35"/>
      <c r="J28" s="35"/>
      <c r="K28" s="35"/>
    </row>
    <row r="29" spans="1:19" x14ac:dyDescent="0.3">
      <c r="A29" s="30" t="s">
        <v>168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9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</sheetData>
  <mergeCells count="3">
    <mergeCell ref="A1:D1"/>
    <mergeCell ref="A3:C3"/>
    <mergeCell ref="B26:K26"/>
  </mergeCells>
  <hyperlinks>
    <hyperlink ref="B28" r:id="rId1"/>
    <hyperlink ref="B27" r:id="rId2"/>
    <hyperlink ref="B26" r:id="rId3"/>
  </hyperlinks>
  <pageMargins left="0.25" right="0.25" top="0.75" bottom="0.75" header="0.3" footer="0.3"/>
  <pageSetup paperSize="9" scale="95" orientation="landscape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85" zoomScaleNormal="100" zoomScaleSheetLayoutView="85" workbookViewId="0">
      <selection activeCell="B12" sqref="B12"/>
    </sheetView>
  </sheetViews>
  <sheetFormatPr defaultRowHeight="16.5" x14ac:dyDescent="0.3"/>
  <cols>
    <col min="1" max="1" width="36" customWidth="1"/>
    <col min="2" max="2" width="12.375" customWidth="1"/>
    <col min="3" max="3" width="31.5" customWidth="1"/>
    <col min="4" max="4" width="13.125" customWidth="1"/>
    <col min="5" max="5" width="24.25" customWidth="1"/>
    <col min="6" max="6" width="18.125" customWidth="1"/>
    <col min="7" max="7" width="17.75" customWidth="1"/>
    <col min="8" max="8" width="18.125" customWidth="1"/>
    <col min="9" max="9" width="25.625" customWidth="1"/>
  </cols>
  <sheetData>
    <row r="1" spans="1:9" ht="38.25" x14ac:dyDescent="0.65">
      <c r="A1" s="40" t="s">
        <v>124</v>
      </c>
      <c r="B1" s="40"/>
      <c r="C1" s="40"/>
      <c r="D1" s="40"/>
    </row>
    <row r="2" spans="1:9" x14ac:dyDescent="0.3">
      <c r="C2" s="16"/>
      <c r="D2" s="16"/>
      <c r="E2" s="16"/>
      <c r="F2" s="16"/>
      <c r="G2" s="16"/>
      <c r="H2" s="16"/>
      <c r="I2" s="16"/>
    </row>
    <row r="3" spans="1:9" ht="21" thickBot="1" x14ac:dyDescent="0.4">
      <c r="A3" s="37" t="s">
        <v>125</v>
      </c>
      <c r="B3" s="37"/>
      <c r="C3" s="16"/>
      <c r="D3" s="16"/>
      <c r="E3" s="16"/>
      <c r="F3" s="16"/>
      <c r="G3" s="16"/>
      <c r="H3" s="16"/>
      <c r="I3" s="16"/>
    </row>
    <row r="4" spans="1:9" ht="18" thickTop="1" thickBot="1" x14ac:dyDescent="0.35">
      <c r="A4" s="20" t="s">
        <v>35</v>
      </c>
      <c r="B4" s="20" t="s">
        <v>1</v>
      </c>
      <c r="C4" s="16"/>
      <c r="D4" s="16"/>
      <c r="E4" s="16"/>
      <c r="F4" s="16"/>
      <c r="G4" s="16"/>
      <c r="H4" s="16"/>
      <c r="I4" s="16"/>
    </row>
    <row r="5" spans="1:9" x14ac:dyDescent="0.3">
      <c r="A5" t="s">
        <v>31</v>
      </c>
      <c r="B5" s="13">
        <f>((Equipment!H22*(Staff!B37/Staff!C30))+(Equipment!H27*(Staff!B38/Staff!C30))+(Equipment!H32*(Staff!B39/Staff!C30))+(Equipment!H37*(Staff!B40/Staff!C30)))</f>
        <v>5953.7768564930848</v>
      </c>
      <c r="C5" s="16"/>
      <c r="D5" s="16"/>
      <c r="E5" s="16"/>
      <c r="F5" s="16"/>
      <c r="G5" s="16"/>
      <c r="H5" s="16"/>
      <c r="I5" s="16"/>
    </row>
    <row r="6" spans="1:9" x14ac:dyDescent="0.3">
      <c r="A6" t="s">
        <v>56</v>
      </c>
      <c r="B6" s="13">
        <f>((Office!$H$21*(Staff!B37/Staff!C30))+(Office!$H$21*(Staff!B38/Staff!C30))+(Office!$H$21*(Staff!B39/Staff!C30))+(Office!$H$21*(Staff!B40/Staff!C30)))</f>
        <v>7933.2401315789475</v>
      </c>
      <c r="C6" s="16"/>
      <c r="D6" s="16"/>
      <c r="E6" s="16"/>
      <c r="F6" s="16"/>
      <c r="G6" s="16"/>
      <c r="H6" s="16"/>
      <c r="I6" s="16"/>
    </row>
    <row r="7" spans="1:9" x14ac:dyDescent="0.3">
      <c r="A7" t="s">
        <v>57</v>
      </c>
      <c r="B7" s="13">
        <f>((Staff!C6+Staff!E6+Staff!G6+Staff!H6+Staff!I6)*(Staff!B37/Staff!C30))+((Staff!C7+Staff!E7+Staff!G7+Staff!H7+Staff!I7)*(Staff!B38/Staff!C30))+((Staff!C8+Staff!E8+Staff!G8+Staff!H8+Staff!I8)*(Staff!B39/Staff!C30))+((Staff!C9+Staff!E9+Staff!G9+Staff!H9+Staff!I9)*(Staff!B40/Staff!C30))</f>
        <v>68997.497298802569</v>
      </c>
      <c r="C7" s="16"/>
      <c r="D7" s="16"/>
      <c r="E7" s="16"/>
      <c r="F7" s="16"/>
      <c r="G7" s="16"/>
      <c r="H7" s="16"/>
      <c r="I7" s="16"/>
    </row>
    <row r="8" spans="1:9" x14ac:dyDescent="0.3">
      <c r="A8" t="s">
        <v>99</v>
      </c>
      <c r="B8" s="13">
        <f>Expenses!$E$6</f>
        <v>750</v>
      </c>
      <c r="C8" s="16"/>
      <c r="D8" s="16"/>
      <c r="E8" s="16"/>
      <c r="F8" s="16"/>
      <c r="G8" s="16"/>
      <c r="H8" s="16"/>
      <c r="I8" s="16"/>
    </row>
    <row r="9" spans="1:9" x14ac:dyDescent="0.3">
      <c r="A9" t="s">
        <v>128</v>
      </c>
      <c r="B9" s="13">
        <f ca="1">Corporate!$C$22</f>
        <v>95700.847361844222</v>
      </c>
      <c r="C9" s="16"/>
      <c r="D9" s="16"/>
      <c r="E9" s="16"/>
      <c r="F9" s="16"/>
      <c r="G9" s="16"/>
      <c r="H9" s="16"/>
      <c r="I9" s="16"/>
    </row>
    <row r="10" spans="1:9" x14ac:dyDescent="0.3">
      <c r="A10" s="22" t="s">
        <v>131</v>
      </c>
      <c r="B10" s="13">
        <f ca="1">SUM(B5:B9)</f>
        <v>179335.36164871883</v>
      </c>
      <c r="C10" s="16"/>
      <c r="D10" s="16"/>
      <c r="E10" s="16"/>
      <c r="F10" s="16"/>
      <c r="G10" s="16"/>
      <c r="H10" s="16"/>
      <c r="I10" s="16"/>
    </row>
    <row r="11" spans="1:9" x14ac:dyDescent="0.3">
      <c r="A11" t="s">
        <v>132</v>
      </c>
      <c r="B11" s="13">
        <f ca="1">B10*0.2</f>
        <v>35867.072329743765</v>
      </c>
      <c r="C11" s="16"/>
      <c r="D11" s="16"/>
      <c r="E11" s="16"/>
      <c r="F11" s="16"/>
      <c r="G11" s="16"/>
      <c r="H11" s="16"/>
      <c r="I11" s="16"/>
    </row>
    <row r="12" spans="1:9" x14ac:dyDescent="0.3">
      <c r="A12" s="22" t="s">
        <v>133</v>
      </c>
      <c r="B12" s="13">
        <f ca="1">B10*1.2</f>
        <v>215202.43397846259</v>
      </c>
      <c r="C12" s="16"/>
      <c r="D12" s="16"/>
      <c r="E12" s="16"/>
      <c r="F12" s="16"/>
      <c r="G12" s="16"/>
      <c r="H12" s="16"/>
      <c r="I12" s="16"/>
    </row>
    <row r="13" spans="1:9" x14ac:dyDescent="0.3">
      <c r="C13" s="16"/>
      <c r="D13" s="16"/>
      <c r="E13" s="16"/>
      <c r="F13" s="16"/>
      <c r="G13" s="16"/>
      <c r="H13" s="16"/>
      <c r="I13" s="16"/>
    </row>
    <row r="14" spans="1:9" x14ac:dyDescent="0.3">
      <c r="C14" s="16"/>
      <c r="D14" s="16"/>
      <c r="E14" s="16"/>
      <c r="F14" s="16"/>
      <c r="G14" s="16"/>
      <c r="H14" s="16"/>
      <c r="I14" s="16"/>
    </row>
    <row r="15" spans="1:9" x14ac:dyDescent="0.3">
      <c r="C15" s="16"/>
      <c r="D15" s="16"/>
      <c r="E15" s="16"/>
      <c r="F15" s="16"/>
      <c r="G15" s="16"/>
      <c r="H15" s="16"/>
      <c r="I15" s="16"/>
    </row>
    <row r="16" spans="1:9" x14ac:dyDescent="0.3">
      <c r="C16" s="16"/>
      <c r="D16" s="16"/>
      <c r="E16" s="16"/>
      <c r="F16" s="16"/>
      <c r="G16" s="16"/>
      <c r="H16" s="16"/>
      <c r="I16" s="16"/>
    </row>
    <row r="17" spans="2:9" x14ac:dyDescent="0.3">
      <c r="B17" s="1"/>
      <c r="C17" s="16"/>
      <c r="D17" s="16"/>
      <c r="E17" s="16"/>
      <c r="F17" s="16"/>
      <c r="G17" s="16"/>
      <c r="H17" s="16"/>
      <c r="I17" s="16"/>
    </row>
    <row r="18" spans="2:9" x14ac:dyDescent="0.3">
      <c r="B18" s="1"/>
      <c r="C18" s="16"/>
      <c r="D18" s="16"/>
      <c r="E18" s="16"/>
      <c r="F18" s="16"/>
      <c r="G18" s="16"/>
      <c r="H18" s="16"/>
      <c r="I18" s="16"/>
    </row>
    <row r="19" spans="2:9" x14ac:dyDescent="0.3">
      <c r="B19" s="1"/>
      <c r="C19" s="16"/>
      <c r="D19" s="16"/>
      <c r="E19" s="16"/>
      <c r="F19" s="16"/>
      <c r="G19" s="16"/>
      <c r="H19" s="16"/>
      <c r="I19" s="16"/>
    </row>
    <row r="20" spans="2:9" x14ac:dyDescent="0.3">
      <c r="B20" s="13"/>
      <c r="C20" s="16"/>
      <c r="D20" s="16"/>
      <c r="E20" s="16"/>
      <c r="F20" s="16"/>
      <c r="G20" s="16"/>
      <c r="H20" s="16"/>
      <c r="I20" s="16"/>
    </row>
  </sheetData>
  <mergeCells count="2">
    <mergeCell ref="A1:D1"/>
    <mergeCell ref="A3:B3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6" sqref="D6"/>
    </sheetView>
  </sheetViews>
  <sheetFormatPr defaultRowHeight="16.5" x14ac:dyDescent="0.3"/>
  <cols>
    <col min="1" max="1" width="20.75" customWidth="1"/>
    <col min="2" max="2" width="17.875" customWidth="1"/>
  </cols>
  <sheetData>
    <row r="1" spans="1:7" ht="38.25" x14ac:dyDescent="0.65">
      <c r="A1" s="40" t="s">
        <v>163</v>
      </c>
      <c r="B1" s="40"/>
      <c r="C1" s="40"/>
      <c r="D1" s="40"/>
      <c r="E1" s="40"/>
      <c r="F1" s="40"/>
      <c r="G1" s="31"/>
    </row>
    <row r="3" spans="1:7" ht="21" thickBot="1" x14ac:dyDescent="0.4">
      <c r="A3" s="37" t="s">
        <v>164</v>
      </c>
      <c r="B3" s="37"/>
    </row>
    <row r="4" spans="1:7" ht="18" thickTop="1" thickBot="1" x14ac:dyDescent="0.35">
      <c r="A4" s="20" t="s">
        <v>35</v>
      </c>
      <c r="B4" s="20" t="s">
        <v>137</v>
      </c>
    </row>
    <row r="5" spans="1:7" x14ac:dyDescent="0.3">
      <c r="A5" t="s">
        <v>134</v>
      </c>
      <c r="B5" s="1">
        <f>B9-SUM(B6:B8)</f>
        <v>777.77999999999975</v>
      </c>
    </row>
    <row r="6" spans="1:7" x14ac:dyDescent="0.3">
      <c r="A6" t="s">
        <v>135</v>
      </c>
      <c r="B6" s="1">
        <f>Corporate!$C$17</f>
        <v>2000</v>
      </c>
    </row>
    <row r="7" spans="1:7" x14ac:dyDescent="0.3">
      <c r="A7" s="16" t="s">
        <v>136</v>
      </c>
      <c r="B7" s="1">
        <v>1084.72</v>
      </c>
    </row>
    <row r="8" spans="1:7" x14ac:dyDescent="0.3">
      <c r="A8" t="s">
        <v>152</v>
      </c>
      <c r="B8" s="1">
        <v>300</v>
      </c>
    </row>
    <row r="9" spans="1:7" x14ac:dyDescent="0.3">
      <c r="A9" s="22" t="s">
        <v>131</v>
      </c>
      <c r="B9" s="1">
        <f>B11*(1/1.2)</f>
        <v>4162.5</v>
      </c>
    </row>
    <row r="10" spans="1:7" x14ac:dyDescent="0.3">
      <c r="A10" s="16" t="s">
        <v>132</v>
      </c>
      <c r="B10" s="1">
        <f>B11-B9</f>
        <v>832.5</v>
      </c>
    </row>
    <row r="11" spans="1:7" x14ac:dyDescent="0.3">
      <c r="A11" s="22" t="s">
        <v>133</v>
      </c>
      <c r="B11" s="1">
        <v>4995</v>
      </c>
    </row>
  </sheetData>
  <mergeCells count="2">
    <mergeCell ref="A3:B3"/>
    <mergeCell ref="A1:F1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1"/>
    </sheetView>
  </sheetViews>
  <sheetFormatPr defaultRowHeight="16.5" x14ac:dyDescent="0.3"/>
  <cols>
    <col min="1" max="1" width="26.875" customWidth="1"/>
    <col min="2" max="2" width="19.5" customWidth="1"/>
    <col min="3" max="3" width="14.75" customWidth="1"/>
    <col min="4" max="4" width="11.25" customWidth="1"/>
    <col min="5" max="5" width="13.375" customWidth="1"/>
  </cols>
  <sheetData>
    <row r="1" spans="1:7" ht="38.25" x14ac:dyDescent="0.65">
      <c r="A1" s="40" t="s">
        <v>138</v>
      </c>
      <c r="B1" s="40"/>
      <c r="C1" s="40"/>
      <c r="D1" s="40"/>
      <c r="E1" s="40"/>
      <c r="F1" s="40"/>
      <c r="G1" s="40"/>
    </row>
    <row r="3" spans="1:7" ht="21" thickBot="1" x14ac:dyDescent="0.4">
      <c r="A3" s="37" t="s">
        <v>138</v>
      </c>
      <c r="B3" s="37"/>
      <c r="C3" s="37"/>
      <c r="D3" s="37"/>
      <c r="E3" s="37"/>
    </row>
    <row r="4" spans="1:7" ht="18" thickTop="1" thickBot="1" x14ac:dyDescent="0.35">
      <c r="A4" s="20" t="s">
        <v>35</v>
      </c>
      <c r="B4" s="20" t="s">
        <v>140</v>
      </c>
      <c r="C4" s="20" t="s">
        <v>142</v>
      </c>
      <c r="D4" s="20" t="s">
        <v>132</v>
      </c>
      <c r="E4" s="20" t="s">
        <v>141</v>
      </c>
    </row>
    <row r="5" spans="1:7" x14ac:dyDescent="0.3">
      <c r="A5" t="s">
        <v>143</v>
      </c>
      <c r="B5" s="13">
        <f>Corporate!$C$17/2</f>
        <v>1000</v>
      </c>
      <c r="C5" s="13">
        <f t="shared" ref="C5:C12" si="0">B5+$C$20</f>
        <v>1500</v>
      </c>
      <c r="D5" s="13">
        <f>0.2*C5</f>
        <v>300</v>
      </c>
      <c r="E5" s="13">
        <f>D5+C5</f>
        <v>1800</v>
      </c>
    </row>
    <row r="6" spans="1:7" x14ac:dyDescent="0.3">
      <c r="A6" t="s">
        <v>144</v>
      </c>
      <c r="B6" s="1">
        <v>10000</v>
      </c>
      <c r="C6" s="13">
        <f t="shared" si="0"/>
        <v>10500</v>
      </c>
      <c r="D6" s="13">
        <f t="shared" ref="D6:D12" si="1">0.2*C6</f>
        <v>2100</v>
      </c>
      <c r="E6" s="13">
        <f t="shared" ref="E6:E12" si="2">D6+C6</f>
        <v>12600</v>
      </c>
    </row>
    <row r="7" spans="1:7" x14ac:dyDescent="0.3">
      <c r="A7" t="s">
        <v>145</v>
      </c>
      <c r="B7" s="1">
        <v>10000</v>
      </c>
      <c r="C7" s="13">
        <f t="shared" si="0"/>
        <v>10500</v>
      </c>
      <c r="D7" s="13">
        <f t="shared" si="1"/>
        <v>2100</v>
      </c>
      <c r="E7" s="13">
        <f t="shared" si="2"/>
        <v>12600</v>
      </c>
    </row>
    <row r="8" spans="1:7" x14ac:dyDescent="0.3">
      <c r="A8" t="s">
        <v>148</v>
      </c>
      <c r="B8" s="1">
        <v>10000</v>
      </c>
      <c r="C8" s="13">
        <f t="shared" si="0"/>
        <v>10500</v>
      </c>
      <c r="D8" s="13">
        <f t="shared" si="1"/>
        <v>2100</v>
      </c>
      <c r="E8" s="13">
        <f t="shared" si="2"/>
        <v>12600</v>
      </c>
    </row>
    <row r="9" spans="1:7" x14ac:dyDescent="0.3">
      <c r="A9" t="s">
        <v>147</v>
      </c>
      <c r="B9" s="1">
        <v>12000</v>
      </c>
      <c r="C9" s="13">
        <f t="shared" si="0"/>
        <v>12500</v>
      </c>
      <c r="D9" s="13">
        <f t="shared" si="1"/>
        <v>2500</v>
      </c>
      <c r="E9" s="13">
        <f t="shared" si="2"/>
        <v>15000</v>
      </c>
    </row>
    <row r="10" spans="1:7" x14ac:dyDescent="0.3">
      <c r="A10" t="s">
        <v>146</v>
      </c>
      <c r="B10" s="1">
        <v>12000</v>
      </c>
      <c r="C10" s="13">
        <f t="shared" si="0"/>
        <v>12500</v>
      </c>
      <c r="D10" s="13">
        <f t="shared" si="1"/>
        <v>2500</v>
      </c>
      <c r="E10" s="13">
        <f t="shared" si="2"/>
        <v>15000</v>
      </c>
    </row>
    <row r="11" spans="1:7" x14ac:dyDescent="0.3">
      <c r="A11" s="30" t="s">
        <v>162</v>
      </c>
      <c r="B11" s="1">
        <v>12000</v>
      </c>
      <c r="C11" s="13">
        <f t="shared" si="0"/>
        <v>12500</v>
      </c>
      <c r="D11" s="13">
        <f t="shared" si="1"/>
        <v>2500</v>
      </c>
      <c r="E11" s="13">
        <f t="shared" si="2"/>
        <v>15000</v>
      </c>
    </row>
    <row r="12" spans="1:7" x14ac:dyDescent="0.3">
      <c r="A12" t="s">
        <v>160</v>
      </c>
      <c r="B12" s="1">
        <v>12000</v>
      </c>
      <c r="C12" s="13">
        <f t="shared" si="0"/>
        <v>12500</v>
      </c>
      <c r="D12" s="13">
        <f t="shared" si="1"/>
        <v>2500</v>
      </c>
      <c r="E12" s="13">
        <f t="shared" si="2"/>
        <v>15000</v>
      </c>
    </row>
    <row r="13" spans="1:7" x14ac:dyDescent="0.3">
      <c r="B13" s="1"/>
      <c r="C13" s="13"/>
    </row>
    <row r="14" spans="1:7" ht="21" thickBot="1" x14ac:dyDescent="0.4">
      <c r="A14" s="37" t="s">
        <v>151</v>
      </c>
      <c r="B14" s="37"/>
      <c r="C14" s="37"/>
      <c r="D14" s="37"/>
      <c r="E14" s="37"/>
    </row>
    <row r="15" spans="1:7" ht="18" thickTop="1" thickBot="1" x14ac:dyDescent="0.35">
      <c r="A15" s="20" t="s">
        <v>106</v>
      </c>
      <c r="B15" s="20" t="s">
        <v>149</v>
      </c>
      <c r="C15" s="20" t="s">
        <v>150</v>
      </c>
    </row>
    <row r="16" spans="1:7" x14ac:dyDescent="0.3">
      <c r="A16" t="s">
        <v>108</v>
      </c>
      <c r="B16" t="str">
        <f>Corporate!$B$6</f>
        <v>Payment Processing</v>
      </c>
      <c r="C16" s="1">
        <f>Corporate!$C$6</f>
        <v>300</v>
      </c>
    </row>
    <row r="17" spans="1:3" x14ac:dyDescent="0.3">
      <c r="A17" s="16" t="s">
        <v>108</v>
      </c>
      <c r="B17" s="16" t="s">
        <v>158</v>
      </c>
      <c r="C17" s="1">
        <v>50</v>
      </c>
    </row>
    <row r="18" spans="1:3" x14ac:dyDescent="0.3">
      <c r="A18" t="s">
        <v>114</v>
      </c>
      <c r="B18" s="16" t="s">
        <v>157</v>
      </c>
      <c r="C18" s="1">
        <v>100</v>
      </c>
    </row>
    <row r="19" spans="1:3" x14ac:dyDescent="0.3">
      <c r="A19" t="s">
        <v>114</v>
      </c>
      <c r="B19" s="16" t="s">
        <v>159</v>
      </c>
      <c r="C19" s="1">
        <v>50</v>
      </c>
    </row>
    <row r="20" spans="1:3" x14ac:dyDescent="0.3">
      <c r="A20" s="22" t="s">
        <v>51</v>
      </c>
      <c r="C20" s="13">
        <f>SUM(C16:C19)</f>
        <v>500</v>
      </c>
    </row>
  </sheetData>
  <mergeCells count="3">
    <mergeCell ref="A1:G1"/>
    <mergeCell ref="A3:E3"/>
    <mergeCell ref="A14:E14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Equipment</vt:lpstr>
      <vt:lpstr>Office</vt:lpstr>
      <vt:lpstr>Staff</vt:lpstr>
      <vt:lpstr>Expenses</vt:lpstr>
      <vt:lpstr>Corporate</vt:lpstr>
      <vt:lpstr>Total</vt:lpstr>
      <vt:lpstr>License</vt:lpstr>
      <vt:lpstr>Additional Items</vt:lpstr>
      <vt:lpstr>Corporate!Print_Area</vt:lpstr>
      <vt:lpstr>Equipment!Print_Area</vt:lpstr>
      <vt:lpstr>Staff!Print_Area</vt:lpstr>
      <vt:lpstr>Total!Print_Area</vt:lpstr>
    </vt:vector>
  </TitlesOfParts>
  <Company>Staffordshire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Lab PC</dc:creator>
  <cp:lastModifiedBy>mr martin</cp:lastModifiedBy>
  <cp:lastPrinted>2012-02-19T02:23:23Z</cp:lastPrinted>
  <dcterms:created xsi:type="dcterms:W3CDTF">2012-02-15T08:20:10Z</dcterms:created>
  <dcterms:modified xsi:type="dcterms:W3CDTF">2012-02-24T07:16:43Z</dcterms:modified>
</cp:coreProperties>
</file>