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Área de Trabalho\"/>
    </mc:Choice>
  </mc:AlternateContent>
  <xr:revisionPtr revIDLastSave="0" documentId="8_{EC7787CE-4761-4E83-9318-649D9805A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S" sheetId="7" r:id="rId1"/>
    <sheet name="CONTROLE DE COMPRA E VENDA " sheetId="1" r:id="rId2"/>
    <sheet name="Lista" sheetId="2" state="hidden" r:id="rId3"/>
    <sheet name="Ativos RV (base)" sheetId="3" state="hidden" r:id="rId4"/>
    <sheet name="Dados" sheetId="4" state="hidden" r:id="rId5"/>
    <sheet name="Validação de Dados RF" sheetId="5" state="hidden" r:id="rId6"/>
    <sheet name="Feriados" sheetId="6" state="hidden" r:id="rId7"/>
  </sheets>
  <externalReferences>
    <externalReference r:id="rId8"/>
  </externalReferences>
  <definedNames>
    <definedName name="_xlnm._FilterDatabase" localSheetId="3" hidden="1">'Ativos RV (base)'!$A$16:$S$177</definedName>
    <definedName name="_xlnm._FilterDatabase" localSheetId="1" hidden="1">'CONTROLE DE COMPRA E VENDA '!$E$1:$O$318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7" l="1"/>
  <c r="N56" i="7"/>
  <c r="N55" i="7"/>
  <c r="C55" i="7"/>
  <c r="N54" i="7"/>
  <c r="N53" i="7"/>
  <c r="N44" i="7"/>
  <c r="N43" i="7"/>
  <c r="C43" i="7"/>
  <c r="N42" i="7"/>
  <c r="N41" i="7"/>
  <c r="N32" i="7"/>
  <c r="N31" i="7"/>
  <c r="C31" i="7"/>
  <c r="N30" i="7"/>
  <c r="N29" i="7"/>
  <c r="N20" i="7"/>
  <c r="N19" i="7"/>
  <c r="C19" i="7"/>
  <c r="N18" i="7"/>
  <c r="N17" i="7"/>
  <c r="N8" i="7"/>
  <c r="N7" i="7"/>
  <c r="C7" i="7"/>
  <c r="N6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O2" i="1"/>
  <c r="B2500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" i="5"/>
  <c r="I2" i="5"/>
  <c r="H2" i="5"/>
  <c r="B1127" i="5" s="1"/>
  <c r="K1" i="5"/>
  <c r="V559" i="4"/>
  <c r="V558" i="4"/>
  <c r="V557" i="4"/>
  <c r="V556" i="4"/>
  <c r="V555" i="4"/>
  <c r="V554" i="4"/>
  <c r="V553" i="4"/>
  <c r="V552" i="4"/>
  <c r="V551" i="4"/>
  <c r="V550" i="4"/>
  <c r="V549" i="4"/>
  <c r="V548" i="4"/>
  <c r="V547" i="4"/>
  <c r="V546" i="4"/>
  <c r="V545" i="4"/>
  <c r="V544" i="4"/>
  <c r="V543" i="4"/>
  <c r="V542" i="4"/>
  <c r="V541" i="4"/>
  <c r="V540" i="4"/>
  <c r="V539" i="4"/>
  <c r="V538" i="4"/>
  <c r="V537" i="4"/>
  <c r="V536" i="4"/>
  <c r="V535" i="4"/>
  <c r="V534" i="4"/>
  <c r="V533" i="4"/>
  <c r="V532" i="4"/>
  <c r="V531" i="4"/>
  <c r="V530" i="4"/>
  <c r="V529" i="4"/>
  <c r="V528" i="4"/>
  <c r="V527" i="4"/>
  <c r="V526" i="4"/>
  <c r="V525" i="4"/>
  <c r="V524" i="4"/>
  <c r="V523" i="4"/>
  <c r="V522" i="4"/>
  <c r="V521" i="4"/>
  <c r="V520" i="4"/>
  <c r="V519" i="4"/>
  <c r="V518" i="4"/>
  <c r="V517" i="4"/>
  <c r="V516" i="4"/>
  <c r="V515" i="4"/>
  <c r="V514" i="4"/>
  <c r="V513" i="4"/>
  <c r="V512" i="4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U440" i="4"/>
  <c r="V440" i="4" s="1"/>
  <c r="T440" i="4"/>
  <c r="U439" i="4"/>
  <c r="V439" i="4" s="1"/>
  <c r="T439" i="4"/>
  <c r="U438" i="4"/>
  <c r="V438" i="4" s="1"/>
  <c r="T438" i="4"/>
  <c r="U437" i="4"/>
  <c r="V437" i="4" s="1"/>
  <c r="T437" i="4"/>
  <c r="U436" i="4"/>
  <c r="V436" i="4" s="1"/>
  <c r="T436" i="4"/>
  <c r="U435" i="4"/>
  <c r="V435" i="4" s="1"/>
  <c r="T435" i="4"/>
  <c r="U434" i="4"/>
  <c r="V434" i="4" s="1"/>
  <c r="T434" i="4"/>
  <c r="U433" i="4"/>
  <c r="V433" i="4" s="1"/>
  <c r="T433" i="4"/>
  <c r="U432" i="4"/>
  <c r="V432" i="4" s="1"/>
  <c r="T432" i="4"/>
  <c r="U431" i="4"/>
  <c r="V431" i="4" s="1"/>
  <c r="T431" i="4"/>
  <c r="U430" i="4"/>
  <c r="V430" i="4" s="1"/>
  <c r="T430" i="4"/>
  <c r="U429" i="4"/>
  <c r="V429" i="4" s="1"/>
  <c r="T429" i="4"/>
  <c r="U428" i="4"/>
  <c r="V428" i="4" s="1"/>
  <c r="T428" i="4"/>
  <c r="U427" i="4"/>
  <c r="V427" i="4" s="1"/>
  <c r="T427" i="4"/>
  <c r="U426" i="4"/>
  <c r="V426" i="4" s="1"/>
  <c r="T426" i="4"/>
  <c r="U425" i="4"/>
  <c r="V425" i="4" s="1"/>
  <c r="T425" i="4"/>
  <c r="U424" i="4"/>
  <c r="V424" i="4" s="1"/>
  <c r="T424" i="4"/>
  <c r="U423" i="4"/>
  <c r="V423" i="4" s="1"/>
  <c r="T423" i="4"/>
  <c r="U422" i="4"/>
  <c r="V422" i="4" s="1"/>
  <c r="T422" i="4"/>
  <c r="U421" i="4"/>
  <c r="V421" i="4" s="1"/>
  <c r="T421" i="4"/>
  <c r="U420" i="4"/>
  <c r="V420" i="4" s="1"/>
  <c r="T420" i="4"/>
  <c r="U419" i="4"/>
  <c r="V419" i="4" s="1"/>
  <c r="T419" i="4"/>
  <c r="U418" i="4"/>
  <c r="V418" i="4" s="1"/>
  <c r="T418" i="4"/>
  <c r="U417" i="4"/>
  <c r="V417" i="4" s="1"/>
  <c r="T417" i="4"/>
  <c r="U416" i="4"/>
  <c r="V416" i="4" s="1"/>
  <c r="T416" i="4"/>
  <c r="U415" i="4"/>
  <c r="V415" i="4" s="1"/>
  <c r="T415" i="4"/>
  <c r="U414" i="4"/>
  <c r="V414" i="4" s="1"/>
  <c r="T414" i="4"/>
  <c r="U413" i="4"/>
  <c r="V413" i="4" s="1"/>
  <c r="T413" i="4"/>
  <c r="U412" i="4"/>
  <c r="V412" i="4" s="1"/>
  <c r="T412" i="4"/>
  <c r="U411" i="4"/>
  <c r="V411" i="4" s="1"/>
  <c r="T411" i="4"/>
  <c r="U410" i="4"/>
  <c r="V410" i="4" s="1"/>
  <c r="T410" i="4"/>
  <c r="U409" i="4"/>
  <c r="V409" i="4" s="1"/>
  <c r="T409" i="4"/>
  <c r="U408" i="4"/>
  <c r="V408" i="4" s="1"/>
  <c r="T408" i="4"/>
  <c r="U407" i="4"/>
  <c r="V407" i="4" s="1"/>
  <c r="T407" i="4"/>
  <c r="U406" i="4"/>
  <c r="V406" i="4" s="1"/>
  <c r="T406" i="4"/>
  <c r="U405" i="4"/>
  <c r="V405" i="4" s="1"/>
  <c r="T405" i="4"/>
  <c r="U404" i="4"/>
  <c r="V404" i="4" s="1"/>
  <c r="T404" i="4"/>
  <c r="U403" i="4"/>
  <c r="V403" i="4" s="1"/>
  <c r="T403" i="4"/>
  <c r="U402" i="4"/>
  <c r="V402" i="4" s="1"/>
  <c r="T402" i="4"/>
  <c r="U401" i="4"/>
  <c r="V401" i="4" s="1"/>
  <c r="T401" i="4"/>
  <c r="U400" i="4"/>
  <c r="V400" i="4" s="1"/>
  <c r="T400" i="4"/>
  <c r="U399" i="4"/>
  <c r="V399" i="4" s="1"/>
  <c r="T399" i="4"/>
  <c r="U398" i="4"/>
  <c r="V398" i="4" s="1"/>
  <c r="T398" i="4"/>
  <c r="U397" i="4"/>
  <c r="V397" i="4" s="1"/>
  <c r="T397" i="4"/>
  <c r="U396" i="4"/>
  <c r="V396" i="4" s="1"/>
  <c r="T396" i="4"/>
  <c r="U395" i="4"/>
  <c r="V395" i="4" s="1"/>
  <c r="T395" i="4"/>
  <c r="U394" i="4"/>
  <c r="V394" i="4" s="1"/>
  <c r="T394" i="4"/>
  <c r="U393" i="4"/>
  <c r="V393" i="4" s="1"/>
  <c r="T393" i="4"/>
  <c r="U392" i="4"/>
  <c r="V392" i="4" s="1"/>
  <c r="T392" i="4"/>
  <c r="U391" i="4"/>
  <c r="V391" i="4" s="1"/>
  <c r="T391" i="4"/>
  <c r="U390" i="4"/>
  <c r="V390" i="4" s="1"/>
  <c r="T390" i="4"/>
  <c r="U389" i="4"/>
  <c r="V389" i="4" s="1"/>
  <c r="T389" i="4"/>
  <c r="U388" i="4"/>
  <c r="V388" i="4" s="1"/>
  <c r="T388" i="4"/>
  <c r="U387" i="4"/>
  <c r="V387" i="4" s="1"/>
  <c r="T387" i="4"/>
  <c r="U386" i="4"/>
  <c r="V386" i="4" s="1"/>
  <c r="T386" i="4"/>
  <c r="U385" i="4"/>
  <c r="V385" i="4" s="1"/>
  <c r="T385" i="4"/>
  <c r="U384" i="4"/>
  <c r="V384" i="4" s="1"/>
  <c r="T384" i="4"/>
  <c r="U383" i="4"/>
  <c r="V383" i="4" s="1"/>
  <c r="T383" i="4"/>
  <c r="U382" i="4"/>
  <c r="V382" i="4" s="1"/>
  <c r="T382" i="4"/>
  <c r="U381" i="4"/>
  <c r="V381" i="4" s="1"/>
  <c r="T381" i="4"/>
  <c r="U380" i="4"/>
  <c r="V380" i="4" s="1"/>
  <c r="T380" i="4"/>
  <c r="U379" i="4"/>
  <c r="V379" i="4" s="1"/>
  <c r="T379" i="4"/>
  <c r="U378" i="4"/>
  <c r="V378" i="4" s="1"/>
  <c r="T378" i="4"/>
  <c r="U377" i="4"/>
  <c r="V377" i="4" s="1"/>
  <c r="T377" i="4"/>
  <c r="U376" i="4"/>
  <c r="V376" i="4" s="1"/>
  <c r="T376" i="4"/>
  <c r="U375" i="4"/>
  <c r="V375" i="4" s="1"/>
  <c r="T375" i="4"/>
  <c r="U374" i="4"/>
  <c r="V374" i="4" s="1"/>
  <c r="T374" i="4"/>
  <c r="U373" i="4"/>
  <c r="V373" i="4" s="1"/>
  <c r="T373" i="4"/>
  <c r="U372" i="4"/>
  <c r="V372" i="4" s="1"/>
  <c r="T372" i="4"/>
  <c r="U371" i="4"/>
  <c r="V371" i="4" s="1"/>
  <c r="T371" i="4"/>
  <c r="U370" i="4"/>
  <c r="V370" i="4" s="1"/>
  <c r="T370" i="4"/>
  <c r="U369" i="4"/>
  <c r="V369" i="4" s="1"/>
  <c r="T369" i="4"/>
  <c r="U368" i="4"/>
  <c r="V368" i="4" s="1"/>
  <c r="T368" i="4"/>
  <c r="U367" i="4"/>
  <c r="V367" i="4" s="1"/>
  <c r="T367" i="4"/>
  <c r="U366" i="4"/>
  <c r="V366" i="4" s="1"/>
  <c r="T366" i="4"/>
  <c r="U365" i="4"/>
  <c r="V365" i="4" s="1"/>
  <c r="T365" i="4"/>
  <c r="U364" i="4"/>
  <c r="V364" i="4" s="1"/>
  <c r="T364" i="4"/>
  <c r="U363" i="4"/>
  <c r="V363" i="4" s="1"/>
  <c r="T363" i="4"/>
  <c r="U362" i="4"/>
  <c r="V362" i="4" s="1"/>
  <c r="T362" i="4"/>
  <c r="U361" i="4"/>
  <c r="V361" i="4" s="1"/>
  <c r="T361" i="4"/>
  <c r="U360" i="4"/>
  <c r="V360" i="4" s="1"/>
  <c r="T360" i="4"/>
  <c r="U359" i="4"/>
  <c r="V359" i="4" s="1"/>
  <c r="T359" i="4"/>
  <c r="U358" i="4"/>
  <c r="V358" i="4" s="1"/>
  <c r="T358" i="4"/>
  <c r="U357" i="4"/>
  <c r="V357" i="4" s="1"/>
  <c r="T357" i="4"/>
  <c r="U356" i="4"/>
  <c r="V356" i="4" s="1"/>
  <c r="T356" i="4"/>
  <c r="U355" i="4"/>
  <c r="V355" i="4" s="1"/>
  <c r="T355" i="4"/>
  <c r="U354" i="4"/>
  <c r="V354" i="4" s="1"/>
  <c r="T354" i="4"/>
  <c r="U353" i="4"/>
  <c r="V353" i="4" s="1"/>
  <c r="T353" i="4"/>
  <c r="U352" i="4"/>
  <c r="V352" i="4" s="1"/>
  <c r="T352" i="4"/>
  <c r="U351" i="4"/>
  <c r="V351" i="4" s="1"/>
  <c r="T351" i="4"/>
  <c r="U350" i="4"/>
  <c r="V350" i="4" s="1"/>
  <c r="T350" i="4"/>
  <c r="U349" i="4"/>
  <c r="V349" i="4" s="1"/>
  <c r="T349" i="4"/>
  <c r="U348" i="4"/>
  <c r="V348" i="4" s="1"/>
  <c r="T348" i="4"/>
  <c r="U347" i="4"/>
  <c r="V347" i="4" s="1"/>
  <c r="T347" i="4"/>
  <c r="U346" i="4"/>
  <c r="V346" i="4" s="1"/>
  <c r="T346" i="4"/>
  <c r="U345" i="4"/>
  <c r="V345" i="4" s="1"/>
  <c r="T345" i="4"/>
  <c r="U344" i="4"/>
  <c r="V344" i="4" s="1"/>
  <c r="T344" i="4"/>
  <c r="U343" i="4"/>
  <c r="V343" i="4" s="1"/>
  <c r="T343" i="4"/>
  <c r="U342" i="4"/>
  <c r="V342" i="4" s="1"/>
  <c r="T342" i="4"/>
  <c r="U341" i="4"/>
  <c r="V341" i="4" s="1"/>
  <c r="T341" i="4"/>
  <c r="U340" i="4"/>
  <c r="V340" i="4" s="1"/>
  <c r="T340" i="4"/>
  <c r="U339" i="4"/>
  <c r="V339" i="4" s="1"/>
  <c r="T339" i="4"/>
  <c r="U338" i="4"/>
  <c r="V338" i="4" s="1"/>
  <c r="T338" i="4"/>
  <c r="U337" i="4"/>
  <c r="V337" i="4" s="1"/>
  <c r="T337" i="4"/>
  <c r="U336" i="4"/>
  <c r="V336" i="4" s="1"/>
  <c r="T336" i="4"/>
  <c r="U335" i="4"/>
  <c r="V335" i="4" s="1"/>
  <c r="T335" i="4"/>
  <c r="U334" i="4"/>
  <c r="V334" i="4" s="1"/>
  <c r="T334" i="4"/>
  <c r="U333" i="4"/>
  <c r="V333" i="4" s="1"/>
  <c r="T333" i="4"/>
  <c r="U332" i="4"/>
  <c r="V332" i="4" s="1"/>
  <c r="T332" i="4"/>
  <c r="U331" i="4"/>
  <c r="V331" i="4" s="1"/>
  <c r="T331" i="4"/>
  <c r="U330" i="4"/>
  <c r="V330" i="4" s="1"/>
  <c r="T330" i="4"/>
  <c r="U329" i="4"/>
  <c r="V329" i="4" s="1"/>
  <c r="T329" i="4"/>
  <c r="U328" i="4"/>
  <c r="V328" i="4" s="1"/>
  <c r="T328" i="4"/>
  <c r="U327" i="4"/>
  <c r="V327" i="4" s="1"/>
  <c r="T327" i="4"/>
  <c r="U326" i="4"/>
  <c r="V326" i="4" s="1"/>
  <c r="T326" i="4"/>
  <c r="U325" i="4"/>
  <c r="V325" i="4" s="1"/>
  <c r="T325" i="4"/>
  <c r="U324" i="4"/>
  <c r="V324" i="4" s="1"/>
  <c r="T324" i="4"/>
  <c r="U323" i="4"/>
  <c r="V323" i="4" s="1"/>
  <c r="T323" i="4"/>
  <c r="U322" i="4"/>
  <c r="V322" i="4" s="1"/>
  <c r="T322" i="4"/>
  <c r="U321" i="4"/>
  <c r="V321" i="4" s="1"/>
  <c r="T321" i="4"/>
  <c r="U320" i="4"/>
  <c r="V320" i="4" s="1"/>
  <c r="T320" i="4"/>
  <c r="U319" i="4"/>
  <c r="V319" i="4" s="1"/>
  <c r="T319" i="4"/>
  <c r="U318" i="4"/>
  <c r="V318" i="4" s="1"/>
  <c r="T318" i="4"/>
  <c r="U317" i="4"/>
  <c r="V317" i="4" s="1"/>
  <c r="T317" i="4"/>
  <c r="U316" i="4"/>
  <c r="V316" i="4" s="1"/>
  <c r="T316" i="4"/>
  <c r="U315" i="4"/>
  <c r="V315" i="4" s="1"/>
  <c r="T315" i="4"/>
  <c r="U314" i="4"/>
  <c r="V314" i="4" s="1"/>
  <c r="T314" i="4"/>
  <c r="U313" i="4"/>
  <c r="V313" i="4" s="1"/>
  <c r="T313" i="4"/>
  <c r="U312" i="4"/>
  <c r="V312" i="4" s="1"/>
  <c r="T312" i="4"/>
  <c r="U311" i="4"/>
  <c r="V311" i="4" s="1"/>
  <c r="T311" i="4"/>
  <c r="U310" i="4"/>
  <c r="V310" i="4" s="1"/>
  <c r="T310" i="4"/>
  <c r="U309" i="4"/>
  <c r="V309" i="4" s="1"/>
  <c r="T309" i="4"/>
  <c r="U308" i="4"/>
  <c r="V308" i="4" s="1"/>
  <c r="T308" i="4"/>
  <c r="U307" i="4"/>
  <c r="V307" i="4" s="1"/>
  <c r="T307" i="4"/>
  <c r="U306" i="4"/>
  <c r="V306" i="4" s="1"/>
  <c r="T306" i="4"/>
  <c r="U305" i="4"/>
  <c r="V305" i="4" s="1"/>
  <c r="T305" i="4"/>
  <c r="U304" i="4"/>
  <c r="V304" i="4" s="1"/>
  <c r="T304" i="4"/>
  <c r="U303" i="4"/>
  <c r="V303" i="4" s="1"/>
  <c r="T303" i="4"/>
  <c r="U302" i="4"/>
  <c r="V302" i="4" s="1"/>
  <c r="T302" i="4"/>
  <c r="U301" i="4"/>
  <c r="V301" i="4" s="1"/>
  <c r="T301" i="4"/>
  <c r="U300" i="4"/>
  <c r="V300" i="4" s="1"/>
  <c r="T300" i="4"/>
  <c r="U299" i="4"/>
  <c r="V299" i="4" s="1"/>
  <c r="T299" i="4"/>
  <c r="U298" i="4"/>
  <c r="V298" i="4" s="1"/>
  <c r="T298" i="4"/>
  <c r="U297" i="4"/>
  <c r="V297" i="4" s="1"/>
  <c r="T297" i="4"/>
  <c r="U296" i="4"/>
  <c r="V296" i="4" s="1"/>
  <c r="T296" i="4"/>
  <c r="U295" i="4"/>
  <c r="V295" i="4" s="1"/>
  <c r="T295" i="4"/>
  <c r="U294" i="4"/>
  <c r="V294" i="4" s="1"/>
  <c r="T294" i="4"/>
  <c r="U293" i="4"/>
  <c r="V293" i="4" s="1"/>
  <c r="T293" i="4"/>
  <c r="U292" i="4"/>
  <c r="V292" i="4" s="1"/>
  <c r="T292" i="4"/>
  <c r="U291" i="4"/>
  <c r="V291" i="4" s="1"/>
  <c r="T291" i="4"/>
  <c r="U290" i="4"/>
  <c r="V290" i="4" s="1"/>
  <c r="T290" i="4"/>
  <c r="U289" i="4"/>
  <c r="V289" i="4" s="1"/>
  <c r="T289" i="4"/>
  <c r="U288" i="4"/>
  <c r="V288" i="4" s="1"/>
  <c r="T288" i="4"/>
  <c r="U287" i="4"/>
  <c r="V287" i="4" s="1"/>
  <c r="T287" i="4"/>
  <c r="U286" i="4"/>
  <c r="V286" i="4" s="1"/>
  <c r="T286" i="4"/>
  <c r="U285" i="4"/>
  <c r="V285" i="4" s="1"/>
  <c r="T285" i="4"/>
  <c r="U284" i="4"/>
  <c r="V284" i="4" s="1"/>
  <c r="T284" i="4"/>
  <c r="U283" i="4"/>
  <c r="V283" i="4" s="1"/>
  <c r="T283" i="4"/>
  <c r="U282" i="4"/>
  <c r="V282" i="4" s="1"/>
  <c r="T282" i="4"/>
  <c r="U281" i="4"/>
  <c r="V281" i="4" s="1"/>
  <c r="T281" i="4"/>
  <c r="U280" i="4"/>
  <c r="V280" i="4" s="1"/>
  <c r="T280" i="4"/>
  <c r="U279" i="4"/>
  <c r="V279" i="4" s="1"/>
  <c r="T279" i="4"/>
  <c r="U278" i="4"/>
  <c r="V278" i="4" s="1"/>
  <c r="T278" i="4"/>
  <c r="U277" i="4"/>
  <c r="V277" i="4" s="1"/>
  <c r="T277" i="4"/>
  <c r="U276" i="4"/>
  <c r="V276" i="4" s="1"/>
  <c r="T276" i="4"/>
  <c r="U275" i="4"/>
  <c r="V275" i="4" s="1"/>
  <c r="T275" i="4"/>
  <c r="U274" i="4"/>
  <c r="V274" i="4" s="1"/>
  <c r="T274" i="4"/>
  <c r="U273" i="4"/>
  <c r="V273" i="4" s="1"/>
  <c r="T273" i="4"/>
  <c r="U272" i="4"/>
  <c r="V272" i="4" s="1"/>
  <c r="T272" i="4"/>
  <c r="U271" i="4"/>
  <c r="V271" i="4" s="1"/>
  <c r="T271" i="4"/>
  <c r="U270" i="4"/>
  <c r="V270" i="4" s="1"/>
  <c r="T270" i="4"/>
  <c r="U269" i="4"/>
  <c r="V269" i="4" s="1"/>
  <c r="T269" i="4"/>
  <c r="U268" i="4"/>
  <c r="V268" i="4" s="1"/>
  <c r="T268" i="4"/>
  <c r="U267" i="4"/>
  <c r="V267" i="4" s="1"/>
  <c r="T267" i="4"/>
  <c r="U266" i="4"/>
  <c r="V266" i="4" s="1"/>
  <c r="T266" i="4"/>
  <c r="U265" i="4"/>
  <c r="V265" i="4" s="1"/>
  <c r="T265" i="4"/>
  <c r="U264" i="4"/>
  <c r="V264" i="4" s="1"/>
  <c r="T264" i="4"/>
  <c r="U263" i="4"/>
  <c r="V263" i="4" s="1"/>
  <c r="T263" i="4"/>
  <c r="U262" i="4"/>
  <c r="V262" i="4" s="1"/>
  <c r="T262" i="4"/>
  <c r="U261" i="4"/>
  <c r="V261" i="4" s="1"/>
  <c r="T261" i="4"/>
  <c r="U260" i="4"/>
  <c r="V260" i="4" s="1"/>
  <c r="T260" i="4"/>
  <c r="U259" i="4"/>
  <c r="V259" i="4" s="1"/>
  <c r="T259" i="4"/>
  <c r="U258" i="4"/>
  <c r="V258" i="4" s="1"/>
  <c r="T258" i="4"/>
  <c r="U257" i="4"/>
  <c r="V257" i="4" s="1"/>
  <c r="T257" i="4"/>
  <c r="U256" i="4"/>
  <c r="V256" i="4" s="1"/>
  <c r="T256" i="4"/>
  <c r="U255" i="4"/>
  <c r="V255" i="4" s="1"/>
  <c r="T255" i="4"/>
  <c r="U254" i="4"/>
  <c r="V254" i="4" s="1"/>
  <c r="T254" i="4"/>
  <c r="U253" i="4"/>
  <c r="V253" i="4" s="1"/>
  <c r="T253" i="4"/>
  <c r="U252" i="4"/>
  <c r="V252" i="4" s="1"/>
  <c r="T252" i="4"/>
  <c r="U251" i="4"/>
  <c r="V251" i="4" s="1"/>
  <c r="T251" i="4"/>
  <c r="U250" i="4"/>
  <c r="V250" i="4" s="1"/>
  <c r="T250" i="4"/>
  <c r="U249" i="4"/>
  <c r="V249" i="4" s="1"/>
  <c r="T249" i="4"/>
  <c r="U248" i="4"/>
  <c r="V248" i="4" s="1"/>
  <c r="T248" i="4"/>
  <c r="U247" i="4"/>
  <c r="V247" i="4" s="1"/>
  <c r="T247" i="4"/>
  <c r="U246" i="4"/>
  <c r="V246" i="4" s="1"/>
  <c r="T246" i="4"/>
  <c r="U245" i="4"/>
  <c r="V245" i="4" s="1"/>
  <c r="T245" i="4"/>
  <c r="U244" i="4"/>
  <c r="V244" i="4" s="1"/>
  <c r="T244" i="4"/>
  <c r="U243" i="4"/>
  <c r="V243" i="4" s="1"/>
  <c r="T243" i="4"/>
  <c r="U242" i="4"/>
  <c r="V242" i="4" s="1"/>
  <c r="T242" i="4"/>
  <c r="U241" i="4"/>
  <c r="V241" i="4" s="1"/>
  <c r="T241" i="4"/>
  <c r="U240" i="4"/>
  <c r="V240" i="4" s="1"/>
  <c r="T240" i="4"/>
  <c r="U239" i="4"/>
  <c r="V239" i="4" s="1"/>
  <c r="T239" i="4"/>
  <c r="U238" i="4"/>
  <c r="V238" i="4" s="1"/>
  <c r="T238" i="4"/>
  <c r="U237" i="4"/>
  <c r="V237" i="4" s="1"/>
  <c r="T237" i="4"/>
  <c r="U236" i="4"/>
  <c r="V236" i="4" s="1"/>
  <c r="T236" i="4"/>
  <c r="U235" i="4"/>
  <c r="V235" i="4" s="1"/>
  <c r="T235" i="4"/>
  <c r="U234" i="4"/>
  <c r="V234" i="4" s="1"/>
  <c r="T234" i="4"/>
  <c r="U233" i="4"/>
  <c r="V233" i="4" s="1"/>
  <c r="T233" i="4"/>
  <c r="U232" i="4"/>
  <c r="V232" i="4" s="1"/>
  <c r="T232" i="4"/>
  <c r="U231" i="4"/>
  <c r="V231" i="4" s="1"/>
  <c r="T231" i="4"/>
  <c r="U230" i="4"/>
  <c r="V230" i="4" s="1"/>
  <c r="T230" i="4"/>
  <c r="U229" i="4"/>
  <c r="V229" i="4" s="1"/>
  <c r="T229" i="4"/>
  <c r="U228" i="4"/>
  <c r="V228" i="4" s="1"/>
  <c r="T228" i="4"/>
  <c r="U227" i="4"/>
  <c r="V227" i="4" s="1"/>
  <c r="T227" i="4"/>
  <c r="U226" i="4"/>
  <c r="V226" i="4" s="1"/>
  <c r="T226" i="4"/>
  <c r="U225" i="4"/>
  <c r="V225" i="4" s="1"/>
  <c r="T225" i="4"/>
  <c r="U224" i="4"/>
  <c r="V224" i="4" s="1"/>
  <c r="T224" i="4"/>
  <c r="U223" i="4"/>
  <c r="V223" i="4" s="1"/>
  <c r="T223" i="4"/>
  <c r="U222" i="4"/>
  <c r="V222" i="4" s="1"/>
  <c r="T222" i="4"/>
  <c r="U221" i="4"/>
  <c r="V221" i="4" s="1"/>
  <c r="T221" i="4"/>
  <c r="U220" i="4"/>
  <c r="V220" i="4" s="1"/>
  <c r="T220" i="4"/>
  <c r="U219" i="4"/>
  <c r="V219" i="4" s="1"/>
  <c r="T219" i="4"/>
  <c r="U218" i="4"/>
  <c r="V218" i="4" s="1"/>
  <c r="T218" i="4"/>
  <c r="U217" i="4"/>
  <c r="V217" i="4" s="1"/>
  <c r="T217" i="4"/>
  <c r="U216" i="4"/>
  <c r="V216" i="4" s="1"/>
  <c r="T216" i="4"/>
  <c r="U215" i="4"/>
  <c r="V215" i="4" s="1"/>
  <c r="T215" i="4"/>
  <c r="U214" i="4"/>
  <c r="V214" i="4" s="1"/>
  <c r="T214" i="4"/>
  <c r="U213" i="4"/>
  <c r="V213" i="4" s="1"/>
  <c r="T213" i="4"/>
  <c r="U212" i="4"/>
  <c r="V212" i="4" s="1"/>
  <c r="T212" i="4"/>
  <c r="U211" i="4"/>
  <c r="V211" i="4" s="1"/>
  <c r="T211" i="4"/>
  <c r="U210" i="4"/>
  <c r="V210" i="4" s="1"/>
  <c r="T210" i="4"/>
  <c r="U209" i="4"/>
  <c r="V209" i="4" s="1"/>
  <c r="T209" i="4"/>
  <c r="U208" i="4"/>
  <c r="V208" i="4" s="1"/>
  <c r="T208" i="4"/>
  <c r="U207" i="4"/>
  <c r="V207" i="4" s="1"/>
  <c r="T207" i="4"/>
  <c r="U206" i="4"/>
  <c r="V206" i="4" s="1"/>
  <c r="T206" i="4"/>
  <c r="U205" i="4"/>
  <c r="V205" i="4" s="1"/>
  <c r="T205" i="4"/>
  <c r="U204" i="4"/>
  <c r="V204" i="4" s="1"/>
  <c r="T204" i="4"/>
  <c r="U203" i="4"/>
  <c r="V203" i="4" s="1"/>
  <c r="T203" i="4"/>
  <c r="U202" i="4"/>
  <c r="V202" i="4" s="1"/>
  <c r="T202" i="4"/>
  <c r="U201" i="4"/>
  <c r="V201" i="4" s="1"/>
  <c r="T201" i="4"/>
  <c r="U200" i="4"/>
  <c r="V200" i="4" s="1"/>
  <c r="T200" i="4"/>
  <c r="U199" i="4"/>
  <c r="V199" i="4" s="1"/>
  <c r="T199" i="4"/>
  <c r="U198" i="4"/>
  <c r="V198" i="4" s="1"/>
  <c r="T198" i="4"/>
  <c r="U197" i="4"/>
  <c r="V197" i="4" s="1"/>
  <c r="T197" i="4"/>
  <c r="U196" i="4"/>
  <c r="V196" i="4" s="1"/>
  <c r="T196" i="4"/>
  <c r="U195" i="4"/>
  <c r="V195" i="4" s="1"/>
  <c r="T195" i="4"/>
  <c r="U194" i="4"/>
  <c r="V194" i="4" s="1"/>
  <c r="T194" i="4"/>
  <c r="U193" i="4"/>
  <c r="V193" i="4" s="1"/>
  <c r="T193" i="4"/>
  <c r="U192" i="4"/>
  <c r="V192" i="4" s="1"/>
  <c r="T192" i="4"/>
  <c r="U191" i="4"/>
  <c r="V191" i="4" s="1"/>
  <c r="T191" i="4"/>
  <c r="U190" i="4"/>
  <c r="V190" i="4" s="1"/>
  <c r="T190" i="4"/>
  <c r="U189" i="4"/>
  <c r="V189" i="4" s="1"/>
  <c r="T189" i="4"/>
  <c r="U188" i="4"/>
  <c r="V188" i="4" s="1"/>
  <c r="T188" i="4"/>
  <c r="U187" i="4"/>
  <c r="V187" i="4" s="1"/>
  <c r="T187" i="4"/>
  <c r="U186" i="4"/>
  <c r="V186" i="4" s="1"/>
  <c r="T186" i="4"/>
  <c r="U185" i="4"/>
  <c r="V185" i="4" s="1"/>
  <c r="T185" i="4"/>
  <c r="U184" i="4"/>
  <c r="V184" i="4" s="1"/>
  <c r="T184" i="4"/>
  <c r="U183" i="4"/>
  <c r="V183" i="4" s="1"/>
  <c r="T183" i="4"/>
  <c r="U182" i="4"/>
  <c r="V182" i="4" s="1"/>
  <c r="T182" i="4"/>
  <c r="U181" i="4"/>
  <c r="V181" i="4" s="1"/>
  <c r="T181" i="4"/>
  <c r="U180" i="4"/>
  <c r="V180" i="4" s="1"/>
  <c r="T180" i="4"/>
  <c r="U179" i="4"/>
  <c r="V179" i="4" s="1"/>
  <c r="T179" i="4"/>
  <c r="U178" i="4"/>
  <c r="V178" i="4" s="1"/>
  <c r="T178" i="4"/>
  <c r="U177" i="4"/>
  <c r="V177" i="4" s="1"/>
  <c r="T177" i="4"/>
  <c r="U176" i="4"/>
  <c r="V176" i="4" s="1"/>
  <c r="T176" i="4"/>
  <c r="U175" i="4"/>
  <c r="V175" i="4" s="1"/>
  <c r="T175" i="4"/>
  <c r="U174" i="4"/>
  <c r="V174" i="4" s="1"/>
  <c r="T174" i="4"/>
  <c r="U173" i="4"/>
  <c r="V173" i="4" s="1"/>
  <c r="T173" i="4"/>
  <c r="U172" i="4"/>
  <c r="V172" i="4" s="1"/>
  <c r="T172" i="4"/>
  <c r="U171" i="4"/>
  <c r="V171" i="4" s="1"/>
  <c r="T171" i="4"/>
  <c r="U170" i="4"/>
  <c r="V170" i="4" s="1"/>
  <c r="T170" i="4"/>
  <c r="U169" i="4"/>
  <c r="V169" i="4" s="1"/>
  <c r="T169" i="4"/>
  <c r="U168" i="4"/>
  <c r="V168" i="4" s="1"/>
  <c r="T168" i="4"/>
  <c r="U167" i="4"/>
  <c r="V167" i="4" s="1"/>
  <c r="T167" i="4"/>
  <c r="U166" i="4"/>
  <c r="V166" i="4" s="1"/>
  <c r="T166" i="4"/>
  <c r="U165" i="4"/>
  <c r="V165" i="4" s="1"/>
  <c r="T165" i="4"/>
  <c r="U164" i="4"/>
  <c r="V164" i="4" s="1"/>
  <c r="T164" i="4"/>
  <c r="U163" i="4"/>
  <c r="V163" i="4" s="1"/>
  <c r="T163" i="4"/>
  <c r="U162" i="4"/>
  <c r="V162" i="4" s="1"/>
  <c r="T162" i="4"/>
  <c r="U161" i="4"/>
  <c r="V161" i="4" s="1"/>
  <c r="T161" i="4"/>
  <c r="U160" i="4"/>
  <c r="V160" i="4" s="1"/>
  <c r="T160" i="4"/>
  <c r="U159" i="4"/>
  <c r="V159" i="4" s="1"/>
  <c r="T159" i="4"/>
  <c r="U158" i="4"/>
  <c r="V158" i="4" s="1"/>
  <c r="T158" i="4"/>
  <c r="U157" i="4"/>
  <c r="V157" i="4" s="1"/>
  <c r="T157" i="4"/>
  <c r="U156" i="4"/>
  <c r="V156" i="4" s="1"/>
  <c r="T156" i="4"/>
  <c r="U155" i="4"/>
  <c r="V155" i="4" s="1"/>
  <c r="T155" i="4"/>
  <c r="U154" i="4"/>
  <c r="V154" i="4" s="1"/>
  <c r="T154" i="4"/>
  <c r="U153" i="4"/>
  <c r="V153" i="4" s="1"/>
  <c r="T153" i="4"/>
  <c r="U152" i="4"/>
  <c r="V152" i="4" s="1"/>
  <c r="T152" i="4"/>
  <c r="U151" i="4"/>
  <c r="V151" i="4" s="1"/>
  <c r="T151" i="4"/>
  <c r="U150" i="4"/>
  <c r="V150" i="4" s="1"/>
  <c r="T150" i="4"/>
  <c r="U149" i="4"/>
  <c r="V149" i="4" s="1"/>
  <c r="T149" i="4"/>
  <c r="U148" i="4"/>
  <c r="V148" i="4" s="1"/>
  <c r="T148" i="4"/>
  <c r="U147" i="4"/>
  <c r="V147" i="4" s="1"/>
  <c r="T147" i="4"/>
  <c r="U146" i="4"/>
  <c r="V146" i="4" s="1"/>
  <c r="T146" i="4"/>
  <c r="U145" i="4"/>
  <c r="V145" i="4" s="1"/>
  <c r="T145" i="4"/>
  <c r="U144" i="4"/>
  <c r="V144" i="4" s="1"/>
  <c r="T144" i="4"/>
  <c r="U143" i="4"/>
  <c r="V143" i="4" s="1"/>
  <c r="T143" i="4"/>
  <c r="U142" i="4"/>
  <c r="V142" i="4" s="1"/>
  <c r="T142" i="4"/>
  <c r="U141" i="4"/>
  <c r="V141" i="4" s="1"/>
  <c r="T141" i="4"/>
  <c r="U140" i="4"/>
  <c r="V140" i="4" s="1"/>
  <c r="T140" i="4"/>
  <c r="U139" i="4"/>
  <c r="V139" i="4" s="1"/>
  <c r="T139" i="4"/>
  <c r="U138" i="4"/>
  <c r="V138" i="4" s="1"/>
  <c r="T138" i="4"/>
  <c r="U137" i="4"/>
  <c r="V137" i="4" s="1"/>
  <c r="T137" i="4"/>
  <c r="U136" i="4"/>
  <c r="V136" i="4" s="1"/>
  <c r="T136" i="4"/>
  <c r="U135" i="4"/>
  <c r="V135" i="4" s="1"/>
  <c r="T135" i="4"/>
  <c r="U134" i="4"/>
  <c r="V134" i="4" s="1"/>
  <c r="T134" i="4"/>
  <c r="U133" i="4"/>
  <c r="V133" i="4" s="1"/>
  <c r="T133" i="4"/>
  <c r="U132" i="4"/>
  <c r="V132" i="4" s="1"/>
  <c r="T132" i="4"/>
  <c r="U131" i="4"/>
  <c r="V131" i="4" s="1"/>
  <c r="T131" i="4"/>
  <c r="U130" i="4"/>
  <c r="V130" i="4" s="1"/>
  <c r="T130" i="4"/>
  <c r="U129" i="4"/>
  <c r="V129" i="4" s="1"/>
  <c r="T129" i="4"/>
  <c r="U128" i="4"/>
  <c r="V128" i="4" s="1"/>
  <c r="T128" i="4"/>
  <c r="U127" i="4"/>
  <c r="V127" i="4" s="1"/>
  <c r="T127" i="4"/>
  <c r="U126" i="4"/>
  <c r="V126" i="4" s="1"/>
  <c r="T126" i="4"/>
  <c r="U125" i="4"/>
  <c r="V125" i="4" s="1"/>
  <c r="T125" i="4"/>
  <c r="U124" i="4"/>
  <c r="V124" i="4" s="1"/>
  <c r="T124" i="4"/>
  <c r="U123" i="4"/>
  <c r="V123" i="4" s="1"/>
  <c r="T123" i="4"/>
  <c r="U122" i="4"/>
  <c r="V122" i="4" s="1"/>
  <c r="T122" i="4"/>
  <c r="U121" i="4"/>
  <c r="V121" i="4" s="1"/>
  <c r="T121" i="4"/>
  <c r="U120" i="4"/>
  <c r="V120" i="4" s="1"/>
  <c r="T120" i="4"/>
  <c r="U119" i="4"/>
  <c r="V119" i="4" s="1"/>
  <c r="T119" i="4"/>
  <c r="U118" i="4"/>
  <c r="V118" i="4" s="1"/>
  <c r="T118" i="4"/>
  <c r="U117" i="4"/>
  <c r="V117" i="4" s="1"/>
  <c r="T117" i="4"/>
  <c r="U116" i="4"/>
  <c r="V116" i="4" s="1"/>
  <c r="T116" i="4"/>
  <c r="U115" i="4"/>
  <c r="V115" i="4" s="1"/>
  <c r="T115" i="4"/>
  <c r="U114" i="4"/>
  <c r="V114" i="4" s="1"/>
  <c r="T114" i="4"/>
  <c r="U113" i="4"/>
  <c r="V113" i="4" s="1"/>
  <c r="T113" i="4"/>
  <c r="U112" i="4"/>
  <c r="V112" i="4" s="1"/>
  <c r="T112" i="4"/>
  <c r="U111" i="4"/>
  <c r="V111" i="4" s="1"/>
  <c r="T111" i="4"/>
  <c r="U110" i="4"/>
  <c r="V110" i="4" s="1"/>
  <c r="T110" i="4"/>
  <c r="U109" i="4"/>
  <c r="V109" i="4" s="1"/>
  <c r="T109" i="4"/>
  <c r="U108" i="4"/>
  <c r="V108" i="4" s="1"/>
  <c r="T108" i="4"/>
  <c r="U107" i="4"/>
  <c r="V107" i="4" s="1"/>
  <c r="T107" i="4"/>
  <c r="U106" i="4"/>
  <c r="V106" i="4" s="1"/>
  <c r="T106" i="4"/>
  <c r="U105" i="4"/>
  <c r="V105" i="4" s="1"/>
  <c r="T105" i="4"/>
  <c r="U104" i="4"/>
  <c r="V104" i="4" s="1"/>
  <c r="T104" i="4"/>
  <c r="U103" i="4"/>
  <c r="V103" i="4" s="1"/>
  <c r="T103" i="4"/>
  <c r="U102" i="4"/>
  <c r="V102" i="4" s="1"/>
  <c r="T102" i="4"/>
  <c r="U101" i="4"/>
  <c r="V101" i="4" s="1"/>
  <c r="T101" i="4"/>
  <c r="U100" i="4"/>
  <c r="V100" i="4" s="1"/>
  <c r="T100" i="4"/>
  <c r="U99" i="4"/>
  <c r="V99" i="4" s="1"/>
  <c r="T99" i="4"/>
  <c r="U98" i="4"/>
  <c r="V98" i="4" s="1"/>
  <c r="T98" i="4"/>
  <c r="U97" i="4"/>
  <c r="V97" i="4" s="1"/>
  <c r="T97" i="4"/>
  <c r="U96" i="4"/>
  <c r="V96" i="4" s="1"/>
  <c r="T96" i="4"/>
  <c r="U95" i="4"/>
  <c r="V95" i="4" s="1"/>
  <c r="T95" i="4"/>
  <c r="U94" i="4"/>
  <c r="V94" i="4" s="1"/>
  <c r="T94" i="4"/>
  <c r="U93" i="4"/>
  <c r="V93" i="4" s="1"/>
  <c r="T93" i="4"/>
  <c r="U92" i="4"/>
  <c r="V92" i="4" s="1"/>
  <c r="T92" i="4"/>
  <c r="U91" i="4"/>
  <c r="V91" i="4" s="1"/>
  <c r="T91" i="4"/>
  <c r="U90" i="4"/>
  <c r="V90" i="4" s="1"/>
  <c r="T90" i="4"/>
  <c r="U89" i="4"/>
  <c r="V89" i="4" s="1"/>
  <c r="T89" i="4"/>
  <c r="U88" i="4"/>
  <c r="V88" i="4" s="1"/>
  <c r="T88" i="4"/>
  <c r="U87" i="4"/>
  <c r="V87" i="4" s="1"/>
  <c r="T87" i="4"/>
  <c r="U86" i="4"/>
  <c r="V86" i="4" s="1"/>
  <c r="T86" i="4"/>
  <c r="U85" i="4"/>
  <c r="V85" i="4" s="1"/>
  <c r="T85" i="4"/>
  <c r="U84" i="4"/>
  <c r="V84" i="4" s="1"/>
  <c r="T84" i="4"/>
  <c r="U83" i="4"/>
  <c r="V83" i="4" s="1"/>
  <c r="T83" i="4"/>
  <c r="U82" i="4"/>
  <c r="V82" i="4" s="1"/>
  <c r="T82" i="4"/>
  <c r="U81" i="4"/>
  <c r="V81" i="4" s="1"/>
  <c r="T81" i="4"/>
  <c r="U80" i="4"/>
  <c r="V80" i="4" s="1"/>
  <c r="T80" i="4"/>
  <c r="U79" i="4"/>
  <c r="V79" i="4" s="1"/>
  <c r="T79" i="4"/>
  <c r="U78" i="4"/>
  <c r="V78" i="4" s="1"/>
  <c r="T78" i="4"/>
  <c r="U77" i="4"/>
  <c r="V77" i="4" s="1"/>
  <c r="T77" i="4"/>
  <c r="U76" i="4"/>
  <c r="V76" i="4" s="1"/>
  <c r="T76" i="4"/>
  <c r="U75" i="4"/>
  <c r="V75" i="4" s="1"/>
  <c r="T75" i="4"/>
  <c r="U74" i="4"/>
  <c r="V74" i="4" s="1"/>
  <c r="T74" i="4"/>
  <c r="U73" i="4"/>
  <c r="V73" i="4" s="1"/>
  <c r="T73" i="4"/>
  <c r="U72" i="4"/>
  <c r="V72" i="4" s="1"/>
  <c r="T72" i="4"/>
  <c r="U71" i="4"/>
  <c r="V71" i="4" s="1"/>
  <c r="T71" i="4"/>
  <c r="U70" i="4"/>
  <c r="V70" i="4" s="1"/>
  <c r="T70" i="4"/>
  <c r="U69" i="4"/>
  <c r="V69" i="4" s="1"/>
  <c r="T69" i="4"/>
  <c r="U68" i="4"/>
  <c r="V68" i="4" s="1"/>
  <c r="T68" i="4"/>
  <c r="U67" i="4"/>
  <c r="V67" i="4" s="1"/>
  <c r="T67" i="4"/>
  <c r="U66" i="4"/>
  <c r="V66" i="4" s="1"/>
  <c r="T66" i="4"/>
  <c r="U65" i="4"/>
  <c r="V65" i="4" s="1"/>
  <c r="T65" i="4"/>
  <c r="U64" i="4"/>
  <c r="V64" i="4" s="1"/>
  <c r="T64" i="4"/>
  <c r="U63" i="4"/>
  <c r="V63" i="4" s="1"/>
  <c r="T63" i="4"/>
  <c r="U62" i="4"/>
  <c r="V62" i="4" s="1"/>
  <c r="T62" i="4"/>
  <c r="U61" i="4"/>
  <c r="V61" i="4" s="1"/>
  <c r="T61" i="4"/>
  <c r="U60" i="4"/>
  <c r="V60" i="4" s="1"/>
  <c r="T60" i="4"/>
  <c r="U59" i="4"/>
  <c r="V59" i="4" s="1"/>
  <c r="T59" i="4"/>
  <c r="U58" i="4"/>
  <c r="V58" i="4" s="1"/>
  <c r="T58" i="4"/>
  <c r="U57" i="4"/>
  <c r="V57" i="4" s="1"/>
  <c r="T57" i="4"/>
  <c r="U56" i="4"/>
  <c r="V56" i="4" s="1"/>
  <c r="T56" i="4"/>
  <c r="U55" i="4"/>
  <c r="V55" i="4" s="1"/>
  <c r="T55" i="4"/>
  <c r="U54" i="4"/>
  <c r="V54" i="4" s="1"/>
  <c r="T54" i="4"/>
  <c r="U53" i="4"/>
  <c r="V53" i="4" s="1"/>
  <c r="T53" i="4"/>
  <c r="U52" i="4"/>
  <c r="V52" i="4" s="1"/>
  <c r="T52" i="4"/>
  <c r="U51" i="4"/>
  <c r="V51" i="4" s="1"/>
  <c r="T51" i="4"/>
  <c r="U50" i="4"/>
  <c r="V50" i="4" s="1"/>
  <c r="T50" i="4"/>
  <c r="U49" i="4"/>
  <c r="V49" i="4" s="1"/>
  <c r="T49" i="4"/>
  <c r="U48" i="4"/>
  <c r="V48" i="4" s="1"/>
  <c r="T48" i="4"/>
  <c r="U47" i="4"/>
  <c r="V47" i="4" s="1"/>
  <c r="T47" i="4"/>
  <c r="U46" i="4"/>
  <c r="V46" i="4" s="1"/>
  <c r="T46" i="4"/>
  <c r="U45" i="4"/>
  <c r="V45" i="4" s="1"/>
  <c r="T45" i="4"/>
  <c r="U44" i="4"/>
  <c r="V44" i="4" s="1"/>
  <c r="T44" i="4"/>
  <c r="U43" i="4"/>
  <c r="V43" i="4" s="1"/>
  <c r="T43" i="4"/>
  <c r="U42" i="4"/>
  <c r="V42" i="4" s="1"/>
  <c r="T42" i="4"/>
  <c r="U41" i="4"/>
  <c r="V41" i="4" s="1"/>
  <c r="T41" i="4"/>
  <c r="U40" i="4"/>
  <c r="V40" i="4" s="1"/>
  <c r="T40" i="4"/>
  <c r="U39" i="4"/>
  <c r="V39" i="4" s="1"/>
  <c r="T39" i="4"/>
  <c r="U38" i="4"/>
  <c r="V38" i="4" s="1"/>
  <c r="T38" i="4"/>
  <c r="U37" i="4"/>
  <c r="V37" i="4" s="1"/>
  <c r="T37" i="4"/>
  <c r="U36" i="4"/>
  <c r="V36" i="4" s="1"/>
  <c r="T36" i="4"/>
  <c r="U35" i="4"/>
  <c r="V35" i="4" s="1"/>
  <c r="T35" i="4"/>
  <c r="U34" i="4"/>
  <c r="V34" i="4" s="1"/>
  <c r="T34" i="4"/>
  <c r="U33" i="4"/>
  <c r="V33" i="4" s="1"/>
  <c r="T33" i="4"/>
  <c r="U32" i="4"/>
  <c r="V32" i="4" s="1"/>
  <c r="T32" i="4"/>
  <c r="U31" i="4"/>
  <c r="V31" i="4" s="1"/>
  <c r="T31" i="4"/>
  <c r="U30" i="4"/>
  <c r="V30" i="4" s="1"/>
  <c r="T30" i="4"/>
  <c r="U29" i="4"/>
  <c r="V29" i="4" s="1"/>
  <c r="T29" i="4"/>
  <c r="U28" i="4"/>
  <c r="V28" i="4" s="1"/>
  <c r="T28" i="4"/>
  <c r="U27" i="4"/>
  <c r="V27" i="4" s="1"/>
  <c r="T27" i="4"/>
  <c r="U26" i="4"/>
  <c r="V26" i="4" s="1"/>
  <c r="T26" i="4"/>
  <c r="U25" i="4"/>
  <c r="V25" i="4" s="1"/>
  <c r="T25" i="4"/>
  <c r="U24" i="4"/>
  <c r="V24" i="4" s="1"/>
  <c r="T24" i="4"/>
  <c r="U23" i="4"/>
  <c r="V23" i="4" s="1"/>
  <c r="T23" i="4"/>
  <c r="U22" i="4"/>
  <c r="V22" i="4" s="1"/>
  <c r="T22" i="4"/>
  <c r="U21" i="4"/>
  <c r="V21" i="4" s="1"/>
  <c r="T21" i="4"/>
  <c r="U20" i="4"/>
  <c r="V20" i="4" s="1"/>
  <c r="T20" i="4"/>
  <c r="U19" i="4"/>
  <c r="V19" i="4" s="1"/>
  <c r="T19" i="4"/>
  <c r="U18" i="4"/>
  <c r="V18" i="4" s="1"/>
  <c r="T18" i="4"/>
  <c r="U17" i="4"/>
  <c r="V17" i="4" s="1"/>
  <c r="T17" i="4"/>
  <c r="U16" i="4"/>
  <c r="V16" i="4" s="1"/>
  <c r="T16" i="4"/>
  <c r="U15" i="4"/>
  <c r="V15" i="4" s="1"/>
  <c r="T15" i="4"/>
  <c r="U14" i="4"/>
  <c r="V14" i="4" s="1"/>
  <c r="T14" i="4"/>
  <c r="U13" i="4"/>
  <c r="V13" i="4" s="1"/>
  <c r="T13" i="4"/>
  <c r="U12" i="4"/>
  <c r="V12" i="4" s="1"/>
  <c r="T12" i="4"/>
  <c r="U11" i="4"/>
  <c r="V11" i="4" s="1"/>
  <c r="T11" i="4"/>
  <c r="U10" i="4"/>
  <c r="V10" i="4" s="1"/>
  <c r="T10" i="4"/>
  <c r="U9" i="4"/>
  <c r="V9" i="4" s="1"/>
  <c r="T9" i="4"/>
  <c r="U8" i="4"/>
  <c r="V8" i="4" s="1"/>
  <c r="T8" i="4"/>
  <c r="U7" i="4"/>
  <c r="V7" i="4" s="1"/>
  <c r="T7" i="4"/>
  <c r="U6" i="4"/>
  <c r="V6" i="4" s="1"/>
  <c r="T6" i="4"/>
  <c r="U5" i="4"/>
  <c r="V5" i="4" s="1"/>
  <c r="T5" i="4"/>
  <c r="U4" i="4"/>
  <c r="V4" i="4" s="1"/>
  <c r="T4" i="4"/>
  <c r="U3" i="4"/>
  <c r="V3" i="4" s="1"/>
  <c r="T3" i="4"/>
  <c r="U2" i="4"/>
  <c r="T2" i="4"/>
  <c r="F208" i="3"/>
  <c r="F207" i="3"/>
  <c r="F206" i="3"/>
  <c r="F205" i="3"/>
  <c r="F204" i="3"/>
  <c r="F203" i="3"/>
  <c r="E202" i="3"/>
  <c r="E209" i="3" s="1"/>
  <c r="H195" i="3"/>
  <c r="E195" i="3"/>
  <c r="E198" i="3" s="1"/>
  <c r="I194" i="3"/>
  <c r="J194" i="3" s="1"/>
  <c r="G194" i="3"/>
  <c r="I193" i="3"/>
  <c r="G193" i="3"/>
  <c r="K193" i="3" s="1"/>
  <c r="I192" i="3"/>
  <c r="G192" i="3"/>
  <c r="K192" i="3" s="1"/>
  <c r="I191" i="3"/>
  <c r="G191" i="3"/>
  <c r="K191" i="3" s="1"/>
  <c r="I190" i="3"/>
  <c r="G190" i="3"/>
  <c r="K190" i="3" s="1"/>
  <c r="F190" i="3"/>
  <c r="I189" i="3"/>
  <c r="G189" i="3"/>
  <c r="K189" i="3" s="1"/>
  <c r="F189" i="3"/>
  <c r="I188" i="3"/>
  <c r="G188" i="3"/>
  <c r="F188" i="3"/>
  <c r="F195" i="3" s="1"/>
  <c r="H185" i="3"/>
  <c r="P177" i="3"/>
  <c r="L177" i="3"/>
  <c r="K177" i="3"/>
  <c r="H177" i="3"/>
  <c r="P176" i="3"/>
  <c r="L176" i="3"/>
  <c r="K176" i="3"/>
  <c r="H176" i="3"/>
  <c r="P175" i="3"/>
  <c r="L175" i="3"/>
  <c r="K175" i="3"/>
  <c r="H175" i="3"/>
  <c r="P174" i="3"/>
  <c r="L174" i="3"/>
  <c r="K174" i="3"/>
  <c r="H174" i="3"/>
  <c r="P173" i="3"/>
  <c r="L173" i="3"/>
  <c r="K173" i="3"/>
  <c r="H173" i="3"/>
  <c r="P172" i="3"/>
  <c r="L172" i="3"/>
  <c r="K172" i="3"/>
  <c r="H172" i="3"/>
  <c r="P171" i="3"/>
  <c r="L171" i="3"/>
  <c r="K171" i="3"/>
  <c r="H171" i="3"/>
  <c r="P170" i="3"/>
  <c r="L170" i="3"/>
  <c r="K170" i="3"/>
  <c r="H170" i="3"/>
  <c r="P169" i="3"/>
  <c r="L169" i="3"/>
  <c r="K169" i="3"/>
  <c r="H169" i="3"/>
  <c r="P168" i="3"/>
  <c r="L168" i="3"/>
  <c r="K168" i="3"/>
  <c r="H168" i="3"/>
  <c r="P167" i="3"/>
  <c r="L167" i="3"/>
  <c r="K167" i="3"/>
  <c r="H167" i="3"/>
  <c r="P166" i="3"/>
  <c r="L166" i="3"/>
  <c r="K166" i="3"/>
  <c r="H166" i="3"/>
  <c r="P165" i="3"/>
  <c r="L165" i="3"/>
  <c r="K165" i="3"/>
  <c r="H165" i="3"/>
  <c r="P164" i="3"/>
  <c r="L164" i="3"/>
  <c r="K164" i="3"/>
  <c r="H164" i="3"/>
  <c r="P163" i="3"/>
  <c r="L163" i="3"/>
  <c r="K163" i="3"/>
  <c r="H163" i="3"/>
  <c r="P162" i="3"/>
  <c r="L162" i="3"/>
  <c r="K162" i="3"/>
  <c r="H162" i="3"/>
  <c r="P161" i="3"/>
  <c r="L161" i="3"/>
  <c r="K161" i="3"/>
  <c r="H161" i="3"/>
  <c r="P160" i="3"/>
  <c r="L160" i="3"/>
  <c r="K160" i="3"/>
  <c r="H160" i="3"/>
  <c r="P159" i="3"/>
  <c r="L159" i="3"/>
  <c r="K159" i="3"/>
  <c r="H159" i="3"/>
  <c r="P158" i="3"/>
  <c r="L158" i="3"/>
  <c r="K158" i="3"/>
  <c r="H158" i="3"/>
  <c r="P157" i="3"/>
  <c r="L157" i="3"/>
  <c r="K157" i="3"/>
  <c r="H157" i="3"/>
  <c r="P156" i="3"/>
  <c r="L156" i="3"/>
  <c r="K156" i="3"/>
  <c r="H156" i="3"/>
  <c r="P155" i="3"/>
  <c r="L155" i="3"/>
  <c r="K155" i="3"/>
  <c r="H155" i="3"/>
  <c r="P154" i="3"/>
  <c r="L154" i="3"/>
  <c r="K154" i="3"/>
  <c r="H154" i="3"/>
  <c r="P153" i="3"/>
  <c r="L153" i="3"/>
  <c r="K153" i="3"/>
  <c r="H153" i="3"/>
  <c r="P152" i="3"/>
  <c r="L152" i="3"/>
  <c r="K152" i="3"/>
  <c r="H152" i="3"/>
  <c r="P151" i="3"/>
  <c r="L151" i="3"/>
  <c r="K151" i="3"/>
  <c r="H151" i="3"/>
  <c r="P150" i="3"/>
  <c r="L150" i="3"/>
  <c r="K150" i="3"/>
  <c r="H150" i="3"/>
  <c r="P149" i="3"/>
  <c r="L149" i="3"/>
  <c r="K149" i="3"/>
  <c r="H149" i="3"/>
  <c r="P148" i="3"/>
  <c r="L148" i="3"/>
  <c r="K148" i="3"/>
  <c r="H148" i="3"/>
  <c r="P147" i="3"/>
  <c r="L147" i="3"/>
  <c r="K147" i="3"/>
  <c r="H147" i="3"/>
  <c r="P146" i="3"/>
  <c r="L146" i="3"/>
  <c r="K146" i="3"/>
  <c r="H146" i="3"/>
  <c r="P145" i="3"/>
  <c r="L145" i="3"/>
  <c r="K145" i="3"/>
  <c r="H145" i="3"/>
  <c r="P144" i="3"/>
  <c r="L144" i="3"/>
  <c r="K144" i="3"/>
  <c r="H144" i="3"/>
  <c r="P143" i="3"/>
  <c r="L143" i="3"/>
  <c r="K143" i="3"/>
  <c r="H143" i="3"/>
  <c r="P142" i="3"/>
  <c r="L142" i="3"/>
  <c r="K142" i="3"/>
  <c r="H142" i="3"/>
  <c r="P141" i="3"/>
  <c r="L141" i="3"/>
  <c r="K141" i="3"/>
  <c r="H141" i="3"/>
  <c r="P140" i="3"/>
  <c r="L140" i="3"/>
  <c r="K140" i="3"/>
  <c r="H140" i="3"/>
  <c r="P139" i="3"/>
  <c r="L139" i="3"/>
  <c r="K139" i="3"/>
  <c r="H139" i="3"/>
  <c r="P138" i="3"/>
  <c r="L138" i="3"/>
  <c r="K138" i="3"/>
  <c r="H138" i="3"/>
  <c r="P137" i="3"/>
  <c r="L137" i="3"/>
  <c r="K137" i="3"/>
  <c r="H137" i="3"/>
  <c r="P136" i="3"/>
  <c r="L136" i="3"/>
  <c r="K136" i="3"/>
  <c r="H136" i="3"/>
  <c r="P135" i="3"/>
  <c r="L135" i="3"/>
  <c r="K135" i="3"/>
  <c r="H135" i="3"/>
  <c r="P134" i="3"/>
  <c r="L134" i="3"/>
  <c r="K134" i="3"/>
  <c r="H134" i="3"/>
  <c r="P133" i="3"/>
  <c r="L133" i="3"/>
  <c r="K133" i="3"/>
  <c r="H133" i="3"/>
  <c r="P132" i="3"/>
  <c r="L132" i="3"/>
  <c r="K132" i="3"/>
  <c r="H132" i="3"/>
  <c r="P131" i="3"/>
  <c r="L131" i="3"/>
  <c r="K131" i="3"/>
  <c r="H131" i="3"/>
  <c r="P130" i="3"/>
  <c r="L130" i="3"/>
  <c r="K130" i="3"/>
  <c r="H130" i="3"/>
  <c r="P129" i="3"/>
  <c r="L129" i="3"/>
  <c r="K129" i="3"/>
  <c r="H129" i="3"/>
  <c r="P128" i="3"/>
  <c r="L128" i="3"/>
  <c r="K128" i="3"/>
  <c r="H128" i="3"/>
  <c r="P127" i="3"/>
  <c r="L127" i="3"/>
  <c r="K127" i="3"/>
  <c r="H127" i="3"/>
  <c r="P126" i="3"/>
  <c r="L126" i="3"/>
  <c r="K126" i="3"/>
  <c r="H126" i="3"/>
  <c r="P125" i="3"/>
  <c r="L125" i="3"/>
  <c r="K125" i="3"/>
  <c r="H125" i="3"/>
  <c r="P124" i="3"/>
  <c r="L124" i="3"/>
  <c r="K124" i="3"/>
  <c r="H124" i="3"/>
  <c r="P123" i="3"/>
  <c r="L123" i="3"/>
  <c r="K123" i="3"/>
  <c r="H123" i="3"/>
  <c r="P122" i="3"/>
  <c r="L122" i="3"/>
  <c r="K122" i="3"/>
  <c r="H122" i="3"/>
  <c r="P121" i="3"/>
  <c r="L121" i="3"/>
  <c r="K121" i="3"/>
  <c r="H121" i="3"/>
  <c r="P120" i="3"/>
  <c r="L120" i="3"/>
  <c r="K120" i="3"/>
  <c r="H120" i="3"/>
  <c r="P119" i="3"/>
  <c r="L119" i="3"/>
  <c r="K119" i="3"/>
  <c r="H119" i="3"/>
  <c r="P118" i="3"/>
  <c r="L118" i="3"/>
  <c r="K118" i="3"/>
  <c r="H118" i="3"/>
  <c r="P117" i="3"/>
  <c r="L117" i="3"/>
  <c r="K117" i="3"/>
  <c r="H117" i="3"/>
  <c r="P116" i="3"/>
  <c r="L116" i="3"/>
  <c r="K116" i="3"/>
  <c r="H116" i="3"/>
  <c r="P115" i="3"/>
  <c r="L115" i="3"/>
  <c r="K115" i="3"/>
  <c r="H115" i="3"/>
  <c r="P114" i="3"/>
  <c r="L114" i="3"/>
  <c r="K114" i="3"/>
  <c r="H114" i="3"/>
  <c r="P113" i="3"/>
  <c r="L113" i="3"/>
  <c r="K113" i="3"/>
  <c r="H113" i="3"/>
  <c r="P112" i="3"/>
  <c r="L112" i="3"/>
  <c r="K112" i="3"/>
  <c r="H112" i="3"/>
  <c r="P111" i="3"/>
  <c r="L111" i="3"/>
  <c r="K111" i="3"/>
  <c r="H111" i="3"/>
  <c r="P110" i="3"/>
  <c r="L110" i="3"/>
  <c r="K110" i="3"/>
  <c r="H110" i="3"/>
  <c r="P109" i="3"/>
  <c r="L109" i="3"/>
  <c r="K109" i="3"/>
  <c r="H109" i="3"/>
  <c r="P108" i="3"/>
  <c r="L108" i="3"/>
  <c r="K108" i="3"/>
  <c r="H108" i="3"/>
  <c r="P107" i="3"/>
  <c r="L107" i="3"/>
  <c r="K107" i="3"/>
  <c r="H107" i="3"/>
  <c r="P106" i="3"/>
  <c r="L106" i="3"/>
  <c r="K106" i="3"/>
  <c r="H106" i="3"/>
  <c r="P105" i="3"/>
  <c r="L105" i="3"/>
  <c r="K105" i="3"/>
  <c r="H105" i="3"/>
  <c r="P104" i="3"/>
  <c r="L104" i="3"/>
  <c r="K104" i="3"/>
  <c r="H104" i="3"/>
  <c r="P103" i="3"/>
  <c r="L103" i="3"/>
  <c r="K103" i="3"/>
  <c r="H103" i="3"/>
  <c r="P102" i="3"/>
  <c r="L102" i="3"/>
  <c r="K102" i="3"/>
  <c r="H102" i="3"/>
  <c r="P101" i="3"/>
  <c r="L101" i="3"/>
  <c r="K101" i="3"/>
  <c r="H101" i="3"/>
  <c r="P100" i="3"/>
  <c r="L100" i="3"/>
  <c r="K100" i="3"/>
  <c r="H100" i="3"/>
  <c r="P99" i="3"/>
  <c r="L99" i="3"/>
  <c r="K99" i="3"/>
  <c r="H99" i="3"/>
  <c r="P98" i="3"/>
  <c r="L98" i="3"/>
  <c r="K98" i="3"/>
  <c r="H98" i="3"/>
  <c r="P97" i="3"/>
  <c r="L97" i="3"/>
  <c r="K97" i="3"/>
  <c r="H97" i="3"/>
  <c r="P96" i="3"/>
  <c r="L96" i="3"/>
  <c r="K96" i="3"/>
  <c r="H96" i="3"/>
  <c r="P95" i="3"/>
  <c r="L95" i="3"/>
  <c r="K95" i="3"/>
  <c r="H95" i="3"/>
  <c r="P94" i="3"/>
  <c r="L94" i="3"/>
  <c r="K94" i="3"/>
  <c r="H94" i="3"/>
  <c r="P93" i="3"/>
  <c r="L93" i="3"/>
  <c r="K93" i="3"/>
  <c r="H93" i="3"/>
  <c r="P92" i="3"/>
  <c r="L92" i="3"/>
  <c r="K92" i="3"/>
  <c r="H92" i="3"/>
  <c r="P91" i="3"/>
  <c r="L91" i="3"/>
  <c r="K91" i="3"/>
  <c r="H91" i="3"/>
  <c r="P90" i="3"/>
  <c r="L90" i="3"/>
  <c r="K90" i="3"/>
  <c r="H90" i="3"/>
  <c r="P89" i="3"/>
  <c r="L89" i="3"/>
  <c r="K89" i="3"/>
  <c r="H89" i="3"/>
  <c r="P88" i="3"/>
  <c r="L88" i="3"/>
  <c r="K88" i="3"/>
  <c r="H88" i="3"/>
  <c r="P87" i="3"/>
  <c r="L87" i="3"/>
  <c r="K87" i="3"/>
  <c r="H87" i="3"/>
  <c r="P86" i="3"/>
  <c r="L86" i="3"/>
  <c r="K86" i="3"/>
  <c r="H86" i="3"/>
  <c r="P85" i="3"/>
  <c r="L85" i="3"/>
  <c r="K85" i="3"/>
  <c r="H85" i="3"/>
  <c r="P84" i="3"/>
  <c r="L84" i="3"/>
  <c r="K84" i="3"/>
  <c r="H84" i="3"/>
  <c r="P83" i="3"/>
  <c r="L83" i="3"/>
  <c r="K83" i="3"/>
  <c r="H83" i="3"/>
  <c r="P82" i="3"/>
  <c r="L82" i="3"/>
  <c r="K82" i="3"/>
  <c r="H82" i="3"/>
  <c r="P81" i="3"/>
  <c r="L81" i="3"/>
  <c r="K81" i="3"/>
  <c r="H81" i="3"/>
  <c r="P80" i="3"/>
  <c r="L80" i="3"/>
  <c r="K80" i="3"/>
  <c r="H80" i="3"/>
  <c r="P79" i="3"/>
  <c r="L79" i="3"/>
  <c r="K79" i="3"/>
  <c r="H79" i="3"/>
  <c r="P78" i="3"/>
  <c r="L78" i="3"/>
  <c r="K78" i="3"/>
  <c r="H78" i="3"/>
  <c r="P77" i="3"/>
  <c r="L77" i="3"/>
  <c r="K77" i="3"/>
  <c r="H77" i="3"/>
  <c r="P76" i="3"/>
  <c r="L76" i="3"/>
  <c r="K76" i="3"/>
  <c r="H76" i="3"/>
  <c r="P75" i="3"/>
  <c r="L75" i="3"/>
  <c r="K75" i="3"/>
  <c r="H75" i="3"/>
  <c r="P74" i="3"/>
  <c r="L74" i="3"/>
  <c r="K74" i="3"/>
  <c r="H74" i="3"/>
  <c r="P73" i="3"/>
  <c r="L73" i="3"/>
  <c r="K73" i="3"/>
  <c r="H73" i="3"/>
  <c r="P72" i="3"/>
  <c r="L72" i="3"/>
  <c r="K72" i="3"/>
  <c r="H72" i="3"/>
  <c r="P71" i="3"/>
  <c r="L71" i="3"/>
  <c r="K71" i="3"/>
  <c r="H71" i="3"/>
  <c r="P70" i="3"/>
  <c r="L70" i="3"/>
  <c r="K70" i="3"/>
  <c r="H70" i="3"/>
  <c r="P69" i="3"/>
  <c r="L69" i="3"/>
  <c r="K69" i="3"/>
  <c r="H69" i="3"/>
  <c r="P68" i="3"/>
  <c r="L68" i="3"/>
  <c r="K68" i="3"/>
  <c r="H68" i="3"/>
  <c r="P67" i="3"/>
  <c r="L67" i="3"/>
  <c r="K67" i="3"/>
  <c r="H67" i="3"/>
  <c r="P66" i="3"/>
  <c r="L66" i="3"/>
  <c r="K66" i="3"/>
  <c r="H66" i="3"/>
  <c r="P65" i="3"/>
  <c r="L65" i="3"/>
  <c r="K65" i="3"/>
  <c r="H65" i="3"/>
  <c r="P64" i="3"/>
  <c r="L64" i="3"/>
  <c r="K64" i="3"/>
  <c r="H64" i="3"/>
  <c r="P63" i="3"/>
  <c r="L63" i="3"/>
  <c r="K63" i="3"/>
  <c r="H63" i="3"/>
  <c r="P62" i="3"/>
  <c r="L62" i="3"/>
  <c r="K62" i="3"/>
  <c r="H62" i="3"/>
  <c r="P61" i="3"/>
  <c r="L61" i="3"/>
  <c r="K61" i="3"/>
  <c r="H61" i="3"/>
  <c r="P60" i="3"/>
  <c r="L60" i="3"/>
  <c r="K60" i="3"/>
  <c r="H60" i="3"/>
  <c r="P59" i="3"/>
  <c r="L59" i="3"/>
  <c r="K59" i="3"/>
  <c r="H59" i="3"/>
  <c r="P58" i="3"/>
  <c r="L58" i="3"/>
  <c r="K58" i="3"/>
  <c r="H58" i="3"/>
  <c r="P57" i="3"/>
  <c r="L57" i="3"/>
  <c r="K57" i="3"/>
  <c r="H57" i="3"/>
  <c r="P56" i="3"/>
  <c r="L56" i="3"/>
  <c r="K56" i="3"/>
  <c r="H56" i="3"/>
  <c r="P55" i="3"/>
  <c r="L55" i="3"/>
  <c r="K55" i="3"/>
  <c r="H55" i="3"/>
  <c r="P54" i="3"/>
  <c r="L54" i="3"/>
  <c r="K54" i="3"/>
  <c r="H54" i="3"/>
  <c r="P53" i="3"/>
  <c r="L53" i="3"/>
  <c r="K53" i="3"/>
  <c r="H53" i="3"/>
  <c r="P52" i="3"/>
  <c r="L52" i="3"/>
  <c r="K52" i="3"/>
  <c r="H52" i="3"/>
  <c r="P51" i="3"/>
  <c r="L51" i="3"/>
  <c r="K51" i="3"/>
  <c r="H51" i="3"/>
  <c r="P50" i="3"/>
  <c r="L50" i="3"/>
  <c r="K50" i="3"/>
  <c r="H50" i="3"/>
  <c r="P49" i="3"/>
  <c r="L49" i="3"/>
  <c r="K49" i="3"/>
  <c r="H49" i="3"/>
  <c r="P48" i="3"/>
  <c r="L48" i="3"/>
  <c r="K48" i="3"/>
  <c r="H48" i="3"/>
  <c r="P47" i="3"/>
  <c r="L47" i="3"/>
  <c r="K47" i="3"/>
  <c r="H47" i="3"/>
  <c r="P46" i="3"/>
  <c r="L46" i="3"/>
  <c r="K46" i="3"/>
  <c r="H46" i="3"/>
  <c r="P45" i="3"/>
  <c r="L45" i="3"/>
  <c r="K45" i="3"/>
  <c r="H45" i="3"/>
  <c r="P44" i="3"/>
  <c r="L44" i="3"/>
  <c r="K44" i="3"/>
  <c r="H44" i="3"/>
  <c r="P43" i="3"/>
  <c r="L43" i="3"/>
  <c r="K43" i="3"/>
  <c r="H43" i="3"/>
  <c r="P42" i="3"/>
  <c r="L42" i="3"/>
  <c r="K42" i="3"/>
  <c r="H42" i="3"/>
  <c r="P41" i="3"/>
  <c r="L41" i="3"/>
  <c r="K41" i="3"/>
  <c r="H41" i="3"/>
  <c r="P40" i="3"/>
  <c r="L40" i="3"/>
  <c r="K40" i="3"/>
  <c r="H40" i="3"/>
  <c r="P39" i="3"/>
  <c r="L39" i="3"/>
  <c r="K39" i="3"/>
  <c r="H39" i="3"/>
  <c r="P38" i="3"/>
  <c r="L38" i="3"/>
  <c r="K38" i="3"/>
  <c r="H38" i="3"/>
  <c r="P37" i="3"/>
  <c r="L37" i="3"/>
  <c r="K37" i="3"/>
  <c r="H37" i="3"/>
  <c r="P36" i="3"/>
  <c r="L36" i="3"/>
  <c r="K36" i="3"/>
  <c r="H36" i="3"/>
  <c r="P35" i="3"/>
  <c r="L35" i="3"/>
  <c r="K35" i="3"/>
  <c r="H35" i="3"/>
  <c r="P34" i="3"/>
  <c r="L34" i="3"/>
  <c r="K34" i="3"/>
  <c r="H34" i="3"/>
  <c r="P33" i="3"/>
  <c r="L33" i="3"/>
  <c r="K33" i="3"/>
  <c r="H33" i="3"/>
  <c r="P32" i="3"/>
  <c r="L32" i="3"/>
  <c r="K32" i="3"/>
  <c r="H32" i="3"/>
  <c r="P31" i="3"/>
  <c r="L31" i="3"/>
  <c r="K31" i="3"/>
  <c r="H31" i="3"/>
  <c r="P30" i="3"/>
  <c r="L30" i="3"/>
  <c r="K30" i="3"/>
  <c r="H30" i="3"/>
  <c r="P29" i="3"/>
  <c r="L29" i="3"/>
  <c r="K29" i="3"/>
  <c r="H29" i="3"/>
  <c r="P28" i="3"/>
  <c r="L28" i="3"/>
  <c r="K28" i="3"/>
  <c r="H28" i="3"/>
  <c r="P27" i="3"/>
  <c r="L27" i="3"/>
  <c r="K27" i="3"/>
  <c r="H27" i="3"/>
  <c r="P26" i="3"/>
  <c r="L26" i="3"/>
  <c r="K26" i="3"/>
  <c r="H26" i="3"/>
  <c r="P25" i="3"/>
  <c r="L25" i="3"/>
  <c r="K25" i="3"/>
  <c r="H25" i="3"/>
  <c r="P24" i="3"/>
  <c r="L24" i="3"/>
  <c r="K24" i="3"/>
  <c r="H24" i="3"/>
  <c r="P23" i="3"/>
  <c r="L23" i="3"/>
  <c r="K23" i="3"/>
  <c r="H23" i="3"/>
  <c r="P22" i="3"/>
  <c r="L22" i="3"/>
  <c r="K22" i="3"/>
  <c r="H22" i="3"/>
  <c r="P21" i="3"/>
  <c r="L21" i="3"/>
  <c r="K21" i="3"/>
  <c r="H21" i="3"/>
  <c r="P20" i="3"/>
  <c r="L20" i="3"/>
  <c r="K20" i="3"/>
  <c r="H20" i="3"/>
  <c r="P19" i="3"/>
  <c r="L19" i="3"/>
  <c r="K19" i="3"/>
  <c r="H19" i="3"/>
  <c r="P18" i="3"/>
  <c r="L18" i="3"/>
  <c r="K18" i="3"/>
  <c r="H18" i="3"/>
  <c r="P17" i="3"/>
  <c r="L17" i="3"/>
  <c r="K17" i="3"/>
  <c r="H17" i="3"/>
  <c r="E17" i="3" a="1"/>
  <c r="E17" i="3" s="1"/>
  <c r="H13" i="3"/>
  <c r="H12" i="3"/>
  <c r="H11" i="3"/>
  <c r="H10" i="3"/>
  <c r="E842" i="2"/>
  <c r="E841" i="2"/>
  <c r="F1" i="2"/>
  <c r="M318" i="1"/>
  <c r="K318" i="1"/>
  <c r="L318" i="1" s="1"/>
  <c r="J318" i="1"/>
  <c r="A318" i="1"/>
  <c r="M317" i="1"/>
  <c r="K317" i="1"/>
  <c r="L317" i="1" s="1"/>
  <c r="J317" i="1"/>
  <c r="A317" i="1"/>
  <c r="M316" i="1"/>
  <c r="K316" i="1"/>
  <c r="L316" i="1" s="1"/>
  <c r="J316" i="1"/>
  <c r="A316" i="1"/>
  <c r="M315" i="1"/>
  <c r="K315" i="1"/>
  <c r="L315" i="1" s="1"/>
  <c r="J315" i="1"/>
  <c r="A315" i="1"/>
  <c r="M314" i="1"/>
  <c r="K314" i="1"/>
  <c r="L314" i="1" s="1"/>
  <c r="J314" i="1"/>
  <c r="A314" i="1"/>
  <c r="M313" i="1"/>
  <c r="K313" i="1"/>
  <c r="L313" i="1" s="1"/>
  <c r="J313" i="1"/>
  <c r="A313" i="1"/>
  <c r="M312" i="1"/>
  <c r="K312" i="1"/>
  <c r="L312" i="1" s="1"/>
  <c r="J312" i="1"/>
  <c r="A312" i="1"/>
  <c r="M311" i="1"/>
  <c r="K311" i="1"/>
  <c r="L311" i="1" s="1"/>
  <c r="J311" i="1"/>
  <c r="A311" i="1"/>
  <c r="M310" i="1"/>
  <c r="K310" i="1"/>
  <c r="L310" i="1" s="1"/>
  <c r="J310" i="1"/>
  <c r="A310" i="1"/>
  <c r="M309" i="1"/>
  <c r="K309" i="1"/>
  <c r="L309" i="1" s="1"/>
  <c r="J309" i="1"/>
  <c r="A309" i="1"/>
  <c r="M308" i="1"/>
  <c r="K308" i="1"/>
  <c r="L308" i="1" s="1"/>
  <c r="J308" i="1"/>
  <c r="A308" i="1"/>
  <c r="M307" i="1"/>
  <c r="K307" i="1"/>
  <c r="L307" i="1" s="1"/>
  <c r="J307" i="1"/>
  <c r="A307" i="1"/>
  <c r="M306" i="1"/>
  <c r="K306" i="1"/>
  <c r="L306" i="1" s="1"/>
  <c r="J306" i="1"/>
  <c r="A306" i="1"/>
  <c r="M305" i="1"/>
  <c r="K305" i="1"/>
  <c r="L305" i="1" s="1"/>
  <c r="J305" i="1"/>
  <c r="A305" i="1"/>
  <c r="M304" i="1"/>
  <c r="K304" i="1"/>
  <c r="L304" i="1" s="1"/>
  <c r="J304" i="1"/>
  <c r="A304" i="1"/>
  <c r="M303" i="1"/>
  <c r="K303" i="1"/>
  <c r="L303" i="1" s="1"/>
  <c r="J303" i="1"/>
  <c r="A303" i="1"/>
  <c r="M302" i="1"/>
  <c r="K302" i="1"/>
  <c r="L302" i="1" s="1"/>
  <c r="J302" i="1"/>
  <c r="A302" i="1"/>
  <c r="M301" i="1"/>
  <c r="K301" i="1"/>
  <c r="L301" i="1" s="1"/>
  <c r="J301" i="1"/>
  <c r="A301" i="1"/>
  <c r="M300" i="1"/>
  <c r="K300" i="1"/>
  <c r="L300" i="1" s="1"/>
  <c r="J300" i="1"/>
  <c r="A300" i="1"/>
  <c r="M299" i="1"/>
  <c r="K299" i="1"/>
  <c r="L299" i="1" s="1"/>
  <c r="J299" i="1"/>
  <c r="A299" i="1"/>
  <c r="M298" i="1"/>
  <c r="K298" i="1"/>
  <c r="L298" i="1" s="1"/>
  <c r="J298" i="1"/>
  <c r="A298" i="1"/>
  <c r="M297" i="1"/>
  <c r="K297" i="1"/>
  <c r="L297" i="1" s="1"/>
  <c r="J297" i="1"/>
  <c r="A297" i="1"/>
  <c r="M296" i="1"/>
  <c r="K296" i="1"/>
  <c r="L296" i="1" s="1"/>
  <c r="J296" i="1"/>
  <c r="A296" i="1"/>
  <c r="M295" i="1"/>
  <c r="K295" i="1"/>
  <c r="L295" i="1" s="1"/>
  <c r="J295" i="1"/>
  <c r="A295" i="1"/>
  <c r="M294" i="1"/>
  <c r="K294" i="1"/>
  <c r="L294" i="1" s="1"/>
  <c r="J294" i="1"/>
  <c r="A294" i="1"/>
  <c r="M293" i="1"/>
  <c r="K293" i="1"/>
  <c r="L293" i="1" s="1"/>
  <c r="J293" i="1"/>
  <c r="A293" i="1"/>
  <c r="M292" i="1"/>
  <c r="K292" i="1"/>
  <c r="L292" i="1" s="1"/>
  <c r="J292" i="1"/>
  <c r="A292" i="1"/>
  <c r="M291" i="1"/>
  <c r="K291" i="1"/>
  <c r="L291" i="1" s="1"/>
  <c r="J291" i="1"/>
  <c r="A291" i="1"/>
  <c r="M290" i="1"/>
  <c r="K290" i="1"/>
  <c r="L290" i="1" s="1"/>
  <c r="J290" i="1"/>
  <c r="A290" i="1"/>
  <c r="M289" i="1"/>
  <c r="K289" i="1"/>
  <c r="L289" i="1" s="1"/>
  <c r="J289" i="1"/>
  <c r="A289" i="1"/>
  <c r="M288" i="1"/>
  <c r="K288" i="1"/>
  <c r="L288" i="1" s="1"/>
  <c r="J288" i="1"/>
  <c r="A288" i="1"/>
  <c r="M287" i="1"/>
  <c r="K287" i="1"/>
  <c r="L287" i="1" s="1"/>
  <c r="J287" i="1"/>
  <c r="A287" i="1"/>
  <c r="M286" i="1"/>
  <c r="K286" i="1"/>
  <c r="L286" i="1" s="1"/>
  <c r="J286" i="1"/>
  <c r="A286" i="1"/>
  <c r="M285" i="1"/>
  <c r="K285" i="1"/>
  <c r="L285" i="1" s="1"/>
  <c r="J285" i="1"/>
  <c r="A285" i="1"/>
  <c r="M284" i="1"/>
  <c r="K284" i="1"/>
  <c r="L284" i="1" s="1"/>
  <c r="J284" i="1"/>
  <c r="A284" i="1"/>
  <c r="M283" i="1"/>
  <c r="K283" i="1"/>
  <c r="L283" i="1" s="1"/>
  <c r="J283" i="1"/>
  <c r="A283" i="1"/>
  <c r="M282" i="1"/>
  <c r="K282" i="1"/>
  <c r="L282" i="1" s="1"/>
  <c r="J282" i="1"/>
  <c r="A282" i="1"/>
  <c r="M281" i="1"/>
  <c r="K281" i="1"/>
  <c r="L281" i="1" s="1"/>
  <c r="J281" i="1"/>
  <c r="A281" i="1"/>
  <c r="M280" i="1"/>
  <c r="K280" i="1"/>
  <c r="L280" i="1" s="1"/>
  <c r="J280" i="1"/>
  <c r="A280" i="1"/>
  <c r="M279" i="1"/>
  <c r="K279" i="1"/>
  <c r="L279" i="1" s="1"/>
  <c r="J279" i="1"/>
  <c r="A279" i="1"/>
  <c r="M278" i="1"/>
  <c r="K278" i="1"/>
  <c r="L278" i="1" s="1"/>
  <c r="J278" i="1"/>
  <c r="A278" i="1"/>
  <c r="M277" i="1"/>
  <c r="K277" i="1"/>
  <c r="L277" i="1" s="1"/>
  <c r="J277" i="1"/>
  <c r="A277" i="1"/>
  <c r="M276" i="1"/>
  <c r="K276" i="1"/>
  <c r="L276" i="1" s="1"/>
  <c r="J276" i="1"/>
  <c r="A276" i="1"/>
  <c r="M275" i="1"/>
  <c r="K275" i="1"/>
  <c r="L275" i="1" s="1"/>
  <c r="J275" i="1"/>
  <c r="A275" i="1"/>
  <c r="M274" i="1"/>
  <c r="K274" i="1"/>
  <c r="L274" i="1" s="1"/>
  <c r="J274" i="1"/>
  <c r="A274" i="1"/>
  <c r="M273" i="1"/>
  <c r="K273" i="1"/>
  <c r="L273" i="1" s="1"/>
  <c r="J273" i="1"/>
  <c r="A273" i="1"/>
  <c r="M272" i="1"/>
  <c r="K272" i="1"/>
  <c r="L272" i="1" s="1"/>
  <c r="J272" i="1"/>
  <c r="A272" i="1"/>
  <c r="M271" i="1"/>
  <c r="K271" i="1"/>
  <c r="L271" i="1" s="1"/>
  <c r="J271" i="1"/>
  <c r="A271" i="1"/>
  <c r="M270" i="1"/>
  <c r="K270" i="1"/>
  <c r="L270" i="1" s="1"/>
  <c r="J270" i="1"/>
  <c r="A270" i="1"/>
  <c r="M269" i="1"/>
  <c r="K269" i="1"/>
  <c r="L269" i="1" s="1"/>
  <c r="J269" i="1"/>
  <c r="A269" i="1"/>
  <c r="M268" i="1"/>
  <c r="K268" i="1"/>
  <c r="L268" i="1" s="1"/>
  <c r="J268" i="1"/>
  <c r="A268" i="1"/>
  <c r="M267" i="1"/>
  <c r="K267" i="1"/>
  <c r="L267" i="1" s="1"/>
  <c r="J267" i="1"/>
  <c r="A267" i="1"/>
  <c r="M266" i="1"/>
  <c r="K266" i="1"/>
  <c r="L266" i="1" s="1"/>
  <c r="J266" i="1"/>
  <c r="A266" i="1"/>
  <c r="M265" i="1"/>
  <c r="K265" i="1"/>
  <c r="L265" i="1" s="1"/>
  <c r="J265" i="1"/>
  <c r="A265" i="1"/>
  <c r="M264" i="1"/>
  <c r="K264" i="1"/>
  <c r="L264" i="1" s="1"/>
  <c r="J264" i="1"/>
  <c r="A264" i="1"/>
  <c r="M263" i="1"/>
  <c r="K263" i="1"/>
  <c r="L263" i="1" s="1"/>
  <c r="J263" i="1"/>
  <c r="A263" i="1"/>
  <c r="M262" i="1"/>
  <c r="K262" i="1"/>
  <c r="L262" i="1" s="1"/>
  <c r="J262" i="1"/>
  <c r="A262" i="1"/>
  <c r="M261" i="1"/>
  <c r="K261" i="1"/>
  <c r="L261" i="1" s="1"/>
  <c r="J261" i="1"/>
  <c r="A261" i="1"/>
  <c r="M260" i="1"/>
  <c r="K260" i="1"/>
  <c r="L260" i="1" s="1"/>
  <c r="J260" i="1"/>
  <c r="A260" i="1"/>
  <c r="M259" i="1"/>
  <c r="K259" i="1"/>
  <c r="L259" i="1" s="1"/>
  <c r="J259" i="1"/>
  <c r="A259" i="1"/>
  <c r="M258" i="1"/>
  <c r="K258" i="1"/>
  <c r="L258" i="1" s="1"/>
  <c r="J258" i="1"/>
  <c r="A258" i="1"/>
  <c r="M257" i="1"/>
  <c r="K257" i="1"/>
  <c r="L257" i="1" s="1"/>
  <c r="J257" i="1"/>
  <c r="A257" i="1"/>
  <c r="M256" i="1"/>
  <c r="K256" i="1"/>
  <c r="L256" i="1" s="1"/>
  <c r="J256" i="1"/>
  <c r="A256" i="1"/>
  <c r="M255" i="1"/>
  <c r="K255" i="1"/>
  <c r="L255" i="1" s="1"/>
  <c r="J255" i="1"/>
  <c r="A255" i="1"/>
  <c r="M254" i="1"/>
  <c r="K254" i="1"/>
  <c r="L254" i="1" s="1"/>
  <c r="J254" i="1"/>
  <c r="A254" i="1"/>
  <c r="M253" i="1"/>
  <c r="K253" i="1"/>
  <c r="L253" i="1" s="1"/>
  <c r="J253" i="1"/>
  <c r="A253" i="1"/>
  <c r="M252" i="1"/>
  <c r="K252" i="1"/>
  <c r="L252" i="1" s="1"/>
  <c r="J252" i="1"/>
  <c r="A252" i="1"/>
  <c r="M251" i="1"/>
  <c r="K251" i="1"/>
  <c r="L251" i="1" s="1"/>
  <c r="J251" i="1"/>
  <c r="A251" i="1"/>
  <c r="M250" i="1"/>
  <c r="K250" i="1"/>
  <c r="L250" i="1" s="1"/>
  <c r="J250" i="1"/>
  <c r="A250" i="1"/>
  <c r="M249" i="1"/>
  <c r="K249" i="1"/>
  <c r="L249" i="1" s="1"/>
  <c r="J249" i="1"/>
  <c r="A249" i="1"/>
  <c r="M248" i="1"/>
  <c r="K248" i="1"/>
  <c r="L248" i="1" s="1"/>
  <c r="J248" i="1"/>
  <c r="A248" i="1"/>
  <c r="M247" i="1"/>
  <c r="K247" i="1"/>
  <c r="L247" i="1" s="1"/>
  <c r="J247" i="1"/>
  <c r="A247" i="1"/>
  <c r="M246" i="1"/>
  <c r="K246" i="1"/>
  <c r="L246" i="1" s="1"/>
  <c r="J246" i="1"/>
  <c r="A246" i="1"/>
  <c r="M245" i="1"/>
  <c r="K245" i="1"/>
  <c r="L245" i="1" s="1"/>
  <c r="J245" i="1"/>
  <c r="A245" i="1"/>
  <c r="M244" i="1"/>
  <c r="K244" i="1"/>
  <c r="L244" i="1" s="1"/>
  <c r="J244" i="1"/>
  <c r="A244" i="1"/>
  <c r="M243" i="1"/>
  <c r="K243" i="1"/>
  <c r="L243" i="1" s="1"/>
  <c r="J243" i="1"/>
  <c r="A243" i="1"/>
  <c r="M242" i="1"/>
  <c r="K242" i="1"/>
  <c r="L242" i="1" s="1"/>
  <c r="J242" i="1"/>
  <c r="A242" i="1"/>
  <c r="M241" i="1"/>
  <c r="K241" i="1"/>
  <c r="L241" i="1" s="1"/>
  <c r="J241" i="1"/>
  <c r="A241" i="1"/>
  <c r="M240" i="1"/>
  <c r="K240" i="1"/>
  <c r="L240" i="1" s="1"/>
  <c r="J240" i="1"/>
  <c r="A240" i="1"/>
  <c r="M239" i="1"/>
  <c r="K239" i="1"/>
  <c r="L239" i="1" s="1"/>
  <c r="J239" i="1"/>
  <c r="A239" i="1"/>
  <c r="M238" i="1"/>
  <c r="K238" i="1"/>
  <c r="L238" i="1" s="1"/>
  <c r="J238" i="1"/>
  <c r="A238" i="1"/>
  <c r="M237" i="1"/>
  <c r="K237" i="1"/>
  <c r="L237" i="1" s="1"/>
  <c r="J237" i="1"/>
  <c r="A237" i="1"/>
  <c r="M236" i="1"/>
  <c r="K236" i="1"/>
  <c r="L236" i="1" s="1"/>
  <c r="J236" i="1"/>
  <c r="A236" i="1"/>
  <c r="M235" i="1"/>
  <c r="K235" i="1"/>
  <c r="L235" i="1" s="1"/>
  <c r="J235" i="1"/>
  <c r="A235" i="1"/>
  <c r="M234" i="1"/>
  <c r="K234" i="1"/>
  <c r="L234" i="1" s="1"/>
  <c r="J234" i="1"/>
  <c r="A234" i="1"/>
  <c r="M233" i="1"/>
  <c r="K233" i="1"/>
  <c r="L233" i="1" s="1"/>
  <c r="J233" i="1"/>
  <c r="A233" i="1"/>
  <c r="M232" i="1"/>
  <c r="K232" i="1"/>
  <c r="L232" i="1" s="1"/>
  <c r="J232" i="1"/>
  <c r="A232" i="1"/>
  <c r="M231" i="1"/>
  <c r="K231" i="1"/>
  <c r="L231" i="1" s="1"/>
  <c r="J231" i="1"/>
  <c r="A231" i="1"/>
  <c r="M230" i="1"/>
  <c r="K230" i="1"/>
  <c r="L230" i="1" s="1"/>
  <c r="J230" i="1"/>
  <c r="A230" i="1"/>
  <c r="M229" i="1"/>
  <c r="K229" i="1"/>
  <c r="L229" i="1" s="1"/>
  <c r="J229" i="1"/>
  <c r="A229" i="1"/>
  <c r="M228" i="1"/>
  <c r="K228" i="1"/>
  <c r="L228" i="1" s="1"/>
  <c r="J228" i="1"/>
  <c r="A228" i="1"/>
  <c r="M227" i="1"/>
  <c r="K227" i="1"/>
  <c r="L227" i="1" s="1"/>
  <c r="J227" i="1"/>
  <c r="A227" i="1"/>
  <c r="M226" i="1"/>
  <c r="K226" i="1"/>
  <c r="L226" i="1" s="1"/>
  <c r="J226" i="1"/>
  <c r="A226" i="1"/>
  <c r="M225" i="1"/>
  <c r="K225" i="1"/>
  <c r="L225" i="1" s="1"/>
  <c r="J225" i="1"/>
  <c r="A225" i="1"/>
  <c r="M224" i="1"/>
  <c r="K224" i="1"/>
  <c r="L224" i="1" s="1"/>
  <c r="J224" i="1"/>
  <c r="A224" i="1"/>
  <c r="M223" i="1"/>
  <c r="K223" i="1"/>
  <c r="L223" i="1" s="1"/>
  <c r="J223" i="1"/>
  <c r="A223" i="1"/>
  <c r="M222" i="1"/>
  <c r="K222" i="1"/>
  <c r="L222" i="1" s="1"/>
  <c r="J222" i="1"/>
  <c r="A222" i="1"/>
  <c r="M221" i="1"/>
  <c r="K221" i="1"/>
  <c r="L221" i="1" s="1"/>
  <c r="J221" i="1"/>
  <c r="A221" i="1"/>
  <c r="M220" i="1"/>
  <c r="K220" i="1"/>
  <c r="L220" i="1" s="1"/>
  <c r="J220" i="1"/>
  <c r="A220" i="1"/>
  <c r="M219" i="1"/>
  <c r="K219" i="1"/>
  <c r="L219" i="1" s="1"/>
  <c r="J219" i="1"/>
  <c r="A219" i="1"/>
  <c r="M218" i="1"/>
  <c r="K218" i="1"/>
  <c r="L218" i="1" s="1"/>
  <c r="J218" i="1"/>
  <c r="A218" i="1"/>
  <c r="M217" i="1"/>
  <c r="K217" i="1"/>
  <c r="L217" i="1" s="1"/>
  <c r="J217" i="1"/>
  <c r="A217" i="1"/>
  <c r="M216" i="1"/>
  <c r="K216" i="1"/>
  <c r="L216" i="1" s="1"/>
  <c r="J216" i="1"/>
  <c r="A216" i="1"/>
  <c r="M215" i="1"/>
  <c r="K215" i="1"/>
  <c r="L215" i="1" s="1"/>
  <c r="J215" i="1"/>
  <c r="A215" i="1"/>
  <c r="M214" i="1"/>
  <c r="K214" i="1"/>
  <c r="L214" i="1" s="1"/>
  <c r="J214" i="1"/>
  <c r="A214" i="1"/>
  <c r="M213" i="1"/>
  <c r="K213" i="1"/>
  <c r="L213" i="1" s="1"/>
  <c r="J213" i="1"/>
  <c r="A213" i="1"/>
  <c r="M212" i="1"/>
  <c r="K212" i="1"/>
  <c r="L212" i="1" s="1"/>
  <c r="J212" i="1"/>
  <c r="A212" i="1"/>
  <c r="M211" i="1"/>
  <c r="K211" i="1"/>
  <c r="L211" i="1" s="1"/>
  <c r="J211" i="1"/>
  <c r="A211" i="1"/>
  <c r="M210" i="1"/>
  <c r="K210" i="1"/>
  <c r="L210" i="1" s="1"/>
  <c r="J210" i="1"/>
  <c r="A210" i="1"/>
  <c r="M209" i="1"/>
  <c r="K209" i="1"/>
  <c r="L209" i="1" s="1"/>
  <c r="J209" i="1"/>
  <c r="A209" i="1"/>
  <c r="M208" i="1"/>
  <c r="K208" i="1"/>
  <c r="L208" i="1" s="1"/>
  <c r="J208" i="1"/>
  <c r="A208" i="1"/>
  <c r="M207" i="1"/>
  <c r="K207" i="1"/>
  <c r="L207" i="1" s="1"/>
  <c r="J207" i="1"/>
  <c r="A207" i="1"/>
  <c r="M206" i="1"/>
  <c r="K206" i="1"/>
  <c r="L206" i="1" s="1"/>
  <c r="J206" i="1"/>
  <c r="A206" i="1"/>
  <c r="M205" i="1"/>
  <c r="K205" i="1"/>
  <c r="L205" i="1" s="1"/>
  <c r="J205" i="1"/>
  <c r="A205" i="1"/>
  <c r="M204" i="1"/>
  <c r="K204" i="1"/>
  <c r="L204" i="1" s="1"/>
  <c r="J204" i="1"/>
  <c r="A204" i="1"/>
  <c r="M203" i="1"/>
  <c r="K203" i="1"/>
  <c r="L203" i="1" s="1"/>
  <c r="J203" i="1"/>
  <c r="A203" i="1"/>
  <c r="M202" i="1"/>
  <c r="K202" i="1"/>
  <c r="L202" i="1" s="1"/>
  <c r="J202" i="1"/>
  <c r="A202" i="1"/>
  <c r="M201" i="1"/>
  <c r="K201" i="1"/>
  <c r="L201" i="1" s="1"/>
  <c r="J201" i="1"/>
  <c r="A201" i="1"/>
  <c r="M200" i="1"/>
  <c r="K200" i="1"/>
  <c r="L200" i="1" s="1"/>
  <c r="J200" i="1"/>
  <c r="A200" i="1"/>
  <c r="M199" i="1"/>
  <c r="K199" i="1"/>
  <c r="L199" i="1" s="1"/>
  <c r="J199" i="1"/>
  <c r="A199" i="1"/>
  <c r="M198" i="1"/>
  <c r="K198" i="1"/>
  <c r="L198" i="1" s="1"/>
  <c r="J198" i="1"/>
  <c r="A198" i="1"/>
  <c r="M197" i="1"/>
  <c r="K197" i="1"/>
  <c r="L197" i="1" s="1"/>
  <c r="J197" i="1"/>
  <c r="A197" i="1"/>
  <c r="M196" i="1"/>
  <c r="K196" i="1"/>
  <c r="L196" i="1" s="1"/>
  <c r="J196" i="1"/>
  <c r="A196" i="1"/>
  <c r="M195" i="1"/>
  <c r="K195" i="1"/>
  <c r="L195" i="1" s="1"/>
  <c r="J195" i="1"/>
  <c r="A195" i="1"/>
  <c r="M194" i="1"/>
  <c r="K194" i="1"/>
  <c r="L194" i="1" s="1"/>
  <c r="J194" i="1"/>
  <c r="A194" i="1"/>
  <c r="M193" i="1"/>
  <c r="K193" i="1"/>
  <c r="L193" i="1" s="1"/>
  <c r="J193" i="1"/>
  <c r="A193" i="1"/>
  <c r="M192" i="1"/>
  <c r="K192" i="1"/>
  <c r="L192" i="1" s="1"/>
  <c r="J192" i="1"/>
  <c r="A192" i="1"/>
  <c r="M191" i="1"/>
  <c r="K191" i="1"/>
  <c r="L191" i="1" s="1"/>
  <c r="J191" i="1"/>
  <c r="A191" i="1"/>
  <c r="M190" i="1"/>
  <c r="K190" i="1"/>
  <c r="L190" i="1" s="1"/>
  <c r="J190" i="1"/>
  <c r="A190" i="1"/>
  <c r="M189" i="1"/>
  <c r="K189" i="1"/>
  <c r="L189" i="1" s="1"/>
  <c r="J189" i="1"/>
  <c r="A189" i="1"/>
  <c r="M188" i="1"/>
  <c r="K188" i="1"/>
  <c r="L188" i="1" s="1"/>
  <c r="J188" i="1"/>
  <c r="A188" i="1"/>
  <c r="M187" i="1"/>
  <c r="K187" i="1"/>
  <c r="L187" i="1" s="1"/>
  <c r="J187" i="1"/>
  <c r="A187" i="1"/>
  <c r="M186" i="1"/>
  <c r="K186" i="1"/>
  <c r="L186" i="1" s="1"/>
  <c r="J186" i="1"/>
  <c r="A186" i="1"/>
  <c r="M185" i="1"/>
  <c r="K185" i="1"/>
  <c r="L185" i="1" s="1"/>
  <c r="J185" i="1"/>
  <c r="A185" i="1"/>
  <c r="M184" i="1"/>
  <c r="K184" i="1"/>
  <c r="L184" i="1" s="1"/>
  <c r="J184" i="1"/>
  <c r="A184" i="1"/>
  <c r="M183" i="1"/>
  <c r="K183" i="1"/>
  <c r="L183" i="1" s="1"/>
  <c r="J183" i="1"/>
  <c r="A183" i="1"/>
  <c r="M182" i="1"/>
  <c r="K182" i="1"/>
  <c r="L182" i="1" s="1"/>
  <c r="J182" i="1"/>
  <c r="A182" i="1"/>
  <c r="M181" i="1"/>
  <c r="K181" i="1"/>
  <c r="L181" i="1" s="1"/>
  <c r="J181" i="1"/>
  <c r="A181" i="1"/>
  <c r="M180" i="1"/>
  <c r="K180" i="1"/>
  <c r="L180" i="1" s="1"/>
  <c r="J180" i="1"/>
  <c r="A180" i="1"/>
  <c r="M179" i="1"/>
  <c r="K179" i="1"/>
  <c r="L179" i="1" s="1"/>
  <c r="J179" i="1"/>
  <c r="A179" i="1"/>
  <c r="M178" i="1"/>
  <c r="K178" i="1"/>
  <c r="L178" i="1" s="1"/>
  <c r="J178" i="1"/>
  <c r="A178" i="1"/>
  <c r="M177" i="1"/>
  <c r="K177" i="1"/>
  <c r="L177" i="1" s="1"/>
  <c r="J177" i="1"/>
  <c r="A177" i="1"/>
  <c r="M176" i="1"/>
  <c r="K176" i="1"/>
  <c r="L176" i="1" s="1"/>
  <c r="J176" i="1"/>
  <c r="A176" i="1"/>
  <c r="M175" i="1"/>
  <c r="K175" i="1"/>
  <c r="L175" i="1" s="1"/>
  <c r="J175" i="1"/>
  <c r="A175" i="1"/>
  <c r="M174" i="1"/>
  <c r="K174" i="1"/>
  <c r="L174" i="1" s="1"/>
  <c r="J174" i="1"/>
  <c r="A174" i="1"/>
  <c r="M173" i="1"/>
  <c r="K173" i="1"/>
  <c r="L173" i="1" s="1"/>
  <c r="J173" i="1"/>
  <c r="A173" i="1"/>
  <c r="M172" i="1"/>
  <c r="K172" i="1"/>
  <c r="L172" i="1" s="1"/>
  <c r="J172" i="1"/>
  <c r="A172" i="1"/>
  <c r="M171" i="1"/>
  <c r="K171" i="1"/>
  <c r="L171" i="1" s="1"/>
  <c r="J171" i="1"/>
  <c r="A171" i="1"/>
  <c r="M170" i="1"/>
  <c r="K170" i="1"/>
  <c r="L170" i="1" s="1"/>
  <c r="J170" i="1"/>
  <c r="A170" i="1"/>
  <c r="M169" i="1"/>
  <c r="K169" i="1"/>
  <c r="L169" i="1" s="1"/>
  <c r="J169" i="1"/>
  <c r="A169" i="1"/>
  <c r="M168" i="1"/>
  <c r="K168" i="1"/>
  <c r="L168" i="1" s="1"/>
  <c r="J168" i="1"/>
  <c r="A168" i="1"/>
  <c r="M167" i="1"/>
  <c r="K167" i="1"/>
  <c r="L167" i="1" s="1"/>
  <c r="J167" i="1"/>
  <c r="A167" i="1"/>
  <c r="M166" i="1"/>
  <c r="K166" i="1"/>
  <c r="L166" i="1" s="1"/>
  <c r="J166" i="1"/>
  <c r="A166" i="1"/>
  <c r="M165" i="1"/>
  <c r="K165" i="1"/>
  <c r="L165" i="1" s="1"/>
  <c r="J165" i="1"/>
  <c r="A165" i="1"/>
  <c r="M164" i="1"/>
  <c r="K164" i="1"/>
  <c r="L164" i="1" s="1"/>
  <c r="J164" i="1"/>
  <c r="A164" i="1"/>
  <c r="M163" i="1"/>
  <c r="K163" i="1"/>
  <c r="L163" i="1" s="1"/>
  <c r="J163" i="1"/>
  <c r="A163" i="1"/>
  <c r="M162" i="1"/>
  <c r="K162" i="1"/>
  <c r="L162" i="1" s="1"/>
  <c r="J162" i="1"/>
  <c r="A162" i="1"/>
  <c r="M161" i="1"/>
  <c r="K161" i="1"/>
  <c r="L161" i="1" s="1"/>
  <c r="J161" i="1"/>
  <c r="A161" i="1"/>
  <c r="M160" i="1"/>
  <c r="K160" i="1"/>
  <c r="L160" i="1" s="1"/>
  <c r="J160" i="1"/>
  <c r="A160" i="1"/>
  <c r="M159" i="1"/>
  <c r="K159" i="1"/>
  <c r="L159" i="1" s="1"/>
  <c r="J159" i="1"/>
  <c r="A159" i="1"/>
  <c r="M158" i="1"/>
  <c r="K158" i="1"/>
  <c r="L158" i="1" s="1"/>
  <c r="J158" i="1"/>
  <c r="A158" i="1"/>
  <c r="M157" i="1"/>
  <c r="K157" i="1"/>
  <c r="L157" i="1" s="1"/>
  <c r="J157" i="1"/>
  <c r="A157" i="1"/>
  <c r="M156" i="1"/>
  <c r="K156" i="1"/>
  <c r="L156" i="1" s="1"/>
  <c r="J156" i="1"/>
  <c r="A156" i="1"/>
  <c r="M155" i="1"/>
  <c r="K155" i="1"/>
  <c r="L155" i="1" s="1"/>
  <c r="J155" i="1"/>
  <c r="A155" i="1"/>
  <c r="M154" i="1"/>
  <c r="K154" i="1"/>
  <c r="L154" i="1" s="1"/>
  <c r="J154" i="1"/>
  <c r="A154" i="1"/>
  <c r="M153" i="1"/>
  <c r="K153" i="1"/>
  <c r="L153" i="1" s="1"/>
  <c r="J153" i="1"/>
  <c r="A153" i="1"/>
  <c r="M152" i="1"/>
  <c r="K152" i="1"/>
  <c r="L152" i="1" s="1"/>
  <c r="J152" i="1"/>
  <c r="A152" i="1"/>
  <c r="M151" i="1"/>
  <c r="K151" i="1"/>
  <c r="L151" i="1" s="1"/>
  <c r="J151" i="1"/>
  <c r="A151" i="1"/>
  <c r="M150" i="1"/>
  <c r="K150" i="1"/>
  <c r="L150" i="1" s="1"/>
  <c r="J150" i="1"/>
  <c r="A150" i="1"/>
  <c r="M149" i="1"/>
  <c r="K149" i="1"/>
  <c r="L149" i="1" s="1"/>
  <c r="J149" i="1"/>
  <c r="A149" i="1"/>
  <c r="M148" i="1"/>
  <c r="K148" i="1"/>
  <c r="L148" i="1" s="1"/>
  <c r="J148" i="1"/>
  <c r="A148" i="1"/>
  <c r="M147" i="1"/>
  <c r="K147" i="1"/>
  <c r="L147" i="1" s="1"/>
  <c r="J147" i="1"/>
  <c r="A147" i="1"/>
  <c r="M146" i="1"/>
  <c r="K146" i="1"/>
  <c r="L146" i="1" s="1"/>
  <c r="J146" i="1"/>
  <c r="A146" i="1"/>
  <c r="M145" i="1"/>
  <c r="K145" i="1"/>
  <c r="L145" i="1" s="1"/>
  <c r="J145" i="1"/>
  <c r="A145" i="1"/>
  <c r="M144" i="1"/>
  <c r="K144" i="1"/>
  <c r="L144" i="1" s="1"/>
  <c r="J144" i="1"/>
  <c r="A144" i="1"/>
  <c r="M143" i="1"/>
  <c r="K143" i="1"/>
  <c r="L143" i="1" s="1"/>
  <c r="J143" i="1"/>
  <c r="A143" i="1"/>
  <c r="M142" i="1"/>
  <c r="K142" i="1"/>
  <c r="L142" i="1" s="1"/>
  <c r="J142" i="1"/>
  <c r="A142" i="1"/>
  <c r="M141" i="1"/>
  <c r="K141" i="1"/>
  <c r="L141" i="1" s="1"/>
  <c r="J141" i="1"/>
  <c r="A141" i="1"/>
  <c r="M140" i="1"/>
  <c r="K140" i="1"/>
  <c r="L140" i="1" s="1"/>
  <c r="J140" i="1"/>
  <c r="A140" i="1"/>
  <c r="M139" i="1"/>
  <c r="K139" i="1"/>
  <c r="L139" i="1" s="1"/>
  <c r="J139" i="1"/>
  <c r="A139" i="1"/>
  <c r="M138" i="1"/>
  <c r="K138" i="1"/>
  <c r="L138" i="1" s="1"/>
  <c r="J138" i="1"/>
  <c r="A138" i="1"/>
  <c r="M137" i="1"/>
  <c r="K137" i="1"/>
  <c r="L137" i="1" s="1"/>
  <c r="J137" i="1"/>
  <c r="A137" i="1"/>
  <c r="M136" i="1"/>
  <c r="K136" i="1"/>
  <c r="L136" i="1" s="1"/>
  <c r="J136" i="1"/>
  <c r="A136" i="1"/>
  <c r="M135" i="1"/>
  <c r="K135" i="1"/>
  <c r="L135" i="1" s="1"/>
  <c r="J135" i="1"/>
  <c r="A135" i="1"/>
  <c r="M134" i="1"/>
  <c r="K134" i="1"/>
  <c r="L134" i="1" s="1"/>
  <c r="J134" i="1"/>
  <c r="A134" i="1"/>
  <c r="M133" i="1"/>
  <c r="K133" i="1"/>
  <c r="L133" i="1" s="1"/>
  <c r="J133" i="1"/>
  <c r="A133" i="1"/>
  <c r="M132" i="1"/>
  <c r="K132" i="1"/>
  <c r="L132" i="1" s="1"/>
  <c r="J132" i="1"/>
  <c r="A132" i="1"/>
  <c r="M131" i="1"/>
  <c r="K131" i="1"/>
  <c r="L131" i="1" s="1"/>
  <c r="J131" i="1"/>
  <c r="A131" i="1"/>
  <c r="M130" i="1"/>
  <c r="K130" i="1"/>
  <c r="L130" i="1" s="1"/>
  <c r="J130" i="1"/>
  <c r="A130" i="1"/>
  <c r="M129" i="1"/>
  <c r="K129" i="1"/>
  <c r="L129" i="1" s="1"/>
  <c r="J129" i="1"/>
  <c r="A129" i="1"/>
  <c r="M128" i="1"/>
  <c r="K128" i="1"/>
  <c r="L128" i="1" s="1"/>
  <c r="J128" i="1"/>
  <c r="A128" i="1"/>
  <c r="M127" i="1"/>
  <c r="K127" i="1"/>
  <c r="L127" i="1" s="1"/>
  <c r="J127" i="1"/>
  <c r="A127" i="1"/>
  <c r="M126" i="1"/>
  <c r="K126" i="1"/>
  <c r="L126" i="1" s="1"/>
  <c r="J126" i="1"/>
  <c r="A126" i="1"/>
  <c r="M125" i="1"/>
  <c r="K125" i="1"/>
  <c r="L125" i="1" s="1"/>
  <c r="J125" i="1"/>
  <c r="A125" i="1"/>
  <c r="M124" i="1"/>
  <c r="K124" i="1"/>
  <c r="L124" i="1" s="1"/>
  <c r="J124" i="1"/>
  <c r="A124" i="1"/>
  <c r="M123" i="1"/>
  <c r="K123" i="1"/>
  <c r="L123" i="1" s="1"/>
  <c r="J123" i="1"/>
  <c r="A123" i="1"/>
  <c r="M122" i="1"/>
  <c r="K122" i="1"/>
  <c r="L122" i="1" s="1"/>
  <c r="J122" i="1"/>
  <c r="A122" i="1"/>
  <c r="M121" i="1"/>
  <c r="K121" i="1"/>
  <c r="L121" i="1" s="1"/>
  <c r="J121" i="1"/>
  <c r="A121" i="1"/>
  <c r="M120" i="1"/>
  <c r="K120" i="1"/>
  <c r="L120" i="1" s="1"/>
  <c r="J120" i="1"/>
  <c r="A120" i="1"/>
  <c r="M119" i="1"/>
  <c r="K119" i="1"/>
  <c r="L119" i="1" s="1"/>
  <c r="J119" i="1"/>
  <c r="A119" i="1"/>
  <c r="M118" i="1"/>
  <c r="K118" i="1"/>
  <c r="L118" i="1" s="1"/>
  <c r="J118" i="1"/>
  <c r="A118" i="1"/>
  <c r="M117" i="1"/>
  <c r="K117" i="1"/>
  <c r="L117" i="1" s="1"/>
  <c r="J117" i="1"/>
  <c r="A117" i="1"/>
  <c r="M116" i="1"/>
  <c r="K116" i="1"/>
  <c r="L116" i="1" s="1"/>
  <c r="J116" i="1"/>
  <c r="A116" i="1"/>
  <c r="M115" i="1"/>
  <c r="K115" i="1"/>
  <c r="L115" i="1" s="1"/>
  <c r="J115" i="1"/>
  <c r="A115" i="1"/>
  <c r="M114" i="1"/>
  <c r="K114" i="1"/>
  <c r="L114" i="1" s="1"/>
  <c r="J114" i="1"/>
  <c r="A114" i="1"/>
  <c r="M113" i="1"/>
  <c r="K113" i="1"/>
  <c r="L113" i="1" s="1"/>
  <c r="J113" i="1"/>
  <c r="A113" i="1"/>
  <c r="M112" i="1"/>
  <c r="K112" i="1"/>
  <c r="L112" i="1" s="1"/>
  <c r="J112" i="1"/>
  <c r="A112" i="1"/>
  <c r="M111" i="1"/>
  <c r="K111" i="1"/>
  <c r="L111" i="1" s="1"/>
  <c r="J111" i="1"/>
  <c r="A111" i="1"/>
  <c r="M110" i="1"/>
  <c r="K110" i="1"/>
  <c r="L110" i="1" s="1"/>
  <c r="J110" i="1"/>
  <c r="A110" i="1"/>
  <c r="M109" i="1"/>
  <c r="K109" i="1"/>
  <c r="L109" i="1" s="1"/>
  <c r="J109" i="1"/>
  <c r="A109" i="1"/>
  <c r="M108" i="1"/>
  <c r="K108" i="1"/>
  <c r="L108" i="1" s="1"/>
  <c r="J108" i="1"/>
  <c r="A108" i="1"/>
  <c r="M107" i="1"/>
  <c r="K107" i="1"/>
  <c r="L107" i="1" s="1"/>
  <c r="J107" i="1"/>
  <c r="A107" i="1"/>
  <c r="M106" i="1"/>
  <c r="K106" i="1"/>
  <c r="L106" i="1" s="1"/>
  <c r="J106" i="1"/>
  <c r="A106" i="1"/>
  <c r="M105" i="1"/>
  <c r="K105" i="1"/>
  <c r="L105" i="1" s="1"/>
  <c r="J105" i="1"/>
  <c r="A105" i="1"/>
  <c r="M104" i="1"/>
  <c r="K104" i="1"/>
  <c r="L104" i="1" s="1"/>
  <c r="J104" i="1"/>
  <c r="A104" i="1"/>
  <c r="M103" i="1"/>
  <c r="K103" i="1"/>
  <c r="L103" i="1" s="1"/>
  <c r="J103" i="1"/>
  <c r="A103" i="1"/>
  <c r="M102" i="1"/>
  <c r="K102" i="1"/>
  <c r="L102" i="1" s="1"/>
  <c r="J102" i="1"/>
  <c r="A102" i="1"/>
  <c r="M101" i="1"/>
  <c r="K101" i="1"/>
  <c r="L101" i="1" s="1"/>
  <c r="J101" i="1"/>
  <c r="A101" i="1"/>
  <c r="M100" i="1"/>
  <c r="K100" i="1"/>
  <c r="L100" i="1" s="1"/>
  <c r="J100" i="1"/>
  <c r="A100" i="1"/>
  <c r="M99" i="1"/>
  <c r="K99" i="1"/>
  <c r="L99" i="1" s="1"/>
  <c r="J99" i="1"/>
  <c r="A99" i="1"/>
  <c r="M98" i="1"/>
  <c r="K98" i="1"/>
  <c r="L98" i="1" s="1"/>
  <c r="J98" i="1"/>
  <c r="A98" i="1"/>
  <c r="M97" i="1"/>
  <c r="K97" i="1"/>
  <c r="L97" i="1" s="1"/>
  <c r="J97" i="1"/>
  <c r="A97" i="1"/>
  <c r="M96" i="1"/>
  <c r="K96" i="1"/>
  <c r="L96" i="1" s="1"/>
  <c r="J96" i="1"/>
  <c r="A96" i="1"/>
  <c r="M95" i="1"/>
  <c r="K95" i="1"/>
  <c r="L95" i="1" s="1"/>
  <c r="J95" i="1"/>
  <c r="A95" i="1"/>
  <c r="M94" i="1"/>
  <c r="K94" i="1"/>
  <c r="L94" i="1" s="1"/>
  <c r="J94" i="1"/>
  <c r="A94" i="1"/>
  <c r="M93" i="1"/>
  <c r="K93" i="1"/>
  <c r="L93" i="1" s="1"/>
  <c r="J93" i="1"/>
  <c r="A93" i="1"/>
  <c r="M92" i="1"/>
  <c r="K92" i="1"/>
  <c r="L92" i="1" s="1"/>
  <c r="J92" i="1"/>
  <c r="A92" i="1"/>
  <c r="M91" i="1"/>
  <c r="K91" i="1"/>
  <c r="L91" i="1" s="1"/>
  <c r="J91" i="1"/>
  <c r="A91" i="1"/>
  <c r="M90" i="1"/>
  <c r="K90" i="1"/>
  <c r="L90" i="1" s="1"/>
  <c r="J90" i="1"/>
  <c r="A90" i="1"/>
  <c r="M89" i="1"/>
  <c r="K89" i="1"/>
  <c r="L89" i="1" s="1"/>
  <c r="J89" i="1"/>
  <c r="A89" i="1"/>
  <c r="M88" i="1"/>
  <c r="K88" i="1"/>
  <c r="L88" i="1" s="1"/>
  <c r="J88" i="1"/>
  <c r="A88" i="1"/>
  <c r="M87" i="1"/>
  <c r="K87" i="1"/>
  <c r="L87" i="1" s="1"/>
  <c r="J87" i="1"/>
  <c r="A87" i="1"/>
  <c r="M86" i="1"/>
  <c r="K86" i="1"/>
  <c r="L86" i="1" s="1"/>
  <c r="J86" i="1"/>
  <c r="A86" i="1"/>
  <c r="M85" i="1"/>
  <c r="K85" i="1"/>
  <c r="L85" i="1" s="1"/>
  <c r="J85" i="1"/>
  <c r="A85" i="1"/>
  <c r="M84" i="1"/>
  <c r="K84" i="1"/>
  <c r="L84" i="1" s="1"/>
  <c r="J84" i="1"/>
  <c r="A84" i="1"/>
  <c r="M83" i="1"/>
  <c r="K83" i="1"/>
  <c r="L83" i="1" s="1"/>
  <c r="J83" i="1"/>
  <c r="A83" i="1"/>
  <c r="M82" i="1"/>
  <c r="K82" i="1"/>
  <c r="L82" i="1" s="1"/>
  <c r="J82" i="1"/>
  <c r="A82" i="1"/>
  <c r="M81" i="1"/>
  <c r="K81" i="1"/>
  <c r="L81" i="1" s="1"/>
  <c r="J81" i="1"/>
  <c r="A81" i="1"/>
  <c r="M80" i="1"/>
  <c r="K80" i="1"/>
  <c r="L80" i="1" s="1"/>
  <c r="J80" i="1"/>
  <c r="A80" i="1"/>
  <c r="M79" i="1"/>
  <c r="K79" i="1"/>
  <c r="L79" i="1" s="1"/>
  <c r="J79" i="1"/>
  <c r="A79" i="1"/>
  <c r="M78" i="1"/>
  <c r="K78" i="1"/>
  <c r="L78" i="1" s="1"/>
  <c r="J78" i="1"/>
  <c r="A78" i="1"/>
  <c r="M77" i="1"/>
  <c r="K77" i="1"/>
  <c r="L77" i="1" s="1"/>
  <c r="J77" i="1"/>
  <c r="A77" i="1"/>
  <c r="M76" i="1"/>
  <c r="K76" i="1"/>
  <c r="L76" i="1" s="1"/>
  <c r="J76" i="1"/>
  <c r="A76" i="1"/>
  <c r="M75" i="1"/>
  <c r="K75" i="1"/>
  <c r="L75" i="1" s="1"/>
  <c r="J75" i="1"/>
  <c r="A75" i="1"/>
  <c r="M74" i="1"/>
  <c r="K74" i="1"/>
  <c r="L74" i="1" s="1"/>
  <c r="J74" i="1"/>
  <c r="A74" i="1"/>
  <c r="M73" i="1"/>
  <c r="K73" i="1"/>
  <c r="L73" i="1" s="1"/>
  <c r="J73" i="1"/>
  <c r="A73" i="1"/>
  <c r="M72" i="1"/>
  <c r="K72" i="1"/>
  <c r="L72" i="1" s="1"/>
  <c r="J72" i="1"/>
  <c r="A72" i="1"/>
  <c r="M71" i="1"/>
  <c r="K71" i="1"/>
  <c r="L71" i="1" s="1"/>
  <c r="J71" i="1"/>
  <c r="A71" i="1"/>
  <c r="M70" i="1"/>
  <c r="K70" i="1"/>
  <c r="L70" i="1" s="1"/>
  <c r="J70" i="1"/>
  <c r="A70" i="1"/>
  <c r="M69" i="1"/>
  <c r="K69" i="1"/>
  <c r="L69" i="1" s="1"/>
  <c r="J69" i="1"/>
  <c r="A69" i="1"/>
  <c r="M68" i="1"/>
  <c r="K68" i="1"/>
  <c r="L68" i="1" s="1"/>
  <c r="J68" i="1"/>
  <c r="A68" i="1"/>
  <c r="M67" i="1"/>
  <c r="K67" i="1"/>
  <c r="L67" i="1" s="1"/>
  <c r="J67" i="1"/>
  <c r="A67" i="1"/>
  <c r="M66" i="1"/>
  <c r="K66" i="1"/>
  <c r="L66" i="1" s="1"/>
  <c r="J66" i="1"/>
  <c r="A66" i="1"/>
  <c r="M65" i="1"/>
  <c r="K65" i="1"/>
  <c r="L65" i="1" s="1"/>
  <c r="J65" i="1"/>
  <c r="A65" i="1"/>
  <c r="M64" i="1"/>
  <c r="K64" i="1"/>
  <c r="L64" i="1" s="1"/>
  <c r="J64" i="1"/>
  <c r="A64" i="1"/>
  <c r="M63" i="1"/>
  <c r="K63" i="1"/>
  <c r="L63" i="1" s="1"/>
  <c r="J63" i="1"/>
  <c r="A63" i="1"/>
  <c r="M62" i="1"/>
  <c r="K62" i="1"/>
  <c r="L62" i="1" s="1"/>
  <c r="J62" i="1"/>
  <c r="A62" i="1"/>
  <c r="M61" i="1"/>
  <c r="K61" i="1"/>
  <c r="L61" i="1" s="1"/>
  <c r="J61" i="1"/>
  <c r="A61" i="1"/>
  <c r="M60" i="1"/>
  <c r="K60" i="1"/>
  <c r="L60" i="1" s="1"/>
  <c r="J60" i="1"/>
  <c r="A60" i="1"/>
  <c r="M59" i="1"/>
  <c r="K59" i="1"/>
  <c r="L59" i="1" s="1"/>
  <c r="J59" i="1"/>
  <c r="A59" i="1"/>
  <c r="M58" i="1"/>
  <c r="K58" i="1"/>
  <c r="L58" i="1" s="1"/>
  <c r="J58" i="1"/>
  <c r="A58" i="1"/>
  <c r="M57" i="1"/>
  <c r="K57" i="1"/>
  <c r="L57" i="1" s="1"/>
  <c r="J57" i="1"/>
  <c r="A57" i="1"/>
  <c r="M56" i="1"/>
  <c r="K56" i="1"/>
  <c r="L56" i="1" s="1"/>
  <c r="J56" i="1"/>
  <c r="A56" i="1"/>
  <c r="M55" i="1"/>
  <c r="K55" i="1"/>
  <c r="L55" i="1" s="1"/>
  <c r="J55" i="1"/>
  <c r="A55" i="1"/>
  <c r="M54" i="1"/>
  <c r="K54" i="1"/>
  <c r="L54" i="1" s="1"/>
  <c r="J54" i="1"/>
  <c r="A54" i="1"/>
  <c r="M53" i="1"/>
  <c r="K53" i="1"/>
  <c r="L53" i="1" s="1"/>
  <c r="J53" i="1"/>
  <c r="A53" i="1"/>
  <c r="M52" i="1"/>
  <c r="K52" i="1"/>
  <c r="L52" i="1" s="1"/>
  <c r="J52" i="1"/>
  <c r="A52" i="1"/>
  <c r="M51" i="1"/>
  <c r="K51" i="1"/>
  <c r="L51" i="1" s="1"/>
  <c r="J51" i="1"/>
  <c r="A51" i="1"/>
  <c r="M50" i="1"/>
  <c r="K50" i="1"/>
  <c r="L50" i="1" s="1"/>
  <c r="J50" i="1"/>
  <c r="A50" i="1"/>
  <c r="M49" i="1"/>
  <c r="K49" i="1"/>
  <c r="L49" i="1" s="1"/>
  <c r="J49" i="1"/>
  <c r="A49" i="1"/>
  <c r="M48" i="1"/>
  <c r="K48" i="1"/>
  <c r="L48" i="1" s="1"/>
  <c r="J48" i="1"/>
  <c r="A48" i="1"/>
  <c r="M47" i="1"/>
  <c r="K47" i="1"/>
  <c r="L47" i="1" s="1"/>
  <c r="J47" i="1"/>
  <c r="A47" i="1"/>
  <c r="M46" i="1"/>
  <c r="K46" i="1"/>
  <c r="L46" i="1" s="1"/>
  <c r="J46" i="1"/>
  <c r="A46" i="1"/>
  <c r="M45" i="1"/>
  <c r="K45" i="1"/>
  <c r="L45" i="1" s="1"/>
  <c r="J45" i="1"/>
  <c r="A45" i="1"/>
  <c r="M44" i="1"/>
  <c r="K44" i="1"/>
  <c r="L44" i="1" s="1"/>
  <c r="J44" i="1"/>
  <c r="A44" i="1"/>
  <c r="M43" i="1"/>
  <c r="K43" i="1"/>
  <c r="L43" i="1" s="1"/>
  <c r="J43" i="1"/>
  <c r="A43" i="1"/>
  <c r="M42" i="1"/>
  <c r="K42" i="1"/>
  <c r="L42" i="1" s="1"/>
  <c r="J42" i="1"/>
  <c r="A42" i="1"/>
  <c r="M41" i="1"/>
  <c r="K41" i="1"/>
  <c r="L41" i="1" s="1"/>
  <c r="J41" i="1"/>
  <c r="A41" i="1"/>
  <c r="M40" i="1"/>
  <c r="K40" i="1"/>
  <c r="L40" i="1" s="1"/>
  <c r="J40" i="1"/>
  <c r="A40" i="1"/>
  <c r="M39" i="1"/>
  <c r="K39" i="1"/>
  <c r="L39" i="1" s="1"/>
  <c r="J39" i="1"/>
  <c r="A39" i="1"/>
  <c r="M38" i="1"/>
  <c r="K38" i="1"/>
  <c r="L38" i="1" s="1"/>
  <c r="J38" i="1"/>
  <c r="A38" i="1"/>
  <c r="M37" i="1"/>
  <c r="K37" i="1"/>
  <c r="L37" i="1" s="1"/>
  <c r="J37" i="1"/>
  <c r="A37" i="1"/>
  <c r="M36" i="1"/>
  <c r="K36" i="1"/>
  <c r="L36" i="1" s="1"/>
  <c r="J36" i="1"/>
  <c r="A36" i="1"/>
  <c r="M35" i="1"/>
  <c r="K35" i="1"/>
  <c r="L35" i="1" s="1"/>
  <c r="J35" i="1"/>
  <c r="A35" i="1"/>
  <c r="M34" i="1"/>
  <c r="K34" i="1"/>
  <c r="L34" i="1" s="1"/>
  <c r="J34" i="1"/>
  <c r="A34" i="1"/>
  <c r="M33" i="1"/>
  <c r="K33" i="1"/>
  <c r="L33" i="1" s="1"/>
  <c r="J33" i="1"/>
  <c r="A33" i="1"/>
  <c r="M32" i="1"/>
  <c r="K32" i="1"/>
  <c r="L32" i="1" s="1"/>
  <c r="J32" i="1"/>
  <c r="A32" i="1"/>
  <c r="M31" i="1"/>
  <c r="K31" i="1"/>
  <c r="L31" i="1" s="1"/>
  <c r="J31" i="1"/>
  <c r="A31" i="1"/>
  <c r="M30" i="1"/>
  <c r="K30" i="1"/>
  <c r="L30" i="1" s="1"/>
  <c r="J30" i="1"/>
  <c r="A30" i="1"/>
  <c r="M29" i="1"/>
  <c r="K29" i="1"/>
  <c r="L29" i="1" s="1"/>
  <c r="J29" i="1"/>
  <c r="A29" i="1"/>
  <c r="M28" i="1"/>
  <c r="K28" i="1"/>
  <c r="L28" i="1" s="1"/>
  <c r="J28" i="1"/>
  <c r="A28" i="1"/>
  <c r="M27" i="1"/>
  <c r="K27" i="1"/>
  <c r="L27" i="1" s="1"/>
  <c r="J27" i="1"/>
  <c r="A27" i="1"/>
  <c r="M26" i="1"/>
  <c r="K26" i="1"/>
  <c r="L26" i="1" s="1"/>
  <c r="J26" i="1"/>
  <c r="A26" i="1"/>
  <c r="M25" i="1"/>
  <c r="K25" i="1"/>
  <c r="L25" i="1" s="1"/>
  <c r="J25" i="1"/>
  <c r="A25" i="1"/>
  <c r="M24" i="1"/>
  <c r="K24" i="1"/>
  <c r="L24" i="1" s="1"/>
  <c r="J24" i="1"/>
  <c r="A24" i="1"/>
  <c r="K23" i="1"/>
  <c r="L23" i="1" s="1"/>
  <c r="J23" i="1"/>
  <c r="A23" i="1"/>
  <c r="K22" i="1"/>
  <c r="L22" i="1" s="1"/>
  <c r="J22" i="1"/>
  <c r="A22" i="1"/>
  <c r="K21" i="1"/>
  <c r="L21" i="1" s="1"/>
  <c r="J21" i="1"/>
  <c r="A21" i="1"/>
  <c r="K20" i="1"/>
  <c r="L20" i="1" s="1"/>
  <c r="J20" i="1"/>
  <c r="A20" i="1"/>
  <c r="K19" i="1"/>
  <c r="L19" i="1" s="1"/>
  <c r="J19" i="1"/>
  <c r="A19" i="1"/>
  <c r="K18" i="1"/>
  <c r="L18" i="1" s="1"/>
  <c r="J18" i="1"/>
  <c r="A18" i="1"/>
  <c r="K17" i="1"/>
  <c r="L17" i="1" s="1"/>
  <c r="J17" i="1"/>
  <c r="A17" i="1"/>
  <c r="K16" i="1"/>
  <c r="L16" i="1" s="1"/>
  <c r="J16" i="1"/>
  <c r="K15" i="1"/>
  <c r="L15" i="1" s="1"/>
  <c r="J15" i="1"/>
  <c r="K14" i="1"/>
  <c r="L14" i="1" s="1"/>
  <c r="J14" i="1"/>
  <c r="K13" i="1"/>
  <c r="L13" i="1" s="1"/>
  <c r="J13" i="1"/>
  <c r="K12" i="1"/>
  <c r="L12" i="1" s="1"/>
  <c r="J12" i="1"/>
  <c r="K11" i="1"/>
  <c r="L11" i="1" s="1"/>
  <c r="J11" i="1"/>
  <c r="K10" i="1"/>
  <c r="L10" i="1" s="1"/>
  <c r="J10" i="1"/>
  <c r="K9" i="1"/>
  <c r="L9" i="1" s="1"/>
  <c r="J9" i="1"/>
  <c r="K8" i="1"/>
  <c r="L8" i="1" s="1"/>
  <c r="J8" i="1"/>
  <c r="M7" i="1"/>
  <c r="K7" i="1"/>
  <c r="L7" i="1" s="1"/>
  <c r="J7" i="1"/>
  <c r="M6" i="1"/>
  <c r="K6" i="1"/>
  <c r="L6" i="1" s="1"/>
  <c r="J6" i="1"/>
  <c r="M5" i="1"/>
  <c r="K5" i="1"/>
  <c r="L5" i="1" s="1"/>
  <c r="J5" i="1"/>
  <c r="M4" i="1"/>
  <c r="K4" i="1"/>
  <c r="L4" i="1" s="1"/>
  <c r="J4" i="1"/>
  <c r="M3" i="1"/>
  <c r="K3" i="1"/>
  <c r="L3" i="1" s="1"/>
  <c r="J3" i="1"/>
  <c r="M2" i="1"/>
  <c r="K2" i="1"/>
  <c r="L2" i="1" s="1"/>
  <c r="J2" i="1"/>
  <c r="N2" i="1" l="1"/>
  <c r="N15" i="1" s="1"/>
  <c r="N18" i="1"/>
  <c r="N7" i="1"/>
  <c r="N13" i="1" s="1"/>
  <c r="N14" i="1" s="1"/>
  <c r="N6" i="1"/>
  <c r="N9" i="1" s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J10" i="3"/>
  <c r="I10" i="3"/>
  <c r="K11" i="3"/>
  <c r="J11" i="3"/>
  <c r="I11" i="3"/>
  <c r="K12" i="3"/>
  <c r="J12" i="3"/>
  <c r="I12" i="3"/>
  <c r="K13" i="3"/>
  <c r="J13" i="3"/>
  <c r="I13" i="3"/>
  <c r="G17" i="3"/>
  <c r="M17" i="3" s="1"/>
  <c r="Q17" i="3" s="1"/>
  <c r="F17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G195" i="3"/>
  <c r="K188" i="3"/>
  <c r="H203" i="3"/>
  <c r="I195" i="3"/>
  <c r="J188" i="3"/>
  <c r="H204" i="3"/>
  <c r="J189" i="3"/>
  <c r="H205" i="3"/>
  <c r="J190" i="3"/>
  <c r="H206" i="3"/>
  <c r="J191" i="3"/>
  <c r="H207" i="3"/>
  <c r="J192" i="3"/>
  <c r="H208" i="3"/>
  <c r="J193" i="3"/>
  <c r="F209" i="3"/>
  <c r="G203" i="3"/>
  <c r="G209" i="3" s="1"/>
  <c r="G204" i="3"/>
  <c r="G205" i="3"/>
  <c r="G206" i="3"/>
  <c r="G207" i="3"/>
  <c r="G208" i="3"/>
  <c r="N3" i="1" l="1"/>
  <c r="N8" i="1" s="1"/>
  <c r="N10" i="1" s="1"/>
  <c r="N4" i="1"/>
  <c r="J17" i="3"/>
  <c r="O17" i="3"/>
  <c r="N17" i="3"/>
  <c r="E18" i="3" a="1"/>
  <c r="E18" i="3" s="1"/>
  <c r="N16" i="1" l="1"/>
  <c r="N17" i="1" s="1"/>
  <c r="N5" i="1"/>
  <c r="N11" i="1" s="1"/>
  <c r="N12" i="1" s="1"/>
  <c r="F18" i="3"/>
  <c r="G18" i="3"/>
  <c r="E19" i="3" a="1"/>
  <c r="E19" i="3" s="1"/>
  <c r="G19" i="3" l="1"/>
  <c r="F19" i="3"/>
  <c r="J18" i="3"/>
  <c r="M18" i="3"/>
  <c r="E20" i="3" a="1"/>
  <c r="E20" i="3" s="1"/>
  <c r="O18" i="3" l="1"/>
  <c r="N18" i="3"/>
  <c r="Q18" i="3"/>
  <c r="G20" i="3"/>
  <c r="F20" i="3"/>
  <c r="E21" i="3" a="1"/>
  <c r="E21" i="3" s="1"/>
  <c r="M19" i="3"/>
  <c r="J19" i="3"/>
  <c r="G21" i="3" l="1"/>
  <c r="F21" i="3"/>
  <c r="O19" i="3"/>
  <c r="Q19" i="3"/>
  <c r="N19" i="3"/>
  <c r="E22" i="3" a="1"/>
  <c r="E22" i="3" s="1"/>
  <c r="M20" i="3"/>
  <c r="J20" i="3"/>
  <c r="N20" i="3" l="1"/>
  <c r="O20" i="3"/>
  <c r="Q20" i="3"/>
  <c r="E23" i="3" a="1"/>
  <c r="E23" i="3" s="1"/>
  <c r="F22" i="3"/>
  <c r="G22" i="3"/>
  <c r="J21" i="3"/>
  <c r="M21" i="3"/>
  <c r="J22" i="3" l="1"/>
  <c r="M22" i="3"/>
  <c r="F23" i="3"/>
  <c r="G23" i="3"/>
  <c r="Q21" i="3"/>
  <c r="O21" i="3"/>
  <c r="N21" i="3"/>
  <c r="E24" i="3" a="1"/>
  <c r="E24" i="3" s="1"/>
  <c r="F24" i="3" l="1"/>
  <c r="G24" i="3"/>
  <c r="E25" i="3" a="1"/>
  <c r="E25" i="3" s="1"/>
  <c r="J23" i="3"/>
  <c r="M23" i="3"/>
  <c r="O22" i="3"/>
  <c r="N22" i="3"/>
  <c r="Q22" i="3"/>
  <c r="O23" i="3" l="1"/>
  <c r="N23" i="3"/>
  <c r="Q23" i="3"/>
  <c r="E26" i="3" a="1"/>
  <c r="E26" i="3" s="1"/>
  <c r="G25" i="3"/>
  <c r="F25" i="3"/>
  <c r="J24" i="3"/>
  <c r="M24" i="3"/>
  <c r="F26" i="3" l="1"/>
  <c r="G26" i="3"/>
  <c r="E27" i="3" a="1"/>
  <c r="E27" i="3" s="1"/>
  <c r="N24" i="3"/>
  <c r="O24" i="3"/>
  <c r="Q24" i="3"/>
  <c r="M25" i="3"/>
  <c r="J25" i="3"/>
  <c r="Q25" i="3" l="1"/>
  <c r="N25" i="3"/>
  <c r="O25" i="3"/>
  <c r="J26" i="3"/>
  <c r="M26" i="3"/>
  <c r="G27" i="3"/>
  <c r="F27" i="3"/>
  <c r="E28" i="3" a="1"/>
  <c r="E28" i="3" s="1"/>
  <c r="F28" i="3" l="1"/>
  <c r="G28" i="3"/>
  <c r="E29" i="3" a="1"/>
  <c r="E29" i="3" s="1"/>
  <c r="O26" i="3"/>
  <c r="Q26" i="3"/>
  <c r="N26" i="3"/>
  <c r="M27" i="3"/>
  <c r="J27" i="3"/>
  <c r="O27" i="3" l="1"/>
  <c r="Q27" i="3"/>
  <c r="N27" i="3"/>
  <c r="J28" i="3"/>
  <c r="M28" i="3"/>
  <c r="G29" i="3"/>
  <c r="F29" i="3"/>
  <c r="E30" i="3" a="1"/>
  <c r="E30" i="3" s="1"/>
  <c r="G30" i="3" l="1"/>
  <c r="F30" i="3"/>
  <c r="E31" i="3" a="1"/>
  <c r="E31" i="3" s="1"/>
  <c r="M29" i="3"/>
  <c r="J29" i="3"/>
  <c r="N28" i="3"/>
  <c r="O28" i="3"/>
  <c r="Q28" i="3"/>
  <c r="M30" i="3" l="1"/>
  <c r="J30" i="3"/>
  <c r="Q29" i="3"/>
  <c r="N29" i="3"/>
  <c r="O29" i="3"/>
  <c r="G31" i="3"/>
  <c r="F31" i="3"/>
  <c r="E32" i="3" a="1"/>
  <c r="E32" i="3" s="1"/>
  <c r="F32" i="3" l="1"/>
  <c r="G32" i="3"/>
  <c r="E33" i="3" a="1"/>
  <c r="E33" i="3" s="1"/>
  <c r="M31" i="3"/>
  <c r="J31" i="3"/>
  <c r="O30" i="3"/>
  <c r="N30" i="3"/>
  <c r="Q30" i="3"/>
  <c r="J32" i="3" l="1"/>
  <c r="M32" i="3"/>
  <c r="O31" i="3"/>
  <c r="N31" i="3"/>
  <c r="Q31" i="3"/>
  <c r="F33" i="3"/>
  <c r="G33" i="3"/>
  <c r="E34" i="3" a="1"/>
  <c r="E34" i="3" s="1"/>
  <c r="F34" i="3" l="1"/>
  <c r="G34" i="3"/>
  <c r="E35" i="3" a="1"/>
  <c r="E35" i="3" s="1"/>
  <c r="N32" i="3"/>
  <c r="Q32" i="3"/>
  <c r="O32" i="3"/>
  <c r="J33" i="3"/>
  <c r="M33" i="3"/>
  <c r="J34" i="3" l="1"/>
  <c r="M34" i="3"/>
  <c r="Q33" i="3"/>
  <c r="O33" i="3"/>
  <c r="N33" i="3"/>
  <c r="G35" i="3"/>
  <c r="F35" i="3"/>
  <c r="E36" i="3" a="1"/>
  <c r="E36" i="3" s="1"/>
  <c r="F36" i="3" l="1"/>
  <c r="G36" i="3"/>
  <c r="E37" i="3" a="1"/>
  <c r="E37" i="3" s="1"/>
  <c r="M35" i="3"/>
  <c r="J35" i="3"/>
  <c r="O34" i="3"/>
  <c r="N34" i="3"/>
  <c r="Q34" i="3"/>
  <c r="G37" i="3" l="1"/>
  <c r="F37" i="3"/>
  <c r="E38" i="3" a="1"/>
  <c r="E38" i="3" s="1"/>
  <c r="O35" i="3"/>
  <c r="N35" i="3"/>
  <c r="Q35" i="3"/>
  <c r="J36" i="3"/>
  <c r="M36" i="3"/>
  <c r="M37" i="3" l="1"/>
  <c r="J37" i="3"/>
  <c r="N36" i="3"/>
  <c r="O36" i="3"/>
  <c r="Q36" i="3"/>
  <c r="G38" i="3"/>
  <c r="F38" i="3"/>
  <c r="E39" i="3" a="1"/>
  <c r="E39" i="3" s="1"/>
  <c r="F39" i="3" l="1"/>
  <c r="G39" i="3"/>
  <c r="E40" i="3" a="1"/>
  <c r="E40" i="3" s="1"/>
  <c r="M38" i="3"/>
  <c r="J38" i="3"/>
  <c r="Q37" i="3"/>
  <c r="O37" i="3"/>
  <c r="N37" i="3"/>
  <c r="F40" i="3" l="1"/>
  <c r="G40" i="3"/>
  <c r="E41" i="3" a="1"/>
  <c r="E41" i="3" s="1"/>
  <c r="O38" i="3"/>
  <c r="Q38" i="3"/>
  <c r="N38" i="3"/>
  <c r="J39" i="3"/>
  <c r="M39" i="3"/>
  <c r="F41" i="3" l="1"/>
  <c r="G41" i="3"/>
  <c r="E42" i="3" a="1"/>
  <c r="E42" i="3" s="1"/>
  <c r="O39" i="3"/>
  <c r="N39" i="3"/>
  <c r="Q39" i="3"/>
  <c r="J40" i="3"/>
  <c r="M40" i="3"/>
  <c r="F42" i="3" l="1"/>
  <c r="G42" i="3"/>
  <c r="E43" i="3" a="1"/>
  <c r="E43" i="3" s="1"/>
  <c r="N40" i="3"/>
  <c r="Q40" i="3"/>
  <c r="O40" i="3"/>
  <c r="J41" i="3"/>
  <c r="M41" i="3"/>
  <c r="F43" i="3" l="1"/>
  <c r="G43" i="3"/>
  <c r="E44" i="3" a="1"/>
  <c r="E44" i="3" s="1"/>
  <c r="J42" i="3"/>
  <c r="M42" i="3"/>
  <c r="Q41" i="3"/>
  <c r="N41" i="3"/>
  <c r="O41" i="3"/>
  <c r="F44" i="3" l="1"/>
  <c r="G44" i="3"/>
  <c r="E45" i="3" a="1"/>
  <c r="E45" i="3" s="1"/>
  <c r="O42" i="3"/>
  <c r="N42" i="3"/>
  <c r="Q42" i="3"/>
  <c r="J43" i="3"/>
  <c r="M43" i="3"/>
  <c r="G45" i="3" l="1"/>
  <c r="F45" i="3"/>
  <c r="E46" i="3" a="1"/>
  <c r="E46" i="3" s="1"/>
  <c r="O43" i="3"/>
  <c r="N43" i="3"/>
  <c r="Q43" i="3"/>
  <c r="J44" i="3"/>
  <c r="M44" i="3"/>
  <c r="M45" i="3" l="1"/>
  <c r="J45" i="3"/>
  <c r="N44" i="3"/>
  <c r="O44" i="3"/>
  <c r="Q44" i="3"/>
  <c r="F46" i="3"/>
  <c r="G46" i="3"/>
  <c r="E47" i="3" a="1"/>
  <c r="E47" i="3" s="1"/>
  <c r="G47" i="3" l="1"/>
  <c r="F47" i="3"/>
  <c r="E48" i="3" a="1"/>
  <c r="E48" i="3" s="1"/>
  <c r="J46" i="3"/>
  <c r="M46" i="3"/>
  <c r="Q45" i="3"/>
  <c r="O45" i="3"/>
  <c r="N45" i="3"/>
  <c r="O46" i="3" l="1"/>
  <c r="Q46" i="3"/>
  <c r="N46" i="3"/>
  <c r="M47" i="3"/>
  <c r="J47" i="3"/>
  <c r="G48" i="3"/>
  <c r="F48" i="3"/>
  <c r="E49" i="3" a="1"/>
  <c r="E49" i="3" s="1"/>
  <c r="F49" i="3" l="1"/>
  <c r="G49" i="3"/>
  <c r="E50" i="3" a="1"/>
  <c r="E50" i="3" s="1"/>
  <c r="O47" i="3"/>
  <c r="N47" i="3"/>
  <c r="Q47" i="3"/>
  <c r="M48" i="3"/>
  <c r="J48" i="3"/>
  <c r="N48" i="3" l="1"/>
  <c r="Q48" i="3"/>
  <c r="O48" i="3"/>
  <c r="J49" i="3"/>
  <c r="M49" i="3"/>
  <c r="G50" i="3"/>
  <c r="F50" i="3"/>
  <c r="E51" i="3" a="1"/>
  <c r="E51" i="3" s="1"/>
  <c r="F51" i="3" l="1"/>
  <c r="G51" i="3"/>
  <c r="E52" i="3" a="1"/>
  <c r="E52" i="3" s="1"/>
  <c r="Q49" i="3"/>
  <c r="O49" i="3"/>
  <c r="N49" i="3"/>
  <c r="M50" i="3"/>
  <c r="J50" i="3"/>
  <c r="O50" i="3" l="1"/>
  <c r="Q50" i="3"/>
  <c r="N50" i="3"/>
  <c r="J51" i="3"/>
  <c r="M51" i="3"/>
  <c r="F52" i="3"/>
  <c r="G52" i="3"/>
  <c r="E53" i="3" a="1"/>
  <c r="E53" i="3" s="1"/>
  <c r="G53" i="3" l="1"/>
  <c r="F53" i="3"/>
  <c r="E54" i="3" a="1"/>
  <c r="E54" i="3" s="1"/>
  <c r="O51" i="3"/>
  <c r="N51" i="3"/>
  <c r="Q51" i="3"/>
  <c r="J52" i="3"/>
  <c r="M52" i="3"/>
  <c r="M53" i="3" l="1"/>
  <c r="J53" i="3"/>
  <c r="N52" i="3"/>
  <c r="Q52" i="3"/>
  <c r="O52" i="3"/>
  <c r="G54" i="3"/>
  <c r="F54" i="3"/>
  <c r="E55" i="3" a="1"/>
  <c r="E55" i="3" s="1"/>
  <c r="G55" i="3" l="1"/>
  <c r="F55" i="3"/>
  <c r="E56" i="3" a="1"/>
  <c r="E56" i="3" s="1"/>
  <c r="M54" i="3"/>
  <c r="J54" i="3"/>
  <c r="Q53" i="3"/>
  <c r="N53" i="3"/>
  <c r="O53" i="3"/>
  <c r="M55" i="3" l="1"/>
  <c r="J55" i="3"/>
  <c r="O54" i="3"/>
  <c r="Q54" i="3"/>
  <c r="N54" i="3"/>
  <c r="F56" i="3"/>
  <c r="G56" i="3"/>
  <c r="E57" i="3" a="1"/>
  <c r="E57" i="3" s="1"/>
  <c r="F57" i="3" l="1"/>
  <c r="G57" i="3"/>
  <c r="E58" i="3" a="1"/>
  <c r="E58" i="3" s="1"/>
  <c r="J56" i="3"/>
  <c r="M56" i="3"/>
  <c r="O55" i="3"/>
  <c r="N55" i="3"/>
  <c r="Q55" i="3"/>
  <c r="J57" i="3" l="1"/>
  <c r="M57" i="3"/>
  <c r="N56" i="3"/>
  <c r="O56" i="3"/>
  <c r="Q56" i="3"/>
  <c r="F58" i="3"/>
  <c r="G58" i="3"/>
  <c r="E59" i="3" a="1"/>
  <c r="E59" i="3" s="1"/>
  <c r="G59" i="3" l="1"/>
  <c r="F59" i="3"/>
  <c r="E60" i="3" a="1"/>
  <c r="E60" i="3" s="1"/>
  <c r="J58" i="3"/>
  <c r="M58" i="3"/>
  <c r="Q57" i="3"/>
  <c r="N57" i="3"/>
  <c r="O57" i="3"/>
  <c r="O58" i="3" l="1"/>
  <c r="Q58" i="3"/>
  <c r="N58" i="3"/>
  <c r="M59" i="3"/>
  <c r="J59" i="3"/>
  <c r="G60" i="3"/>
  <c r="F60" i="3"/>
  <c r="E61" i="3" a="1"/>
  <c r="E61" i="3" s="1"/>
  <c r="F61" i="3" l="1"/>
  <c r="G61" i="3"/>
  <c r="E62" i="3" a="1"/>
  <c r="E62" i="3" s="1"/>
  <c r="O59" i="3"/>
  <c r="N59" i="3"/>
  <c r="Q59" i="3"/>
  <c r="M60" i="3"/>
  <c r="J60" i="3"/>
  <c r="N60" i="3" l="1"/>
  <c r="Q60" i="3"/>
  <c r="O60" i="3"/>
  <c r="J61" i="3"/>
  <c r="M61" i="3"/>
  <c r="G62" i="3"/>
  <c r="F62" i="3"/>
  <c r="E63" i="3" a="1"/>
  <c r="E63" i="3" s="1"/>
  <c r="G63" i="3" l="1"/>
  <c r="F63" i="3"/>
  <c r="E64" i="3" a="1"/>
  <c r="E64" i="3" s="1"/>
  <c r="M62" i="3"/>
  <c r="J62" i="3"/>
  <c r="N61" i="3"/>
  <c r="Q61" i="3"/>
  <c r="O61" i="3"/>
  <c r="J63" i="3" l="1"/>
  <c r="M63" i="3"/>
  <c r="O62" i="3"/>
  <c r="Q62" i="3"/>
  <c r="N62" i="3"/>
  <c r="F64" i="3"/>
  <c r="G64" i="3"/>
  <c r="E65" i="3" a="1"/>
  <c r="E65" i="3" s="1"/>
  <c r="G65" i="3" l="1"/>
  <c r="F65" i="3"/>
  <c r="E66" i="3" a="1"/>
  <c r="E66" i="3" s="1"/>
  <c r="J64" i="3"/>
  <c r="M64" i="3"/>
  <c r="O63" i="3"/>
  <c r="N63" i="3"/>
  <c r="Q63" i="3"/>
  <c r="O64" i="3" l="1"/>
  <c r="N64" i="3"/>
  <c r="Q64" i="3"/>
  <c r="M65" i="3"/>
  <c r="J65" i="3"/>
  <c r="F66" i="3"/>
  <c r="G66" i="3"/>
  <c r="E67" i="3" a="1"/>
  <c r="E67" i="3" s="1"/>
  <c r="F67" i="3" l="1"/>
  <c r="G67" i="3"/>
  <c r="E68" i="3" a="1"/>
  <c r="E68" i="3" s="1"/>
  <c r="Q65" i="3"/>
  <c r="N65" i="3"/>
  <c r="O65" i="3"/>
  <c r="J66" i="3"/>
  <c r="M66" i="3"/>
  <c r="M67" i="3" l="1"/>
  <c r="J67" i="3"/>
  <c r="O66" i="3"/>
  <c r="Q66" i="3"/>
  <c r="N66" i="3"/>
  <c r="G68" i="3"/>
  <c r="F68" i="3"/>
  <c r="E69" i="3" a="1"/>
  <c r="E69" i="3" s="1"/>
  <c r="F69" i="3" l="1"/>
  <c r="G69" i="3"/>
  <c r="E70" i="3" a="1"/>
  <c r="E70" i="3" s="1"/>
  <c r="M68" i="3"/>
  <c r="J68" i="3"/>
  <c r="O67" i="3"/>
  <c r="N67" i="3"/>
  <c r="Q67" i="3"/>
  <c r="M69" i="3" l="1"/>
  <c r="J69" i="3"/>
  <c r="N68" i="3"/>
  <c r="O68" i="3"/>
  <c r="Q68" i="3"/>
  <c r="F70" i="3"/>
  <c r="G70" i="3"/>
  <c r="E71" i="3" a="1"/>
  <c r="E71" i="3" s="1"/>
  <c r="G71" i="3" l="1"/>
  <c r="F71" i="3"/>
  <c r="E72" i="3" a="1"/>
  <c r="E72" i="3" s="1"/>
  <c r="M70" i="3"/>
  <c r="J70" i="3"/>
  <c r="O69" i="3"/>
  <c r="N69" i="3"/>
  <c r="Q69" i="3"/>
  <c r="M71" i="3" l="1"/>
  <c r="J71" i="3"/>
  <c r="O70" i="3"/>
  <c r="N70" i="3"/>
  <c r="Q70" i="3"/>
  <c r="F72" i="3"/>
  <c r="G72" i="3"/>
  <c r="E73" i="3" a="1"/>
  <c r="E73" i="3" s="1"/>
  <c r="F73" i="3" l="1"/>
  <c r="G73" i="3"/>
  <c r="E74" i="3" a="1"/>
  <c r="E74" i="3" s="1"/>
  <c r="M72" i="3"/>
  <c r="J72" i="3"/>
  <c r="O71" i="3"/>
  <c r="N71" i="3"/>
  <c r="Q71" i="3"/>
  <c r="J73" i="3" l="1"/>
  <c r="M73" i="3"/>
  <c r="Q72" i="3"/>
  <c r="N72" i="3"/>
  <c r="O72" i="3"/>
  <c r="F74" i="3"/>
  <c r="G74" i="3"/>
  <c r="E75" i="3" a="1"/>
  <c r="E75" i="3" s="1"/>
  <c r="G75" i="3" l="1"/>
  <c r="F75" i="3"/>
  <c r="E76" i="3" a="1"/>
  <c r="E76" i="3" s="1"/>
  <c r="M74" i="3"/>
  <c r="J74" i="3"/>
  <c r="Q73" i="3"/>
  <c r="O73" i="3"/>
  <c r="N73" i="3"/>
  <c r="J75" i="3" l="1"/>
  <c r="M75" i="3"/>
  <c r="O74" i="3"/>
  <c r="N74" i="3"/>
  <c r="Q74" i="3"/>
  <c r="F76" i="3"/>
  <c r="G76" i="3"/>
  <c r="E77" i="3" a="1"/>
  <c r="E77" i="3" s="1"/>
  <c r="G77" i="3" l="1"/>
  <c r="F77" i="3"/>
  <c r="E78" i="3" a="1"/>
  <c r="E78" i="3" s="1"/>
  <c r="J76" i="3"/>
  <c r="M76" i="3"/>
  <c r="O75" i="3"/>
  <c r="Q75" i="3"/>
  <c r="N75" i="3"/>
  <c r="Q76" i="3" l="1"/>
  <c r="O76" i="3"/>
  <c r="N76" i="3"/>
  <c r="M77" i="3"/>
  <c r="J77" i="3"/>
  <c r="F78" i="3"/>
  <c r="G78" i="3"/>
  <c r="E79" i="3" a="1"/>
  <c r="E79" i="3" s="1"/>
  <c r="F79" i="3" l="1"/>
  <c r="G79" i="3"/>
  <c r="E80" i="3" a="1"/>
  <c r="E80" i="3" s="1"/>
  <c r="N77" i="3"/>
  <c r="Q77" i="3"/>
  <c r="O77" i="3"/>
  <c r="J78" i="3"/>
  <c r="M78" i="3"/>
  <c r="M79" i="3" l="1"/>
  <c r="J79" i="3"/>
  <c r="O78" i="3"/>
  <c r="Q78" i="3"/>
  <c r="N78" i="3"/>
  <c r="G80" i="3"/>
  <c r="F80" i="3"/>
  <c r="E81" i="3" a="1"/>
  <c r="E81" i="3" s="1"/>
  <c r="F81" i="3" l="1"/>
  <c r="G81" i="3"/>
  <c r="E82" i="3" a="1"/>
  <c r="E82" i="3" s="1"/>
  <c r="M80" i="3"/>
  <c r="J80" i="3"/>
  <c r="O79" i="3"/>
  <c r="N79" i="3"/>
  <c r="Q79" i="3"/>
  <c r="M81" i="3" l="1"/>
  <c r="J81" i="3"/>
  <c r="O80" i="3"/>
  <c r="N80" i="3"/>
  <c r="Q80" i="3"/>
  <c r="G82" i="3"/>
  <c r="F82" i="3"/>
  <c r="E83" i="3" a="1"/>
  <c r="E83" i="3" s="1"/>
  <c r="F83" i="3" l="1"/>
  <c r="G83" i="3"/>
  <c r="E84" i="3" a="1"/>
  <c r="E84" i="3" s="1"/>
  <c r="M82" i="3"/>
  <c r="J82" i="3"/>
  <c r="Q81" i="3"/>
  <c r="N81" i="3"/>
  <c r="O81" i="3"/>
  <c r="J83" i="3" l="1"/>
  <c r="M83" i="3"/>
  <c r="O82" i="3"/>
  <c r="Q82" i="3"/>
  <c r="N82" i="3"/>
  <c r="G84" i="3"/>
  <c r="F84" i="3"/>
  <c r="E85" i="3" a="1"/>
  <c r="E85" i="3" s="1"/>
  <c r="G85" i="3" l="1"/>
  <c r="F85" i="3"/>
  <c r="E86" i="3" a="1"/>
  <c r="E86" i="3" s="1"/>
  <c r="J84" i="3"/>
  <c r="M84" i="3"/>
  <c r="O83" i="3"/>
  <c r="N83" i="3"/>
  <c r="Q83" i="3"/>
  <c r="N84" i="3" l="1"/>
  <c r="O84" i="3"/>
  <c r="Q84" i="3"/>
  <c r="M85" i="3"/>
  <c r="J85" i="3"/>
  <c r="F86" i="3"/>
  <c r="G86" i="3"/>
  <c r="E87" i="3" a="1"/>
  <c r="E87" i="3" s="1"/>
  <c r="F87" i="3" l="1"/>
  <c r="G87" i="3"/>
  <c r="E88" i="3" a="1"/>
  <c r="E88" i="3" s="1"/>
  <c r="O85" i="3"/>
  <c r="N85" i="3"/>
  <c r="Q85" i="3"/>
  <c r="J86" i="3"/>
  <c r="M86" i="3"/>
  <c r="M87" i="3" l="1"/>
  <c r="J87" i="3"/>
  <c r="O86" i="3"/>
  <c r="N86" i="3"/>
  <c r="Q86" i="3"/>
  <c r="G88" i="3"/>
  <c r="F88" i="3"/>
  <c r="E89" i="3" a="1"/>
  <c r="E89" i="3" s="1"/>
  <c r="F89" i="3" l="1"/>
  <c r="G89" i="3"/>
  <c r="E90" i="3" a="1"/>
  <c r="E90" i="3" s="1"/>
  <c r="M88" i="3"/>
  <c r="J88" i="3"/>
  <c r="O87" i="3"/>
  <c r="N87" i="3"/>
  <c r="Q87" i="3"/>
  <c r="M89" i="3" l="1"/>
  <c r="J89" i="3"/>
  <c r="Q88" i="3"/>
  <c r="O88" i="3"/>
  <c r="N88" i="3"/>
  <c r="G90" i="3"/>
  <c r="F90" i="3"/>
  <c r="E91" i="3" a="1"/>
  <c r="E91" i="3" s="1"/>
  <c r="F91" i="3" l="1"/>
  <c r="G91" i="3"/>
  <c r="E92" i="3" a="1"/>
  <c r="E92" i="3" s="1"/>
  <c r="M90" i="3"/>
  <c r="J90" i="3"/>
  <c r="N89" i="3"/>
  <c r="Q89" i="3"/>
  <c r="O89" i="3"/>
  <c r="M91" i="3" l="1"/>
  <c r="J91" i="3"/>
  <c r="O90" i="3"/>
  <c r="Q90" i="3"/>
  <c r="N90" i="3"/>
  <c r="F92" i="3"/>
  <c r="G92" i="3"/>
  <c r="E93" i="3" a="1"/>
  <c r="E93" i="3" s="1"/>
  <c r="F93" i="3" l="1"/>
  <c r="G93" i="3"/>
  <c r="E94" i="3" a="1"/>
  <c r="E94" i="3" s="1"/>
  <c r="J92" i="3"/>
  <c r="M92" i="3"/>
  <c r="O91" i="3"/>
  <c r="N91" i="3"/>
  <c r="Q91" i="3"/>
  <c r="G94" i="3" l="1"/>
  <c r="F94" i="3"/>
  <c r="E95" i="3" a="1"/>
  <c r="E95" i="3" s="1"/>
  <c r="N92" i="3"/>
  <c r="O92" i="3"/>
  <c r="Q92" i="3"/>
  <c r="M93" i="3"/>
  <c r="J93" i="3"/>
  <c r="O93" i="3" l="1"/>
  <c r="N93" i="3"/>
  <c r="Q93" i="3"/>
  <c r="J94" i="3"/>
  <c r="M94" i="3"/>
  <c r="G95" i="3"/>
  <c r="F95" i="3"/>
  <c r="E96" i="3" a="1"/>
  <c r="E96" i="3" s="1"/>
  <c r="F96" i="3" l="1"/>
  <c r="G96" i="3"/>
  <c r="E97" i="3" a="1"/>
  <c r="E97" i="3" s="1"/>
  <c r="M95" i="3"/>
  <c r="J95" i="3"/>
  <c r="O94" i="3"/>
  <c r="Q94" i="3"/>
  <c r="N94" i="3"/>
  <c r="J96" i="3" l="1"/>
  <c r="M96" i="3"/>
  <c r="O95" i="3"/>
  <c r="N95" i="3"/>
  <c r="Q95" i="3"/>
  <c r="G97" i="3"/>
  <c r="F97" i="3"/>
  <c r="E98" i="3" a="1"/>
  <c r="E98" i="3" s="1"/>
  <c r="F98" i="3" l="1"/>
  <c r="G98" i="3"/>
  <c r="E99" i="3" a="1"/>
  <c r="E99" i="3" s="1"/>
  <c r="M97" i="3"/>
  <c r="J97" i="3"/>
  <c r="O96" i="3"/>
  <c r="Q96" i="3"/>
  <c r="N96" i="3"/>
  <c r="J98" i="3" l="1"/>
  <c r="M98" i="3"/>
  <c r="O97" i="3"/>
  <c r="N97" i="3"/>
  <c r="Q97" i="3"/>
  <c r="F99" i="3"/>
  <c r="G99" i="3"/>
  <c r="E100" i="3" a="1"/>
  <c r="E100" i="3" s="1"/>
  <c r="G100" i="3" l="1"/>
  <c r="F100" i="3"/>
  <c r="E101" i="3" a="1"/>
  <c r="E101" i="3" s="1"/>
  <c r="M99" i="3"/>
  <c r="J99" i="3"/>
  <c r="O98" i="3"/>
  <c r="Q98" i="3"/>
  <c r="N98" i="3"/>
  <c r="J100" i="3" l="1"/>
  <c r="M100" i="3"/>
  <c r="O99" i="3"/>
  <c r="N99" i="3"/>
  <c r="Q99" i="3"/>
  <c r="G101" i="3"/>
  <c r="F101" i="3"/>
  <c r="E102" i="3" a="1"/>
  <c r="E102" i="3" s="1"/>
  <c r="F102" i="3" l="1"/>
  <c r="G102" i="3"/>
  <c r="E103" i="3" a="1"/>
  <c r="E103" i="3" s="1"/>
  <c r="M101" i="3"/>
  <c r="J101" i="3"/>
  <c r="Q100" i="3"/>
  <c r="O100" i="3"/>
  <c r="N100" i="3"/>
  <c r="M102" i="3" l="1"/>
  <c r="J102" i="3"/>
  <c r="Q101" i="3"/>
  <c r="N101" i="3"/>
  <c r="O101" i="3"/>
  <c r="F103" i="3"/>
  <c r="G103" i="3"/>
  <c r="E104" i="3" a="1"/>
  <c r="E104" i="3" s="1"/>
  <c r="G104" i="3" l="1"/>
  <c r="F104" i="3"/>
  <c r="E105" i="3" a="1"/>
  <c r="E105" i="3" s="1"/>
  <c r="J103" i="3"/>
  <c r="M103" i="3"/>
  <c r="O102" i="3"/>
  <c r="N102" i="3"/>
  <c r="Q102" i="3"/>
  <c r="O103" i="3" l="1"/>
  <c r="Q103" i="3"/>
  <c r="N103" i="3"/>
  <c r="M104" i="3"/>
  <c r="J104" i="3"/>
  <c r="F105" i="3"/>
  <c r="G105" i="3"/>
  <c r="E106" i="3" a="1"/>
  <c r="E106" i="3" s="1"/>
  <c r="F106" i="3" l="1"/>
  <c r="G106" i="3"/>
  <c r="E107" i="3" a="1"/>
  <c r="E107" i="3" s="1"/>
  <c r="Q104" i="3"/>
  <c r="N104" i="3"/>
  <c r="O104" i="3"/>
  <c r="J105" i="3"/>
  <c r="M105" i="3"/>
  <c r="G107" i="3" l="1"/>
  <c r="F107" i="3"/>
  <c r="E108" i="3" a="1"/>
  <c r="E108" i="3" s="1"/>
  <c r="O105" i="3"/>
  <c r="N105" i="3"/>
  <c r="Q105" i="3"/>
  <c r="J106" i="3"/>
  <c r="M106" i="3"/>
  <c r="M107" i="3" l="1"/>
  <c r="J107" i="3"/>
  <c r="O106" i="3"/>
  <c r="N106" i="3"/>
  <c r="Q106" i="3"/>
  <c r="G108" i="3"/>
  <c r="F108" i="3"/>
  <c r="E109" i="3" a="1"/>
  <c r="E109" i="3" s="1"/>
  <c r="F109" i="3" l="1"/>
  <c r="G109" i="3"/>
  <c r="E110" i="3" a="1"/>
  <c r="E110" i="3" s="1"/>
  <c r="J108" i="3"/>
  <c r="M108" i="3"/>
  <c r="O107" i="3"/>
  <c r="N107" i="3"/>
  <c r="Q107" i="3"/>
  <c r="G110" i="3" l="1"/>
  <c r="F110" i="3"/>
  <c r="E111" i="3" a="1"/>
  <c r="E111" i="3" s="1"/>
  <c r="Q108" i="3"/>
  <c r="O108" i="3"/>
  <c r="N108" i="3"/>
  <c r="J109" i="3"/>
  <c r="M109" i="3"/>
  <c r="J110" i="3" l="1"/>
  <c r="M110" i="3"/>
  <c r="N109" i="3"/>
  <c r="Q109" i="3"/>
  <c r="O109" i="3"/>
  <c r="G111" i="3"/>
  <c r="F111" i="3"/>
  <c r="E112" i="3" a="1"/>
  <c r="E112" i="3" s="1"/>
  <c r="G112" i="3" l="1"/>
  <c r="F112" i="3"/>
  <c r="E113" i="3" a="1"/>
  <c r="E113" i="3" s="1"/>
  <c r="M111" i="3"/>
  <c r="J111" i="3"/>
  <c r="O110" i="3"/>
  <c r="N110" i="3"/>
  <c r="Q110" i="3"/>
  <c r="M112" i="3" l="1"/>
  <c r="J112" i="3"/>
  <c r="O111" i="3"/>
  <c r="N111" i="3"/>
  <c r="Q111" i="3"/>
  <c r="F113" i="3"/>
  <c r="G113" i="3"/>
  <c r="E114" i="3" a="1"/>
  <c r="E114" i="3" s="1"/>
  <c r="G114" i="3" l="1"/>
  <c r="F114" i="3"/>
  <c r="E115" i="3" a="1"/>
  <c r="E115" i="3" s="1"/>
  <c r="M113" i="3"/>
  <c r="J113" i="3"/>
  <c r="Q112" i="3"/>
  <c r="N112" i="3"/>
  <c r="O112" i="3"/>
  <c r="M114" i="3" l="1"/>
  <c r="J114" i="3"/>
  <c r="O113" i="3"/>
  <c r="Q113" i="3"/>
  <c r="N113" i="3"/>
  <c r="F115" i="3"/>
  <c r="G115" i="3"/>
  <c r="E116" i="3" a="1"/>
  <c r="E116" i="3" s="1"/>
  <c r="G116" i="3" l="1"/>
  <c r="F116" i="3"/>
  <c r="E117" i="3" a="1"/>
  <c r="E117" i="3" s="1"/>
  <c r="M115" i="3"/>
  <c r="J115" i="3"/>
  <c r="O114" i="3"/>
  <c r="N114" i="3"/>
  <c r="Q114" i="3"/>
  <c r="O115" i="3" l="1"/>
  <c r="Q115" i="3"/>
  <c r="N115" i="3"/>
  <c r="G117" i="3"/>
  <c r="F117" i="3"/>
  <c r="E118" i="3" a="1"/>
  <c r="E118" i="3" s="1"/>
  <c r="M116" i="3"/>
  <c r="J116" i="3"/>
  <c r="M117" i="3" l="1"/>
  <c r="J117" i="3"/>
  <c r="F118" i="3"/>
  <c r="G118" i="3"/>
  <c r="E119" i="3" a="1"/>
  <c r="E119" i="3" s="1"/>
  <c r="N116" i="3"/>
  <c r="O116" i="3"/>
  <c r="Q116" i="3"/>
  <c r="M118" i="3" l="1"/>
  <c r="J118" i="3"/>
  <c r="F119" i="3"/>
  <c r="G119" i="3"/>
  <c r="E120" i="3" a="1"/>
  <c r="E120" i="3" s="1"/>
  <c r="O117" i="3"/>
  <c r="N117" i="3"/>
  <c r="Q117" i="3"/>
  <c r="M119" i="3" l="1"/>
  <c r="J119" i="3"/>
  <c r="G120" i="3"/>
  <c r="F120" i="3"/>
  <c r="E121" i="3" a="1"/>
  <c r="E121" i="3" s="1"/>
  <c r="N118" i="3"/>
  <c r="Q118" i="3"/>
  <c r="O118" i="3"/>
  <c r="F121" i="3" l="1"/>
  <c r="G121" i="3"/>
  <c r="E122" i="3" a="1"/>
  <c r="E122" i="3" s="1"/>
  <c r="O119" i="3"/>
  <c r="N119" i="3"/>
  <c r="Q119" i="3"/>
  <c r="J120" i="3"/>
  <c r="M120" i="3"/>
  <c r="F122" i="3" l="1"/>
  <c r="G122" i="3"/>
  <c r="E123" i="3" a="1"/>
  <c r="E123" i="3" s="1"/>
  <c r="Q120" i="3"/>
  <c r="O120" i="3"/>
  <c r="N120" i="3"/>
  <c r="J121" i="3"/>
  <c r="M121" i="3"/>
  <c r="G123" i="3" l="1"/>
  <c r="F123" i="3"/>
  <c r="E124" i="3" a="1"/>
  <c r="E124" i="3" s="1"/>
  <c r="Q121" i="3"/>
  <c r="N121" i="3"/>
  <c r="O121" i="3"/>
  <c r="J122" i="3"/>
  <c r="M122" i="3"/>
  <c r="M123" i="3" l="1"/>
  <c r="J123" i="3"/>
  <c r="N122" i="3"/>
  <c r="O122" i="3"/>
  <c r="Q122" i="3"/>
  <c r="G124" i="3"/>
  <c r="F124" i="3"/>
  <c r="E125" i="3" a="1"/>
  <c r="E125" i="3" s="1"/>
  <c r="F125" i="3" l="1"/>
  <c r="G125" i="3"/>
  <c r="E126" i="3" a="1"/>
  <c r="E126" i="3" s="1"/>
  <c r="M124" i="3"/>
  <c r="J124" i="3"/>
  <c r="O123" i="3"/>
  <c r="N123" i="3"/>
  <c r="Q123" i="3"/>
  <c r="G126" i="3" l="1"/>
  <c r="F126" i="3"/>
  <c r="E127" i="3" a="1"/>
  <c r="E127" i="3" s="1"/>
  <c r="Q124" i="3"/>
  <c r="N124" i="3"/>
  <c r="O124" i="3"/>
  <c r="M125" i="3"/>
  <c r="J125" i="3"/>
  <c r="O125" i="3" l="1"/>
  <c r="N125" i="3"/>
  <c r="Q125" i="3"/>
  <c r="M126" i="3"/>
  <c r="J126" i="3"/>
  <c r="G127" i="3"/>
  <c r="F127" i="3"/>
  <c r="E128" i="3" a="1"/>
  <c r="E128" i="3" s="1"/>
  <c r="G128" i="3" l="1"/>
  <c r="F128" i="3"/>
  <c r="E129" i="3" a="1"/>
  <c r="E129" i="3" s="1"/>
  <c r="O126" i="3"/>
  <c r="Q126" i="3"/>
  <c r="N126" i="3"/>
  <c r="M127" i="3"/>
  <c r="J127" i="3"/>
  <c r="O127" i="3" l="1"/>
  <c r="N127" i="3"/>
  <c r="Q127" i="3"/>
  <c r="M128" i="3"/>
  <c r="J128" i="3"/>
  <c r="G129" i="3"/>
  <c r="F129" i="3"/>
  <c r="E130" i="3" a="1"/>
  <c r="E130" i="3" s="1"/>
  <c r="F130" i="3" l="1"/>
  <c r="G130" i="3"/>
  <c r="E131" i="3" a="1"/>
  <c r="E131" i="3" s="1"/>
  <c r="O128" i="3"/>
  <c r="N128" i="3"/>
  <c r="Q128" i="3"/>
  <c r="M129" i="3"/>
  <c r="J129" i="3"/>
  <c r="G131" i="3" l="1"/>
  <c r="F131" i="3"/>
  <c r="E132" i="3" a="1"/>
  <c r="E132" i="3" s="1"/>
  <c r="J130" i="3"/>
  <c r="M130" i="3"/>
  <c r="O129" i="3"/>
  <c r="N129" i="3"/>
  <c r="Q129" i="3"/>
  <c r="O130" i="3" l="1"/>
  <c r="N130" i="3"/>
  <c r="Q130" i="3"/>
  <c r="M131" i="3"/>
  <c r="J131" i="3"/>
  <c r="G132" i="3"/>
  <c r="F132" i="3"/>
  <c r="E133" i="3" a="1"/>
  <c r="E133" i="3" s="1"/>
  <c r="F133" i="3" l="1"/>
  <c r="G133" i="3"/>
  <c r="E134" i="3" a="1"/>
  <c r="E134" i="3" s="1"/>
  <c r="O131" i="3"/>
  <c r="N131" i="3"/>
  <c r="Q131" i="3"/>
  <c r="J132" i="3"/>
  <c r="M132" i="3"/>
  <c r="F134" i="3" l="1"/>
  <c r="G134" i="3"/>
  <c r="E135" i="3" a="1"/>
  <c r="E135" i="3" s="1"/>
  <c r="N132" i="3"/>
  <c r="Q132" i="3"/>
  <c r="O132" i="3"/>
  <c r="M133" i="3"/>
  <c r="J133" i="3"/>
  <c r="F135" i="3" l="1"/>
  <c r="G135" i="3"/>
  <c r="E136" i="3" a="1"/>
  <c r="E136" i="3" s="1"/>
  <c r="O133" i="3"/>
  <c r="Q133" i="3"/>
  <c r="N133" i="3"/>
  <c r="M134" i="3"/>
  <c r="J134" i="3"/>
  <c r="F136" i="3" l="1"/>
  <c r="G136" i="3"/>
  <c r="E137" i="3" a="1"/>
  <c r="E137" i="3" s="1"/>
  <c r="N134" i="3"/>
  <c r="O134" i="3"/>
  <c r="Q134" i="3"/>
  <c r="M135" i="3"/>
  <c r="J135" i="3"/>
  <c r="G137" i="3" l="1"/>
  <c r="F137" i="3"/>
  <c r="E138" i="3" a="1"/>
  <c r="E138" i="3" s="1"/>
  <c r="O135" i="3"/>
  <c r="N135" i="3"/>
  <c r="Q135" i="3"/>
  <c r="J136" i="3"/>
  <c r="M136" i="3"/>
  <c r="M137" i="3" l="1"/>
  <c r="J137" i="3"/>
  <c r="N136" i="3"/>
  <c r="O136" i="3"/>
  <c r="Q136" i="3"/>
  <c r="F138" i="3"/>
  <c r="G138" i="3"/>
  <c r="E139" i="3" a="1"/>
  <c r="E139" i="3" s="1"/>
  <c r="F139" i="3" l="1"/>
  <c r="G139" i="3"/>
  <c r="E140" i="3" a="1"/>
  <c r="E140" i="3" s="1"/>
  <c r="J138" i="3"/>
  <c r="M138" i="3"/>
  <c r="O137" i="3"/>
  <c r="N137" i="3"/>
  <c r="Q137" i="3"/>
  <c r="F140" i="3" l="1"/>
  <c r="G140" i="3"/>
  <c r="E141" i="3" a="1"/>
  <c r="E141" i="3" s="1"/>
  <c r="N138" i="3"/>
  <c r="Q138" i="3"/>
  <c r="O138" i="3"/>
  <c r="M139" i="3"/>
  <c r="J139" i="3"/>
  <c r="O139" i="3" l="1"/>
  <c r="Q139" i="3"/>
  <c r="N139" i="3"/>
  <c r="J140" i="3"/>
  <c r="M140" i="3"/>
  <c r="G141" i="3"/>
  <c r="F141" i="3"/>
  <c r="E142" i="3" a="1"/>
  <c r="E142" i="3" s="1"/>
  <c r="F142" i="3" l="1"/>
  <c r="G142" i="3"/>
  <c r="E143" i="3" a="1"/>
  <c r="E143" i="3" s="1"/>
  <c r="M141" i="3"/>
  <c r="J141" i="3"/>
  <c r="N140" i="3"/>
  <c r="O140" i="3"/>
  <c r="Q140" i="3"/>
  <c r="G143" i="3" l="1"/>
  <c r="F143" i="3"/>
  <c r="E144" i="3" a="1"/>
  <c r="E144" i="3" s="1"/>
  <c r="O141" i="3"/>
  <c r="N141" i="3"/>
  <c r="Q141" i="3"/>
  <c r="J142" i="3"/>
  <c r="M142" i="3"/>
  <c r="J143" i="3" l="1"/>
  <c r="M143" i="3"/>
  <c r="O142" i="3"/>
  <c r="N142" i="3"/>
  <c r="Q142" i="3"/>
  <c r="F144" i="3"/>
  <c r="G144" i="3"/>
  <c r="E145" i="3" a="1"/>
  <c r="E145" i="3" s="1"/>
  <c r="F145" i="3" l="1"/>
  <c r="G145" i="3"/>
  <c r="E146" i="3" a="1"/>
  <c r="E146" i="3" s="1"/>
  <c r="J144" i="3"/>
  <c r="M144" i="3"/>
  <c r="O143" i="3"/>
  <c r="Q143" i="3"/>
  <c r="N143" i="3"/>
  <c r="F146" i="3" l="1"/>
  <c r="G146" i="3"/>
  <c r="E147" i="3" a="1"/>
  <c r="E147" i="3" s="1"/>
  <c r="N144" i="3"/>
  <c r="O144" i="3"/>
  <c r="Q144" i="3"/>
  <c r="M145" i="3"/>
  <c r="J145" i="3"/>
  <c r="F147" i="3" l="1"/>
  <c r="G147" i="3"/>
  <c r="E148" i="3" a="1"/>
  <c r="E148" i="3" s="1"/>
  <c r="O145" i="3"/>
  <c r="Q145" i="3"/>
  <c r="N145" i="3"/>
  <c r="M146" i="3"/>
  <c r="J146" i="3"/>
  <c r="G148" i="3" l="1"/>
  <c r="F148" i="3"/>
  <c r="E149" i="3" a="1"/>
  <c r="E149" i="3" s="1"/>
  <c r="N146" i="3"/>
  <c r="Q146" i="3"/>
  <c r="O146" i="3"/>
  <c r="M147" i="3"/>
  <c r="J147" i="3"/>
  <c r="M148" i="3" l="1"/>
  <c r="J148" i="3"/>
  <c r="F149" i="3"/>
  <c r="G149" i="3"/>
  <c r="E150" i="3" a="1"/>
  <c r="E150" i="3" s="1"/>
  <c r="O147" i="3"/>
  <c r="Q147" i="3"/>
  <c r="N147" i="3"/>
  <c r="G150" i="3" l="1"/>
  <c r="F150" i="3"/>
  <c r="E151" i="3" a="1"/>
  <c r="E151" i="3" s="1"/>
  <c r="N148" i="3"/>
  <c r="Q148" i="3"/>
  <c r="O148" i="3"/>
  <c r="J149" i="3"/>
  <c r="M149" i="3"/>
  <c r="M150" i="3" l="1"/>
  <c r="J150" i="3"/>
  <c r="O149" i="3"/>
  <c r="Q149" i="3"/>
  <c r="N149" i="3"/>
  <c r="F151" i="3"/>
  <c r="G151" i="3"/>
  <c r="E152" i="3" a="1"/>
  <c r="E152" i="3" s="1"/>
  <c r="G152" i="3" l="1"/>
  <c r="F152" i="3"/>
  <c r="E153" i="3" a="1"/>
  <c r="E153" i="3" s="1"/>
  <c r="M151" i="3"/>
  <c r="J151" i="3"/>
  <c r="N150" i="3"/>
  <c r="Q150" i="3"/>
  <c r="O150" i="3"/>
  <c r="M152" i="3" l="1"/>
  <c r="J152" i="3"/>
  <c r="O151" i="3"/>
  <c r="Q151" i="3"/>
  <c r="N151" i="3"/>
  <c r="F153" i="3"/>
  <c r="G153" i="3"/>
  <c r="E154" i="3" a="1"/>
  <c r="E154" i="3" s="1"/>
  <c r="G154" i="3" l="1"/>
  <c r="F154" i="3"/>
  <c r="E155" i="3" a="1"/>
  <c r="E155" i="3" s="1"/>
  <c r="J153" i="3"/>
  <c r="M153" i="3"/>
  <c r="N152" i="3"/>
  <c r="Q152" i="3"/>
  <c r="O152" i="3"/>
  <c r="O153" i="3" l="1"/>
  <c r="N153" i="3"/>
  <c r="Q153" i="3"/>
  <c r="M154" i="3"/>
  <c r="J154" i="3"/>
  <c r="F155" i="3"/>
  <c r="G155" i="3"/>
  <c r="E156" i="3" a="1"/>
  <c r="E156" i="3" s="1"/>
  <c r="F156" i="3" l="1"/>
  <c r="G156" i="3"/>
  <c r="E157" i="3" a="1"/>
  <c r="E157" i="3" s="1"/>
  <c r="N154" i="3"/>
  <c r="Q154" i="3"/>
  <c r="O154" i="3"/>
  <c r="J155" i="3"/>
  <c r="M155" i="3"/>
  <c r="F157" i="3" l="1"/>
  <c r="G157" i="3"/>
  <c r="E158" i="3" a="1"/>
  <c r="E158" i="3" s="1"/>
  <c r="O155" i="3"/>
  <c r="Q155" i="3"/>
  <c r="N155" i="3"/>
  <c r="M156" i="3"/>
  <c r="J156" i="3"/>
  <c r="F158" i="3" l="1"/>
  <c r="G158" i="3"/>
  <c r="E159" i="3" a="1"/>
  <c r="E159" i="3" s="1"/>
  <c r="N156" i="3"/>
  <c r="O156" i="3"/>
  <c r="Q156" i="3"/>
  <c r="J157" i="3"/>
  <c r="M157" i="3"/>
  <c r="G159" i="3" l="1"/>
  <c r="F159" i="3"/>
  <c r="E160" i="3" a="1"/>
  <c r="E160" i="3" s="1"/>
  <c r="O157" i="3"/>
  <c r="N157" i="3"/>
  <c r="Q157" i="3"/>
  <c r="J158" i="3"/>
  <c r="M158" i="3"/>
  <c r="M159" i="3" l="1"/>
  <c r="J159" i="3"/>
  <c r="O158" i="3"/>
  <c r="Q158" i="3"/>
  <c r="N158" i="3"/>
  <c r="F160" i="3"/>
  <c r="G160" i="3"/>
  <c r="E161" i="3" a="1"/>
  <c r="E161" i="3" s="1"/>
  <c r="G161" i="3" l="1"/>
  <c r="F161" i="3"/>
  <c r="E162" i="3" a="1"/>
  <c r="E162" i="3" s="1"/>
  <c r="Q159" i="3"/>
  <c r="O159" i="3"/>
  <c r="N159" i="3"/>
  <c r="M160" i="3"/>
  <c r="J160" i="3"/>
  <c r="N160" i="3" l="1"/>
  <c r="O160" i="3"/>
  <c r="Q160" i="3"/>
  <c r="J161" i="3"/>
  <c r="M161" i="3"/>
  <c r="F162" i="3"/>
  <c r="G162" i="3"/>
  <c r="E163" i="3" a="1"/>
  <c r="E163" i="3" s="1"/>
  <c r="G163" i="3" l="1"/>
  <c r="F163" i="3"/>
  <c r="E164" i="3" a="1"/>
  <c r="E164" i="3" s="1"/>
  <c r="M162" i="3"/>
  <c r="J162" i="3"/>
  <c r="O161" i="3"/>
  <c r="Q161" i="3"/>
  <c r="N161" i="3"/>
  <c r="M163" i="3" l="1"/>
  <c r="J163" i="3"/>
  <c r="O162" i="3"/>
  <c r="Q162" i="3"/>
  <c r="N162" i="3"/>
  <c r="F164" i="3"/>
  <c r="G164" i="3"/>
  <c r="E165" i="3" a="1"/>
  <c r="E165" i="3" s="1"/>
  <c r="G165" i="3" l="1"/>
  <c r="F165" i="3"/>
  <c r="E166" i="3" a="1"/>
  <c r="E166" i="3" s="1"/>
  <c r="M164" i="3"/>
  <c r="J164" i="3"/>
  <c r="O163" i="3"/>
  <c r="N163" i="3"/>
  <c r="Q163" i="3"/>
  <c r="M165" i="3" l="1"/>
  <c r="J165" i="3"/>
  <c r="N164" i="3"/>
  <c r="Q164" i="3"/>
  <c r="O164" i="3"/>
  <c r="F166" i="3"/>
  <c r="G166" i="3"/>
  <c r="E167" i="3" a="1"/>
  <c r="E167" i="3" s="1"/>
  <c r="F167" i="3" l="1"/>
  <c r="G167" i="3"/>
  <c r="E168" i="3" a="1"/>
  <c r="E168" i="3" s="1"/>
  <c r="J166" i="3"/>
  <c r="M166" i="3"/>
  <c r="Q165" i="3"/>
  <c r="O165" i="3"/>
  <c r="N165" i="3"/>
  <c r="G168" i="3" l="1"/>
  <c r="F168" i="3"/>
  <c r="E169" i="3" a="1"/>
  <c r="E169" i="3" s="1"/>
  <c r="O166" i="3"/>
  <c r="Q166" i="3"/>
  <c r="N166" i="3"/>
  <c r="M167" i="3"/>
  <c r="J167" i="3"/>
  <c r="O167" i="3" l="1"/>
  <c r="N167" i="3"/>
  <c r="Q167" i="3"/>
  <c r="M168" i="3"/>
  <c r="J168" i="3"/>
  <c r="F169" i="3"/>
  <c r="G169" i="3"/>
  <c r="E170" i="3" a="1"/>
  <c r="E170" i="3" s="1"/>
  <c r="G170" i="3" l="1"/>
  <c r="F170" i="3"/>
  <c r="E171" i="3" a="1"/>
  <c r="E171" i="3" s="1"/>
  <c r="N168" i="3"/>
  <c r="O168" i="3"/>
  <c r="Q168" i="3"/>
  <c r="M169" i="3"/>
  <c r="J169" i="3"/>
  <c r="Q169" i="3" l="1"/>
  <c r="N169" i="3"/>
  <c r="O169" i="3"/>
  <c r="M170" i="3"/>
  <c r="J170" i="3"/>
  <c r="F171" i="3"/>
  <c r="G171" i="3"/>
  <c r="E172" i="3" a="1"/>
  <c r="E172" i="3" s="1"/>
  <c r="G172" i="3" l="1"/>
  <c r="F172" i="3"/>
  <c r="E173" i="3" a="1"/>
  <c r="E173" i="3" s="1"/>
  <c r="O170" i="3"/>
  <c r="N170" i="3"/>
  <c r="Q170" i="3"/>
  <c r="J171" i="3"/>
  <c r="M171" i="3"/>
  <c r="M172" i="3" l="1"/>
  <c r="J172" i="3"/>
  <c r="O171" i="3"/>
  <c r="N171" i="3"/>
  <c r="Q171" i="3"/>
  <c r="F173" i="3"/>
  <c r="G173" i="3"/>
  <c r="E174" i="3" a="1"/>
  <c r="E174" i="3" s="1"/>
  <c r="G174" i="3" l="1"/>
  <c r="F174" i="3"/>
  <c r="E175" i="3" a="1"/>
  <c r="E175" i="3" s="1"/>
  <c r="M173" i="3"/>
  <c r="J173" i="3"/>
  <c r="O172" i="3"/>
  <c r="Q172" i="3"/>
  <c r="N172" i="3"/>
  <c r="M174" i="3" l="1"/>
  <c r="J174" i="3"/>
  <c r="O173" i="3"/>
  <c r="N173" i="3"/>
  <c r="Q173" i="3"/>
  <c r="G175" i="3"/>
  <c r="F175" i="3"/>
  <c r="E176" i="3" a="1"/>
  <c r="E176" i="3" s="1"/>
  <c r="F176" i="3" l="1"/>
  <c r="G176" i="3"/>
  <c r="E177" i="3" a="1"/>
  <c r="E177" i="3" s="1"/>
  <c r="J175" i="3"/>
  <c r="M175" i="3"/>
  <c r="O174" i="3"/>
  <c r="N174" i="3"/>
  <c r="Q174" i="3"/>
  <c r="F177" i="3" l="1"/>
  <c r="G177" i="3"/>
  <c r="O175" i="3"/>
  <c r="Q175" i="3"/>
  <c r="N175" i="3"/>
  <c r="M176" i="3"/>
  <c r="J176" i="3"/>
  <c r="N176" i="3" l="1"/>
  <c r="Q176" i="3"/>
  <c r="O176" i="3"/>
  <c r="J177" i="3"/>
  <c r="M177" i="3"/>
  <c r="Q177" i="3" l="1"/>
  <c r="O177" i="3"/>
  <c r="N17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100-000001000000}">
      <text>
        <r>
          <rPr>
            <sz val="11"/>
            <color rgb="FF000000"/>
            <rFont val="Calibri"/>
          </rPr>
          <t>=IMPORTHTML("http://www.tesouro.fazenda.gov.br/tesouro-direto-precos-e-taxas-dos-titulos";"table";4)</t>
        </r>
      </text>
    </comment>
    <comment ref="A712" authorId="0" shapeId="0" xr:uid="{00000000-0006-0000-0100-000002000000}">
      <text>
        <r>
          <rPr>
            <sz val="11"/>
            <color rgb="FF000000"/>
            <rFont val="Calibri"/>
          </rPr>
          <t>Novo ticker: ALSO3</t>
        </r>
      </text>
    </comment>
  </commentList>
</comments>
</file>

<file path=xl/sharedStrings.xml><?xml version="1.0" encoding="utf-8"?>
<sst xmlns="http://schemas.openxmlformats.org/spreadsheetml/2006/main" count="5592" uniqueCount="1775">
  <si>
    <t>Data</t>
  </si>
  <si>
    <t>Mês</t>
  </si>
  <si>
    <t>Qtde</t>
  </si>
  <si>
    <t>Preço</t>
  </si>
  <si>
    <t>Taxas</t>
  </si>
  <si>
    <t>IRRF</t>
  </si>
  <si>
    <t>Preço com corretagem</t>
  </si>
  <si>
    <t>Corretora</t>
  </si>
  <si>
    <t>HGLG11</t>
  </si>
  <si>
    <t>Easynvest</t>
  </si>
  <si>
    <t>BOVA11</t>
  </si>
  <si>
    <t>MXRF11</t>
  </si>
  <si>
    <t>BRCR11</t>
  </si>
  <si>
    <t>IVVB11</t>
  </si>
  <si>
    <t>BCFF11</t>
  </si>
  <si>
    <t>Genial</t>
  </si>
  <si>
    <t>Código</t>
  </si>
  <si>
    <t>Categoria</t>
  </si>
  <si>
    <t>Subcategoria</t>
  </si>
  <si>
    <t>Nome</t>
  </si>
  <si>
    <t>Tesouro Prefixado 2021</t>
  </si>
  <si>
    <t>AALR3</t>
  </si>
  <si>
    <t>Ações Brasil</t>
  </si>
  <si>
    <t>Tesouro Prefixado 2022</t>
  </si>
  <si>
    <t>ABCB4</t>
  </si>
  <si>
    <t>Finanças e Seguros</t>
  </si>
  <si>
    <t>Abc Brasil</t>
  </si>
  <si>
    <t>Tesouro Prefixado 2023</t>
  </si>
  <si>
    <t>ABCP11</t>
  </si>
  <si>
    <t>Fundo Imobiliário</t>
  </si>
  <si>
    <t>Shoppings</t>
  </si>
  <si>
    <t>FDO INV IMOB GRAND PLAZA SHOPPING</t>
  </si>
  <si>
    <t>Tesouro Prefixado 2025</t>
  </si>
  <si>
    <t>ABEV3</t>
  </si>
  <si>
    <t>Alimentos e Beb</t>
  </si>
  <si>
    <t>Ambev S/A</t>
  </si>
  <si>
    <t>Tesouro Prefixado 2026</t>
  </si>
  <si>
    <t>ADHM3</t>
  </si>
  <si>
    <t>-</t>
  </si>
  <si>
    <t>Advanced Digital Health Medc Pretv SA</t>
  </si>
  <si>
    <t>Tesouro Prefixado com Juros Semestrais 2021</t>
  </si>
  <si>
    <t>AEFI11</t>
  </si>
  <si>
    <t>Universidades</t>
  </si>
  <si>
    <t>FII Aesapar</t>
  </si>
  <si>
    <t>Tesouro Prefixado com Juros Semestrais 2023</t>
  </si>
  <si>
    <t>AELP3</t>
  </si>
  <si>
    <t>Energia Elétrica</t>
  </si>
  <si>
    <t>AES Elpa</t>
  </si>
  <si>
    <t>Tesouro Prefixado com Juros Semestrais 2025</t>
  </si>
  <si>
    <t>AFLT3</t>
  </si>
  <si>
    <t>Afluente T</t>
  </si>
  <si>
    <t>Tesouro Prefixado com Juros Semestrais 2027</t>
  </si>
  <si>
    <t>AFLU3</t>
  </si>
  <si>
    <t>Afluente</t>
  </si>
  <si>
    <t>Tesouro Prefixado com Juros Semestrais 2029</t>
  </si>
  <si>
    <t>AFLU5</t>
  </si>
  <si>
    <t>Tesouro Prefixado com Juros Semestrais 2031</t>
  </si>
  <si>
    <t>AGCX11</t>
  </si>
  <si>
    <t>Agências Bancárias</t>
  </si>
  <si>
    <t>FII Agências Caixa</t>
  </si>
  <si>
    <t>Tesouro Selic 2021</t>
  </si>
  <si>
    <t>AGEN33</t>
  </si>
  <si>
    <t>Agro e Pesca</t>
  </si>
  <si>
    <t>Agrenco</t>
  </si>
  <si>
    <t>Tesouro Selic 2023</t>
  </si>
  <si>
    <t>AGRO3</t>
  </si>
  <si>
    <t>BRASILAGRO - CIA BRAS DE PROP AGRICOLAS</t>
  </si>
  <si>
    <t>Tesouro Selic 2025</t>
  </si>
  <si>
    <t>AHEB3</t>
  </si>
  <si>
    <t>Outros</t>
  </si>
  <si>
    <t>SPturis</t>
  </si>
  <si>
    <t>Tesouro IGPM+ com Juros Semestrais 2021</t>
  </si>
  <si>
    <t>AHEB5</t>
  </si>
  <si>
    <t>Tesouro IGPM+ com Juros Semestrais 2031</t>
  </si>
  <si>
    <t>AHEB6</t>
  </si>
  <si>
    <t>Tesouro IPCA+ 2024</t>
  </si>
  <si>
    <t>ALMI11</t>
  </si>
  <si>
    <t xml:space="preserve">Imóveis Comerciais </t>
  </si>
  <si>
    <t>FII Torre Almirante</t>
  </si>
  <si>
    <t>Tesouro IPCA+ 2026</t>
  </si>
  <si>
    <t>ALPA3</t>
  </si>
  <si>
    <t>Textil</t>
  </si>
  <si>
    <t>Alpargatas</t>
  </si>
  <si>
    <t>Tesouro IPCA+ 2035</t>
  </si>
  <si>
    <t>ALPA4</t>
  </si>
  <si>
    <t>Tesouro IPCA+ 2045</t>
  </si>
  <si>
    <t>ALSC3</t>
  </si>
  <si>
    <t>Exploração de Imóveis</t>
  </si>
  <si>
    <t>Aliansce</t>
  </si>
  <si>
    <t>Tesouro IPCA+ com Juros Semestrais 2020</t>
  </si>
  <si>
    <t>ALUP11</t>
  </si>
  <si>
    <t>ALUPAR INVESTIMENTO S/A</t>
  </si>
  <si>
    <t>Tesouro IPCA+ com Juros Semestrais 2024</t>
  </si>
  <si>
    <t>ALUP3</t>
  </si>
  <si>
    <t>Tesouro IPCA+ com Juros Semestrais 2026</t>
  </si>
  <si>
    <t>ALUP4</t>
  </si>
  <si>
    <t>Alupar</t>
  </si>
  <si>
    <t>Tesouro IPCA+ com Juros Semestrais 2030</t>
  </si>
  <si>
    <t>ALZR11</t>
  </si>
  <si>
    <t>Imóveis Logísticos</t>
  </si>
  <si>
    <t>ALIANZA TRUST RENDA IMOBILIARIA FDO INV IMOB</t>
  </si>
  <si>
    <t>Tesouro IPCA+ com Juros Semestrais 2035</t>
  </si>
  <si>
    <t>AMAR3</t>
  </si>
  <si>
    <t>Comércio</t>
  </si>
  <si>
    <t>MARISA LOJAS S.A.</t>
  </si>
  <si>
    <t>Tesouro IPCA+ com Juros Semestrais 2040</t>
  </si>
  <si>
    <t>AMCA11</t>
  </si>
  <si>
    <t>Américas 700</t>
  </si>
  <si>
    <t>Tesouro IPCA+ com Juros Semestrais 2045</t>
  </si>
  <si>
    <t>ANCR11B</t>
  </si>
  <si>
    <t>FII Ancar Ic</t>
  </si>
  <si>
    <t>Tesouro IPCA+ com Juros Semestrais 2050</t>
  </si>
  <si>
    <t>ANDG3B</t>
  </si>
  <si>
    <t>Transporte Serviç</t>
  </si>
  <si>
    <t>AGconcessoes</t>
  </si>
  <si>
    <t>Tesouro IPCA+ com Juros Semestrais 2055</t>
  </si>
  <si>
    <t>ANIM3</t>
  </si>
  <si>
    <t>ANIMA HOLDING S.A.</t>
  </si>
  <si>
    <t>APTI3</t>
  </si>
  <si>
    <t>Siderur &amp; Metalur</t>
  </si>
  <si>
    <t>Aliperti</t>
  </si>
  <si>
    <t>APTI4</t>
  </si>
  <si>
    <t>AQLL11</t>
  </si>
  <si>
    <t>Fundo de Fundo</t>
  </si>
  <si>
    <t>FII Aquilla</t>
  </si>
  <si>
    <t>ARFI11B</t>
  </si>
  <si>
    <t>Recebíveis Imobiliários</t>
  </si>
  <si>
    <t>FII Aquil Rd</t>
  </si>
  <si>
    <t>ARZZ3</t>
  </si>
  <si>
    <t>Arezzo Co</t>
  </si>
  <si>
    <t>ATCR11</t>
  </si>
  <si>
    <t>Hotéis</t>
  </si>
  <si>
    <t>HAZ FII</t>
  </si>
  <si>
    <t>ATOM3</t>
  </si>
  <si>
    <t>Telecomunicações</t>
  </si>
  <si>
    <t>Atompar</t>
  </si>
  <si>
    <t>ATSA11B</t>
  </si>
  <si>
    <t>FII Cshgatsa</t>
  </si>
  <si>
    <t>AZEV3</t>
  </si>
  <si>
    <t>Construção Civil</t>
  </si>
  <si>
    <t>Azevedo</t>
  </si>
  <si>
    <t>AZEV4</t>
  </si>
  <si>
    <t>AZUL4</t>
  </si>
  <si>
    <t>Azul</t>
  </si>
  <si>
    <t>B3SA3</t>
  </si>
  <si>
    <t>B3 S.A. - BRASIL. BOLSA. BALCÃO</t>
  </si>
  <si>
    <t>BAHI3</t>
  </si>
  <si>
    <t>Bahema</t>
  </si>
  <si>
    <t>BALM3</t>
  </si>
  <si>
    <t>Baumer</t>
  </si>
  <si>
    <t>BALM4</t>
  </si>
  <si>
    <t>BAUH3</t>
  </si>
  <si>
    <t>Excelsior</t>
  </si>
  <si>
    <t>BAUH4</t>
  </si>
  <si>
    <t>BAZA3</t>
  </si>
  <si>
    <t>Amazonia</t>
  </si>
  <si>
    <t>BBAS3</t>
  </si>
  <si>
    <t>BCO BRASIL S.A.</t>
  </si>
  <si>
    <t>BBDC3</t>
  </si>
  <si>
    <t>BCO BRADESCO S.A.</t>
  </si>
  <si>
    <t>BBDC4</t>
  </si>
  <si>
    <t>BBFI11B</t>
  </si>
  <si>
    <t>BB FDO INV IMOB PROGRESSIVO</t>
  </si>
  <si>
    <t>BBIM11</t>
  </si>
  <si>
    <t>FII BB Recim</t>
  </si>
  <si>
    <t>BBPO11</t>
  </si>
  <si>
    <t>BB PROGRESSIVO II FDO INV IMOB - FII</t>
  </si>
  <si>
    <t>BBRC11</t>
  </si>
  <si>
    <t>BB RENDA CORPORATIVA FDO INV IMOB - FII</t>
  </si>
  <si>
    <t>BBRK3</t>
  </si>
  <si>
    <t>BR Brokers</t>
  </si>
  <si>
    <t>BBSE3</t>
  </si>
  <si>
    <t>BBSeguridade</t>
  </si>
  <si>
    <t>BBVJ11</t>
  </si>
  <si>
    <t>BB Renda Corporativa</t>
  </si>
  <si>
    <t>FDO INV IMOB - FII BTG PACTUAL FUNDO DE FUNDOS</t>
  </si>
  <si>
    <t>BCFF11B</t>
  </si>
  <si>
    <t>BTG Fundo de Fundos Imobiliários</t>
  </si>
  <si>
    <t>BCIA11</t>
  </si>
  <si>
    <t>FII Bcia</t>
  </si>
  <si>
    <t>BCRI11</t>
  </si>
  <si>
    <t>BANESTES RECEBÍVEIS IMOBILIÁRIOS FDO INV IMOB FII</t>
  </si>
  <si>
    <t>BDLL3</t>
  </si>
  <si>
    <t>Máquinas Indust</t>
  </si>
  <si>
    <t>Bardella</t>
  </si>
  <si>
    <t>BDLL4</t>
  </si>
  <si>
    <t>BEEF3</t>
  </si>
  <si>
    <t>Alimentos Processados</t>
  </si>
  <si>
    <t>MINERVA S.A.</t>
  </si>
  <si>
    <t>BEES3</t>
  </si>
  <si>
    <t>Banestes</t>
  </si>
  <si>
    <t>BEES4</t>
  </si>
  <si>
    <t>BGIP3</t>
  </si>
  <si>
    <t>Banese</t>
  </si>
  <si>
    <t>BGIP4</t>
  </si>
  <si>
    <t>BIDI11</t>
  </si>
  <si>
    <t>Banco Inter</t>
  </si>
  <si>
    <t>BIDI4</t>
  </si>
  <si>
    <t>BIOM3</t>
  </si>
  <si>
    <t>Biomm</t>
  </si>
  <si>
    <t>BJRC11</t>
  </si>
  <si>
    <t>JS Real Estate Recebíveis Imobiliários</t>
  </si>
  <si>
    <t>BKBR3</t>
  </si>
  <si>
    <t>BK Brasil</t>
  </si>
  <si>
    <t>BMEB3</t>
  </si>
  <si>
    <t>Merc Brasil</t>
  </si>
  <si>
    <t>BMEB4</t>
  </si>
  <si>
    <t>BMII11</t>
  </si>
  <si>
    <t>Brasílio Machado</t>
  </si>
  <si>
    <t>BMIN3</t>
  </si>
  <si>
    <t>Merc Invest</t>
  </si>
  <si>
    <t>BMIN4</t>
  </si>
  <si>
    <t>BMKS3</t>
  </si>
  <si>
    <t>Veiculos e peças</t>
  </si>
  <si>
    <t>Bic Monark</t>
  </si>
  <si>
    <t>BMLC11B</t>
  </si>
  <si>
    <t>FII BM Brascan Lajes Corporativas</t>
  </si>
  <si>
    <t>BNBR3</t>
  </si>
  <si>
    <t>Nord Brasil</t>
  </si>
  <si>
    <t>BNFS11</t>
  </si>
  <si>
    <t>FII Banrisul</t>
  </si>
  <si>
    <t>BNPA3B</t>
  </si>
  <si>
    <t>Bonaire Part</t>
  </si>
  <si>
    <t>BOBR3</t>
  </si>
  <si>
    <t>Química</t>
  </si>
  <si>
    <t>Bombril</t>
  </si>
  <si>
    <t>BOBR4</t>
  </si>
  <si>
    <t>Fundo de índice</t>
  </si>
  <si>
    <t>ISHARES IBOVESPA FUNDO DE ÍNDICE</t>
  </si>
  <si>
    <t>BPAC11</t>
  </si>
  <si>
    <t>BTG Pactual</t>
  </si>
  <si>
    <t>BPAC3</t>
  </si>
  <si>
    <t>BPAC5</t>
  </si>
  <si>
    <t>BPAN3</t>
  </si>
  <si>
    <t>Banco Pan</t>
  </si>
  <si>
    <t>BPAN4</t>
  </si>
  <si>
    <t>BPAR3</t>
  </si>
  <si>
    <t>Banpara</t>
  </si>
  <si>
    <t>BPFF11</t>
  </si>
  <si>
    <t>FDO INV IMOB BRASIL PLURAL ABSOLUTO FDO DE FUNDOS</t>
  </si>
  <si>
    <t>BPHA3</t>
  </si>
  <si>
    <t>BR Pharma</t>
  </si>
  <si>
    <t>BRAP3</t>
  </si>
  <si>
    <t>Bradespar</t>
  </si>
  <si>
    <t>BRAP4</t>
  </si>
  <si>
    <t>BRADESPAR S.A.</t>
  </si>
  <si>
    <t>BRAX11</t>
  </si>
  <si>
    <t>Fundos de Índice</t>
  </si>
  <si>
    <t>IBrX-Índice Brasil (IBrX-100) Fundo de Índice</t>
  </si>
  <si>
    <t>FDO INV IMOB - FII BTG PACTUAL CORP. OFFICE FUND</t>
  </si>
  <si>
    <t>BRDT3</t>
  </si>
  <si>
    <t>Petrobras Distribuidora</t>
  </si>
  <si>
    <t>BRDT4</t>
  </si>
  <si>
    <t>BRFS3</t>
  </si>
  <si>
    <t>BRF SA</t>
  </si>
  <si>
    <t>BRGE11</t>
  </si>
  <si>
    <t>Alfa Consorc</t>
  </si>
  <si>
    <t>BRGE12</t>
  </si>
  <si>
    <t>BRGE3</t>
  </si>
  <si>
    <t>BRGE5</t>
  </si>
  <si>
    <t>BRGE6</t>
  </si>
  <si>
    <t>BRGE7</t>
  </si>
  <si>
    <t>BRGE8</t>
  </si>
  <si>
    <t>BRHT11B</t>
  </si>
  <si>
    <t>FII Brhoteis</t>
  </si>
  <si>
    <t>BRIN3</t>
  </si>
  <si>
    <t>BR Insurance</t>
  </si>
  <si>
    <t>BRIV3</t>
  </si>
  <si>
    <t>Alfa Invest</t>
  </si>
  <si>
    <t>BRIV4</t>
  </si>
  <si>
    <t>BRKM3</t>
  </si>
  <si>
    <t>Químicos</t>
  </si>
  <si>
    <t>BRASKEM S.A.</t>
  </si>
  <si>
    <t>BRKM5</t>
  </si>
  <si>
    <t>BRKM6</t>
  </si>
  <si>
    <t>BRML3</t>
  </si>
  <si>
    <t>BR MALLS PARTICIPACOES S.A.</t>
  </si>
  <si>
    <t>BRPR3</t>
  </si>
  <si>
    <t>BR Propert</t>
  </si>
  <si>
    <t>BRQB3</t>
  </si>
  <si>
    <t>Software e Dados</t>
  </si>
  <si>
    <t>Brq</t>
  </si>
  <si>
    <t>BRSR3</t>
  </si>
  <si>
    <t>Banrisul</t>
  </si>
  <si>
    <t>BRSR5</t>
  </si>
  <si>
    <t>BRSR6</t>
  </si>
  <si>
    <t>BSEV3</t>
  </si>
  <si>
    <t>Biosev</t>
  </si>
  <si>
    <t>BSLI3</t>
  </si>
  <si>
    <t>BRB Banco</t>
  </si>
  <si>
    <t>BSLI4</t>
  </si>
  <si>
    <t>BTGM11</t>
  </si>
  <si>
    <t>FII Btgmalls</t>
  </si>
  <si>
    <t>BTOW3</t>
  </si>
  <si>
    <t>B2W Digital</t>
  </si>
  <si>
    <t>BTTL3</t>
  </si>
  <si>
    <t>Battistella</t>
  </si>
  <si>
    <t>BTTL4</t>
  </si>
  <si>
    <t>BUET3</t>
  </si>
  <si>
    <t>Buettner</t>
  </si>
  <si>
    <t>BUET4</t>
  </si>
  <si>
    <t>BTLG11</t>
  </si>
  <si>
    <t>FII BTG Pactual Logística</t>
  </si>
  <si>
    <t>BVAR11</t>
  </si>
  <si>
    <t>FII B Varejo</t>
  </si>
  <si>
    <t>CABB3</t>
  </si>
  <si>
    <t>Cabambiental</t>
  </si>
  <si>
    <t>CABI3B</t>
  </si>
  <si>
    <t>Cabinda Part</t>
  </si>
  <si>
    <t>CACO3B</t>
  </si>
  <si>
    <t>Caconde Part</t>
  </si>
  <si>
    <t>CAIA3B</t>
  </si>
  <si>
    <t>Caianda Part</t>
  </si>
  <si>
    <t>CALA3B</t>
  </si>
  <si>
    <t>Dommo Empr</t>
  </si>
  <si>
    <t>CALA4B</t>
  </si>
  <si>
    <t>CALI3</t>
  </si>
  <si>
    <t>Const A Lind</t>
  </si>
  <si>
    <t>CALI4</t>
  </si>
  <si>
    <t>CAMB3</t>
  </si>
  <si>
    <t>Cambuci</t>
  </si>
  <si>
    <t>CAMB4</t>
  </si>
  <si>
    <t>CAML3</t>
  </si>
  <si>
    <t>Camil Alimentos</t>
  </si>
  <si>
    <t>CANT3B</t>
  </si>
  <si>
    <t>Agpart</t>
  </si>
  <si>
    <t>CANT4B</t>
  </si>
  <si>
    <t>CARD3</t>
  </si>
  <si>
    <t>Serviços Diversos</t>
  </si>
  <si>
    <t>CSU CARDSYSTEM S.A.</t>
  </si>
  <si>
    <t>BZLI11</t>
  </si>
  <si>
    <t>BRAZIL REALTY</t>
  </si>
  <si>
    <t>CASN3</t>
  </si>
  <si>
    <t>Casan</t>
  </si>
  <si>
    <t>CASN4</t>
  </si>
  <si>
    <t>CATA3</t>
  </si>
  <si>
    <t>Ind Cataguas</t>
  </si>
  <si>
    <t>CATA4</t>
  </si>
  <si>
    <t>CBEE3</t>
  </si>
  <si>
    <t>Ampla Energ</t>
  </si>
  <si>
    <t>CBMA3</t>
  </si>
  <si>
    <t>Cobrasma</t>
  </si>
  <si>
    <t>CBMA4</t>
  </si>
  <si>
    <t>CARE11</t>
  </si>
  <si>
    <t>FII Dea Care</t>
  </si>
  <si>
    <t>CCHI3</t>
  </si>
  <si>
    <t>Minerais não Met</t>
  </si>
  <si>
    <t>Chiarelli</t>
  </si>
  <si>
    <t>CCHI4</t>
  </si>
  <si>
    <t>CCPR3</t>
  </si>
  <si>
    <t>Cyre Com-Ccp</t>
  </si>
  <si>
    <t>CCRO3</t>
  </si>
  <si>
    <t>CCR SA</t>
  </si>
  <si>
    <t>CCXC3</t>
  </si>
  <si>
    <t>Mineração</t>
  </si>
  <si>
    <t>Ccx Carvao</t>
  </si>
  <si>
    <t>CEBR3</t>
  </si>
  <si>
    <t>Ceb</t>
  </si>
  <si>
    <t>CEBR5</t>
  </si>
  <si>
    <t>CEBR6</t>
  </si>
  <si>
    <t>CEDO3</t>
  </si>
  <si>
    <t>Cedro</t>
  </si>
  <si>
    <t>CEDO4</t>
  </si>
  <si>
    <t>CEEB3</t>
  </si>
  <si>
    <t>Coelba</t>
  </si>
  <si>
    <t>CEEB5</t>
  </si>
  <si>
    <t>CEEB6</t>
  </si>
  <si>
    <t>CEED3</t>
  </si>
  <si>
    <t>Ceee-D</t>
  </si>
  <si>
    <t>CEED4</t>
  </si>
  <si>
    <t>CEGR3</t>
  </si>
  <si>
    <t>Petróleo e Gas</t>
  </si>
  <si>
    <t>Ceg</t>
  </si>
  <si>
    <t>CELP3</t>
  </si>
  <si>
    <t>CELPA</t>
  </si>
  <si>
    <t>CELP5</t>
  </si>
  <si>
    <t>CELP6</t>
  </si>
  <si>
    <t>CELP7</t>
  </si>
  <si>
    <t>CBOP11</t>
  </si>
  <si>
    <t>CASTELLO BRANCO OFFICE PARK FDO INV IMOB - FII</t>
  </si>
  <si>
    <t>CEPE3</t>
  </si>
  <si>
    <t>Celpe</t>
  </si>
  <si>
    <t>CEPE5</t>
  </si>
  <si>
    <t>CEPE6</t>
  </si>
  <si>
    <t>CESP3</t>
  </si>
  <si>
    <t>Cesp</t>
  </si>
  <si>
    <t>CESP5</t>
  </si>
  <si>
    <t>CESP6</t>
  </si>
  <si>
    <t>CGAS3</t>
  </si>
  <si>
    <t>Petróleo, Gás e Biocombustíveis</t>
  </si>
  <si>
    <t>CIA GAS DE SAO PAULO - COMGAS</t>
  </si>
  <si>
    <t>CGAS5</t>
  </si>
  <si>
    <t>CGRA3</t>
  </si>
  <si>
    <t>GRAZZIOTIN S.A.</t>
  </si>
  <si>
    <t>CGRA4</t>
  </si>
  <si>
    <t>CIEL3</t>
  </si>
  <si>
    <t>Cielo</t>
  </si>
  <si>
    <t>CLSC3</t>
  </si>
  <si>
    <t>CENTRAIS ELET DE SANTA CATARINA S.A.</t>
  </si>
  <si>
    <t>CLSC4</t>
  </si>
  <si>
    <t>CMIG3</t>
  </si>
  <si>
    <t>CIA ENERGETICA DE MINAS GERAIS - CEMIG</t>
  </si>
  <si>
    <t>CMIG4</t>
  </si>
  <si>
    <t>CMSA3</t>
  </si>
  <si>
    <t>Cims</t>
  </si>
  <si>
    <t>CMSA4</t>
  </si>
  <si>
    <t>CEOC11</t>
  </si>
  <si>
    <t>FII Ceo Ccp</t>
  </si>
  <si>
    <t>CNSY3</t>
  </si>
  <si>
    <t>Cinesystem</t>
  </si>
  <si>
    <t>COBE3B</t>
  </si>
  <si>
    <t>Const Beter</t>
  </si>
  <si>
    <t>COBE5B</t>
  </si>
  <si>
    <t>COBE6B</t>
  </si>
  <si>
    <t>COCE3</t>
  </si>
  <si>
    <t>CIA ENERGETICA DO CEARA - COELCE</t>
  </si>
  <si>
    <t>COCE5</t>
  </si>
  <si>
    <t>COCE6</t>
  </si>
  <si>
    <t>CORR3</t>
  </si>
  <si>
    <t>Cor Ribeiro</t>
  </si>
  <si>
    <t>CORR4</t>
  </si>
  <si>
    <t>CPFE3</t>
  </si>
  <si>
    <t>CPFL Energia</t>
  </si>
  <si>
    <t>CPLE3</t>
  </si>
  <si>
    <t>CIA PARANAENSE DE ENERGIA - COPEL</t>
  </si>
  <si>
    <t>CPLE5</t>
  </si>
  <si>
    <t>CPLE6</t>
  </si>
  <si>
    <t>CPRE3</t>
  </si>
  <si>
    <t>CPFL Renovav</t>
  </si>
  <si>
    <t>CPTP3B</t>
  </si>
  <si>
    <t>Capitalpart</t>
  </si>
  <si>
    <t>CNES11</t>
  </si>
  <si>
    <t>FII Cenesp</t>
  </si>
  <si>
    <t>CRDE3</t>
  </si>
  <si>
    <t>Cr2</t>
  </si>
  <si>
    <t>CREM3</t>
  </si>
  <si>
    <t>Cremer</t>
  </si>
  <si>
    <t>CRFB3</t>
  </si>
  <si>
    <t>Carrefour Brasil</t>
  </si>
  <si>
    <t>CRIV3</t>
  </si>
  <si>
    <t>Alfa Financ</t>
  </si>
  <si>
    <t>CRIV4</t>
  </si>
  <si>
    <t>CRPG3</t>
  </si>
  <si>
    <t>TRONOX PIGMENTOS DO BRASIL S.A.</t>
  </si>
  <si>
    <t>CRPG5</t>
  </si>
  <si>
    <t>CRPG6</t>
  </si>
  <si>
    <t>CRTE3B</t>
  </si>
  <si>
    <t>Transporte</t>
  </si>
  <si>
    <t>Conc Rio Ter</t>
  </si>
  <si>
    <t>CRTE5B</t>
  </si>
  <si>
    <t>CSAB3</t>
  </si>
  <si>
    <t>Seg Al Bahia</t>
  </si>
  <si>
    <t>CSAB4</t>
  </si>
  <si>
    <t>CSAN3</t>
  </si>
  <si>
    <t>COSAN S.A.</t>
  </si>
  <si>
    <t>CSAN99</t>
  </si>
  <si>
    <t>CSMG3</t>
  </si>
  <si>
    <t>CIA SANEAMENTO DE MINAS GERAIS-COPASA MG</t>
  </si>
  <si>
    <t>CSNA3</t>
  </si>
  <si>
    <t>CIA SIDERURGICA NACIONAL</t>
  </si>
  <si>
    <t>CSRN3</t>
  </si>
  <si>
    <t>Cosern</t>
  </si>
  <si>
    <t>CSRN5</t>
  </si>
  <si>
    <t>CSRN6</t>
  </si>
  <si>
    <t>CTAX3</t>
  </si>
  <si>
    <t>Contax</t>
  </si>
  <si>
    <t>CTIP3</t>
  </si>
  <si>
    <t>Cetip</t>
  </si>
  <si>
    <t>CTKA3</t>
  </si>
  <si>
    <t>Karsten</t>
  </si>
  <si>
    <t>CTKA4</t>
  </si>
  <si>
    <t>CTNM3</t>
  </si>
  <si>
    <t>Coteminas</t>
  </si>
  <si>
    <t>CTNM4</t>
  </si>
  <si>
    <t>CTSA3</t>
  </si>
  <si>
    <t>Santanense</t>
  </si>
  <si>
    <t>CTSA4</t>
  </si>
  <si>
    <t>CTSA8</t>
  </si>
  <si>
    <t>CPFF11</t>
  </si>
  <si>
    <t>Fundo de Fundos</t>
  </si>
  <si>
    <t>CAPITÂNIA REIT FOF - FDO. INVEST. IMOB</t>
  </si>
  <si>
    <t>CVCB3</t>
  </si>
  <si>
    <t>Cvc Brasil</t>
  </si>
  <si>
    <t>CPTS11</t>
  </si>
  <si>
    <t>FII Capi Sec</t>
  </si>
  <si>
    <t>CTXT11</t>
  </si>
  <si>
    <t>FII C Textil</t>
  </si>
  <si>
    <t>CVBI11</t>
  </si>
  <si>
    <t>FDO INV. IMOB. VBI CRI</t>
  </si>
  <si>
    <t>CYRE3</t>
  </si>
  <si>
    <t>Cyrela Realt</t>
  </si>
  <si>
    <t>CZLT33</t>
  </si>
  <si>
    <t>Cosan Ltd</t>
  </si>
  <si>
    <t>DAGB33</t>
  </si>
  <si>
    <t>Dufry Ag</t>
  </si>
  <si>
    <t>DASA3</t>
  </si>
  <si>
    <t>Dasa</t>
  </si>
  <si>
    <t>DAYC4</t>
  </si>
  <si>
    <t>Daycoval</t>
  </si>
  <si>
    <t>DHBI3</t>
  </si>
  <si>
    <t>DHB</t>
  </si>
  <si>
    <t>DHBI4</t>
  </si>
  <si>
    <t>DIRR3</t>
  </si>
  <si>
    <t>Direcional</t>
  </si>
  <si>
    <t>DIVO11</t>
  </si>
  <si>
    <t>Fundo de Índice</t>
  </si>
  <si>
    <t>IT NOW IDIV ETF</t>
  </si>
  <si>
    <t>DOHL3</t>
  </si>
  <si>
    <t>Dohler</t>
  </si>
  <si>
    <t>DOHL4</t>
  </si>
  <si>
    <t>CXCE11B</t>
  </si>
  <si>
    <t>FII Cx Cedae</t>
  </si>
  <si>
    <t>CXRI11</t>
  </si>
  <si>
    <t>FII Cx Rbrav</t>
  </si>
  <si>
    <t>CXTL11</t>
  </si>
  <si>
    <t>FII Cx Trx</t>
  </si>
  <si>
    <t>DTCY3</t>
  </si>
  <si>
    <t>Dtcom Direct</t>
  </si>
  <si>
    <t>DTCY4</t>
  </si>
  <si>
    <t>DTEX3</t>
  </si>
  <si>
    <t>Duratex</t>
  </si>
  <si>
    <t>EALT3</t>
  </si>
  <si>
    <t>Aco Altona</t>
  </si>
  <si>
    <t>EALT4</t>
  </si>
  <si>
    <t>ECOR3</t>
  </si>
  <si>
    <t>ECORODOVIAS INFRAESTRUTURA E LOGÍSTICA S.A.</t>
  </si>
  <si>
    <t>ECPR3</t>
  </si>
  <si>
    <t>Encorpar</t>
  </si>
  <si>
    <t>ECPR4</t>
  </si>
  <si>
    <t>DOMC11</t>
  </si>
  <si>
    <t>FII Domo</t>
  </si>
  <si>
    <t>DOVL11B</t>
  </si>
  <si>
    <t>FII Dovel</t>
  </si>
  <si>
    <t>EEEL3</t>
  </si>
  <si>
    <t>Ceee-Gt</t>
  </si>
  <si>
    <t>EEEL4</t>
  </si>
  <si>
    <t>EGIE3</t>
  </si>
  <si>
    <t>Engie Brasil</t>
  </si>
  <si>
    <t>EKTR3</t>
  </si>
  <si>
    <t>Elektro</t>
  </si>
  <si>
    <t>EKTR4</t>
  </si>
  <si>
    <t>DRIT11B</t>
  </si>
  <si>
    <t>FII Mtgestao</t>
  </si>
  <si>
    <t>ELEK3</t>
  </si>
  <si>
    <t>Elekeiroz</t>
  </si>
  <si>
    <t>ELEK4</t>
  </si>
  <si>
    <t>ELET3</t>
  </si>
  <si>
    <t>CENTRAIS ELET BRAS S.A. - ELETROBRAS</t>
  </si>
  <si>
    <t>ELET5</t>
  </si>
  <si>
    <t>ELET6</t>
  </si>
  <si>
    <t>ELPL3</t>
  </si>
  <si>
    <t>Eletropaulo</t>
  </si>
  <si>
    <t>ELPL4</t>
  </si>
  <si>
    <t>EMAE3</t>
  </si>
  <si>
    <t>Emae</t>
  </si>
  <si>
    <t>EMAE4</t>
  </si>
  <si>
    <t>EMBR3</t>
  </si>
  <si>
    <t>EMBRAER S.A.</t>
  </si>
  <si>
    <t>ENAT3</t>
  </si>
  <si>
    <t>ENAUTA PARTICIPAÇÕES S.A.</t>
  </si>
  <si>
    <t>ENBR3</t>
  </si>
  <si>
    <t>EDP - ENERGIAS DO BRASIL S.A.</t>
  </si>
  <si>
    <t>ENEV3</t>
  </si>
  <si>
    <t>ENEVA S.A</t>
  </si>
  <si>
    <t>ENGI11</t>
  </si>
  <si>
    <t>Energisa</t>
  </si>
  <si>
    <t>ENGI3</t>
  </si>
  <si>
    <t>ENGI4</t>
  </si>
  <si>
    <t>ENMA3B</t>
  </si>
  <si>
    <t>Cemar</t>
  </si>
  <si>
    <t>ENMA5</t>
  </si>
  <si>
    <t>ENMA6B</t>
  </si>
  <si>
    <t>ENMT3</t>
  </si>
  <si>
    <t>Energisa Mt</t>
  </si>
  <si>
    <t>ENMT4</t>
  </si>
  <si>
    <t>EQTL3</t>
  </si>
  <si>
    <t>Equatorial</t>
  </si>
  <si>
    <t>ESTC3</t>
  </si>
  <si>
    <t>Estacio Part</t>
  </si>
  <si>
    <t>ESTR3</t>
  </si>
  <si>
    <t>Estrela</t>
  </si>
  <si>
    <t>ESTR4</t>
  </si>
  <si>
    <t>ETER3</t>
  </si>
  <si>
    <t>Eternit</t>
  </si>
  <si>
    <t>ETRO3B</t>
  </si>
  <si>
    <t>Eletron</t>
  </si>
  <si>
    <t>EUCA3</t>
  </si>
  <si>
    <t>EUCATEX S.A. INDUSTRIA E COMERCIO</t>
  </si>
  <si>
    <t>EUCA4</t>
  </si>
  <si>
    <t>EDFO11B</t>
  </si>
  <si>
    <t>FII Ourinves</t>
  </si>
  <si>
    <t>EVEN3</t>
  </si>
  <si>
    <t>Even</t>
  </si>
  <si>
    <t>EZTC3</t>
  </si>
  <si>
    <t>EZ TEC EMPREEND. E PARTICIPACOES S.A.</t>
  </si>
  <si>
    <t>EDGA11</t>
  </si>
  <si>
    <t>FDO INV IMOB - FII EDIFÍCIO GALERIA</t>
  </si>
  <si>
    <t>ELDO11B</t>
  </si>
  <si>
    <t>FII Eldorado</t>
  </si>
  <si>
    <t>FBMC3</t>
  </si>
  <si>
    <t>Siderurgia e Metalurgia</t>
  </si>
  <si>
    <t>Fibam</t>
  </si>
  <si>
    <t>FBMC4</t>
  </si>
  <si>
    <t>EURO11</t>
  </si>
  <si>
    <t>FII Europar</t>
  </si>
  <si>
    <t>FAED11</t>
  </si>
  <si>
    <t>FII Anh Educ</t>
  </si>
  <si>
    <t>FESA3</t>
  </si>
  <si>
    <t>CIA FERRO LIGAS DA BAHIA - FERBASA</t>
  </si>
  <si>
    <t>FESA4</t>
  </si>
  <si>
    <t>FAMB11B</t>
  </si>
  <si>
    <t>FDO INV IMOB - FII EDIFÍCIO ALMIRANTE BARROSO</t>
  </si>
  <si>
    <t>FCAS11</t>
  </si>
  <si>
    <t>FII Castelo</t>
  </si>
  <si>
    <t>FHER3</t>
  </si>
  <si>
    <t>Fer Heringer</t>
  </si>
  <si>
    <t>FIBR3</t>
  </si>
  <si>
    <t>Madeira e Papel</t>
  </si>
  <si>
    <t>Fibria</t>
  </si>
  <si>
    <t>FIGE3</t>
  </si>
  <si>
    <t>Invest Bemge</t>
  </si>
  <si>
    <t>FIGE4</t>
  </si>
  <si>
    <t>FCFL11</t>
  </si>
  <si>
    <t>FDO INV IMOB - FII CAMPUS FARIA LIMA</t>
  </si>
  <si>
    <t>FEXC11</t>
  </si>
  <si>
    <t>FII Excellen</t>
  </si>
  <si>
    <t>FFCI11</t>
  </si>
  <si>
    <t>FII Riob Rc</t>
  </si>
  <si>
    <t>FIGS11</t>
  </si>
  <si>
    <t>FDO INV IMOB GENERAL SHOPPING ATIVO E RENDA - FII</t>
  </si>
  <si>
    <t>FIIB11</t>
  </si>
  <si>
    <t>FII Indl BR</t>
  </si>
  <si>
    <t>FIIP11B</t>
  </si>
  <si>
    <t>RB CAPITAL RENDA I FDO INV IMOB - FII</t>
  </si>
  <si>
    <t>FINF11</t>
  </si>
  <si>
    <t>FII Infra Re</t>
  </si>
  <si>
    <t>FJTA3</t>
  </si>
  <si>
    <t>Máquinas e Equipamentos</t>
  </si>
  <si>
    <t>Forja Taurus</t>
  </si>
  <si>
    <t>FJTA4</t>
  </si>
  <si>
    <t>FISD11</t>
  </si>
  <si>
    <t>FII Domingos</t>
  </si>
  <si>
    <t>FIVN11</t>
  </si>
  <si>
    <t>FII Vidanova</t>
  </si>
  <si>
    <t>FIXX11</t>
  </si>
  <si>
    <t>FII Fatorfix</t>
  </si>
  <si>
    <t>FLRY3</t>
  </si>
  <si>
    <t>FLEURY S.A.</t>
  </si>
  <si>
    <t>FLCI11</t>
  </si>
  <si>
    <t>FII Lci Prem</t>
  </si>
  <si>
    <t>FNCN3</t>
  </si>
  <si>
    <t>Finansinos</t>
  </si>
  <si>
    <t>FLMA11</t>
  </si>
  <si>
    <t>FDO INV IMOB CONTINENTAL SQUARE FARIA LIMA</t>
  </si>
  <si>
    <t>FOMS3</t>
  </si>
  <si>
    <t>Fornodeminas</t>
  </si>
  <si>
    <t>FLRP11</t>
  </si>
  <si>
    <t>FII Floripa</t>
  </si>
  <si>
    <t>FMOF11</t>
  </si>
  <si>
    <t>FII Memorial</t>
  </si>
  <si>
    <t>FRAS3</t>
  </si>
  <si>
    <t>FRAS-LE S.A.</t>
  </si>
  <si>
    <t>FRIO3</t>
  </si>
  <si>
    <t>Metalfrio</t>
  </si>
  <si>
    <t>FRRN3B</t>
  </si>
  <si>
    <t>All Norte</t>
  </si>
  <si>
    <t>FRRN5B</t>
  </si>
  <si>
    <t>FRRN6B</t>
  </si>
  <si>
    <t>FRTA3</t>
  </si>
  <si>
    <t>Pomifrutas</t>
  </si>
  <si>
    <t>FOFT11</t>
  </si>
  <si>
    <t>FII Cshgfoft</t>
  </si>
  <si>
    <t>FTRT3B</t>
  </si>
  <si>
    <t>Futuretel</t>
  </si>
  <si>
    <t>FPAB11</t>
  </si>
  <si>
    <t>FII A Branca</t>
  </si>
  <si>
    <t>FPNG11</t>
  </si>
  <si>
    <t>Pedra Negra Renda Imobiliária</t>
  </si>
  <si>
    <t>GBIO33</t>
  </si>
  <si>
    <t>BIOTOSCANA INVESTMENTS S.A.</t>
  </si>
  <si>
    <t>GEPA3</t>
  </si>
  <si>
    <t>Ger Paranap</t>
  </si>
  <si>
    <t>GEPA4</t>
  </si>
  <si>
    <t>FTCE11B</t>
  </si>
  <si>
    <t>Opportunity</t>
  </si>
  <si>
    <t>GFSA3</t>
  </si>
  <si>
    <t>Gafisa</t>
  </si>
  <si>
    <t>GGBR3</t>
  </si>
  <si>
    <t>Gerdau</t>
  </si>
  <si>
    <t>GGBR4</t>
  </si>
  <si>
    <t>FVBI11</t>
  </si>
  <si>
    <t>FDO INV IMOB VBI FL 4440 - FII</t>
  </si>
  <si>
    <t>GNAN3B</t>
  </si>
  <si>
    <t>Neoenergia</t>
  </si>
  <si>
    <t>GNDI3</t>
  </si>
  <si>
    <t>Notre Dame Intermédica</t>
  </si>
  <si>
    <t>GOAU3</t>
  </si>
  <si>
    <t>METALURGICA GERDAU S.A.</t>
  </si>
  <si>
    <t>GOAU4</t>
  </si>
  <si>
    <t>GOLL4</t>
  </si>
  <si>
    <t>Gol</t>
  </si>
  <si>
    <t>GPAR3</t>
  </si>
  <si>
    <t>Celgpar</t>
  </si>
  <si>
    <t>GPCP3</t>
  </si>
  <si>
    <t>GPC Part</t>
  </si>
  <si>
    <t>GPIV33</t>
  </si>
  <si>
    <t>Gp Invest</t>
  </si>
  <si>
    <t>FVPQ11</t>
  </si>
  <si>
    <t>FII V Parque</t>
  </si>
  <si>
    <t>GRND3</t>
  </si>
  <si>
    <t>Grendene</t>
  </si>
  <si>
    <t>GRUC3</t>
  </si>
  <si>
    <t>Grucai</t>
  </si>
  <si>
    <t>GRUC6</t>
  </si>
  <si>
    <t>GSHP3</t>
  </si>
  <si>
    <t>Generalshopp</t>
  </si>
  <si>
    <t>GUAR3</t>
  </si>
  <si>
    <t>GUARARAPES CONFECCOES S.A.</t>
  </si>
  <si>
    <t>GUAR4</t>
  </si>
  <si>
    <t>GESE11</t>
  </si>
  <si>
    <t>General Severiano</t>
  </si>
  <si>
    <t>GGRC11</t>
  </si>
  <si>
    <t>GGR COVEPI RENDA FDO INV IMOB</t>
  </si>
  <si>
    <t>HAGA3</t>
  </si>
  <si>
    <t>Haga S/A</t>
  </si>
  <si>
    <t>HAGA4</t>
  </si>
  <si>
    <t>HAPV3</t>
  </si>
  <si>
    <t>Hapvida</t>
  </si>
  <si>
    <t>HBOR3</t>
  </si>
  <si>
    <t>Helbor</t>
  </si>
  <si>
    <t>HBTS3</t>
  </si>
  <si>
    <t>Habitasul</t>
  </si>
  <si>
    <t>HBTS5</t>
  </si>
  <si>
    <t>HBTS6</t>
  </si>
  <si>
    <t>GRLV11</t>
  </si>
  <si>
    <t>CSHG GR LOUVEIRA FDO DE INV IMOB - FII</t>
  </si>
  <si>
    <t>HCBR3</t>
  </si>
  <si>
    <t>BR Home</t>
  </si>
  <si>
    <t>GWIC11</t>
  </si>
  <si>
    <t>GWI Condomínios Logísticos</t>
  </si>
  <si>
    <t>HETA3</t>
  </si>
  <si>
    <t>Hercules</t>
  </si>
  <si>
    <t>HETA4</t>
  </si>
  <si>
    <t>GWIR11</t>
  </si>
  <si>
    <t>FII Gwi Ri</t>
  </si>
  <si>
    <t>HBTT11</t>
  </si>
  <si>
    <t>HABITAT I</t>
  </si>
  <si>
    <t>HCRI11</t>
  </si>
  <si>
    <t>Hospital</t>
  </si>
  <si>
    <t>Hospital da Criança</t>
  </si>
  <si>
    <t>HFOF11</t>
  </si>
  <si>
    <t>Hedge Top FOFII 3</t>
  </si>
  <si>
    <t>HGBS11</t>
  </si>
  <si>
    <t>HEDGE BRASIL SHOPPING FDO INV IMOB</t>
  </si>
  <si>
    <t>HGCR11</t>
  </si>
  <si>
    <t>CSHG RECEBÍVEIS IMOBILIÁRIOS FDO INV IMOB - FII</t>
  </si>
  <si>
    <t>HGJH11</t>
  </si>
  <si>
    <t>FII Cshgjhsf</t>
  </si>
  <si>
    <t>CSHG LOGÍSTICA FDO INV IMOB - FII</t>
  </si>
  <si>
    <t>HGTX3</t>
  </si>
  <si>
    <t>CIA HERING</t>
  </si>
  <si>
    <t>HGPO11</t>
  </si>
  <si>
    <t>FII CSHGPRIM</t>
  </si>
  <si>
    <t>HOOT3</t>
  </si>
  <si>
    <t>Hoteis Othon</t>
  </si>
  <si>
    <t>HOOT4</t>
  </si>
  <si>
    <t>HGRE11</t>
  </si>
  <si>
    <t>CSHG REAL ESTATE FDO INV IMOB - FII</t>
  </si>
  <si>
    <t>HGRU11</t>
  </si>
  <si>
    <t>CSHG RENDA URBANA - FDO INV IMOB - FII</t>
  </si>
  <si>
    <t>HYPE3</t>
  </si>
  <si>
    <t>HYPERA S.A.</t>
  </si>
  <si>
    <t>IDNT3</t>
  </si>
  <si>
    <t>IDEIASNET S.A.</t>
  </si>
  <si>
    <t>IDVL3</t>
  </si>
  <si>
    <t>Indusval</t>
  </si>
  <si>
    <t>IDVL4</t>
  </si>
  <si>
    <t>IGBR3</t>
  </si>
  <si>
    <t>Eletroeletrônicos</t>
  </si>
  <si>
    <t>IGB S/A</t>
  </si>
  <si>
    <t>IGTA3</t>
  </si>
  <si>
    <t>Iguatemi</t>
  </si>
  <si>
    <t>IMBI3</t>
  </si>
  <si>
    <t>Doc Imbituba</t>
  </si>
  <si>
    <t>IMBI4</t>
  </si>
  <si>
    <t>INEP3</t>
  </si>
  <si>
    <t>Inepar</t>
  </si>
  <si>
    <t>INEP4</t>
  </si>
  <si>
    <t>IRBR3</t>
  </si>
  <si>
    <t>IR Brasil Resseguros</t>
  </si>
  <si>
    <t>HMOC11</t>
  </si>
  <si>
    <t>ITEC3</t>
  </si>
  <si>
    <t>Itautec</t>
  </si>
  <si>
    <t>ITSA3</t>
  </si>
  <si>
    <t>ITAUSA INVESTIMENTOS ITAU S.A.</t>
  </si>
  <si>
    <t>ITSA4</t>
  </si>
  <si>
    <t>ITUB3</t>
  </si>
  <si>
    <t>ITAU UNIBANCO HOLDING S.A.</t>
  </si>
  <si>
    <t>ITUB4</t>
  </si>
  <si>
    <t>IVPR3B</t>
  </si>
  <si>
    <t>Invepar</t>
  </si>
  <si>
    <t>IVPR4B</t>
  </si>
  <si>
    <t>Ações EUA</t>
  </si>
  <si>
    <t>ISHARES S&amp;P 500 FDO INV COTAS FDO INDICE</t>
  </si>
  <si>
    <t>JBDU3</t>
  </si>
  <si>
    <t>J B Duarte</t>
  </si>
  <si>
    <t>JBDU4</t>
  </si>
  <si>
    <t>JBSS3</t>
  </si>
  <si>
    <t>JBS</t>
  </si>
  <si>
    <t>JFEN3</t>
  </si>
  <si>
    <t>Joao Fortes</t>
  </si>
  <si>
    <t>JHSF3</t>
  </si>
  <si>
    <t>JHSF PARTICIPACOES S.A.</t>
  </si>
  <si>
    <t>JOPA3</t>
  </si>
  <si>
    <t>Josapar</t>
  </si>
  <si>
    <t>JOPA4</t>
  </si>
  <si>
    <t>HSML11</t>
  </si>
  <si>
    <t>HSI MALL FDO INV IMOB</t>
  </si>
  <si>
    <t>JPSA3</t>
  </si>
  <si>
    <t>Jereissati</t>
  </si>
  <si>
    <t>JPSA4</t>
  </si>
  <si>
    <t>HTMX11</t>
  </si>
  <si>
    <t>FDO INV IMOB - FII HOTEL MAXINVEST</t>
  </si>
  <si>
    <t>HUSC11</t>
  </si>
  <si>
    <t>Hospital Unimed Sul Capixaba</t>
  </si>
  <si>
    <t>JSLG3</t>
  </si>
  <si>
    <t>JSL</t>
  </si>
  <si>
    <t>IRDM11</t>
  </si>
  <si>
    <t>FII IRIDIUM RECEBÍVEIS IMOBILIÁRIOS</t>
  </si>
  <si>
    <t>JPPC11</t>
  </si>
  <si>
    <t>Incorporação</t>
  </si>
  <si>
    <t>FII Jpp Capi</t>
  </si>
  <si>
    <t>JRDM11</t>
  </si>
  <si>
    <t>FII Shopjsul</t>
  </si>
  <si>
    <t>KEPL3</t>
  </si>
  <si>
    <t>KEPLER WEBER S.A.</t>
  </si>
  <si>
    <t>JSIM11</t>
  </si>
  <si>
    <t>JS Real Estate Renda Imobiliária</t>
  </si>
  <si>
    <t>JSRE11</t>
  </si>
  <si>
    <t>JS REAL ESTATE MULTIGESTÃO - FII</t>
  </si>
  <si>
    <t>KLBN11</t>
  </si>
  <si>
    <t>KLABIN S.A.</t>
  </si>
  <si>
    <t>KLBN3</t>
  </si>
  <si>
    <t>KLBN4</t>
  </si>
  <si>
    <t>JTPR11</t>
  </si>
  <si>
    <t>JT PREV Desenvolvimento Habitacional</t>
  </si>
  <si>
    <t>KDIF11</t>
  </si>
  <si>
    <t>Kinea Infra</t>
  </si>
  <si>
    <t>KFOF11</t>
  </si>
  <si>
    <t>Kinea Fundo de Fundos</t>
  </si>
  <si>
    <t>KINP11</t>
  </si>
  <si>
    <t>Even Permuta Kinea</t>
  </si>
  <si>
    <t>KNCR11</t>
  </si>
  <si>
    <t>KINEA RENDIMENTOS IMOBILIÁRIOS FDO INV IMOB - FII</t>
  </si>
  <si>
    <t>KROT3</t>
  </si>
  <si>
    <t>Kroton</t>
  </si>
  <si>
    <t>LAME3</t>
  </si>
  <si>
    <t>Lojas Americ</t>
  </si>
  <si>
    <t>LAME4</t>
  </si>
  <si>
    <t>KNHY11</t>
  </si>
  <si>
    <t>LCAM3</t>
  </si>
  <si>
    <t>Locamerica</t>
  </si>
  <si>
    <t>LEVE3</t>
  </si>
  <si>
    <t>MAHLE-METAL LEVE S.A.</t>
  </si>
  <si>
    <t>LFFE3</t>
  </si>
  <si>
    <t>La Fonte Tel</t>
  </si>
  <si>
    <t>LFFE4</t>
  </si>
  <si>
    <t>LHER3</t>
  </si>
  <si>
    <t>Lojas Hering</t>
  </si>
  <si>
    <t>LHER4</t>
  </si>
  <si>
    <t>LIGT3</t>
  </si>
  <si>
    <t>LIGHT S.A.</t>
  </si>
  <si>
    <t>LINX3</t>
  </si>
  <si>
    <t>Linx</t>
  </si>
  <si>
    <t>LIPR3</t>
  </si>
  <si>
    <t>Eletropar</t>
  </si>
  <si>
    <t>LIQO3</t>
  </si>
  <si>
    <t>LIQ Participações</t>
  </si>
  <si>
    <t>LIXC3</t>
  </si>
  <si>
    <t>Lix da Cunha</t>
  </si>
  <si>
    <t>LIXC4</t>
  </si>
  <si>
    <t>LLIS3</t>
  </si>
  <si>
    <t>Le Lis Blanc</t>
  </si>
  <si>
    <t>LOGN3</t>
  </si>
  <si>
    <t>Log-In</t>
  </si>
  <si>
    <t>LPSB3</t>
  </si>
  <si>
    <t>LPS BRASIL - CONSULTORIA DE IMOVEIS S.A.</t>
  </si>
  <si>
    <t>LREN3</t>
  </si>
  <si>
    <t>Lojas Renner</t>
  </si>
  <si>
    <t>LTEL11B</t>
  </si>
  <si>
    <t>Litel</t>
  </si>
  <si>
    <t>LTEL3B</t>
  </si>
  <si>
    <t>LTEL5B</t>
  </si>
  <si>
    <t>LUPA3</t>
  </si>
  <si>
    <t>Lupatech</t>
  </si>
  <si>
    <t>LUXM3</t>
  </si>
  <si>
    <t>Trevisa</t>
  </si>
  <si>
    <t>LUXM4</t>
  </si>
  <si>
    <t>MAGG3</t>
  </si>
  <si>
    <t>Magnesita SA</t>
  </si>
  <si>
    <t>KNIP11</t>
  </si>
  <si>
    <t>KINEA ÍNDICES DE PREÇOS FDO INV IMOB - FII</t>
  </si>
  <si>
    <t>MAOR3B</t>
  </si>
  <si>
    <t>Maori</t>
  </si>
  <si>
    <t>MAOR4B</t>
  </si>
  <si>
    <t>MAPT3</t>
  </si>
  <si>
    <t>Cemepe</t>
  </si>
  <si>
    <t>MAPT4</t>
  </si>
  <si>
    <t>KNRE11</t>
  </si>
  <si>
    <t>FII Kii Real</t>
  </si>
  <si>
    <t>KNRI11</t>
  </si>
  <si>
    <t>KINEA RENDA IMOBILIÁRIA FDO INV IMOB - FII</t>
  </si>
  <si>
    <t>MDIA3</t>
  </si>
  <si>
    <t>M.Diasbranco</t>
  </si>
  <si>
    <t>MEAL3</t>
  </si>
  <si>
    <t>Imc S/A</t>
  </si>
  <si>
    <t>MEND3</t>
  </si>
  <si>
    <t>Mendes Jr</t>
  </si>
  <si>
    <t>MEND5</t>
  </si>
  <si>
    <t>MEND6</t>
  </si>
  <si>
    <t>MERC3</t>
  </si>
  <si>
    <t>Merc Financ</t>
  </si>
  <si>
    <t>MERC4</t>
  </si>
  <si>
    <t>LATR11B</t>
  </si>
  <si>
    <t>FII Lateres</t>
  </si>
  <si>
    <t>MGEL3</t>
  </si>
  <si>
    <t>Mangels Indl</t>
  </si>
  <si>
    <t>MGEL4</t>
  </si>
  <si>
    <t>MALL11</t>
  </si>
  <si>
    <t>MALLS BRASIL PLURAL</t>
  </si>
  <si>
    <t>MGLU3</t>
  </si>
  <si>
    <t>Magaz Luiza</t>
  </si>
  <si>
    <t>MILK33</t>
  </si>
  <si>
    <t>Laep</t>
  </si>
  <si>
    <t>MILS3</t>
  </si>
  <si>
    <t>Mills</t>
  </si>
  <si>
    <t>MMAQ3</t>
  </si>
  <si>
    <t>Minasmaquinas</t>
  </si>
  <si>
    <t>MMAQ4</t>
  </si>
  <si>
    <t>MMXM3</t>
  </si>
  <si>
    <t>MMX Miner</t>
  </si>
  <si>
    <t>MNDL3</t>
  </si>
  <si>
    <t>Mundial</t>
  </si>
  <si>
    <t>MNPR3</t>
  </si>
  <si>
    <t>Minupar</t>
  </si>
  <si>
    <t>MNZC3B</t>
  </si>
  <si>
    <t>Menezes Cort</t>
  </si>
  <si>
    <t>MOAR3</t>
  </si>
  <si>
    <t>Mont Aranha</t>
  </si>
  <si>
    <t>MOVI3</t>
  </si>
  <si>
    <t>MOVIDA PARTICIPACOES SA</t>
  </si>
  <si>
    <t>MPLU3</t>
  </si>
  <si>
    <t>Multiplus</t>
  </si>
  <si>
    <t>MRFG3</t>
  </si>
  <si>
    <t>Marfrig</t>
  </si>
  <si>
    <t>MRSA3B</t>
  </si>
  <si>
    <t>Mrs Logist</t>
  </si>
  <si>
    <t>MRSA5B</t>
  </si>
  <si>
    <t>MRSA6B</t>
  </si>
  <si>
    <t>MRVE3</t>
  </si>
  <si>
    <t>MRV</t>
  </si>
  <si>
    <t>MAXR11</t>
  </si>
  <si>
    <t>FII Max Ret</t>
  </si>
  <si>
    <t>MSPA3</t>
  </si>
  <si>
    <t>Papel e Celulose</t>
  </si>
  <si>
    <t>Melhor SP</t>
  </si>
  <si>
    <t>MSPA4</t>
  </si>
  <si>
    <t>MSRO3</t>
  </si>
  <si>
    <t>Maestroloc</t>
  </si>
  <si>
    <t>MTIG3</t>
  </si>
  <si>
    <t>Metal Iguacu</t>
  </si>
  <si>
    <t>MTIG4</t>
  </si>
  <si>
    <t>MTSA3</t>
  </si>
  <si>
    <t>Metisa</t>
  </si>
  <si>
    <t>MTSA4</t>
  </si>
  <si>
    <t>MULT3</t>
  </si>
  <si>
    <t>Multiplan</t>
  </si>
  <si>
    <t>MWET3</t>
  </si>
  <si>
    <t>Wetzel S/A</t>
  </si>
  <si>
    <t>MWET4</t>
  </si>
  <si>
    <t>MBRF11</t>
  </si>
  <si>
    <t>FII Merc BR</t>
  </si>
  <si>
    <t>MYPK3</t>
  </si>
  <si>
    <t>IOCHPE MAXION S.A.</t>
  </si>
  <si>
    <t>NAFG3</t>
  </si>
  <si>
    <t>Nadir Figuei</t>
  </si>
  <si>
    <t>NAFG4</t>
  </si>
  <si>
    <t>NATU3</t>
  </si>
  <si>
    <t>Natura</t>
  </si>
  <si>
    <t>MCCI11</t>
  </si>
  <si>
    <t>FDO INV. MAUA CAPITAL RECEBIVEIS IMOB. - FII</t>
  </si>
  <si>
    <t>NEMO3</t>
  </si>
  <si>
    <t>Suzano Hold</t>
  </si>
  <si>
    <t>NEMO5</t>
  </si>
  <si>
    <t>NEMO6</t>
  </si>
  <si>
    <t>NEOE3B</t>
  </si>
  <si>
    <t>NEWT3B</t>
  </si>
  <si>
    <t>Newtel Part</t>
  </si>
  <si>
    <t>NORD3</t>
  </si>
  <si>
    <t>Nordon Met</t>
  </si>
  <si>
    <t>MFII11</t>
  </si>
  <si>
    <t>FII Merito I</t>
  </si>
  <si>
    <t>NRTQ3</t>
  </si>
  <si>
    <t>Nortcquimica</t>
  </si>
  <si>
    <t>MGFF11</t>
  </si>
  <si>
    <t>FDO INV IMOB MOGNO FUNDO DE FUNDOS</t>
  </si>
  <si>
    <t>NUTR3</t>
  </si>
  <si>
    <t>Nutriplant</t>
  </si>
  <si>
    <t>MSHP11</t>
  </si>
  <si>
    <t>Mais Shopping Largo 13</t>
  </si>
  <si>
    <t>ODER3</t>
  </si>
  <si>
    <t>Oderich</t>
  </si>
  <si>
    <t>ODER4</t>
  </si>
  <si>
    <t>ODPV3</t>
  </si>
  <si>
    <t>Odontoprev</t>
  </si>
  <si>
    <t>OFSA3</t>
  </si>
  <si>
    <t>Ourofino S/A</t>
  </si>
  <si>
    <t>OGSA3</t>
  </si>
  <si>
    <t>Nova Oleo</t>
  </si>
  <si>
    <t>OGXP3</t>
  </si>
  <si>
    <t>OGX Petroleo</t>
  </si>
  <si>
    <t>OIBR3</t>
  </si>
  <si>
    <t>Oi</t>
  </si>
  <si>
    <t>OIBR4</t>
  </si>
  <si>
    <t>OMGE3</t>
  </si>
  <si>
    <t>Omega Energia</t>
  </si>
  <si>
    <t>MAXI RENDA FDO INV IMOB - FII</t>
  </si>
  <si>
    <t>OPGM3B</t>
  </si>
  <si>
    <t>Gama Part</t>
  </si>
  <si>
    <t>OPHE3B</t>
  </si>
  <si>
    <t>Opport Energ</t>
  </si>
  <si>
    <t>OPRE3B</t>
  </si>
  <si>
    <t>Ret Part</t>
  </si>
  <si>
    <t>OPSE3B</t>
  </si>
  <si>
    <t>Sudeste</t>
  </si>
  <si>
    <t>OPTS3B</t>
  </si>
  <si>
    <t>Sul 116 Part</t>
  </si>
  <si>
    <t>OPZI3B</t>
  </si>
  <si>
    <t>Zain Part</t>
  </si>
  <si>
    <t>NCHB11</t>
  </si>
  <si>
    <t>FII Nch Bra</t>
  </si>
  <si>
    <t>OSXB3</t>
  </si>
  <si>
    <t>OSX Brasil</t>
  </si>
  <si>
    <t>NPAR11</t>
  </si>
  <si>
    <t>NESTPAR</t>
  </si>
  <si>
    <t>NSLU11</t>
  </si>
  <si>
    <t>FII Lourdes</t>
  </si>
  <si>
    <t>NVHO11</t>
  </si>
  <si>
    <t>FII Novohori</t>
  </si>
  <si>
    <t>PARC3</t>
  </si>
  <si>
    <t>Parcorretora</t>
  </si>
  <si>
    <t>PARD3</t>
  </si>
  <si>
    <t>Hermes Pardini</t>
  </si>
  <si>
    <t>ONEF11</t>
  </si>
  <si>
    <t>FII The One</t>
  </si>
  <si>
    <t>PATI3</t>
  </si>
  <si>
    <t>Panatlantica</t>
  </si>
  <si>
    <t>PATI4</t>
  </si>
  <si>
    <t>PBEL3B</t>
  </si>
  <si>
    <t>Belapart</t>
  </si>
  <si>
    <t>PCAR3</t>
  </si>
  <si>
    <t>P.Acucar-Cbd</t>
  </si>
  <si>
    <t>PCAR4</t>
  </si>
  <si>
    <t>PDGR3</t>
  </si>
  <si>
    <t>PDG Realt</t>
  </si>
  <si>
    <t>PEAB3</t>
  </si>
  <si>
    <t>Par Al Bahia</t>
  </si>
  <si>
    <t>PEAB4</t>
  </si>
  <si>
    <t>PETR3</t>
  </si>
  <si>
    <t>PETROLEO BRASILEIRO S.A. PETROBRAS</t>
  </si>
  <si>
    <t>PETR4</t>
  </si>
  <si>
    <t>PFRM3</t>
  </si>
  <si>
    <t>Profarma</t>
  </si>
  <si>
    <t>PIBB11</t>
  </si>
  <si>
    <t>IT NOW PIBB IBRX-50 - FUNDO DE ÍNDICE</t>
  </si>
  <si>
    <t>PINE3</t>
  </si>
  <si>
    <t>Pine</t>
  </si>
  <si>
    <t>PINE4</t>
  </si>
  <si>
    <t>PLAS3</t>
  </si>
  <si>
    <t>Plascar Part</t>
  </si>
  <si>
    <t>ORPD11</t>
  </si>
  <si>
    <t>Ouro Preto Desenvolvimento Imobiliário</t>
  </si>
  <si>
    <t>PMAM3</t>
  </si>
  <si>
    <t>PARANAPANEMA S.A.</t>
  </si>
  <si>
    <t>PNVL3</t>
  </si>
  <si>
    <t>Dimed</t>
  </si>
  <si>
    <t>PNVL4</t>
  </si>
  <si>
    <t>POMO3</t>
  </si>
  <si>
    <t>Marcopolo</t>
  </si>
  <si>
    <t>POMO4</t>
  </si>
  <si>
    <t>OUCY11</t>
  </si>
  <si>
    <t>OURINVEST CYRELA</t>
  </si>
  <si>
    <t>POSI3</t>
  </si>
  <si>
    <t>POSITIVO TECNOLOGIA S.A.</t>
  </si>
  <si>
    <t>PPAR3</t>
  </si>
  <si>
    <t>Polpar</t>
  </si>
  <si>
    <t>OUJP11</t>
  </si>
  <si>
    <t>OURINVEST JPP FDO INV IMOB - FII</t>
  </si>
  <si>
    <t>PQTM3</t>
  </si>
  <si>
    <t>Pq Hopi Hari</t>
  </si>
  <si>
    <t>PQTM4</t>
  </si>
  <si>
    <t>PRBC4</t>
  </si>
  <si>
    <t>Parana</t>
  </si>
  <si>
    <t>PRCA11</t>
  </si>
  <si>
    <t>Pratica</t>
  </si>
  <si>
    <t>PRCA12</t>
  </si>
  <si>
    <t>PRCA3</t>
  </si>
  <si>
    <t>PRIO3</t>
  </si>
  <si>
    <t>PETRO RIO S.A.</t>
  </si>
  <si>
    <t>PRML3</t>
  </si>
  <si>
    <t>Prumo</t>
  </si>
  <si>
    <t>PRPT3B</t>
  </si>
  <si>
    <t>Prompt</t>
  </si>
  <si>
    <t>PABY11</t>
  </si>
  <si>
    <t>FII Panamby</t>
  </si>
  <si>
    <t>PATC11</t>
  </si>
  <si>
    <t>Pátria Edifícios Corporativos</t>
  </si>
  <si>
    <t>PLRI11</t>
  </si>
  <si>
    <t>FII Polo I</t>
  </si>
  <si>
    <t>PSEG3</t>
  </si>
  <si>
    <t>Sauipe</t>
  </si>
  <si>
    <t>PSEG4</t>
  </si>
  <si>
    <t>PSSA3</t>
  </si>
  <si>
    <t>PORTO SEGURO S.A.</t>
  </si>
  <si>
    <t>PTBL3</t>
  </si>
  <si>
    <t>PBG S/A</t>
  </si>
  <si>
    <t>PTNT3</t>
  </si>
  <si>
    <t>Pettenati</t>
  </si>
  <si>
    <t>PTNT4</t>
  </si>
  <si>
    <t>PTPA3</t>
  </si>
  <si>
    <t>Evora</t>
  </si>
  <si>
    <t>PTPA4</t>
  </si>
  <si>
    <t>QUAL3</t>
  </si>
  <si>
    <t>QUALICORP CONSULTORIA E CORRETORA DE SEGUROS S.A.</t>
  </si>
  <si>
    <t>QUSW3</t>
  </si>
  <si>
    <t>Quality Soft</t>
  </si>
  <si>
    <t>QVQP3B</t>
  </si>
  <si>
    <t>524 Particip</t>
  </si>
  <si>
    <t>RADL3</t>
  </si>
  <si>
    <t>RaiaDrogasil</t>
  </si>
  <si>
    <t>RAIL3</t>
  </si>
  <si>
    <t>Rumo Log</t>
  </si>
  <si>
    <t>RANI3</t>
  </si>
  <si>
    <t>Celul Irani</t>
  </si>
  <si>
    <t>RANI4</t>
  </si>
  <si>
    <t>RAPT3</t>
  </si>
  <si>
    <t>Randon Part</t>
  </si>
  <si>
    <t>RAPT4</t>
  </si>
  <si>
    <t>PORD11</t>
  </si>
  <si>
    <t>FII Polo Cri</t>
  </si>
  <si>
    <t>PQDP11</t>
  </si>
  <si>
    <t>FDO INV IMOB - FII PARQUE D. PEDRO SHOPPING CENTER</t>
  </si>
  <si>
    <t>PRSN11B</t>
  </si>
  <si>
    <t>FII Personal</t>
  </si>
  <si>
    <t>PRSV11</t>
  </si>
  <si>
    <t>Presidente Vargas</t>
  </si>
  <si>
    <t>PRTS11</t>
  </si>
  <si>
    <t>Multi Properties</t>
  </si>
  <si>
    <t>QAGR11</t>
  </si>
  <si>
    <t>Financeiro e Outro</t>
  </si>
  <si>
    <t>QUASAR AGRO - FDO INV. IMOB.</t>
  </si>
  <si>
    <t>RBAG11</t>
  </si>
  <si>
    <t>RB Capital Agre</t>
  </si>
  <si>
    <t>RBBV11</t>
  </si>
  <si>
    <t>FII JHSF Fbv</t>
  </si>
  <si>
    <t>RBCB11</t>
  </si>
  <si>
    <t>FII Riobrcib</t>
  </si>
  <si>
    <t>RBDS11</t>
  </si>
  <si>
    <t>RB CAPITAL DESENV. RESID. II FDO INV IMOB - FII</t>
  </si>
  <si>
    <t>RBFF11</t>
  </si>
  <si>
    <t>RIO BRAVO IFIX FDO INV IMOB</t>
  </si>
  <si>
    <t>RBGS11</t>
  </si>
  <si>
    <t>FII Rb Gsb I</t>
  </si>
  <si>
    <t>RBPD11</t>
  </si>
  <si>
    <t>RB Capital Prime Realty II</t>
  </si>
  <si>
    <t>RBPR11</t>
  </si>
  <si>
    <t>RB Capital Prime Realty I</t>
  </si>
  <si>
    <t>RCSL3</t>
  </si>
  <si>
    <t>Recrusul</t>
  </si>
  <si>
    <t>RCSL4</t>
  </si>
  <si>
    <t>RBRD11</t>
  </si>
  <si>
    <t>FII Rb II</t>
  </si>
  <si>
    <t>RDNI3</t>
  </si>
  <si>
    <t>Rodobensimob</t>
  </si>
  <si>
    <t>RBRF11</t>
  </si>
  <si>
    <t>RBR Alpha Fundo de Fundos</t>
  </si>
  <si>
    <t>REDE3</t>
  </si>
  <si>
    <t>Rede Energia</t>
  </si>
  <si>
    <t>REDE4</t>
  </si>
  <si>
    <t>RBRR11</t>
  </si>
  <si>
    <t>FDO INV IMOB - FII RBR RENDIMENTO HIGH GRADE</t>
  </si>
  <si>
    <t>RENT3</t>
  </si>
  <si>
    <t>Localiza</t>
  </si>
  <si>
    <t>RJCP3</t>
  </si>
  <si>
    <t>Fundos</t>
  </si>
  <si>
    <t>Rjcp</t>
  </si>
  <si>
    <t>RLOG3</t>
  </si>
  <si>
    <t>COSAN LOGISTICA S.A.</t>
  </si>
  <si>
    <t>RBVA11</t>
  </si>
  <si>
    <t>FDO INV IMOB RIO BRAVO RENDA VAREJO - FII</t>
  </si>
  <si>
    <t>RNEW11</t>
  </si>
  <si>
    <t>Renova</t>
  </si>
  <si>
    <t>RNEW3</t>
  </si>
  <si>
    <t>RNEW4</t>
  </si>
  <si>
    <t>RBVO11</t>
  </si>
  <si>
    <t>FII Riobcri2</t>
  </si>
  <si>
    <t>ROMI3</t>
  </si>
  <si>
    <t>Inds Romi</t>
  </si>
  <si>
    <t>RPAD3</t>
  </si>
  <si>
    <t>Alfa Holding</t>
  </si>
  <si>
    <t>RPAD5</t>
  </si>
  <si>
    <t>RPAD6</t>
  </si>
  <si>
    <t>RPMG3</t>
  </si>
  <si>
    <t>Pet Manguinh</t>
  </si>
  <si>
    <t>RCCS11</t>
  </si>
  <si>
    <t>REP 1 CCS</t>
  </si>
  <si>
    <t>RSID3</t>
  </si>
  <si>
    <t>Rossi Resid</t>
  </si>
  <si>
    <t>RSUL3</t>
  </si>
  <si>
    <t>Riosulense</t>
  </si>
  <si>
    <t>RSUL4</t>
  </si>
  <si>
    <t>RCRB11</t>
  </si>
  <si>
    <t>FII Rio Bravo Renda Corportativa</t>
  </si>
  <si>
    <t>RCRI11</t>
  </si>
  <si>
    <t>RB Capital Rendimentos</t>
  </si>
  <si>
    <t>SANB11</t>
  </si>
  <si>
    <t>Santander BR</t>
  </si>
  <si>
    <t>SANB3</t>
  </si>
  <si>
    <t>SANB4</t>
  </si>
  <si>
    <t>SAPR11</t>
  </si>
  <si>
    <t xml:space="preserve">Água e Saneamento </t>
  </si>
  <si>
    <t>CIA SANEAMENTO DO PARANA - SANEPAR</t>
  </si>
  <si>
    <t>SAPR3</t>
  </si>
  <si>
    <t>SAPR4</t>
  </si>
  <si>
    <t>SBSP3</t>
  </si>
  <si>
    <t>CIA SANEAMENTO BASICO EST SAO PAULO</t>
  </si>
  <si>
    <t>SCAR3</t>
  </si>
  <si>
    <t>Sao Carlos</t>
  </si>
  <si>
    <t>SCLO3</t>
  </si>
  <si>
    <t>Schlosser</t>
  </si>
  <si>
    <t>SCLO4</t>
  </si>
  <si>
    <t>RDES11</t>
  </si>
  <si>
    <t>FII Rd Escri</t>
  </si>
  <si>
    <t>RDPD11</t>
  </si>
  <si>
    <t>Fundo BB Renda de Papéis II</t>
  </si>
  <si>
    <t>SEDU3</t>
  </si>
  <si>
    <t>Somos Educa</t>
  </si>
  <si>
    <t>SEER3</t>
  </si>
  <si>
    <t>Ser Educa</t>
  </si>
  <si>
    <t>REIT11</t>
  </si>
  <si>
    <t>FII Reit Riv</t>
  </si>
  <si>
    <t>SFSA3</t>
  </si>
  <si>
    <t>Sofisa</t>
  </si>
  <si>
    <t>SFSA4</t>
  </si>
  <si>
    <t>SGAS3</t>
  </si>
  <si>
    <t>Wlm Ind Com</t>
  </si>
  <si>
    <t>SGAS4</t>
  </si>
  <si>
    <t>SGPS3</t>
  </si>
  <si>
    <t>SPRINGS GLOBAL PARTICIPACOES S.A.</t>
  </si>
  <si>
    <t>RNDP11</t>
  </si>
  <si>
    <t>FII BB R Pap</t>
  </si>
  <si>
    <t>SHOW3</t>
  </si>
  <si>
    <t>Viagens e Lazer</t>
  </si>
  <si>
    <t>T4F ENTRETENIMENTO S.A.</t>
  </si>
  <si>
    <t>RNGO11</t>
  </si>
  <si>
    <t>FDO INV IMOB RIO NEGRO - FII</t>
  </si>
  <si>
    <t>RSBU11B</t>
  </si>
  <si>
    <t>RSB 1</t>
  </si>
  <si>
    <t>SHUL3</t>
  </si>
  <si>
    <t>SCHULZ S.A.</t>
  </si>
  <si>
    <t>SHUL4</t>
  </si>
  <si>
    <t>SJOS3</t>
  </si>
  <si>
    <t>Tecel S Jose</t>
  </si>
  <si>
    <t>SJOS4</t>
  </si>
  <si>
    <t>SLCE3</t>
  </si>
  <si>
    <t>SLC AGRICOLA S.A.</t>
  </si>
  <si>
    <t>SLCT3B</t>
  </si>
  <si>
    <t>Selectpart</t>
  </si>
  <si>
    <t>SLED3</t>
  </si>
  <si>
    <t>Saraiva Livr</t>
  </si>
  <si>
    <t>SLED4</t>
  </si>
  <si>
    <t>SMAL11</t>
  </si>
  <si>
    <t>Small Cap Fundo de Índice</t>
  </si>
  <si>
    <t>SMLE3</t>
  </si>
  <si>
    <t>SMILES FIDELIDADE S.A.</t>
  </si>
  <si>
    <t>SMLS3</t>
  </si>
  <si>
    <t>SMTO3</t>
  </si>
  <si>
    <t>Sao Martinho</t>
  </si>
  <si>
    <t>SNSY3</t>
  </si>
  <si>
    <t>Sansuy</t>
  </si>
  <si>
    <t>SNSY5</t>
  </si>
  <si>
    <t>SNSY6</t>
  </si>
  <si>
    <t>SOND3</t>
  </si>
  <si>
    <t>Sondotecnica</t>
  </si>
  <si>
    <t>SOND5</t>
  </si>
  <si>
    <t>SOND6</t>
  </si>
  <si>
    <t>SAAG11</t>
  </si>
  <si>
    <t>SANTANDER AGÊNCIAS FDO INV IMOB - FII</t>
  </si>
  <si>
    <t>SPRI3</t>
  </si>
  <si>
    <t>Springer</t>
  </si>
  <si>
    <t>SPRI5</t>
  </si>
  <si>
    <t>SPRI6</t>
  </si>
  <si>
    <t>SPRT3B</t>
  </si>
  <si>
    <t>Longdis</t>
  </si>
  <si>
    <t>SAIC11B</t>
  </si>
  <si>
    <t>FII Sia Corp</t>
  </si>
  <si>
    <t>SQIA3</t>
  </si>
  <si>
    <t>SINQIA S.A.</t>
  </si>
  <si>
    <t>SQRM11</t>
  </si>
  <si>
    <t>Itaitinga</t>
  </si>
  <si>
    <t>SQRM3</t>
  </si>
  <si>
    <t>SSBR3</t>
  </si>
  <si>
    <t>ALIANSCE SONAE SHOPPING CENTERS S.A.</t>
  </si>
  <si>
    <t>STBP3</t>
  </si>
  <si>
    <t>SANTOS BRASIL PARTICIPACOES S.A.</t>
  </si>
  <si>
    <t>SCPF11</t>
  </si>
  <si>
    <t>FII Scp</t>
  </si>
  <si>
    <t>STKF3</t>
  </si>
  <si>
    <t>Statkraft</t>
  </si>
  <si>
    <t>SULA11</t>
  </si>
  <si>
    <t>SUL AMERICA S.A.</t>
  </si>
  <si>
    <t>SULA3</t>
  </si>
  <si>
    <t>SULA4</t>
  </si>
  <si>
    <t>SULT3</t>
  </si>
  <si>
    <t>Sultepa</t>
  </si>
  <si>
    <t>SULT4</t>
  </si>
  <si>
    <t>SUZB3</t>
  </si>
  <si>
    <t>Suzano Papel</t>
  </si>
  <si>
    <t>SUZB5</t>
  </si>
  <si>
    <t>SUZB6</t>
  </si>
  <si>
    <t>TAEE11</t>
  </si>
  <si>
    <t>TRANSMISSORA ALIANÇA DE ENERGIA ELÉTRICA S.A.</t>
  </si>
  <si>
    <t>TAEE3</t>
  </si>
  <si>
    <t>TAEE4</t>
  </si>
  <si>
    <t>SDIL11</t>
  </si>
  <si>
    <t>FDO INV IMOB SDI RIO BRAVO RENDA LOGISTICA - FII</t>
  </si>
  <si>
    <t>TCNO3</t>
  </si>
  <si>
    <t>Tecnosolo</t>
  </si>
  <si>
    <t>TCNO4</t>
  </si>
  <si>
    <t>TCSA3</t>
  </si>
  <si>
    <t>Tecnisa</t>
  </si>
  <si>
    <t>TECN3</t>
  </si>
  <si>
    <t>Technos</t>
  </si>
  <si>
    <t>TEKA3</t>
  </si>
  <si>
    <t>Teka</t>
  </si>
  <si>
    <t>TEKA4</t>
  </si>
  <si>
    <t>TELB3</t>
  </si>
  <si>
    <t>Telebras</t>
  </si>
  <si>
    <t>TELB4</t>
  </si>
  <si>
    <t>TEND3</t>
  </si>
  <si>
    <t>CONSTRUTORA TENDA S.A.</t>
  </si>
  <si>
    <t>TENE3</t>
  </si>
  <si>
    <t>Tec Blumenau</t>
  </si>
  <si>
    <t>TENE5</t>
  </si>
  <si>
    <t>TENE6</t>
  </si>
  <si>
    <t>TENE7</t>
  </si>
  <si>
    <t>TERI3</t>
  </si>
  <si>
    <t>Tereos</t>
  </si>
  <si>
    <t>TESA3</t>
  </si>
  <si>
    <t>TERRA SANTA AGRO S.A.</t>
  </si>
  <si>
    <t>SDIP11</t>
  </si>
  <si>
    <t>SDI PROPERTIES - FDO INV. IMOB</t>
  </si>
  <si>
    <t>SFND11</t>
  </si>
  <si>
    <t>FII Sao Fer</t>
  </si>
  <si>
    <t>TGMA3</t>
  </si>
  <si>
    <t>Tegma</t>
  </si>
  <si>
    <t>SHDP11B</t>
  </si>
  <si>
    <t>FII Shop Pdp</t>
  </si>
  <si>
    <t>TIET11</t>
  </si>
  <si>
    <t>AES Tiete E</t>
  </si>
  <si>
    <t>TIET3</t>
  </si>
  <si>
    <t>TIET4</t>
  </si>
  <si>
    <t>TIMS3</t>
  </si>
  <si>
    <t>TIM PARTICIPACOES S.A.</t>
  </si>
  <si>
    <t>TKNO3</t>
  </si>
  <si>
    <t>Tekno</t>
  </si>
  <si>
    <t>TKNO4</t>
  </si>
  <si>
    <t>TLVT3B</t>
  </si>
  <si>
    <t>Telinvest</t>
  </si>
  <si>
    <t>TOTS3</t>
  </si>
  <si>
    <t>Totvs</t>
  </si>
  <si>
    <t>TOYB3</t>
  </si>
  <si>
    <t>Tectoy</t>
  </si>
  <si>
    <t>TOYB4</t>
  </si>
  <si>
    <t>TPIS3</t>
  </si>
  <si>
    <t>Triunfo Part</t>
  </si>
  <si>
    <t>TRIS3</t>
  </si>
  <si>
    <t>Trisul</t>
  </si>
  <si>
    <t>SHPH11</t>
  </si>
  <si>
    <t>Shopping Pátio Higienópolis</t>
  </si>
  <si>
    <t>TRPL3</t>
  </si>
  <si>
    <t>CTEEP - CIA TRANSMISSÃO ENERGIA ELÉTRICA PAULISTA</t>
  </si>
  <si>
    <t>TRPL4</t>
  </si>
  <si>
    <t>TRPN3</t>
  </si>
  <si>
    <t>Tarpon Inv</t>
  </si>
  <si>
    <t>FII Higienop</t>
  </si>
  <si>
    <t>SPAF11</t>
  </si>
  <si>
    <t>Spa</t>
  </si>
  <si>
    <t>TUPY3</t>
  </si>
  <si>
    <t>TUPY S.A.</t>
  </si>
  <si>
    <t>TXRX3</t>
  </si>
  <si>
    <t>Tex Renaux</t>
  </si>
  <si>
    <t>TXRX4</t>
  </si>
  <si>
    <t>SPTW11</t>
  </si>
  <si>
    <t>SP DOWNTOWN FDO INV IMOB - FII</t>
  </si>
  <si>
    <t>UCAS3</t>
  </si>
  <si>
    <t>Unicasa</t>
  </si>
  <si>
    <t>UGPA3</t>
  </si>
  <si>
    <t>Ultrapar</t>
  </si>
  <si>
    <t>UNIP3</t>
  </si>
  <si>
    <t>UNIPAR CARBOCLORO S.A.</t>
  </si>
  <si>
    <t>UNIP5</t>
  </si>
  <si>
    <t>UNIP6</t>
  </si>
  <si>
    <t>UPKP3B</t>
  </si>
  <si>
    <t>Uptick</t>
  </si>
  <si>
    <t>STFI11</t>
  </si>
  <si>
    <t>Santander Recebíveis Imobiliários</t>
  </si>
  <si>
    <t>USIM3</t>
  </si>
  <si>
    <t>Usiminas</t>
  </si>
  <si>
    <t>USIM5</t>
  </si>
  <si>
    <t>USIM6</t>
  </si>
  <si>
    <t>VAGR3</t>
  </si>
  <si>
    <t>V-Agro</t>
  </si>
  <si>
    <t>VALE3</t>
  </si>
  <si>
    <t>VALE S.A.</t>
  </si>
  <si>
    <t>VALE5</t>
  </si>
  <si>
    <t>TBOF11</t>
  </si>
  <si>
    <t>FII Tboffice</t>
  </si>
  <si>
    <t>TFOF11</t>
  </si>
  <si>
    <t>TOP FOFII</t>
  </si>
  <si>
    <t>TGAR11</t>
  </si>
  <si>
    <t>TG Ativo Real</t>
  </si>
  <si>
    <t>VIVR3</t>
  </si>
  <si>
    <t>Viver</t>
  </si>
  <si>
    <t>VIVT3</t>
  </si>
  <si>
    <t>TELEFÔNICA BRASIL S.A</t>
  </si>
  <si>
    <t>VIVT4</t>
  </si>
  <si>
    <t>VLID3</t>
  </si>
  <si>
    <t>Valid</t>
  </si>
  <si>
    <t>THRA11</t>
  </si>
  <si>
    <t>FII Bm Thera</t>
  </si>
  <si>
    <t>TRNT11</t>
  </si>
  <si>
    <t>FII Torre no</t>
  </si>
  <si>
    <t>TRXL11</t>
  </si>
  <si>
    <t>FII Trx Log</t>
  </si>
  <si>
    <t>TSNC11</t>
  </si>
  <si>
    <t>FII Transinc</t>
  </si>
  <si>
    <t>UBSR11</t>
  </si>
  <si>
    <t>UBS BR Recebíveis</t>
  </si>
  <si>
    <t>URBN11</t>
  </si>
  <si>
    <t>Urbaniza</t>
  </si>
  <si>
    <t>VTLM3</t>
  </si>
  <si>
    <t>Vitalyze.Me</t>
  </si>
  <si>
    <t>VERE11</t>
  </si>
  <si>
    <t>FII Vereda</t>
  </si>
  <si>
    <t>VULC3</t>
  </si>
  <si>
    <t>Vulcabras</t>
  </si>
  <si>
    <t>VVAR11</t>
  </si>
  <si>
    <t>VIA VAREJO S.A.</t>
  </si>
  <si>
    <t>VVAR3</t>
  </si>
  <si>
    <t>VVAR4</t>
  </si>
  <si>
    <t>WEGE3</t>
  </si>
  <si>
    <t>Weg</t>
  </si>
  <si>
    <t>WHRL3</t>
  </si>
  <si>
    <t>Whirlpool</t>
  </si>
  <si>
    <t>WHRL4</t>
  </si>
  <si>
    <t>WIZS3</t>
  </si>
  <si>
    <t>WIZ SOLUÇÕES E CORRETAGEM DE SEGUROS S.A.</t>
  </si>
  <si>
    <t>WMBY3</t>
  </si>
  <si>
    <t>Wembley</t>
  </si>
  <si>
    <t>VGIR11</t>
  </si>
  <si>
    <t>VALORA RE III</t>
  </si>
  <si>
    <t>VISC11</t>
  </si>
  <si>
    <t>VINCI SHOPPING CENTERS FDO INVEST IMOB - FII</t>
  </si>
  <si>
    <t>WSON33</t>
  </si>
  <si>
    <t>Wilson Sons</t>
  </si>
  <si>
    <t>VLJS11</t>
  </si>
  <si>
    <t>Vector Queluz Lajes Corporativas</t>
  </si>
  <si>
    <t>FII Vq Lajes</t>
  </si>
  <si>
    <t>VLOL11</t>
  </si>
  <si>
    <t>FII Olimpia</t>
  </si>
  <si>
    <t>VOTS11</t>
  </si>
  <si>
    <t>Votorantim Securities Master</t>
  </si>
  <si>
    <t>VPSI11</t>
  </si>
  <si>
    <t>VRTA11</t>
  </si>
  <si>
    <t>FATOR VERITA FDO INV IMOB - FII</t>
  </si>
  <si>
    <t>BLAK34</t>
  </si>
  <si>
    <t>BDR</t>
  </si>
  <si>
    <t>BlackRock</t>
  </si>
  <si>
    <t>GOGL34</t>
  </si>
  <si>
    <t>Google</t>
  </si>
  <si>
    <t>JPMC34</t>
  </si>
  <si>
    <t>JPMorgan Chase</t>
  </si>
  <si>
    <t>AAPL34</t>
  </si>
  <si>
    <t>Apple</t>
  </si>
  <si>
    <t>ALSO3</t>
  </si>
  <si>
    <t>NEOE3</t>
  </si>
  <si>
    <t>Utilidade Pública / Energia Elétrica / Energia Elétrica</t>
  </si>
  <si>
    <t>APER3</t>
  </si>
  <si>
    <t>Financeiro / Previdência e Seguros / Corretoras de Seguros</t>
  </si>
  <si>
    <t>Alper S.A.</t>
  </si>
  <si>
    <t>Saúde / Comércio e Distribuição / Medicamentos e Outros Produtos</t>
  </si>
  <si>
    <t>VTLT11</t>
  </si>
  <si>
    <t>WMRB11B</t>
  </si>
  <si>
    <t>FII Wm Rbcap</t>
  </si>
  <si>
    <t>EQPA3</t>
  </si>
  <si>
    <t>EQUATORIAL PARA DISTRIBUIDORA DE ENERGIA S.A.</t>
  </si>
  <si>
    <t>WPLZ11</t>
  </si>
  <si>
    <t>FII W Plaza</t>
  </si>
  <si>
    <t>BMGB4</t>
  </si>
  <si>
    <t>Financeiro / Intermediários Financeiros / Bancos</t>
  </si>
  <si>
    <t>Banco BMG</t>
  </si>
  <si>
    <t>WTSP11B</t>
  </si>
  <si>
    <t>XPCM11</t>
  </si>
  <si>
    <t>FII Xp Macae</t>
  </si>
  <si>
    <t>XPGA11</t>
  </si>
  <si>
    <t>XP Recebíveis</t>
  </si>
  <si>
    <t>XPIN11</t>
  </si>
  <si>
    <t>XP INDUSTRIAL FDO INV IMOB</t>
  </si>
  <si>
    <t>XPLG11</t>
  </si>
  <si>
    <t>XP LOG FDO INV IMOB - FII</t>
  </si>
  <si>
    <t>XPML11</t>
  </si>
  <si>
    <t>XP MALLS FDO INV IMOB FII</t>
  </si>
  <si>
    <t>XPPR11</t>
  </si>
  <si>
    <t>Escritórios</t>
  </si>
  <si>
    <t>XP PROPERTIES FDO. INV. IMOB.</t>
  </si>
  <si>
    <t>XTED11</t>
  </si>
  <si>
    <t>FII Trxe Cor</t>
  </si>
  <si>
    <t>LVBI11</t>
  </si>
  <si>
    <t>Galpões</t>
  </si>
  <si>
    <t>FDO INV IMOB - VBI LOGÍSTICO</t>
  </si>
  <si>
    <t>BOVV11</t>
  </si>
  <si>
    <t>IT NOW IBOVESPA FUNDO DE ÍNDICE</t>
  </si>
  <si>
    <t>BTCR11</t>
  </si>
  <si>
    <t>Fundo de Papel</t>
  </si>
  <si>
    <t>FDO INV IMOB - BTG PACTUAL CREDITO IMOBILIARIO</t>
  </si>
  <si>
    <t>BRZP11</t>
  </si>
  <si>
    <t>FIP – Infraestrutura</t>
  </si>
  <si>
    <t>FIP BRZ IE</t>
  </si>
  <si>
    <t>RECT11</t>
  </si>
  <si>
    <t>Lajes Comerciais</t>
  </si>
  <si>
    <t>FDO INV IMOB - FII UBS (BR) OFFICE</t>
  </si>
  <si>
    <t>OULG11</t>
  </si>
  <si>
    <t>FDO INV IMOB OURINVEST LOGÍSTICA</t>
  </si>
  <si>
    <t>13.974.819/0001-00</t>
  </si>
  <si>
    <t>SPXI11</t>
  </si>
  <si>
    <t>IT NOW S&amp;P500 TRN Fundo de Índice</t>
  </si>
  <si>
    <t>VINO11</t>
  </si>
  <si>
    <t>Vinci Offices</t>
  </si>
  <si>
    <t>VILG11</t>
  </si>
  <si>
    <t>Vinci Logística</t>
  </si>
  <si>
    <t>HCTR11</t>
  </si>
  <si>
    <t>Hectare CE FII</t>
  </si>
  <si>
    <t>BARI11</t>
  </si>
  <si>
    <t>BARIGUI RENDIMENTOS IMOB I FII</t>
  </si>
  <si>
    <t>HABT11</t>
  </si>
  <si>
    <t xml:space="preserve">HABITAT II </t>
  </si>
  <si>
    <t>GSFI11</t>
  </si>
  <si>
    <t>General Shopping e Outlets do Brasil FII</t>
  </si>
  <si>
    <t>HGFF11</t>
  </si>
  <si>
    <t>CSHG Imobiliário FOF</t>
  </si>
  <si>
    <t>RECR11</t>
  </si>
  <si>
    <t>REC Recebíveis Imobiliários</t>
  </si>
  <si>
    <t>TEPP11</t>
  </si>
  <si>
    <t>Tellus Properties</t>
  </si>
  <si>
    <t>Total Ativos RV:</t>
  </si>
  <si>
    <t xml:space="preserve">NÃO ALTERAR </t>
  </si>
  <si>
    <t xml:space="preserve">Carteira de investimentos atualizada - </t>
  </si>
  <si>
    <t>Ranking Ações</t>
  </si>
  <si>
    <t>Custo Aquisição</t>
  </si>
  <si>
    <t>Qtd Carteira</t>
  </si>
  <si>
    <t>Preço Atual</t>
  </si>
  <si>
    <t>Qtd Alvo</t>
  </si>
  <si>
    <t>Ajuste Qtd</t>
  </si>
  <si>
    <t>% Alvo</t>
  </si>
  <si>
    <t>% Classe de ativos</t>
  </si>
  <si>
    <t>Valor Mercado</t>
  </si>
  <si>
    <t>% Valorização</t>
  </si>
  <si>
    <t>% PL</t>
  </si>
  <si>
    <t>Alvo R$</t>
  </si>
  <si>
    <t>Dif. Alvo R$</t>
  </si>
  <si>
    <t>A, F, E</t>
  </si>
  <si>
    <t>Alvo</t>
  </si>
  <si>
    <t>Carteira</t>
  </si>
  <si>
    <t xml:space="preserve">Liquidez </t>
  </si>
  <si>
    <t xml:space="preserve">Alocação de Ativos </t>
  </si>
  <si>
    <t>Financeiro Atual</t>
  </si>
  <si>
    <t>Com Liquidez</t>
  </si>
  <si>
    <t>%</t>
  </si>
  <si>
    <t>Financeiro Alvo</t>
  </si>
  <si>
    <t>Diferença</t>
  </si>
  <si>
    <t>% Δ</t>
  </si>
  <si>
    <t>Renda Fixa Inflação</t>
  </si>
  <si>
    <t>Renda Fixa Pós-Fixada</t>
  </si>
  <si>
    <t>Renda Fixa Prefixada</t>
  </si>
  <si>
    <t>Caixa (Valor a Alocar)</t>
  </si>
  <si>
    <t>TOTAL</t>
  </si>
  <si>
    <t xml:space="preserve">Reserva de Emergência </t>
  </si>
  <si>
    <t xml:space="preserve">Previdência </t>
  </si>
  <si>
    <t>TOTAL C/ RESERVA E PREV.</t>
  </si>
  <si>
    <t>Tabela auxilio novos aportes / Rebalanceamento</t>
  </si>
  <si>
    <t>Valor a investir</t>
  </si>
  <si>
    <t>Fin. novo</t>
  </si>
  <si>
    <t>% novo</t>
  </si>
  <si>
    <t>Dif. p/ Fin. Alvo</t>
  </si>
  <si>
    <t>TOTAL RESTANTE</t>
  </si>
  <si>
    <t>Meses Fechados</t>
  </si>
  <si>
    <t>Compra ou venda</t>
  </si>
  <si>
    <t>Compra</t>
  </si>
  <si>
    <t>XP</t>
  </si>
  <si>
    <t>Classe</t>
  </si>
  <si>
    <t>CDI MENSAL DESDE 1986</t>
  </si>
  <si>
    <t>Venda</t>
  </si>
  <si>
    <t>Guide</t>
  </si>
  <si>
    <t>CDI mensal em %</t>
  </si>
  <si>
    <t>Rico</t>
  </si>
  <si>
    <t>Clear</t>
  </si>
  <si>
    <t>Renda FIxa Prefixada</t>
  </si>
  <si>
    <t>-x-</t>
  </si>
  <si>
    <t xml:space="preserve">Ativo </t>
  </si>
  <si>
    <t>Emissor</t>
  </si>
  <si>
    <t>Indexador</t>
  </si>
  <si>
    <t>Nova Regra FGC</t>
  </si>
  <si>
    <t>Tipo</t>
  </si>
  <si>
    <t>Títulos no secundário</t>
  </si>
  <si>
    <t>Prazos</t>
  </si>
  <si>
    <t>Título Público</t>
  </si>
  <si>
    <t>A. J. Renner S.A.</t>
  </si>
  <si>
    <t>IPCA+</t>
  </si>
  <si>
    <t>Sim</t>
  </si>
  <si>
    <t>Emissão Bancária</t>
  </si>
  <si>
    <t>Curto Prazo</t>
  </si>
  <si>
    <t>CDB</t>
  </si>
  <si>
    <t>AES TIETÊ ENERGIA S/A</t>
  </si>
  <si>
    <t>%CDI</t>
  </si>
  <si>
    <t>Não</t>
  </si>
  <si>
    <t>Crédito Privado</t>
  </si>
  <si>
    <t>Médio Prazo</t>
  </si>
  <si>
    <t>LC</t>
  </si>
  <si>
    <t>Agiplan</t>
  </si>
  <si>
    <t>CDI+</t>
  </si>
  <si>
    <t>Título Público Federal</t>
  </si>
  <si>
    <t>Longo Prazo</t>
  </si>
  <si>
    <t>LCA</t>
  </si>
  <si>
    <t>Agoracred Financeira</t>
  </si>
  <si>
    <t>Pré</t>
  </si>
  <si>
    <t>Fundo de Investimento</t>
  </si>
  <si>
    <t>LCI</t>
  </si>
  <si>
    <t>Algar Telecom</t>
  </si>
  <si>
    <t>Selic</t>
  </si>
  <si>
    <t>Debênture</t>
  </si>
  <si>
    <t>CRI</t>
  </si>
  <si>
    <t>Angá Administração de Recursos LTDA</t>
  </si>
  <si>
    <t>CRA</t>
  </si>
  <si>
    <t>Ápice Securitizadora</t>
  </si>
  <si>
    <t>Fundo</t>
  </si>
  <si>
    <t>AutoBan (Rodovia Anhanguera-Bandeirantes)</t>
  </si>
  <si>
    <t>Titulo Público Anbima</t>
  </si>
  <si>
    <t>Banco ABC</t>
  </si>
  <si>
    <t>Banco Agiplan</t>
  </si>
  <si>
    <t>Banco Arbi</t>
  </si>
  <si>
    <t>Banco BNP Paribas Brasil</t>
  </si>
  <si>
    <t>Banco Bonsucesso</t>
  </si>
  <si>
    <t>Banco Brasil Plural</t>
  </si>
  <si>
    <t>Banco Citibank</t>
  </si>
  <si>
    <t>Banco do Brasil S/A</t>
  </si>
  <si>
    <t>Banco Fator</t>
  </si>
  <si>
    <t>Banco Fibra</t>
  </si>
  <si>
    <t>Banco Indusval</t>
  </si>
  <si>
    <t>Banco Luso Brasileiro</t>
  </si>
  <si>
    <t>Banco Maxima</t>
  </si>
  <si>
    <t>Banco Modal</t>
  </si>
  <si>
    <t>Banco Morgan Stanley</t>
  </si>
  <si>
    <t>Banco Original</t>
  </si>
  <si>
    <t>Banco Paraná S.A</t>
  </si>
  <si>
    <t>Banco Pecunia</t>
  </si>
  <si>
    <t>Banco Pine</t>
  </si>
  <si>
    <t>Banco Renner</t>
  </si>
  <si>
    <t>Banco Ribeirão Preto S.A.</t>
  </si>
  <si>
    <t>Banco Semear</t>
  </si>
  <si>
    <t>Banco Suisse</t>
  </si>
  <si>
    <t>Banco Topázio</t>
  </si>
  <si>
    <t>Barigui Financeira</t>
  </si>
  <si>
    <t>BNP Paribas</t>
  </si>
  <si>
    <t>Brasil Plural S/A - Banco Múltiplo</t>
  </si>
  <si>
    <t>CAIXA ECONÔMICA FEDERAL</t>
  </si>
  <si>
    <t>Caruana Financeira</t>
  </si>
  <si>
    <t>Celpa</t>
  </si>
  <si>
    <t>Cemig Distribuição</t>
  </si>
  <si>
    <t>Cemig Geração e Transmissão</t>
  </si>
  <si>
    <t>Centrais Elétricas do Pará S/A</t>
  </si>
  <si>
    <t>Companhia de Gás de São Paulo</t>
  </si>
  <si>
    <t>Companhia de Saneamento Básico do Estado de São Pa</t>
  </si>
  <si>
    <t>Companhia Energética do Maranhão</t>
  </si>
  <si>
    <t>Concessionária Rodovias do Tiete S.A.</t>
  </si>
  <si>
    <t>Concessionária Rota das Bandeiras S/A</t>
  </si>
  <si>
    <t>Copel Telecomunicações</t>
  </si>
  <si>
    <t>Credit Agricole Brasil SA</t>
  </si>
  <si>
    <t>CTEEP</t>
  </si>
  <si>
    <t>Cyrela Brazil Realty S.A. Empreendimentos e Partic</t>
  </si>
  <si>
    <t>Dacasa Financeira</t>
  </si>
  <si>
    <t>Ecoagro</t>
  </si>
  <si>
    <t>EDP Energias do Brasil</t>
  </si>
  <si>
    <t>Estrela Mineira Financeira</t>
  </si>
  <si>
    <t>Facta Financeira</t>
  </si>
  <si>
    <t>HAITONG</t>
  </si>
  <si>
    <t>ICBC</t>
  </si>
  <si>
    <t>Isec Securitizadora</t>
  </si>
  <si>
    <t>Light Energia</t>
  </si>
  <si>
    <t>Light Serviços de Eletricidade</t>
  </si>
  <si>
    <t>Lojas Americanas</t>
  </si>
  <si>
    <t>Mercatto</t>
  </si>
  <si>
    <t>Movida</t>
  </si>
  <si>
    <t>Nascentes do Xingu</t>
  </si>
  <si>
    <t>Nova Securitização</t>
  </si>
  <si>
    <t>Novo Banco Continental</t>
  </si>
  <si>
    <t>Omni S/A</t>
  </si>
  <si>
    <t>Pernambucanas Financiadora</t>
  </si>
  <si>
    <t>Petrobras</t>
  </si>
  <si>
    <t>Rodobens</t>
  </si>
  <si>
    <t>Salus</t>
  </si>
  <si>
    <t>Santander</t>
  </si>
  <si>
    <t>Senff Financeira</t>
  </si>
  <si>
    <t>Ser Educacional</t>
  </si>
  <si>
    <t>Sparta Asset</t>
  </si>
  <si>
    <t>TCP Terminal de Cont.</t>
  </si>
  <si>
    <t>Vale S/A</t>
  </si>
  <si>
    <t>Portocred S/A</t>
  </si>
  <si>
    <t>Banco Tricury S/A</t>
  </si>
  <si>
    <t>Az Quest</t>
  </si>
  <si>
    <t>Tesouro Prefixado 2020</t>
  </si>
  <si>
    <t>segunda-feira</t>
  </si>
  <si>
    <t>Confraternização Universal</t>
  </si>
  <si>
    <t>Carnaval</t>
  </si>
  <si>
    <t>terça-feira</t>
  </si>
  <si>
    <t>sexta-feira</t>
  </si>
  <si>
    <t>Paixão de Cristo</t>
  </si>
  <si>
    <t>sábado</t>
  </si>
  <si>
    <t>Tiradentes</t>
  </si>
  <si>
    <t>Dia do Trabalho</t>
  </si>
  <si>
    <t>quinta-feira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</si>
  <si>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</si>
  <si>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</si>
  <si>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</si>
  <si>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</si>
  <si>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</si>
  <si>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</si>
  <si>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domingo</t>
  </si>
  <si>
    <t>quarta-feira</t>
  </si>
  <si>
    <t>OM</t>
  </si>
  <si>
    <t>Total sem corretagem</t>
  </si>
  <si>
    <t>Total com corretagem</t>
  </si>
  <si>
    <t xml:space="preserve"> Preço médio</t>
  </si>
  <si>
    <t>Operação</t>
  </si>
  <si>
    <t>Total de cotas</t>
  </si>
  <si>
    <t>FIIS</t>
  </si>
  <si>
    <t xml:space="preserve">CARTEIRA </t>
  </si>
  <si>
    <t xml:space="preserve">AÇÕES BR </t>
  </si>
  <si>
    <t xml:space="preserve">AÇÕES EUA </t>
  </si>
  <si>
    <t xml:space="preserve">MODELO 1 </t>
  </si>
  <si>
    <t>CAIXA/CRIPTO</t>
  </si>
  <si>
    <t xml:space="preserve">100% RENDA VARIÁVEL </t>
  </si>
  <si>
    <t xml:space="preserve">MODELO 2 </t>
  </si>
  <si>
    <t xml:space="preserve">90% RENDA VARIÁVEL </t>
  </si>
  <si>
    <t xml:space="preserve">MODELO 3 </t>
  </si>
  <si>
    <t>CAIXA</t>
  </si>
  <si>
    <t xml:space="preserve">75% RENDA VARIÁVEL </t>
  </si>
  <si>
    <t xml:space="preserve">MODELO 4 </t>
  </si>
  <si>
    <t>55% RENDA FIXA</t>
  </si>
  <si>
    <t xml:space="preserve">MODELO 5 </t>
  </si>
  <si>
    <t>70% RENDA FIXA</t>
  </si>
  <si>
    <t xml:space="preserve">CAIXA/RENDA FIXA </t>
  </si>
  <si>
    <t>CAIXA/RENDA FIXA</t>
  </si>
  <si>
    <t xml:space="preserve">RENDA FIXA </t>
  </si>
  <si>
    <t>RENDA FIXA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</si>
</sst>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&quot;R$&quot;\ * #,##0.00_-;\-&quot;R$&quot;\ * #,##0.00_-;_-&quot;R$&quot;\ * &quot;-&quot;??_-;_-@_-"/>
    <numFmt numFmtId="164" formatCode="_-* #,##0.00_-;\-* #,##0.00_-;_-* &quot;-&quot;??_-;_-@"/>
    <numFmt numFmtId="165" formatCode="dd&quot;/&quot;mm&quot;/&quot;yyyy"/>
    <numFmt numFmtId="166" formatCode="#,##0;\(#,##0\)"/>
    <numFmt numFmtId="167" formatCode="_-&quot;R$&quot;\ * #,##0.00_-;\-&quot;R$&quot;\ * #,##0.00_-;_-&quot;R$&quot;\ * &quot;-&quot;??_-;_-@"/>
    <numFmt numFmtId="168" formatCode="_(&quot;R$&quot;* #,##0.00_);_(&quot;R$&quot;* \(#,##0.00\);_(&quot;R$&quot;* &quot;-&quot;??_);_(@_)"/>
    <numFmt numFmtId="169" formatCode="_-* #,##0_-;\-* #,##0_-;_-* &quot;-&quot;??_-;_-@"/>
    <numFmt numFmtId="170" formatCode="_(&quot;$&quot;* #,##0_);_(&quot;$&quot;* \(#,##0\);_(&quot;$&quot;* &quot;-&quot;??_);_(@_)"/>
    <numFmt numFmtId="171" formatCode="&quot;$&quot;#,##0.00"/>
    <numFmt numFmtId="172" formatCode="#,##0_ ;[Red]\-#,##0\ "/>
    <numFmt numFmtId="173" formatCode="0.000000%"/>
    <numFmt numFmtId="174" formatCode="yyyy\.mm"/>
    <numFmt numFmtId="175" formatCode="yyyy\.m"/>
    <numFmt numFmtId="176" formatCode="d/m/yyyy"/>
  </numFmts>
  <fonts count="53">
    <font>
      <sz val="11"/>
      <color rgb="FF000000"/>
      <name val="Calibri"/>
    </font>
    <font>
      <sz val="10"/>
      <name val="Lato"/>
    </font>
    <font>
      <sz val="11"/>
      <name val="Calibri"/>
    </font>
    <font>
      <b/>
      <sz val="13"/>
      <color rgb="FF000000"/>
      <name val="Calibri"/>
    </font>
    <font>
      <sz val="11"/>
      <color rgb="FF000000"/>
      <name val="Inconsolata"/>
    </font>
    <font>
      <sz val="12"/>
      <name val="Arial"/>
    </font>
    <font>
      <sz val="12"/>
      <color rgb="FF000000"/>
      <name val="Calibri"/>
    </font>
    <font>
      <sz val="12"/>
      <name val="Calibri"/>
    </font>
    <font>
      <u/>
      <sz val="12"/>
      <color rgb="FF000000"/>
      <name val="Calibri"/>
    </font>
    <font>
      <sz val="11"/>
      <name val="Calibri"/>
    </font>
    <font>
      <sz val="15"/>
      <color rgb="FF333333"/>
      <name val="Arial"/>
    </font>
    <font>
      <sz val="15"/>
      <color rgb="FF333333"/>
      <name val="RubikRegular"/>
    </font>
    <font>
      <b/>
      <sz val="16"/>
      <color rgb="FF002060"/>
      <name val="Calibri"/>
    </font>
    <font>
      <b/>
      <sz val="14"/>
      <color rgb="FF002060"/>
      <name val="Calibri"/>
    </font>
    <font>
      <b/>
      <sz val="12"/>
      <color rgb="FF002060"/>
      <name val="Calibri"/>
    </font>
    <font>
      <b/>
      <sz val="16"/>
      <color rgb="FF0070C0"/>
      <name val="Calibri"/>
    </font>
    <font>
      <b/>
      <u/>
      <sz val="13"/>
      <color rgb="FF000000"/>
      <name val="Calibri"/>
    </font>
    <font>
      <b/>
      <sz val="18"/>
      <color rgb="FFFFFFFF"/>
      <name val="Calibri"/>
    </font>
    <font>
      <sz val="11"/>
      <color rgb="FFFFFFFF"/>
      <name val="Calibri"/>
    </font>
    <font>
      <sz val="13"/>
      <color rgb="FF000000"/>
      <name val="Calibri"/>
    </font>
    <font>
      <b/>
      <sz val="11"/>
      <color rgb="FF000000"/>
      <name val="Calibri"/>
    </font>
    <font>
      <b/>
      <sz val="14"/>
      <color rgb="FF595959"/>
      <name val="Calibri"/>
    </font>
    <font>
      <b/>
      <sz val="16"/>
      <color rgb="FF595959"/>
      <name val="Calibri"/>
    </font>
    <font>
      <b/>
      <sz val="14"/>
      <color rgb="FF3F3F3F"/>
      <name val="Calibri"/>
    </font>
    <font>
      <sz val="12"/>
      <color rgb="FF7F7F7F"/>
      <name val="Calibri"/>
    </font>
    <font>
      <sz val="12"/>
      <color rgb="FF3F3F3F"/>
      <name val="Calibri"/>
    </font>
    <font>
      <sz val="11"/>
      <name val="Arial"/>
    </font>
    <font>
      <b/>
      <sz val="10"/>
      <name val="Lato"/>
    </font>
    <font>
      <b/>
      <sz val="11"/>
      <name val="Lato"/>
    </font>
    <font>
      <sz val="7"/>
      <color theme="4" tint="-0.499984740745262"/>
      <name val="Lato"/>
      <family val="2"/>
    </font>
    <font>
      <sz val="8"/>
      <name val="Calibri"/>
      <family val="2"/>
    </font>
    <font>
      <sz val="12"/>
      <color rgb="FF000000"/>
      <name val="Amasis MT Pro"/>
      <family val="1"/>
    </font>
    <font>
      <b/>
      <sz val="12"/>
      <color rgb="FF000000"/>
      <name val="Amasis MT Pro"/>
      <family val="1"/>
    </font>
    <font>
      <sz val="12"/>
      <color theme="0"/>
      <name val="Amasis MT Pro"/>
      <family val="1"/>
    </font>
    <font>
      <sz val="11"/>
      <color rgb="FF000000"/>
      <name val="Calibri"/>
    </font>
    <font>
      <sz val="11"/>
      <color theme="8" tint="0.79998168889431442"/>
      <name val="Calibri"/>
      <family val="2"/>
      <scheme val="minor"/>
    </font>
    <font>
      <sz val="18"/>
      <color theme="8" tint="0.79998168889431442"/>
      <name val="Calibri"/>
      <family val="2"/>
      <scheme val="minor"/>
    </font>
    <font>
      <sz val="28"/>
      <color theme="8" tint="0.79998168889431442"/>
      <name val="Calibri"/>
      <family val="2"/>
      <scheme val="minor"/>
    </font>
    <font>
      <b/>
      <sz val="18"/>
      <color theme="8" tint="0.79998168889431442"/>
      <name val="Calibri"/>
      <family val="2"/>
      <scheme val="minor"/>
    </font>
    <font>
      <sz val="20"/>
      <color theme="8" tint="0.79998168889431442"/>
      <name val="Calibri"/>
      <family val="2"/>
      <scheme val="minor"/>
    </font>
    <font>
      <sz val="48"/>
      <color theme="8" tint="0.79998168889431442"/>
      <name val="Calibri"/>
      <family val="2"/>
      <scheme val="minor"/>
    </font>
    <font>
      <sz val="36"/>
      <color theme="5"/>
      <name val="Calibri"/>
      <family val="2"/>
      <scheme val="minor"/>
    </font>
    <font>
      <sz val="36"/>
      <color theme="5" tint="0.59999389629810485"/>
      <name val="Calibri"/>
      <family val="2"/>
      <scheme val="minor"/>
    </font>
    <font>
      <sz val="36"/>
      <color theme="7" tint="0.59999389629810485"/>
      <name val="Calibri"/>
      <family val="2"/>
      <scheme val="minor"/>
    </font>
    <font>
      <sz val="36"/>
      <color theme="9"/>
      <name val="Calibri"/>
      <family val="2"/>
      <scheme val="minor"/>
    </font>
    <font>
      <b/>
      <sz val="16"/>
      <color theme="0"/>
      <name val="Trade Gothic Inline"/>
      <family val="2"/>
    </font>
    <font>
      <b/>
      <sz val="12"/>
      <color theme="0"/>
      <name val="Amasis MT Pro"/>
      <family val="1"/>
    </font>
    <font>
      <b/>
      <sz val="12"/>
      <color theme="0"/>
      <name val="Lato"/>
      <family val="2"/>
    </font>
    <font>
      <sz val="12"/>
      <color theme="0"/>
      <name val="Lato"/>
      <family val="2"/>
    </font>
    <font>
      <sz val="11"/>
      <color theme="0"/>
      <name val="Calibri"/>
      <family val="2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EEEFF2"/>
        <bgColor rgb="FFEEEFF2"/>
      </patternFill>
    </fill>
    <fill>
      <patternFill patternType="solid">
        <fgColor rgb="FFFFFF99"/>
        <bgColor rgb="FFFFFF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4DCAD8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4DCAD8"/>
      </patternFill>
    </fill>
    <fill>
      <patternFill patternType="solid">
        <fgColor theme="0"/>
        <bgColor rgb="FFD9D9D9"/>
      </patternFill>
    </fill>
    <fill>
      <patternFill patternType="solid">
        <fgColor theme="4" tint="-0.499984740745262"/>
        <bgColor rgb="FFD9D9D9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rgb="FF4DCAD8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CCCCCC"/>
      </top>
      <bottom style="thin">
        <color rgb="FFD8D8D8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/>
      <diagonal/>
    </border>
    <border>
      <left/>
      <right/>
      <top/>
      <bottom style="thin">
        <color rgb="FFF2F2F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34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17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/>
    <xf numFmtId="0" fontId="6" fillId="3" borderId="5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7" fillId="2" borderId="2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7" fillId="0" borderId="2" xfId="0" applyFont="1" applyBorder="1" applyAlignment="1"/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4" borderId="2" xfId="0" applyFont="1" applyFill="1" applyBorder="1" applyAlignment="1"/>
    <xf numFmtId="0" fontId="7" fillId="0" borderId="2" xfId="0" applyFont="1" applyBorder="1" applyAlignment="1"/>
    <xf numFmtId="168" fontId="6" fillId="2" borderId="4" xfId="0" applyNumberFormat="1" applyFont="1" applyFill="1" applyBorder="1" applyAlignment="1">
      <alignment horizontal="center"/>
    </xf>
    <xf numFmtId="0" fontId="9" fillId="0" borderId="0" xfId="0" applyFont="1" applyAlignment="1"/>
    <xf numFmtId="0" fontId="2" fillId="0" borderId="0" xfId="0" applyFont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5" borderId="5" xfId="0" applyFont="1" applyFill="1" applyBorder="1"/>
    <xf numFmtId="0" fontId="0" fillId="2" borderId="5" xfId="0" applyFont="1" applyFill="1" applyBorder="1"/>
    <xf numFmtId="0" fontId="12" fillId="2" borderId="5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0" fontId="15" fillId="2" borderId="5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/>
    </xf>
    <xf numFmtId="170" fontId="17" fillId="2" borderId="5" xfId="0" applyNumberFormat="1" applyFont="1" applyFill="1" applyBorder="1" applyAlignment="1">
      <alignment horizontal="center" wrapText="1"/>
    </xf>
    <xf numFmtId="0" fontId="18" fillId="2" borderId="5" xfId="0" applyFont="1" applyFill="1" applyBorder="1"/>
    <xf numFmtId="171" fontId="14" fillId="0" borderId="0" xfId="0" applyNumberFormat="1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19" fillId="2" borderId="5" xfId="0" applyFont="1" applyFill="1" applyBorder="1" applyAlignment="1"/>
    <xf numFmtId="0" fontId="19" fillId="2" borderId="5" xfId="0" applyFont="1" applyFill="1" applyBorder="1"/>
    <xf numFmtId="0" fontId="0" fillId="2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164" fontId="0" fillId="2" borderId="5" xfId="0" applyNumberFormat="1" applyFont="1" applyFill="1" applyBorder="1"/>
    <xf numFmtId="169" fontId="0" fillId="2" borderId="5" xfId="0" applyNumberFormat="1" applyFont="1" applyFill="1" applyBorder="1" applyAlignment="1">
      <alignment horizontal="center"/>
    </xf>
    <xf numFmtId="164" fontId="0" fillId="6" borderId="5" xfId="0" applyNumberFormat="1" applyFont="1" applyFill="1" applyBorder="1"/>
    <xf numFmtId="172" fontId="0" fillId="2" borderId="5" xfId="0" applyNumberFormat="1" applyFont="1" applyFill="1" applyBorder="1" applyAlignment="1">
      <alignment horizontal="center"/>
    </xf>
    <xf numFmtId="10" fontId="0" fillId="2" borderId="5" xfId="0" applyNumberFormat="1" applyFont="1" applyFill="1" applyBorder="1" applyAlignment="1">
      <alignment horizontal="center"/>
    </xf>
    <xf numFmtId="10" fontId="0" fillId="2" borderId="5" xfId="0" applyNumberFormat="1" applyFont="1" applyFill="1" applyBorder="1"/>
    <xf numFmtId="171" fontId="0" fillId="2" borderId="5" xfId="0" applyNumberFormat="1" applyFont="1" applyFill="1" applyBorder="1"/>
    <xf numFmtId="0" fontId="20" fillId="2" borderId="5" xfId="0" applyFont="1" applyFill="1" applyBorder="1"/>
    <xf numFmtId="14" fontId="20" fillId="2" borderId="5" xfId="0" applyNumberFormat="1" applyFont="1" applyFill="1" applyBorder="1"/>
    <xf numFmtId="0" fontId="0" fillId="2" borderId="6" xfId="0" applyFont="1" applyFill="1" applyBorder="1"/>
    <xf numFmtId="0" fontId="21" fillId="7" borderId="7" xfId="0" applyFont="1" applyFill="1" applyBorder="1" applyAlignment="1">
      <alignment horizontal="center"/>
    </xf>
    <xf numFmtId="9" fontId="21" fillId="7" borderId="8" xfId="0" applyNumberFormat="1" applyFont="1" applyFill="1" applyBorder="1" applyAlignment="1">
      <alignment horizontal="center"/>
    </xf>
    <xf numFmtId="0" fontId="0" fillId="2" borderId="9" xfId="0" applyFont="1" applyFill="1" applyBorder="1"/>
    <xf numFmtId="10" fontId="21" fillId="7" borderId="7" xfId="0" applyNumberFormat="1" applyFont="1" applyFill="1" applyBorder="1" applyAlignment="1">
      <alignment horizontal="center"/>
    </xf>
    <xf numFmtId="10" fontId="21" fillId="7" borderId="8" xfId="0" applyNumberFormat="1" applyFont="1" applyFill="1" applyBorder="1" applyAlignment="1">
      <alignment horizontal="center"/>
    </xf>
    <xf numFmtId="0" fontId="0" fillId="2" borderId="3" xfId="0" applyFont="1" applyFill="1" applyBorder="1"/>
    <xf numFmtId="0" fontId="22" fillId="2" borderId="6" xfId="0" applyFont="1" applyFill="1" applyBorder="1"/>
    <xf numFmtId="0" fontId="22" fillId="2" borderId="10" xfId="0" applyFont="1" applyFill="1" applyBorder="1"/>
    <xf numFmtId="0" fontId="22" fillId="2" borderId="1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/>
    </xf>
    <xf numFmtId="0" fontId="23" fillId="2" borderId="5" xfId="0" applyFont="1" applyFill="1" applyBorder="1"/>
    <xf numFmtId="167" fontId="0" fillId="2" borderId="5" xfId="0" applyNumberFormat="1" applyFont="1" applyFill="1" applyBorder="1" applyAlignment="1">
      <alignment horizontal="center"/>
    </xf>
    <xf numFmtId="167" fontId="0" fillId="2" borderId="5" xfId="0" applyNumberFormat="1" applyFont="1" applyFill="1" applyBorder="1"/>
    <xf numFmtId="10" fontId="24" fillId="2" borderId="5" xfId="0" applyNumberFormat="1" applyFont="1" applyFill="1" applyBorder="1" applyAlignment="1">
      <alignment horizontal="right"/>
    </xf>
    <xf numFmtId="10" fontId="24" fillId="6" borderId="5" xfId="0" applyNumberFormat="1" applyFont="1" applyFill="1" applyBorder="1" applyAlignment="1">
      <alignment horizontal="right"/>
    </xf>
    <xf numFmtId="167" fontId="0" fillId="2" borderId="5" xfId="0" applyNumberFormat="1" applyFont="1" applyFill="1" applyBorder="1" applyAlignment="1"/>
    <xf numFmtId="0" fontId="23" fillId="2" borderId="6" xfId="0" applyFont="1" applyFill="1" applyBorder="1"/>
    <xf numFmtId="167" fontId="0" fillId="2" borderId="6" xfId="0" applyNumberFormat="1" applyFont="1" applyFill="1" applyBorder="1" applyAlignment="1">
      <alignment horizontal="center"/>
    </xf>
    <xf numFmtId="167" fontId="0" fillId="2" borderId="6" xfId="0" applyNumberFormat="1" applyFont="1" applyFill="1" applyBorder="1"/>
    <xf numFmtId="10" fontId="24" fillId="2" borderId="6" xfId="0" applyNumberFormat="1" applyFont="1" applyFill="1" applyBorder="1" applyAlignment="1">
      <alignment horizontal="right"/>
    </xf>
    <xf numFmtId="10" fontId="24" fillId="6" borderId="6" xfId="0" applyNumberFormat="1" applyFont="1" applyFill="1" applyBorder="1" applyAlignment="1">
      <alignment horizontal="right"/>
    </xf>
    <xf numFmtId="0" fontId="22" fillId="7" borderId="11" xfId="0" applyFont="1" applyFill="1" applyBorder="1" applyAlignment="1">
      <alignment horizontal="left"/>
    </xf>
    <xf numFmtId="167" fontId="22" fillId="7" borderId="11" xfId="0" applyNumberFormat="1" applyFont="1" applyFill="1" applyBorder="1" applyAlignment="1">
      <alignment horizontal="right"/>
    </xf>
    <xf numFmtId="9" fontId="22" fillId="7" borderId="11" xfId="0" applyNumberFormat="1" applyFont="1" applyFill="1" applyBorder="1" applyAlignment="1">
      <alignment horizontal="right"/>
    </xf>
    <xf numFmtId="0" fontId="23" fillId="2" borderId="5" xfId="0" applyFont="1" applyFill="1" applyBorder="1" applyAlignment="1">
      <alignment horizontal="left"/>
    </xf>
    <xf numFmtId="167" fontId="0" fillId="2" borderId="5" xfId="0" applyNumberFormat="1" applyFont="1" applyFill="1" applyBorder="1" applyAlignment="1">
      <alignment horizontal="right"/>
    </xf>
    <xf numFmtId="0" fontId="23" fillId="2" borderId="5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right"/>
    </xf>
    <xf numFmtId="0" fontId="23" fillId="2" borderId="12" xfId="0" applyFont="1" applyFill="1" applyBorder="1" applyAlignment="1">
      <alignment horizontal="left"/>
    </xf>
    <xf numFmtId="0" fontId="23" fillId="2" borderId="6" xfId="0" applyFont="1" applyFill="1" applyBorder="1" applyAlignment="1">
      <alignment horizontal="left"/>
    </xf>
    <xf numFmtId="167" fontId="0" fillId="2" borderId="6" xfId="0" applyNumberFormat="1" applyFont="1" applyFill="1" applyBorder="1" applyAlignment="1">
      <alignment horizontal="right"/>
    </xf>
    <xf numFmtId="0" fontId="22" fillId="7" borderId="10" xfId="0" applyFont="1" applyFill="1" applyBorder="1" applyAlignment="1">
      <alignment horizontal="left"/>
    </xf>
    <xf numFmtId="0" fontId="22" fillId="7" borderId="1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2" borderId="6" xfId="0" applyFont="1" applyFill="1" applyBorder="1" applyAlignment="1"/>
    <xf numFmtId="0" fontId="0" fillId="2" borderId="14" xfId="0" applyFont="1" applyFill="1" applyBorder="1" applyAlignment="1"/>
    <xf numFmtId="167" fontId="22" fillId="2" borderId="10" xfId="0" applyNumberFormat="1" applyFont="1" applyFill="1" applyBorder="1" applyAlignment="1">
      <alignment horizontal="center"/>
    </xf>
    <xf numFmtId="0" fontId="23" fillId="2" borderId="15" xfId="0" applyFont="1" applyFill="1" applyBorder="1"/>
    <xf numFmtId="9" fontId="22" fillId="2" borderId="10" xfId="0" applyNumberFormat="1" applyFont="1" applyFill="1" applyBorder="1" applyAlignment="1">
      <alignment horizontal="center"/>
    </xf>
    <xf numFmtId="9" fontId="0" fillId="2" borderId="5" xfId="0" applyNumberFormat="1" applyFont="1" applyFill="1" applyBorder="1"/>
    <xf numFmtId="0" fontId="0" fillId="2" borderId="0" xfId="0" applyFont="1" applyFill="1"/>
    <xf numFmtId="17" fontId="25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8" borderId="0" xfId="0" applyFont="1" applyFill="1" applyAlignment="1"/>
    <xf numFmtId="173" fontId="7" fillId="0" borderId="0" xfId="0" applyNumberFormat="1" applyFont="1" applyAlignment="1">
      <alignment horizontal="right"/>
    </xf>
    <xf numFmtId="0" fontId="26" fillId="0" borderId="16" xfId="0" applyFont="1" applyBorder="1" applyAlignment="1"/>
    <xf numFmtId="173" fontId="7" fillId="0" borderId="0" xfId="0" applyNumberFormat="1" applyFont="1" applyAlignment="1"/>
    <xf numFmtId="0" fontId="26" fillId="0" borderId="0" xfId="0" applyFont="1" applyAlignment="1"/>
    <xf numFmtId="10" fontId="2" fillId="0" borderId="0" xfId="0" applyNumberFormat="1" applyFont="1" applyAlignment="1"/>
    <xf numFmtId="0" fontId="2" fillId="0" borderId="16" xfId="0" applyFont="1" applyBorder="1" applyAlignment="1"/>
    <xf numFmtId="174" fontId="9" fillId="0" borderId="0" xfId="0" applyNumberFormat="1" applyFont="1"/>
    <xf numFmtId="10" fontId="2" fillId="0" borderId="0" xfId="0" applyNumberFormat="1" applyFont="1" applyAlignment="1">
      <alignment horizontal="right"/>
    </xf>
    <xf numFmtId="0" fontId="2" fillId="0" borderId="16" xfId="0" applyFont="1" applyBorder="1" applyAlignment="1"/>
    <xf numFmtId="175" fontId="9" fillId="0" borderId="0" xfId="0" applyNumberFormat="1" applyFont="1"/>
    <xf numFmtId="0" fontId="27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/>
    <xf numFmtId="0" fontId="28" fillId="0" borderId="0" xfId="0" applyFont="1" applyAlignment="1">
      <alignment horizontal="center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176" fontId="0" fillId="0" borderId="0" xfId="0" applyNumberFormat="1" applyFont="1" applyAlignment="1">
      <alignment horizontal="right"/>
    </xf>
    <xf numFmtId="0" fontId="0" fillId="0" borderId="14" xfId="0" applyFont="1" applyBorder="1" applyAlignment="1"/>
    <xf numFmtId="0" fontId="31" fillId="0" borderId="14" xfId="0" applyFont="1" applyBorder="1" applyAlignment="1"/>
    <xf numFmtId="0" fontId="31" fillId="0" borderId="0" xfId="0" applyFont="1" applyAlignment="1"/>
    <xf numFmtId="0" fontId="31" fillId="10" borderId="14" xfId="0" applyFont="1" applyFill="1" applyBorder="1" applyAlignment="1"/>
    <xf numFmtId="0" fontId="31" fillId="0" borderId="14" xfId="0" applyFont="1" applyBorder="1" applyAlignment="1">
      <alignment horizontal="center"/>
    </xf>
    <xf numFmtId="0" fontId="31" fillId="0" borderId="0" xfId="0" applyFont="1" applyAlignment="1">
      <alignment horizontal="center" vertical="center"/>
    </xf>
    <xf numFmtId="0" fontId="31" fillId="13" borderId="14" xfId="0" applyFont="1" applyFill="1" applyBorder="1" applyAlignment="1">
      <alignment vertical="center"/>
    </xf>
    <xf numFmtId="0" fontId="33" fillId="13" borderId="14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14" xfId="0" applyFont="1" applyBorder="1"/>
    <xf numFmtId="0" fontId="35" fillId="15" borderId="0" xfId="0" applyFont="1" applyFill="1"/>
    <xf numFmtId="9" fontId="36" fillId="15" borderId="0" xfId="2" applyFont="1" applyFill="1"/>
    <xf numFmtId="0" fontId="35" fillId="16" borderId="0" xfId="0" applyFont="1" applyFill="1"/>
    <xf numFmtId="9" fontId="36" fillId="16" borderId="0" xfId="2" applyFont="1" applyFill="1"/>
    <xf numFmtId="0" fontId="0" fillId="16" borderId="0" xfId="0" applyFill="1"/>
    <xf numFmtId="44" fontId="37" fillId="16" borderId="0" xfId="1" applyFont="1" applyFill="1" applyAlignment="1"/>
    <xf numFmtId="0" fontId="38" fillId="16" borderId="0" xfId="0" applyFont="1" applyFill="1"/>
    <xf numFmtId="0" fontId="36" fillId="17" borderId="19" xfId="0" applyFont="1" applyFill="1" applyBorder="1"/>
    <xf numFmtId="44" fontId="39" fillId="17" borderId="19" xfId="0" applyNumberFormat="1" applyFont="1" applyFill="1" applyBorder="1"/>
    <xf numFmtId="0" fontId="40" fillId="16" borderId="0" xfId="0" applyFont="1" applyFill="1" applyAlignment="1">
      <alignment horizontal="center"/>
    </xf>
    <xf numFmtId="0" fontId="41" fillId="16" borderId="0" xfId="0" applyFont="1" applyFill="1" applyAlignment="1">
      <alignment horizontal="center"/>
    </xf>
    <xf numFmtId="9" fontId="38" fillId="16" borderId="0" xfId="2" applyFont="1" applyFill="1"/>
    <xf numFmtId="0" fontId="42" fillId="16" borderId="0" xfId="0" applyFont="1" applyFill="1" applyAlignment="1">
      <alignment horizontal="center"/>
    </xf>
    <xf numFmtId="0" fontId="43" fillId="16" borderId="0" xfId="0" applyFont="1" applyFill="1" applyAlignment="1">
      <alignment horizontal="center"/>
    </xf>
    <xf numFmtId="0" fontId="44" fillId="16" borderId="0" xfId="0" applyFont="1" applyFill="1" applyAlignment="1">
      <alignment horizontal="center"/>
    </xf>
    <xf numFmtId="0" fontId="0" fillId="18" borderId="0" xfId="0" applyFill="1"/>
    <xf numFmtId="0" fontId="35" fillId="18" borderId="0" xfId="0" applyFont="1" applyFill="1"/>
    <xf numFmtId="9" fontId="36" fillId="18" borderId="0" xfId="2" applyFont="1" applyFill="1"/>
    <xf numFmtId="0" fontId="45" fillId="12" borderId="0" xfId="0" applyFont="1" applyFill="1" applyAlignment="1">
      <alignment horizontal="center" vertical="center"/>
    </xf>
    <xf numFmtId="0" fontId="46" fillId="9" borderId="18" xfId="0" applyFont="1" applyFill="1" applyBorder="1" applyAlignment="1">
      <alignment horizontal="center" vertical="center" wrapText="1"/>
    </xf>
    <xf numFmtId="0" fontId="47" fillId="9" borderId="14" xfId="0" applyFont="1" applyFill="1" applyBorder="1" applyAlignment="1">
      <alignment horizontal="center" vertical="center" wrapText="1"/>
    </xf>
    <xf numFmtId="0" fontId="47" fillId="9" borderId="1" xfId="0" applyFont="1" applyFill="1" applyBorder="1" applyAlignment="1">
      <alignment horizontal="center" vertical="center" wrapText="1"/>
    </xf>
    <xf numFmtId="0" fontId="47" fillId="9" borderId="1" xfId="0" applyFont="1" applyFill="1" applyBorder="1" applyAlignment="1">
      <alignment horizontal="center" vertical="center"/>
    </xf>
    <xf numFmtId="0" fontId="48" fillId="9" borderId="0" xfId="0" applyFont="1" applyFill="1" applyAlignment="1">
      <alignment vertical="center" wrapText="1"/>
    </xf>
    <xf numFmtId="0" fontId="49" fillId="10" borderId="0" xfId="0" applyFont="1" applyFill="1" applyAlignment="1"/>
    <xf numFmtId="164" fontId="29" fillId="11" borderId="20" xfId="0" applyNumberFormat="1" applyFont="1" applyFill="1" applyBorder="1" applyAlignment="1">
      <alignment vertical="center"/>
    </xf>
    <xf numFmtId="164" fontId="29" fillId="11" borderId="21" xfId="0" applyNumberFormat="1" applyFont="1" applyFill="1" applyBorder="1" applyAlignment="1">
      <alignment vertical="center"/>
    </xf>
    <xf numFmtId="164" fontId="29" fillId="11" borderId="22" xfId="0" applyNumberFormat="1" applyFont="1" applyFill="1" applyBorder="1" applyAlignment="1">
      <alignment vertical="center"/>
    </xf>
    <xf numFmtId="165" fontId="33" fillId="14" borderId="19" xfId="0" applyNumberFormat="1" applyFont="1" applyFill="1" applyBorder="1" applyAlignment="1">
      <alignment horizontal="right"/>
    </xf>
    <xf numFmtId="14" fontId="32" fillId="0" borderId="19" xfId="0" applyNumberFormat="1" applyFont="1" applyBorder="1" applyAlignment="1">
      <alignment horizontal="center"/>
    </xf>
    <xf numFmtId="165" fontId="32" fillId="14" borderId="19" xfId="0" applyNumberFormat="1" applyFont="1" applyFill="1" applyBorder="1" applyAlignment="1">
      <alignment horizontal="center"/>
    </xf>
    <xf numFmtId="168" fontId="31" fillId="0" borderId="19" xfId="0" applyNumberFormat="1" applyFont="1" applyBorder="1" applyAlignment="1">
      <alignment horizontal="center" vertical="center"/>
    </xf>
    <xf numFmtId="169" fontId="31" fillId="0" borderId="19" xfId="0" applyNumberFormat="1" applyFont="1" applyBorder="1" applyAlignment="1">
      <alignment horizontal="center" vertical="center"/>
    </xf>
    <xf numFmtId="167" fontId="31" fillId="0" borderId="19" xfId="0" applyNumberFormat="1" applyFont="1" applyBorder="1" applyAlignment="1">
      <alignment horizontal="center" vertical="center"/>
    </xf>
    <xf numFmtId="164" fontId="31" fillId="0" borderId="19" xfId="0" applyNumberFormat="1" applyFont="1" applyBorder="1" applyAlignment="1">
      <alignment horizontal="center" vertical="center"/>
    </xf>
    <xf numFmtId="165" fontId="33" fillId="14" borderId="19" xfId="0" applyNumberFormat="1" applyFont="1" applyFill="1" applyBorder="1" applyAlignment="1">
      <alignment horizontal="right" vertical="center"/>
    </xf>
    <xf numFmtId="0" fontId="33" fillId="14" borderId="19" xfId="0" applyFont="1" applyFill="1" applyBorder="1" applyAlignment="1"/>
    <xf numFmtId="166" fontId="33" fillId="14" borderId="19" xfId="0" applyNumberFormat="1" applyFont="1" applyFill="1" applyBorder="1" applyAlignment="1">
      <alignment horizontal="center"/>
    </xf>
    <xf numFmtId="167" fontId="33" fillId="14" borderId="19" xfId="0" applyNumberFormat="1" applyFont="1" applyFill="1" applyBorder="1" applyAlignment="1">
      <alignment horizontal="center"/>
    </xf>
    <xf numFmtId="0" fontId="33" fillId="14" borderId="19" xfId="0" applyFont="1" applyFill="1" applyBorder="1" applyAlignment="1">
      <alignment vertical="center"/>
    </xf>
    <xf numFmtId="166" fontId="33" fillId="14" borderId="19" xfId="0" applyNumberFormat="1" applyFont="1" applyFill="1" applyBorder="1" applyAlignment="1">
      <alignment horizontal="center" vertical="center"/>
    </xf>
    <xf numFmtId="167" fontId="33" fillId="14" borderId="19" xfId="0" applyNumberFormat="1" applyFont="1" applyFill="1" applyBorder="1" applyAlignment="1">
      <alignment horizontal="center" vertical="center"/>
    </xf>
    <xf numFmtId="0" fontId="46" fillId="19" borderId="1" xfId="0" applyFont="1" applyFill="1" applyBorder="1" applyAlignment="1">
      <alignment horizontal="center" vertical="center" wrapText="1"/>
    </xf>
    <xf numFmtId="0" fontId="46" fillId="19" borderId="14" xfId="0" applyFont="1" applyFill="1" applyBorder="1" applyAlignment="1">
      <alignment horizontal="center" vertical="center" wrapText="1"/>
    </xf>
    <xf numFmtId="0" fontId="46" fillId="19" borderId="17" xfId="0" applyFont="1" applyFill="1" applyBorder="1" applyAlignment="1">
      <alignment horizontal="center" vertical="center" wrapText="1"/>
    </xf>
    <xf numFmtId="44" fontId="51" fillId="20" borderId="14" xfId="1" applyFont="1" applyFill="1" applyBorder="1" applyAlignment="1">
      <alignment horizontal="center" vertical="center"/>
    </xf>
    <xf numFmtId="44" fontId="52" fillId="20" borderId="14" xfId="1" applyFont="1" applyFill="1" applyBorder="1" applyAlignment="1">
      <alignment horizontal="center" vertical="center"/>
    </xf>
    <xf numFmtId="44" fontId="50" fillId="20" borderId="14" xfId="1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14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8696B"/>
          <bgColor rgb="FFF8696B"/>
        </patternFill>
      </fill>
    </dxf>
    <dxf>
      <fill>
        <patternFill patternType="solid">
          <fgColor rgb="FFF8696B"/>
          <bgColor rgb="FFF8696B"/>
        </patternFill>
      </fill>
    </dxf>
    <dxf>
      <fill>
        <patternFill patternType="none"/>
      </fill>
    </dxf>
    <dxf>
      <fill>
        <patternFill patternType="solid">
          <fgColor rgb="FFECE683"/>
          <bgColor rgb="FFECE68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  <color rgb="FFFFFFFF"/>
      </font>
      <fill>
        <patternFill patternType="solid">
          <fgColor rgb="FF980000"/>
          <bgColor rgb="FF980000"/>
        </patternFill>
      </fill>
    </dxf>
    <dxf>
      <font>
        <b/>
        <i/>
        <u/>
        <color rgb="FFFFFFFF"/>
      </font>
      <fill>
        <patternFill patternType="solid">
          <fgColor rgb="FF980000"/>
          <bgColor rgb="FF980000"/>
        </patternFill>
      </fill>
    </dxf>
    <dxf>
      <fill>
        <patternFill>
          <bgColor theme="4" tint="-0.499984740745262"/>
        </patternFill>
      </fill>
    </dxf>
    <dxf>
      <font>
        <b/>
        <i val="0"/>
        <color rgb="FFFF0000"/>
      </font>
    </dxf>
    <dxf>
      <font>
        <color rgb="FFF8696B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A8-4631-9108-5C9B2FD4F67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A8-4631-9108-5C9B2FD4F67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A8-4631-9108-5C9B2FD4F67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A8-4631-9108-5C9B2FD4F67E}"/>
              </c:ext>
            </c:extLst>
          </c:dPt>
          <c:cat>
            <c:strRef>
              <c:f>[1]MODELOS!$B$3:$B$6</c:f>
              <c:strCache>
                <c:ptCount val="4"/>
                <c:pt idx="0">
                  <c:v>FIIS</c:v>
                </c:pt>
                <c:pt idx="1">
                  <c:v>AÇÕES BR </c:v>
                </c:pt>
                <c:pt idx="2">
                  <c:v>AÇÕES EUA </c:v>
                </c:pt>
                <c:pt idx="3">
                  <c:v>CAIXA/CRIPTO</c:v>
                </c:pt>
              </c:strCache>
            </c:strRef>
          </c:cat>
          <c:val>
            <c:numRef>
              <c:f>[1]MODELOS!$C$3:$C$6</c:f>
              <c:numCache>
                <c:formatCode>General</c:formatCode>
                <c:ptCount val="4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A8-4631-9108-5C9B2FD4F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3D1-4F78-9C1B-9DE97A3AB0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3D1-4F78-9C1B-9DE97A3AB0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3D1-4F78-9C1B-9DE97A3AB0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3D1-4F78-9C1B-9DE97A3AB0E4}"/>
              </c:ext>
            </c:extLst>
          </c:dPt>
          <c:cat>
            <c:strRef>
              <c:f>[1]MODELOS!$B$15:$B$18</c:f>
              <c:strCache>
                <c:ptCount val="4"/>
                <c:pt idx="0">
                  <c:v>FIIS</c:v>
                </c:pt>
                <c:pt idx="1">
                  <c:v>AÇÕES BR </c:v>
                </c:pt>
                <c:pt idx="2">
                  <c:v>AÇÕES EUA </c:v>
                </c:pt>
                <c:pt idx="3">
                  <c:v>CAIXA/CRIPTO</c:v>
                </c:pt>
              </c:strCache>
            </c:strRef>
          </c:cat>
          <c:val>
            <c:numRef>
              <c:f>[1]MODELOS!$C$15:$C$18</c:f>
              <c:numCache>
                <c:formatCode>General</c:formatCode>
                <c:ptCount val="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D1-4F78-9C1B-9DE97A3AB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2A-4A28-9148-E78044CB744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2A-4A28-9148-E78044CB744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2A-4A28-9148-E78044CB744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D2A-4A28-9148-E78044CB7446}"/>
              </c:ext>
            </c:extLst>
          </c:dPt>
          <c:cat>
            <c:strRef>
              <c:f>[1]MODELOS!$B$27:$B$30</c:f>
              <c:strCache>
                <c:ptCount val="4"/>
                <c:pt idx="0">
                  <c:v>FIIS</c:v>
                </c:pt>
                <c:pt idx="1">
                  <c:v>AÇÕES BR </c:v>
                </c:pt>
                <c:pt idx="2">
                  <c:v>AÇÕES EUA </c:v>
                </c:pt>
                <c:pt idx="3">
                  <c:v>CAIXA</c:v>
                </c:pt>
              </c:strCache>
            </c:strRef>
          </c:cat>
          <c:val>
            <c:numRef>
              <c:f>[1]MODELOS!$C$27:$C$30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2A-4A28-9148-E78044CB7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94-4F18-A41B-20BD7000A4C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94-4F18-A41B-20BD7000A4C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994-4F18-A41B-20BD7000A4C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994-4F18-A41B-20BD7000A4C9}"/>
              </c:ext>
            </c:extLst>
          </c:dPt>
          <c:cat>
            <c:strRef>
              <c:f>[1]MODELOS!$B$39:$B$42</c:f>
              <c:strCache>
                <c:ptCount val="4"/>
                <c:pt idx="0">
                  <c:v>FIIS</c:v>
                </c:pt>
                <c:pt idx="1">
                  <c:v>AÇÕES BR </c:v>
                </c:pt>
                <c:pt idx="2">
                  <c:v>AÇÕES EUA </c:v>
                </c:pt>
                <c:pt idx="3">
                  <c:v>CAIXA</c:v>
                </c:pt>
              </c:strCache>
            </c:strRef>
          </c:cat>
          <c:val>
            <c:numRef>
              <c:f>[1]MODELOS!$C$39:$C$42</c:f>
              <c:numCache>
                <c:formatCode>General</c:formatCode>
                <c:ptCount val="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94-4F18-A41B-20BD7000A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C09-452F-A504-F222D42A1B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C09-452F-A504-F222D42A1B8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C09-452F-A504-F222D42A1B8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C09-452F-A504-F222D42A1B88}"/>
              </c:ext>
            </c:extLst>
          </c:dPt>
          <c:cat>
            <c:strRef>
              <c:f>[1]MODELOS!$B$51:$B$54</c:f>
              <c:strCache>
                <c:ptCount val="4"/>
                <c:pt idx="0">
                  <c:v>FIIS</c:v>
                </c:pt>
                <c:pt idx="1">
                  <c:v>AÇÕES BR </c:v>
                </c:pt>
                <c:pt idx="2">
                  <c:v>AÇÕES EUA </c:v>
                </c:pt>
                <c:pt idx="3">
                  <c:v>CAIXA</c:v>
                </c:pt>
              </c:strCache>
            </c:strRef>
          </c:cat>
          <c:val>
            <c:numRef>
              <c:f>[1]MODELOS!$C$51:$C$54</c:f>
              <c:numCache>
                <c:formatCode>General</c:formatCode>
                <c:ptCount val="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09-452F-A504-F222D42A1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404040"/>
                </a:solidFill>
                <a:latin typeface="+mn-lt"/>
              </a:defRPr>
            </a:pPr>
            <a:r>
              <a:rPr sz="1800" b="1" i="0">
                <a:solidFill>
                  <a:srgbClr val="404040"/>
                </a:solidFill>
                <a:latin typeface="+mn-lt"/>
              </a:rPr>
              <a:t>ALOCAÇÃO DE ATIVOS ATUAL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7B9-40B4-AA07-9CFF203900B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7B9-40B4-AA07-9CFF203900B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7B9-40B4-AA07-9CFF203900B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7B9-40B4-AA07-9CFF203900B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7B9-40B4-AA07-9CFF203900B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7B9-40B4-AA07-9CFF203900B6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'Ativos RV (base)'!$C$188:$C$193</c:f>
            </c:multiLvlStrRef>
          </c:cat>
          <c:val>
            <c:numRef>
              <c:f>'Ativos RV (base)'!$G$188:$G$193</c:f>
            </c:numRef>
          </c:val>
          <c:extLst>
            <c:ext xmlns:c16="http://schemas.microsoft.com/office/drawing/2014/chart" uri="{C3380CC4-5D6E-409C-BE32-E72D297353CC}">
              <c16:uniqueId val="{00000006-87B9-40B4-AA07-9CFF20390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2400" b="0" i="0">
              <a:solidFill>
                <a:srgbClr val="404040"/>
              </a:solidFill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404040"/>
                </a:solidFill>
                <a:latin typeface="+mn-lt"/>
              </a:defRPr>
            </a:pPr>
            <a:r>
              <a:rPr sz="1800" b="1" i="0">
                <a:solidFill>
                  <a:srgbClr val="404040"/>
                </a:solidFill>
                <a:latin typeface="+mn-lt"/>
              </a:rPr>
              <a:t>ALOCAÇÃO DE ATIVOS PÓS ALTERAÇÕES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23E-4012-90D1-E4388456D3DC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623E-4012-90D1-E4388456D3DC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623E-4012-90D1-E4388456D3DC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623E-4012-90D1-E4388456D3DC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623E-4012-90D1-E4388456D3DC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623E-4012-90D1-E4388456D3DC}"/>
              </c:ext>
            </c:extLst>
          </c:dPt>
          <c:cat>
            <c:multiLvlStrRef>
              <c:f>'Ativos RV (base)'!$C$203:$C$208</c:f>
            </c:multiLvlStrRef>
          </c:cat>
          <c:val>
            <c:numRef>
              <c:f>'Ativos RV (base)'!$F$203:$F$208</c:f>
            </c:numRef>
          </c:val>
          <c:extLst>
            <c:ext xmlns:c16="http://schemas.microsoft.com/office/drawing/2014/chart" uri="{C3380CC4-5D6E-409C-BE32-E72D297353CC}">
              <c16:uniqueId val="{00000006-623E-4012-90D1-E4388456D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500" b="0" i="0">
              <a:solidFill>
                <a:srgbClr val="40404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90487</xdr:rowOff>
    </xdr:from>
    <xdr:to>
      <xdr:col>11</xdr:col>
      <xdr:colOff>323850</xdr:colOff>
      <xdr:row>10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0827B3-7713-41AA-8BF0-E24FC4685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12</xdr:row>
      <xdr:rowOff>233362</xdr:rowOff>
    </xdr:from>
    <xdr:to>
      <xdr:col>11</xdr:col>
      <xdr:colOff>295275</xdr:colOff>
      <xdr:row>21</xdr:row>
      <xdr:rowOff>166687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57F1782-4764-4D0B-9103-9A563BF42E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552450</xdr:colOff>
      <xdr:row>25</xdr:row>
      <xdr:rowOff>33337</xdr:rowOff>
    </xdr:from>
    <xdr:to>
      <xdr:col>11</xdr:col>
      <xdr:colOff>247650</xdr:colOff>
      <xdr:row>33</xdr:row>
      <xdr:rowOff>261937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07BFA4C-91AD-4ECD-B0FD-6596C4896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523875</xdr:colOff>
      <xdr:row>36</xdr:row>
      <xdr:rowOff>195262</xdr:rowOff>
    </xdr:from>
    <xdr:to>
      <xdr:col>11</xdr:col>
      <xdr:colOff>219075</xdr:colOff>
      <xdr:row>45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51F5AA8-9EBA-4ED6-A994-E314E13C7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485775</xdr:colOff>
      <xdr:row>48</xdr:row>
      <xdr:rowOff>233362</xdr:rowOff>
    </xdr:from>
    <xdr:to>
      <xdr:col>11</xdr:col>
      <xdr:colOff>180975</xdr:colOff>
      <xdr:row>57</xdr:row>
      <xdr:rowOff>166687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B7E6254-C910-40A4-B07A-DE8164B60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885825</xdr:colOff>
      <xdr:row>2</xdr:row>
      <xdr:rowOff>57150</xdr:rowOff>
    </xdr:from>
    <xdr:ext cx="8553450" cy="63531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209</xdr:row>
      <xdr:rowOff>161925</xdr:rowOff>
    </xdr:from>
    <xdr:ext cx="6886575" cy="481012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1047750</xdr:colOff>
      <xdr:row>209</xdr:row>
      <xdr:rowOff>171450</xdr:rowOff>
    </xdr:from>
    <xdr:ext cx="6762750" cy="48291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18</xdr:col>
      <xdr:colOff>619125</xdr:colOff>
      <xdr:row>10</xdr:row>
      <xdr:rowOff>57150</xdr:rowOff>
    </xdr:from>
    <xdr:ext cx="3124200" cy="53530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23555325" y="1695450"/>
          <a:ext cx="3124200" cy="5353050"/>
          <a:chOff x="3783900" y="1103475"/>
          <a:chExt cx="3124200" cy="5353050"/>
        </a:xfrm>
      </xdr:grpSpPr>
      <xdr:grpSp>
        <xdr:nvGrpSpPr>
          <xdr:cNvPr id="5" name="Shape 3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3783900" y="1103475"/>
            <a:ext cx="3124200" cy="5353050"/>
            <a:chOff x="10620374" y="1495426"/>
            <a:chExt cx="2952750" cy="844923"/>
          </a:xfrm>
        </xdr:grpSpPr>
        <xdr:sp macro="" textlink="">
          <xdr:nvSpPr>
            <xdr:cNvPr id="6" name="Shape 4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0620374" y="1495426"/>
              <a:ext cx="2952750" cy="844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5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10620374" y="1495426"/>
              <a:ext cx="2952750" cy="844923"/>
            </a:xfrm>
            <a:custGeom>
              <a:avLst/>
              <a:gdLst/>
              <a:ahLst/>
              <a:cxnLst/>
              <a:rect l="l" t="t" r="r" b="b"/>
              <a:pathLst>
                <a:path w="120000" h="120000" extrusionOk="0">
                  <a:moveTo>
                    <a:pt x="0" y="0"/>
                  </a:moveTo>
                  <a:lnTo>
                    <a:pt x="120000" y="0"/>
                  </a:lnTo>
                  <a:lnTo>
                    <a:pt x="120000" y="120000"/>
                  </a:lnTo>
                  <a:lnTo>
                    <a:pt x="0" y="120000"/>
                  </a:lnTo>
                  <a:close/>
                </a:path>
                <a:path w="120000" h="120000" fill="none" extrusionOk="0">
                  <a:moveTo>
                    <a:pt x="1897" y="10096"/>
                  </a:moveTo>
                  <a:lnTo>
                    <a:pt x="-15050" y="10045"/>
                  </a:lnTo>
                </a:path>
              </a:pathLst>
            </a:custGeom>
            <a:solidFill>
              <a:srgbClr val="C6E2A1"/>
            </a:solidFill>
            <a:ln w="12700" cap="rnd" cmpd="sng">
              <a:solidFill>
                <a:srgbClr val="C6E2A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108000" tIns="108000" rIns="108000" bIns="1080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INSTRUÇÕES</a:t>
              </a:r>
              <a:endParaRPr sz="1300" b="1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 b="1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Praticamente todos os dados desta aba são calculados automaticamente, para evitarmos erros operacionais.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Precisamos, apenas, </a:t>
              </a: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alterar os dados em amarelo. 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A partir daí, os demais dados serão automaticamente incluídos por fórmulas.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 b="0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Atualizar com base no relatório de </a:t>
              </a: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carteira cotizada do cliente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 (ou </a:t>
              </a: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"Operacional &gt; Minha Conta 3.0"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)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 b="0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IMPORTANTE: 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Sempre que fizermos a primeira alocação de ativos do cliente (de acordo com a combinada, na aba "Gráficos e Apresentações p rel.), precisamos </a:t>
              </a: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TIRAR UMA FOTOGRAFIA 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dela, enviando o "Aviso de Alocação de ativos" para o cliente.</a:t>
              </a:r>
              <a:endParaRPr sz="1100">
                <a:solidFill>
                  <a:srgbClr val="385A7B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cxnSp macro="">
          <xdr:nvCxnSpPr>
            <xdr:cNvPr id="8" name="Shape 6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CxnSpPr/>
          </xdr:nvCxnSpPr>
          <xdr:spPr>
            <a:xfrm rot="10800000">
              <a:off x="10697937" y="1576992"/>
              <a:ext cx="2705099" cy="0"/>
            </a:xfrm>
            <a:prstGeom prst="straightConnector1">
              <a:avLst/>
            </a:prstGeom>
            <a:solidFill>
              <a:srgbClr val="7CD72C"/>
            </a:solidFill>
            <a:ln w="12700" cap="flat" cmpd="sng">
              <a:solidFill>
                <a:srgbClr val="385A7B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10</xdr:col>
      <xdr:colOff>828675</xdr:colOff>
      <xdr:row>186</xdr:row>
      <xdr:rowOff>190500</xdr:rowOff>
    </xdr:from>
    <xdr:ext cx="4133850" cy="364807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15811500" y="35404425"/>
          <a:ext cx="4133850" cy="3648075"/>
          <a:chOff x="3279075" y="1955963"/>
          <a:chExt cx="4133850" cy="3648075"/>
        </a:xfrm>
      </xdr:grpSpPr>
      <xdr:grpSp>
        <xdr:nvGrpSpPr>
          <xdr:cNvPr id="10" name="Shape 7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3279075" y="1955963"/>
            <a:ext cx="4133850" cy="3648075"/>
            <a:chOff x="10542985" y="1466131"/>
            <a:chExt cx="2952750" cy="387643"/>
          </a:xfrm>
        </xdr:grpSpPr>
        <xdr:sp macro="" textlink="">
          <xdr:nvSpPr>
            <xdr:cNvPr id="11" name="Shape 4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10542985" y="1466131"/>
              <a:ext cx="2952750" cy="387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" name="Shape 8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>
              <a:off x="10542985" y="1466131"/>
              <a:ext cx="2952750" cy="387643"/>
            </a:xfrm>
            <a:custGeom>
              <a:avLst/>
              <a:gdLst/>
              <a:ahLst/>
              <a:cxnLst/>
              <a:rect l="l" t="t" r="r" b="b"/>
              <a:pathLst>
                <a:path w="120000" h="120000" extrusionOk="0">
                  <a:moveTo>
                    <a:pt x="0" y="0"/>
                  </a:moveTo>
                  <a:lnTo>
                    <a:pt x="120000" y="0"/>
                  </a:lnTo>
                  <a:lnTo>
                    <a:pt x="120000" y="120000"/>
                  </a:lnTo>
                  <a:lnTo>
                    <a:pt x="0" y="120000"/>
                  </a:lnTo>
                  <a:close/>
                </a:path>
                <a:path w="120000" h="120000" fill="none" extrusionOk="0">
                  <a:moveTo>
                    <a:pt x="1897" y="10096"/>
                  </a:moveTo>
                  <a:lnTo>
                    <a:pt x="-15050" y="10045"/>
                  </a:lnTo>
                </a:path>
              </a:pathLst>
            </a:custGeom>
            <a:solidFill>
              <a:srgbClr val="C6E2A1"/>
            </a:solidFill>
            <a:ln w="12700" cap="rnd" cmpd="sng">
              <a:solidFill>
                <a:srgbClr val="C6E2A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108000" tIns="108000" rIns="108000" bIns="1080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INSTRUÇÕES</a:t>
              </a:r>
              <a:endParaRPr sz="1300" b="1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 b="1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A planilha calculará automaticamente a quantidade de Ações Brasil, Ações EUA e Fundo Imobiliário.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 b="1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É importante ter MUITA ATENÇÃO 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e digitar os dados referentes às 3 demais classes de ativos, que devemos extrair do software Smart Advisor.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 b="0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MUITA ATENÇÃO 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também para digitarmos o </a:t>
              </a: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% Alvo 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de cada classe, também à mão.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 b="0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Com todos os dados digitados e extraídos via fórmula, a planilha calculará automaticamente o </a:t>
              </a: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VALOR FINANCEIRO alvo 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de cada classe de ativos e indicará, na coluna "Diferença", o que deve ser feito no rebalanceamento. </a:t>
              </a:r>
              <a:endParaRPr sz="1300" b="1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</xdr:txBody>
        </xdr:sp>
        <xdr:cxnSp macro="">
          <xdr:nvCxnSpPr>
            <xdr:cNvPr id="13" name="Shape 9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CxnSpPr/>
          </xdr:nvCxnSpPr>
          <xdr:spPr>
            <a:xfrm rot="10800000">
              <a:off x="10584867" y="1516409"/>
              <a:ext cx="2705099" cy="0"/>
            </a:xfrm>
            <a:prstGeom prst="straightConnector1">
              <a:avLst/>
            </a:prstGeom>
            <a:solidFill>
              <a:srgbClr val="7CD72C"/>
            </a:solidFill>
            <a:ln w="12700" cap="flat" cmpd="sng">
              <a:solidFill>
                <a:srgbClr val="385A7B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11</xdr:col>
      <xdr:colOff>600075</xdr:colOff>
      <xdr:row>9</xdr:row>
      <xdr:rowOff>133350</xdr:rowOff>
    </xdr:from>
    <xdr:ext cx="4133850" cy="1019175"/>
    <xdr:grpSp>
      <xdr:nvGrpSpPr>
        <xdr:cNvPr id="14" name="Shape 2" title="Desenho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16411575" y="1466850"/>
          <a:ext cx="4133850" cy="1019175"/>
          <a:chOff x="3279075" y="3270413"/>
          <a:chExt cx="4133850" cy="1019175"/>
        </a:xfrm>
      </xdr:grpSpPr>
      <xdr:grpSp>
        <xdr:nvGrpSpPr>
          <xdr:cNvPr id="15" name="Shape 10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GrpSpPr/>
        </xdr:nvGrpSpPr>
        <xdr:grpSpPr>
          <a:xfrm>
            <a:off x="3279075" y="3270413"/>
            <a:ext cx="4133850" cy="1019175"/>
            <a:chOff x="10542985" y="1466131"/>
            <a:chExt cx="2952750" cy="387643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>
              <a:off x="10542985" y="1466131"/>
              <a:ext cx="2952750" cy="387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7" name="Shape 11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/>
          </xdr:nvSpPr>
          <xdr:spPr>
            <a:xfrm>
              <a:off x="10542985" y="1466131"/>
              <a:ext cx="2952750" cy="387643"/>
            </a:xfrm>
            <a:custGeom>
              <a:avLst/>
              <a:gdLst/>
              <a:ahLst/>
              <a:cxnLst/>
              <a:rect l="l" t="t" r="r" b="b"/>
              <a:pathLst>
                <a:path w="120000" h="120000" extrusionOk="0">
                  <a:moveTo>
                    <a:pt x="0" y="0"/>
                  </a:moveTo>
                  <a:lnTo>
                    <a:pt x="120000" y="0"/>
                  </a:lnTo>
                  <a:lnTo>
                    <a:pt x="120000" y="120000"/>
                  </a:lnTo>
                  <a:lnTo>
                    <a:pt x="0" y="120000"/>
                  </a:lnTo>
                  <a:close/>
                </a:path>
                <a:path w="120000" h="120000" fill="none" extrusionOk="0">
                  <a:moveTo>
                    <a:pt x="1897" y="10096"/>
                  </a:moveTo>
                  <a:lnTo>
                    <a:pt x="-15050" y="10045"/>
                  </a:lnTo>
                </a:path>
              </a:pathLst>
            </a:custGeom>
            <a:solidFill>
              <a:srgbClr val="C6E2A1"/>
            </a:solidFill>
            <a:ln w="12700" cap="rnd" cmpd="sng">
              <a:solidFill>
                <a:srgbClr val="C6E2A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108000" tIns="108000" rIns="108000" bIns="1080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INSTRUÇÕES</a:t>
              </a:r>
              <a:endParaRPr sz="1300" b="1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300" b="1">
                <a:solidFill>
                  <a:srgbClr val="385A7B"/>
                </a:solidFill>
                <a:latin typeface="Cambria"/>
                <a:ea typeface="Cambria"/>
                <a:cs typeface="Cambria"/>
                <a:sym typeface="Cambri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JAMAIS MEXER </a:t>
              </a:r>
              <a:r>
                <a:rPr lang="en-US" sz="1300" b="0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nesta tabela azul. Os dados dela são utilizados para todas as fórmulas desta aba da planilha.</a:t>
              </a:r>
              <a:r>
                <a:rPr lang="en-US" sz="1300" b="1">
                  <a:solidFill>
                    <a:srgbClr val="385A7B"/>
                  </a:solidFill>
                  <a:latin typeface="Cambria"/>
                  <a:ea typeface="Cambria"/>
                  <a:cs typeface="Cambria"/>
                  <a:sym typeface="Cambria"/>
                </a:rPr>
                <a:t> </a:t>
              </a:r>
              <a:endParaRPr sz="1400"/>
            </a:p>
          </xdr:txBody>
        </xdr:sp>
        <xdr:cxnSp macro="">
          <xdr:nvCxnSpPr>
            <xdr:cNvPr id="18" name="Shape 12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rot="10800000">
              <a:off x="10584867" y="1580401"/>
              <a:ext cx="2705099" cy="0"/>
            </a:xfrm>
            <a:prstGeom prst="straightConnector1">
              <a:avLst/>
            </a:prstGeom>
            <a:solidFill>
              <a:srgbClr val="7CD72C"/>
            </a:solidFill>
            <a:ln w="12700" cap="flat" cmpd="sng">
              <a:solidFill>
                <a:srgbClr val="385A7B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0</xdr:col>
      <xdr:colOff>0</xdr:colOff>
      <xdr:row>10</xdr:row>
      <xdr:rowOff>57150</xdr:rowOff>
    </xdr:from>
    <xdr:ext cx="4629150" cy="666750"/>
    <xdr:sp macro="" textlink="">
      <xdr:nvSpPr>
        <xdr:cNvPr id="19" name="Shape 1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036188" y="3513300"/>
          <a:ext cx="4619625" cy="5334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897" y="10096"/>
              </a:moveTo>
              <a:lnTo>
                <a:pt x="1554" y="131962"/>
              </a:lnTo>
            </a:path>
          </a:pathLst>
        </a:custGeom>
        <a:solidFill>
          <a:srgbClr val="C6E2A1"/>
        </a:solidFill>
        <a:ln w="12700" cap="rnd" cmpd="sng">
          <a:solidFill>
            <a:srgbClr val="C6E2A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08000" tIns="108000" rIns="108000" bIns="1080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rgbClr val="385A7B"/>
              </a:solidFill>
              <a:latin typeface="Cambria"/>
              <a:ea typeface="Cambria"/>
              <a:cs typeface="Cambria"/>
              <a:sym typeface="Cambria"/>
            </a:rPr>
            <a:t>JAMAIS EXCLUIR LINHA 17;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rgbClr val="385A7B"/>
              </a:solidFill>
              <a:latin typeface="Cambria"/>
              <a:ea typeface="Cambria"/>
              <a:cs typeface="Cambria"/>
              <a:sym typeface="Cambria"/>
            </a:rPr>
            <a:t>JAMAIS INCLUIR CÉLULA NA COLUNA "A" SEM SER UM NOVO ATIVO</a:t>
          </a:r>
          <a:endParaRPr sz="1400"/>
        </a:p>
      </xdr:txBody>
    </xdr:sp>
    <xdr:clientData fLocksWithSheet="0"/>
  </xdr:oneCellAnchor>
  <xdr:oneCellAnchor>
    <xdr:from>
      <xdr:col>1</xdr:col>
      <xdr:colOff>1314450</xdr:colOff>
      <xdr:row>1</xdr:row>
      <xdr:rowOff>66675</xdr:rowOff>
    </xdr:from>
    <xdr:ext cx="2047875" cy="685800"/>
    <xdr:sp macro="" textlink="">
      <xdr:nvSpPr>
        <xdr:cNvPr id="20" name="Shape 1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081300" y="843325"/>
          <a:ext cx="2026200" cy="662400"/>
        </a:xfrm>
        <a:prstGeom prst="roundRect">
          <a:avLst>
            <a:gd name="adj" fmla="val 16667"/>
          </a:avLst>
        </a:prstGeom>
        <a:solidFill>
          <a:srgbClr val="1C4587"/>
        </a:solidFill>
        <a:ln w="38100" cap="flat" cmpd="sng">
          <a:solidFill>
            <a:srgbClr val="FF99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Atualizar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7821275" cy="13230225"/>
    <xdr:pic>
      <xdr:nvPicPr>
        <xdr:cNvPr id="21" name="image1.png" title="Imagem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821275" cy="132302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821275" cy="132302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821275" cy="132302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c72cc0575a59a90/Fotos%20Pessoais/FVCMesmo/Projetos%20Caseiros/cozinha%20marc/Documentos/GRAFICO%20PLANILHA%20CANAL%20S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S"/>
    </sheetNames>
    <sheetDataSet>
      <sheetData sheetId="0">
        <row r="3">
          <cell r="B3" t="str">
            <v>FIIS</v>
          </cell>
          <cell r="C3">
            <v>0.33</v>
          </cell>
        </row>
        <row r="4">
          <cell r="B4" t="str">
            <v xml:space="preserve">AÇÕES BR </v>
          </cell>
          <cell r="C4">
            <v>0.33</v>
          </cell>
        </row>
        <row r="5">
          <cell r="B5" t="str">
            <v xml:space="preserve">AÇÕES EUA </v>
          </cell>
          <cell r="C5">
            <v>0.33</v>
          </cell>
        </row>
        <row r="6">
          <cell r="B6" t="str">
            <v>CAIXA/CRIPTO</v>
          </cell>
          <cell r="C6">
            <v>0.01</v>
          </cell>
        </row>
        <row r="15">
          <cell r="B15" t="str">
            <v>FIIS</v>
          </cell>
          <cell r="C15">
            <v>0.3</v>
          </cell>
        </row>
        <row r="16">
          <cell r="B16" t="str">
            <v xml:space="preserve">AÇÕES BR </v>
          </cell>
          <cell r="C16">
            <v>0.3</v>
          </cell>
        </row>
        <row r="17">
          <cell r="B17" t="str">
            <v xml:space="preserve">AÇÕES EUA </v>
          </cell>
          <cell r="C17">
            <v>0.3</v>
          </cell>
        </row>
        <row r="18">
          <cell r="B18" t="str">
            <v>CAIXA/CRIPTO</v>
          </cell>
          <cell r="C18">
            <v>0.1</v>
          </cell>
        </row>
        <row r="27">
          <cell r="B27" t="str">
            <v>FIIS</v>
          </cell>
          <cell r="C27">
            <v>0.25</v>
          </cell>
        </row>
        <row r="28">
          <cell r="B28" t="str">
            <v xml:space="preserve">AÇÕES BR </v>
          </cell>
          <cell r="C28">
            <v>0.25</v>
          </cell>
        </row>
        <row r="29">
          <cell r="B29" t="str">
            <v xml:space="preserve">AÇÕES EUA </v>
          </cell>
          <cell r="C29">
            <v>0.25</v>
          </cell>
        </row>
        <row r="30">
          <cell r="B30" t="str">
            <v>CAIXA</v>
          </cell>
          <cell r="C30">
            <v>0.25</v>
          </cell>
        </row>
        <row r="39">
          <cell r="B39" t="str">
            <v>FIIS</v>
          </cell>
          <cell r="C39">
            <v>0.15</v>
          </cell>
        </row>
        <row r="40">
          <cell r="B40" t="str">
            <v xml:space="preserve">AÇÕES BR </v>
          </cell>
          <cell r="C40">
            <v>0.15</v>
          </cell>
        </row>
        <row r="41">
          <cell r="B41" t="str">
            <v xml:space="preserve">AÇÕES EUA </v>
          </cell>
          <cell r="C41">
            <v>0.15</v>
          </cell>
        </row>
        <row r="42">
          <cell r="B42" t="str">
            <v>CAIXA</v>
          </cell>
          <cell r="C42">
            <v>0.55000000000000004</v>
          </cell>
        </row>
        <row r="51">
          <cell r="B51" t="str">
            <v>FIIS</v>
          </cell>
          <cell r="C51">
            <v>0.1</v>
          </cell>
        </row>
        <row r="52">
          <cell r="B52" t="str">
            <v xml:space="preserve">AÇÕES BR </v>
          </cell>
          <cell r="C52">
            <v>0.1</v>
          </cell>
        </row>
        <row r="53">
          <cell r="B53" t="str">
            <v xml:space="preserve">AÇÕES EUA </v>
          </cell>
          <cell r="C53">
            <v>0.1</v>
          </cell>
        </row>
        <row r="54">
          <cell r="B54" t="str">
            <v>CAIXA</v>
          </cell>
          <cell r="C54">
            <v>0.7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ubefii.com.br/fundo_imobiliario.aspx?cod=KINP11" TargetMode="External"/><Relationship Id="rId18" Type="http://schemas.openxmlformats.org/officeDocument/2006/relationships/hyperlink" Target="https://www.clubefii.com.br/fundo_imobiliario.aspx?cod=OUCY11" TargetMode="External"/><Relationship Id="rId26" Type="http://schemas.openxmlformats.org/officeDocument/2006/relationships/hyperlink" Target="https://www.clubefii.com.br/fundo_imobiliario.aspx?cod=RCRI11" TargetMode="External"/><Relationship Id="rId39" Type="http://schemas.openxmlformats.org/officeDocument/2006/relationships/hyperlink" Target="https://www.clubefii.com.br/fundo_imobiliario.aspx?cod=XPGA11" TargetMode="External"/><Relationship Id="rId21" Type="http://schemas.openxmlformats.org/officeDocument/2006/relationships/hyperlink" Target="https://www.clubefii.com.br/fundo_imobiliario.aspx?cod=RBAG11" TargetMode="External"/><Relationship Id="rId34" Type="http://schemas.openxmlformats.org/officeDocument/2006/relationships/hyperlink" Target="https://www.clubefii.com.br/fundo_imobiliario.aspx?cod=URBN11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www.clubefii.com.br/fundo_imobiliario.aspx?cod=GWIC11" TargetMode="External"/><Relationship Id="rId2" Type="http://schemas.openxmlformats.org/officeDocument/2006/relationships/hyperlink" Target="https://www.clubefii.com.br/fundo_imobiliario.aspx?cod=ATCR11" TargetMode="External"/><Relationship Id="rId16" Type="http://schemas.openxmlformats.org/officeDocument/2006/relationships/hyperlink" Target="https://www.clubefii.com.br/fundo_imobiliario.aspx?cod=NPAR11" TargetMode="External"/><Relationship Id="rId20" Type="http://schemas.openxmlformats.org/officeDocument/2006/relationships/hyperlink" Target="https://www.clubefii.com.br/fundo_imobiliario.aspx?cod=PRTS11" TargetMode="External"/><Relationship Id="rId29" Type="http://schemas.openxmlformats.org/officeDocument/2006/relationships/hyperlink" Target="https://informederendimentos.com/consulta/acoes-smls3-smiles-fidelidade-grafico-cotacao/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https://informederendimentos.com/consulta/acoes-adhm3-advanced-digital-health-grafico-cotacao/" TargetMode="External"/><Relationship Id="rId6" Type="http://schemas.openxmlformats.org/officeDocument/2006/relationships/hyperlink" Target="https://www.clubefii.com.br/fundo_imobiliario.aspx?cod=GESE11" TargetMode="External"/><Relationship Id="rId11" Type="http://schemas.openxmlformats.org/officeDocument/2006/relationships/hyperlink" Target="https://www.clubefii.com.br/fundo_imobiliario.aspx?cod=JSIM11" TargetMode="External"/><Relationship Id="rId24" Type="http://schemas.openxmlformats.org/officeDocument/2006/relationships/hyperlink" Target="https://www.clubefii.com.br/fundo_imobiliario.aspx?cod=RBRR11" TargetMode="External"/><Relationship Id="rId32" Type="http://schemas.openxmlformats.org/officeDocument/2006/relationships/hyperlink" Target="https://www.clubefii.com.br/fundo_imobiliario.aspx?cod=STFI11" TargetMode="External"/><Relationship Id="rId37" Type="http://schemas.openxmlformats.org/officeDocument/2006/relationships/hyperlink" Target="https://www.clubefii.com.br/fundo_imobiliario.aspx?cod=VLJS11" TargetMode="External"/><Relationship Id="rId40" Type="http://schemas.openxmlformats.org/officeDocument/2006/relationships/hyperlink" Target="https://www.clubefii.com.br/fundo_imobiliario.aspx?cod=XPLG11" TargetMode="External"/><Relationship Id="rId5" Type="http://schemas.openxmlformats.org/officeDocument/2006/relationships/hyperlink" Target="https://www.clubefii.com.br/fundo_imobiliario.aspx?cod=FTCE11B" TargetMode="External"/><Relationship Id="rId15" Type="http://schemas.openxmlformats.org/officeDocument/2006/relationships/hyperlink" Target="https://www.clubefii.com.br/fundo_imobiliario.aspx?cod=MSHP11" TargetMode="External"/><Relationship Id="rId23" Type="http://schemas.openxmlformats.org/officeDocument/2006/relationships/hyperlink" Target="https://www.clubefii.com.br/fundo_imobiliario.aspx?cod=RBPR11" TargetMode="External"/><Relationship Id="rId28" Type="http://schemas.openxmlformats.org/officeDocument/2006/relationships/hyperlink" Target="https://www.clubefii.com.br/fundo_imobiliario.aspx?cod=RSBU11B" TargetMode="External"/><Relationship Id="rId36" Type="http://schemas.openxmlformats.org/officeDocument/2006/relationships/hyperlink" Target="https://www.clubefii.com.br/fundo_imobiliario.aspx?cod=VGIR11" TargetMode="External"/><Relationship Id="rId10" Type="http://schemas.openxmlformats.org/officeDocument/2006/relationships/hyperlink" Target="https://www.clubefii.com.br/fundo_imobiliario.aspx?cod=HUSC11" TargetMode="External"/><Relationship Id="rId19" Type="http://schemas.openxmlformats.org/officeDocument/2006/relationships/hyperlink" Target="https://www.clubefii.com.br/fundo_imobiliario.aspx?cod=PATC11" TargetMode="External"/><Relationship Id="rId31" Type="http://schemas.openxmlformats.org/officeDocument/2006/relationships/hyperlink" Target="https://www.clubefii.com.br/fundo_imobiliario.aspx?cod=SPAF11" TargetMode="External"/><Relationship Id="rId4" Type="http://schemas.openxmlformats.org/officeDocument/2006/relationships/hyperlink" Target="https://www.clubefii.com.br/fundo_imobiliario.aspx?cod=BZLI11" TargetMode="External"/><Relationship Id="rId9" Type="http://schemas.openxmlformats.org/officeDocument/2006/relationships/hyperlink" Target="https://www.clubefii.com.br/fundo_imobiliario.aspx?cod=HGRU11" TargetMode="External"/><Relationship Id="rId14" Type="http://schemas.openxmlformats.org/officeDocument/2006/relationships/hyperlink" Target="https://informederendimentos.com/consulta/acoes-liqo3-liq-participacoes-grafico-cotacao/" TargetMode="External"/><Relationship Id="rId22" Type="http://schemas.openxmlformats.org/officeDocument/2006/relationships/hyperlink" Target="https://www.clubefii.com.br/fundo_imobiliario.aspx?cod=RBPD11" TargetMode="External"/><Relationship Id="rId27" Type="http://schemas.openxmlformats.org/officeDocument/2006/relationships/hyperlink" Target="https://www.clubefii.com.br/fundo_imobiliario.aspx?cod=RDPD11" TargetMode="External"/><Relationship Id="rId30" Type="http://schemas.openxmlformats.org/officeDocument/2006/relationships/hyperlink" Target="https://www.clubefii.com.br/fundo_imobiliario.aspx?cod=SHPH11" TargetMode="External"/><Relationship Id="rId35" Type="http://schemas.openxmlformats.org/officeDocument/2006/relationships/hyperlink" Target="https://informederendimentos.com/consulta/acoes-wizs3-wiz-solucoes-e-corretagem-de-seguros-grafico-cotacao/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s://www.clubefii.com.br/fundo_imobiliario.aspx?cod=HBTT11" TargetMode="External"/><Relationship Id="rId3" Type="http://schemas.openxmlformats.org/officeDocument/2006/relationships/hyperlink" Target="https://www.clubefii.com.br/fundo_imobiliario.aspx?cod=BJRC11" TargetMode="External"/><Relationship Id="rId12" Type="http://schemas.openxmlformats.org/officeDocument/2006/relationships/hyperlink" Target="https://www.clubefii.com.br/fundo_imobiliario.aspx?cod=KFOF11" TargetMode="External"/><Relationship Id="rId17" Type="http://schemas.openxmlformats.org/officeDocument/2006/relationships/hyperlink" Target="https://www.clubefii.com.br/fundo_imobiliario.aspx?cod=ORPD11" TargetMode="External"/><Relationship Id="rId25" Type="http://schemas.openxmlformats.org/officeDocument/2006/relationships/hyperlink" Target="https://www.clubefii.com.br/fundo_imobiliario.aspx?cod=RCCS11" TargetMode="External"/><Relationship Id="rId33" Type="http://schemas.openxmlformats.org/officeDocument/2006/relationships/hyperlink" Target="https://www.clubefii.com.br/fundo_imobiliario.aspx?cod=TFOF11" TargetMode="External"/><Relationship Id="rId38" Type="http://schemas.openxmlformats.org/officeDocument/2006/relationships/hyperlink" Target="https://www.clubefii.com.br/fundo_imobiliario.aspx?cod=VOTS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agm.smartadvisor.com.br/Cadastro/Cadastro_Gestor_Detail.asp?codistt=1683" TargetMode="External"/><Relationship Id="rId18" Type="http://schemas.openxmlformats.org/officeDocument/2006/relationships/hyperlink" Target="http://agm.smartadvisor.com.br/Cadastro/Cadastro_Gestor_Detail.asp?codistt=1727" TargetMode="External"/><Relationship Id="rId26" Type="http://schemas.openxmlformats.org/officeDocument/2006/relationships/hyperlink" Target="http://agm.smartadvisor.com.br/Cadastro/Cadastro_Gestor_Detail.asp?codistt=1644" TargetMode="External"/><Relationship Id="rId39" Type="http://schemas.openxmlformats.org/officeDocument/2006/relationships/hyperlink" Target="http://agm.smartadvisor.com.br/Cadastro/Cadastro_Gestor_Detail.asp?codistt=1708" TargetMode="External"/><Relationship Id="rId21" Type="http://schemas.openxmlformats.org/officeDocument/2006/relationships/hyperlink" Target="http://agm.smartadvisor.com.br/Cadastro/Cadastro_Gestor_Detail.asp?codistt=1645" TargetMode="External"/><Relationship Id="rId34" Type="http://schemas.openxmlformats.org/officeDocument/2006/relationships/hyperlink" Target="http://agm.smartadvisor.com.br/Cadastro/Cadastro_Gestor_Detail.asp?codistt=1630" TargetMode="External"/><Relationship Id="rId42" Type="http://schemas.openxmlformats.org/officeDocument/2006/relationships/hyperlink" Target="http://agm.smartadvisor.com.br/Cadastro/Cadastro_Gestor_Detail.asp?codistt=1704" TargetMode="External"/><Relationship Id="rId47" Type="http://schemas.openxmlformats.org/officeDocument/2006/relationships/hyperlink" Target="http://agm.smartadvisor.com.br/Cadastro/Cadastro_Gestor_Detail.asp?codistt=1664" TargetMode="External"/><Relationship Id="rId50" Type="http://schemas.openxmlformats.org/officeDocument/2006/relationships/hyperlink" Target="http://agm.smartadvisor.com.br/Cadastro/Cadastro_Gestor_Detail.asp?codistt=1709" TargetMode="External"/><Relationship Id="rId7" Type="http://schemas.openxmlformats.org/officeDocument/2006/relationships/hyperlink" Target="http://agm.smartadvisor.com.br/Cadastro/Cadastro_Gestor_Detail.asp?codistt=1692" TargetMode="External"/><Relationship Id="rId2" Type="http://schemas.openxmlformats.org/officeDocument/2006/relationships/hyperlink" Target="http://agm.smartadvisor.com.br/Cadastro/Cadastro_Gestor_Detail.asp?codistt=1628" TargetMode="External"/><Relationship Id="rId16" Type="http://schemas.openxmlformats.org/officeDocument/2006/relationships/hyperlink" Target="http://agm.smartadvisor.com.br/Cadastro/Cadastro_Gestor_Detail.asp?codistt=1694" TargetMode="External"/><Relationship Id="rId29" Type="http://schemas.openxmlformats.org/officeDocument/2006/relationships/hyperlink" Target="http://agm.smartadvisor.com.br/Cadastro/Cadastro_Gestor_Detail.asp?codistt=1707" TargetMode="External"/><Relationship Id="rId11" Type="http://schemas.openxmlformats.org/officeDocument/2006/relationships/hyperlink" Target="http://agm.smartadvisor.com.br/Cadastro/Cadastro_Gestor_Detail.asp?codistt=1706" TargetMode="External"/><Relationship Id="rId24" Type="http://schemas.openxmlformats.org/officeDocument/2006/relationships/hyperlink" Target="http://agm.smartadvisor.com.br/Cadastro/Cadastro_Gestor_Detail.asp?codistt=1639" TargetMode="External"/><Relationship Id="rId32" Type="http://schemas.openxmlformats.org/officeDocument/2006/relationships/hyperlink" Target="http://agm.smartadvisor.com.br/Cadastro/Cadastro_Gestor_Detail.asp?codistt=1698" TargetMode="External"/><Relationship Id="rId37" Type="http://schemas.openxmlformats.org/officeDocument/2006/relationships/hyperlink" Target="http://agm.smartadvisor.com.br/Cadastro/Cadastro_Gestor_Detail.asp?codistt=1666" TargetMode="External"/><Relationship Id="rId40" Type="http://schemas.openxmlformats.org/officeDocument/2006/relationships/hyperlink" Target="http://agm.smartadvisor.com.br/Cadastro/Cadastro_Gestor_Detail.asp?codistt=1703" TargetMode="External"/><Relationship Id="rId45" Type="http://schemas.openxmlformats.org/officeDocument/2006/relationships/hyperlink" Target="http://agm.smartadvisor.com.br/Cadastro/Cadastro_Gestor_Detail.asp?codistt=1653" TargetMode="External"/><Relationship Id="rId53" Type="http://schemas.openxmlformats.org/officeDocument/2006/relationships/drawing" Target="../drawings/drawing5.xml"/><Relationship Id="rId5" Type="http://schemas.openxmlformats.org/officeDocument/2006/relationships/hyperlink" Target="http://agm.smartadvisor.com.br/Cadastro/Cadastro_Gestor_Detail.asp?codistt=1729" TargetMode="External"/><Relationship Id="rId10" Type="http://schemas.openxmlformats.org/officeDocument/2006/relationships/hyperlink" Target="http://agm.smartadvisor.com.br/Cadastro/Cadastro_Gestor_Detail.asp?codistt=1681" TargetMode="External"/><Relationship Id="rId19" Type="http://schemas.openxmlformats.org/officeDocument/2006/relationships/hyperlink" Target="http://agm.smartadvisor.com.br/Cadastro/Cadastro_Gestor_Detail.asp?codistt=1251" TargetMode="External"/><Relationship Id="rId31" Type="http://schemas.openxmlformats.org/officeDocument/2006/relationships/hyperlink" Target="http://agm.smartadvisor.com.br/Cadastro/Cadastro_Gestor_Detail.asp?codistt=1665" TargetMode="External"/><Relationship Id="rId44" Type="http://schemas.openxmlformats.org/officeDocument/2006/relationships/hyperlink" Target="http://agm.smartadvisor.com.br/Cadastro/Cadastro_Gestor_Detail.asp?codistt=1663" TargetMode="External"/><Relationship Id="rId52" Type="http://schemas.openxmlformats.org/officeDocument/2006/relationships/hyperlink" Target="http://agm.smartadvisor.com.br/Cadastro/Cadastro_Gestor_Detail.asp?codistt=1705" TargetMode="External"/><Relationship Id="rId4" Type="http://schemas.openxmlformats.org/officeDocument/2006/relationships/hyperlink" Target="http://agm.smartadvisor.com.br/Cadastro/Cadastro_Gestor_Detail.asp?codistt=1699" TargetMode="External"/><Relationship Id="rId9" Type="http://schemas.openxmlformats.org/officeDocument/2006/relationships/hyperlink" Target="http://agm.smartadvisor.com.br/Cadastro/Cadastro_Gestor_Detail.asp?codistt=1682" TargetMode="External"/><Relationship Id="rId14" Type="http://schemas.openxmlformats.org/officeDocument/2006/relationships/hyperlink" Target="http://agm.smartadvisor.com.br/Cadastro/Cadastro_Gestor_Detail.asp?codistt=1635" TargetMode="External"/><Relationship Id="rId22" Type="http://schemas.openxmlformats.org/officeDocument/2006/relationships/hyperlink" Target="http://agm.smartadvisor.com.br/Cadastro/Cadastro_Gestor_Detail.asp?codistt=1623" TargetMode="External"/><Relationship Id="rId27" Type="http://schemas.openxmlformats.org/officeDocument/2006/relationships/hyperlink" Target="http://agm.smartadvisor.com.br/Cadastro/Cadastro_Gestor_Detail.asp?codistt=1697" TargetMode="External"/><Relationship Id="rId30" Type="http://schemas.openxmlformats.org/officeDocument/2006/relationships/hyperlink" Target="http://agm.smartadvisor.com.br/Cadastro/Cadastro_Gestor_Detail.asp?codistt=1730" TargetMode="External"/><Relationship Id="rId35" Type="http://schemas.openxmlformats.org/officeDocument/2006/relationships/hyperlink" Target="http://agm.smartadvisor.com.br/Cadastro/Cadastro_Gestor_Detail.asp?codistt=1662" TargetMode="External"/><Relationship Id="rId43" Type="http://schemas.openxmlformats.org/officeDocument/2006/relationships/hyperlink" Target="http://agm.smartadvisor.com.br/Cadastro/Cadastro_Gestor_Detail.asp?codistt=1701" TargetMode="External"/><Relationship Id="rId48" Type="http://schemas.openxmlformats.org/officeDocument/2006/relationships/hyperlink" Target="http://agm.smartadvisor.com.br/Cadastro/Cadastro_Gestor_Detail.asp?codistt=1691" TargetMode="External"/><Relationship Id="rId8" Type="http://schemas.openxmlformats.org/officeDocument/2006/relationships/hyperlink" Target="http://agm.smartadvisor.com.br/Cadastro/Cadastro_Gestor_Detail.asp?codistt=1621" TargetMode="External"/><Relationship Id="rId51" Type="http://schemas.openxmlformats.org/officeDocument/2006/relationships/hyperlink" Target="http://agm.smartadvisor.com.br/Cadastro/Cadastro_Gestor_Detail.asp?codistt=1651" TargetMode="External"/><Relationship Id="rId3" Type="http://schemas.openxmlformats.org/officeDocument/2006/relationships/hyperlink" Target="http://agm.smartadvisor.com.br/Cadastro/Cadastro_Gestor_Detail.asp?codistt=1668" TargetMode="External"/><Relationship Id="rId12" Type="http://schemas.openxmlformats.org/officeDocument/2006/relationships/hyperlink" Target="http://agm.smartadvisor.com.br/Cadastro/Cadastro_Gestor_Detail.asp?codistt=1686" TargetMode="External"/><Relationship Id="rId17" Type="http://schemas.openxmlformats.org/officeDocument/2006/relationships/hyperlink" Target="http://agm.smartadvisor.com.br/Cadastro/Cadastro_Gestor_Detail.asp?codistt=1667" TargetMode="External"/><Relationship Id="rId25" Type="http://schemas.openxmlformats.org/officeDocument/2006/relationships/hyperlink" Target="http://agm.smartadvisor.com.br/Cadastro/Cadastro_Gestor_Detail.asp?codistt=1722" TargetMode="External"/><Relationship Id="rId33" Type="http://schemas.openxmlformats.org/officeDocument/2006/relationships/hyperlink" Target="http://agm.smartadvisor.com.br/Cadastro/Cadastro_Gestor_Detail.asp?codistt=1724" TargetMode="External"/><Relationship Id="rId38" Type="http://schemas.openxmlformats.org/officeDocument/2006/relationships/hyperlink" Target="http://agm.smartadvisor.com.br/Cadastro/Cadastro_Gestor_Detail.asp?codistt=1688" TargetMode="External"/><Relationship Id="rId46" Type="http://schemas.openxmlformats.org/officeDocument/2006/relationships/hyperlink" Target="http://agm.smartadvisor.com.br/Cadastro/Cadastro_Gestor_Detail.asp?codistt=1680" TargetMode="External"/><Relationship Id="rId20" Type="http://schemas.openxmlformats.org/officeDocument/2006/relationships/hyperlink" Target="http://agm.smartadvisor.com.br/Cadastro/Cadastro_Gestor_Detail.asp?codistt=1700" TargetMode="External"/><Relationship Id="rId41" Type="http://schemas.openxmlformats.org/officeDocument/2006/relationships/hyperlink" Target="http://agm.smartadvisor.com.br/Cadastro/Cadastro_Gestor_Detail.asp?codistt=1658" TargetMode="External"/><Relationship Id="rId1" Type="http://schemas.openxmlformats.org/officeDocument/2006/relationships/hyperlink" Target="http://agm.smartadvisor.com.br/Cadastro/Cadastro_Gestor_Detail.asp?codistt=1717" TargetMode="External"/><Relationship Id="rId6" Type="http://schemas.openxmlformats.org/officeDocument/2006/relationships/hyperlink" Target="http://agm.smartadvisor.com.br/Cadastro/Cadastro_Gestor_Detail.asp?codistt=1646" TargetMode="External"/><Relationship Id="rId15" Type="http://schemas.openxmlformats.org/officeDocument/2006/relationships/hyperlink" Target="http://agm.smartadvisor.com.br/Cadastro/Cadastro_Gestor_Detail.asp?codistt=1632" TargetMode="External"/><Relationship Id="rId23" Type="http://schemas.openxmlformats.org/officeDocument/2006/relationships/hyperlink" Target="http://agm.smartadvisor.com.br/Cadastro/Cadastro_Gestor_Detail.asp?codistt=1634" TargetMode="External"/><Relationship Id="rId28" Type="http://schemas.openxmlformats.org/officeDocument/2006/relationships/hyperlink" Target="http://agm.smartadvisor.com.br/Cadastro/Cadastro_Gestor_Detail.asp?codistt=1652" TargetMode="External"/><Relationship Id="rId36" Type="http://schemas.openxmlformats.org/officeDocument/2006/relationships/hyperlink" Target="http://agm.smartadvisor.com.br/Cadastro/Cadastro_Gestor_Detail.asp?codistt=1693" TargetMode="External"/><Relationship Id="rId49" Type="http://schemas.openxmlformats.org/officeDocument/2006/relationships/hyperlink" Target="http://agm.smartadvisor.com.br/Cadastro/Cadastro_Gestor_Detail.asp?codistt=17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89BB-F89A-47AD-B96C-90B0ACB45CC2}">
  <dimension ref="B1:W480"/>
  <sheetViews>
    <sheetView tabSelected="1" workbookViewId="0">
      <selection activeCell="B57" sqref="B57"/>
    </sheetView>
  </sheetViews>
  <sheetFormatPr defaultRowHeight="23.25"/>
  <cols>
    <col min="1" max="1" width="4.28515625" style="145" customWidth="1"/>
    <col min="2" max="2" width="25.42578125" style="146" customWidth="1"/>
    <col min="3" max="3" width="8.85546875" style="146" bestFit="1" customWidth="1"/>
    <col min="4" max="4" width="9.140625" style="146"/>
    <col min="5" max="5" width="9.140625" style="147"/>
    <col min="6" max="12" width="9.140625" style="146"/>
    <col min="13" max="13" width="29.140625" style="146" bestFit="1" customWidth="1"/>
    <col min="14" max="14" width="35" style="146" bestFit="1" customWidth="1"/>
    <col min="15" max="15" width="9.140625" style="146"/>
    <col min="16" max="16384" width="9.140625" style="145"/>
  </cols>
  <sheetData>
    <row r="1" spans="2:23" s="130" customFormat="1">
      <c r="E1" s="131"/>
    </row>
    <row r="2" spans="2:23" s="134" customFormat="1" ht="36">
      <c r="B2" s="132"/>
      <c r="C2" s="132"/>
      <c r="D2" s="132"/>
      <c r="E2" s="133"/>
      <c r="F2" s="132"/>
      <c r="G2" s="132"/>
      <c r="H2" s="132"/>
      <c r="I2" s="132"/>
      <c r="J2" s="132"/>
      <c r="K2" s="132"/>
      <c r="L2" s="132"/>
      <c r="M2" s="177" t="s">
        <v>1756</v>
      </c>
      <c r="N2" s="177">
        <v>23000</v>
      </c>
      <c r="O2" s="135"/>
      <c r="P2" s="135"/>
      <c r="Q2" s="135"/>
      <c r="R2" s="135"/>
    </row>
    <row r="3" spans="2:23" s="134" customFormat="1" ht="23.25" customHeight="1">
      <c r="B3" s="136" t="s">
        <v>1755</v>
      </c>
      <c r="C3" s="133">
        <v>0.33</v>
      </c>
      <c r="D3" s="132"/>
      <c r="E3" s="133"/>
      <c r="F3" s="132"/>
      <c r="G3" s="132"/>
      <c r="H3" s="132"/>
      <c r="I3" s="132"/>
      <c r="J3" s="132"/>
      <c r="K3" s="132"/>
      <c r="L3" s="132"/>
      <c r="M3" s="177"/>
      <c r="N3" s="177"/>
      <c r="O3" s="135"/>
      <c r="P3" s="135"/>
      <c r="Q3" s="135"/>
      <c r="R3" s="135"/>
    </row>
    <row r="4" spans="2:23" s="134" customFormat="1">
      <c r="B4" s="136" t="s">
        <v>1757</v>
      </c>
      <c r="C4" s="133">
        <v>0.33</v>
      </c>
      <c r="D4" s="132"/>
      <c r="E4" s="133"/>
      <c r="F4" s="132"/>
      <c r="G4" s="132"/>
      <c r="H4" s="132"/>
      <c r="I4" s="132"/>
      <c r="J4" s="132"/>
      <c r="K4" s="132"/>
      <c r="L4" s="132"/>
      <c r="M4" s="132"/>
      <c r="N4" s="132"/>
      <c r="O4" s="132"/>
    </row>
    <row r="5" spans="2:23" s="134" customFormat="1" ht="26.25" customHeight="1">
      <c r="B5" s="136" t="s">
        <v>1758</v>
      </c>
      <c r="C5" s="133">
        <v>0.33</v>
      </c>
      <c r="D5" s="132"/>
      <c r="E5" s="133"/>
      <c r="F5" s="132"/>
      <c r="G5" s="132"/>
      <c r="H5" s="132"/>
      <c r="I5" s="132"/>
      <c r="J5" s="132"/>
      <c r="K5" s="132"/>
      <c r="L5" s="132"/>
      <c r="M5" s="137" t="s">
        <v>1755</v>
      </c>
      <c r="N5" s="138">
        <f>N2*C3</f>
        <v>7590</v>
      </c>
      <c r="O5" s="132"/>
      <c r="P5" s="139" t="s">
        <v>1759</v>
      </c>
      <c r="Q5" s="139"/>
      <c r="R5" s="139"/>
      <c r="S5" s="139"/>
      <c r="T5" s="139"/>
      <c r="U5" s="139"/>
      <c r="V5" s="139"/>
      <c r="W5" s="139"/>
    </row>
    <row r="6" spans="2:23" s="134" customFormat="1" ht="26.25" customHeight="1">
      <c r="B6" s="136" t="s">
        <v>1760</v>
      </c>
      <c r="C6" s="133">
        <v>0.01</v>
      </c>
      <c r="D6" s="132"/>
      <c r="E6" s="133"/>
      <c r="F6" s="132"/>
      <c r="G6" s="132"/>
      <c r="H6" s="132"/>
      <c r="I6" s="132"/>
      <c r="J6" s="132"/>
      <c r="K6" s="132"/>
      <c r="L6" s="132"/>
      <c r="M6" s="137" t="s">
        <v>1757</v>
      </c>
      <c r="N6" s="138">
        <f>N2*C4</f>
        <v>7590</v>
      </c>
      <c r="O6" s="132"/>
      <c r="P6" s="139"/>
      <c r="Q6" s="139"/>
      <c r="R6" s="139"/>
      <c r="S6" s="139"/>
      <c r="T6" s="139"/>
      <c r="U6" s="139"/>
      <c r="V6" s="139"/>
      <c r="W6" s="139"/>
    </row>
    <row r="7" spans="2:23" s="134" customFormat="1" ht="26.25">
      <c r="B7" s="132"/>
      <c r="C7" s="133">
        <f>SUM(C3:C6)</f>
        <v>1</v>
      </c>
      <c r="D7" s="132"/>
      <c r="E7" s="133"/>
      <c r="F7" s="132"/>
      <c r="G7" s="132"/>
      <c r="H7" s="132"/>
      <c r="I7" s="132"/>
      <c r="J7" s="132"/>
      <c r="K7" s="132"/>
      <c r="L7" s="132"/>
      <c r="M7" s="137" t="s">
        <v>1758</v>
      </c>
      <c r="N7" s="138">
        <f>N2*C5</f>
        <v>7590</v>
      </c>
      <c r="O7" s="132"/>
      <c r="P7" s="140" t="s">
        <v>1761</v>
      </c>
      <c r="Q7" s="140"/>
      <c r="R7" s="140"/>
      <c r="S7" s="140"/>
      <c r="T7" s="140"/>
      <c r="U7" s="140"/>
      <c r="V7" s="140"/>
      <c r="W7" s="140"/>
    </row>
    <row r="8" spans="2:23" s="134" customFormat="1" ht="26.25">
      <c r="B8" s="132"/>
      <c r="C8" s="132"/>
      <c r="D8" s="132"/>
      <c r="E8" s="133"/>
      <c r="F8" s="132"/>
      <c r="G8" s="132"/>
      <c r="H8" s="132"/>
      <c r="I8" s="132"/>
      <c r="J8" s="132"/>
      <c r="K8" s="132"/>
      <c r="L8" s="132"/>
      <c r="M8" s="137" t="s">
        <v>1760</v>
      </c>
      <c r="N8" s="138">
        <f>N2*C6</f>
        <v>230</v>
      </c>
      <c r="O8" s="132"/>
      <c r="P8" s="140"/>
      <c r="Q8" s="140"/>
      <c r="R8" s="140"/>
      <c r="S8" s="140"/>
      <c r="T8" s="140"/>
      <c r="U8" s="140"/>
      <c r="V8" s="140"/>
      <c r="W8" s="140"/>
    </row>
    <row r="9" spans="2:23" s="134" customFormat="1">
      <c r="B9" s="132"/>
      <c r="C9" s="132"/>
      <c r="D9" s="132"/>
      <c r="E9" s="133"/>
      <c r="F9" s="132"/>
      <c r="G9" s="132"/>
      <c r="H9" s="132"/>
      <c r="I9" s="132"/>
      <c r="J9" s="132"/>
      <c r="K9" s="132"/>
      <c r="L9" s="132"/>
      <c r="M9" s="132"/>
      <c r="N9" s="132"/>
      <c r="O9" s="132"/>
    </row>
    <row r="10" spans="2:23" s="134" customFormat="1">
      <c r="B10" s="132"/>
      <c r="C10" s="132"/>
      <c r="D10" s="132"/>
      <c r="E10" s="133"/>
      <c r="F10" s="132"/>
      <c r="G10" s="132"/>
      <c r="H10" s="132"/>
      <c r="I10" s="132"/>
      <c r="J10" s="132"/>
      <c r="K10" s="132"/>
      <c r="L10" s="132"/>
      <c r="M10" s="132"/>
      <c r="N10" s="132"/>
      <c r="O10" s="132"/>
    </row>
    <row r="11" spans="2:23" s="134" customFormat="1">
      <c r="B11" s="132"/>
      <c r="C11" s="132"/>
      <c r="D11" s="132"/>
      <c r="E11" s="133"/>
      <c r="F11" s="132"/>
      <c r="G11" s="132"/>
      <c r="H11" s="132"/>
      <c r="I11" s="132"/>
      <c r="J11" s="132"/>
      <c r="K11" s="132"/>
      <c r="L11" s="132"/>
      <c r="M11" s="132"/>
      <c r="N11" s="132"/>
      <c r="O11" s="132"/>
    </row>
    <row r="12" spans="2:23" s="130" customFormat="1">
      <c r="E12" s="131"/>
    </row>
    <row r="13" spans="2:23" s="134" customFormat="1">
      <c r="B13" s="132"/>
      <c r="C13" s="132"/>
      <c r="D13" s="132"/>
      <c r="E13" s="133"/>
      <c r="F13" s="132"/>
      <c r="G13" s="132"/>
      <c r="H13" s="132"/>
      <c r="I13" s="132"/>
      <c r="J13" s="132"/>
      <c r="K13" s="132"/>
      <c r="L13" s="132"/>
      <c r="M13" s="132"/>
      <c r="N13" s="132"/>
      <c r="O13" s="132"/>
    </row>
    <row r="14" spans="2:23" s="134" customFormat="1" ht="23.25" customHeight="1">
      <c r="B14" s="132"/>
      <c r="C14" s="132"/>
      <c r="D14" s="132"/>
      <c r="E14" s="133"/>
      <c r="F14" s="132"/>
      <c r="G14" s="132"/>
      <c r="H14" s="132"/>
      <c r="I14" s="132"/>
      <c r="J14" s="132"/>
      <c r="K14" s="132"/>
      <c r="L14" s="132"/>
      <c r="M14" s="175" t="s">
        <v>1756</v>
      </c>
      <c r="N14" s="176">
        <v>100000</v>
      </c>
      <c r="O14" s="135"/>
      <c r="P14" s="135"/>
      <c r="Q14" s="135"/>
      <c r="R14" s="135"/>
    </row>
    <row r="15" spans="2:23" s="134" customFormat="1" ht="23.25" customHeight="1">
      <c r="B15" s="136" t="s">
        <v>1755</v>
      </c>
      <c r="C15" s="133">
        <v>0.3</v>
      </c>
      <c r="D15" s="132"/>
      <c r="E15" s="133"/>
      <c r="F15" s="132"/>
      <c r="G15" s="132"/>
      <c r="H15" s="132"/>
      <c r="I15" s="132"/>
      <c r="J15" s="132"/>
      <c r="K15" s="132"/>
      <c r="L15" s="132"/>
      <c r="M15" s="175"/>
      <c r="N15" s="176"/>
      <c r="O15" s="135"/>
      <c r="P15" s="135"/>
      <c r="Q15" s="135"/>
      <c r="R15" s="135"/>
    </row>
    <row r="16" spans="2:23" s="134" customFormat="1">
      <c r="B16" s="136" t="s">
        <v>1757</v>
      </c>
      <c r="C16" s="133">
        <v>0.3</v>
      </c>
      <c r="D16" s="132"/>
      <c r="E16" s="133"/>
      <c r="F16" s="132"/>
      <c r="G16" s="132"/>
      <c r="H16" s="132"/>
      <c r="I16" s="132"/>
      <c r="J16" s="132"/>
      <c r="K16" s="132"/>
      <c r="L16" s="132"/>
      <c r="M16" s="132"/>
      <c r="N16" s="132"/>
      <c r="O16" s="132"/>
    </row>
    <row r="17" spans="2:23" s="134" customFormat="1" ht="26.25" customHeight="1">
      <c r="B17" s="136" t="s">
        <v>1758</v>
      </c>
      <c r="C17" s="133">
        <v>0.3</v>
      </c>
      <c r="D17" s="132"/>
      <c r="E17" s="133"/>
      <c r="F17" s="132"/>
      <c r="G17" s="132"/>
      <c r="H17" s="132"/>
      <c r="I17" s="132"/>
      <c r="J17" s="132"/>
      <c r="K17" s="132"/>
      <c r="L17" s="132"/>
      <c r="M17" s="137" t="s">
        <v>1755</v>
      </c>
      <c r="N17" s="138">
        <f>N14*C15</f>
        <v>30000</v>
      </c>
      <c r="O17" s="132"/>
      <c r="P17" s="139" t="s">
        <v>1762</v>
      </c>
      <c r="Q17" s="139"/>
      <c r="R17" s="139"/>
      <c r="S17" s="139"/>
      <c r="T17" s="139"/>
      <c r="U17" s="139"/>
      <c r="V17" s="139"/>
      <c r="W17" s="139"/>
    </row>
    <row r="18" spans="2:23" s="134" customFormat="1" ht="26.25" customHeight="1">
      <c r="B18" s="136" t="s">
        <v>1773</v>
      </c>
      <c r="C18" s="133">
        <v>0.1</v>
      </c>
      <c r="D18" s="132"/>
      <c r="E18" s="133"/>
      <c r="F18" s="132"/>
      <c r="G18" s="132"/>
      <c r="H18" s="132"/>
      <c r="I18" s="132"/>
      <c r="J18" s="132"/>
      <c r="K18" s="132"/>
      <c r="L18" s="132"/>
      <c r="M18" s="137" t="s">
        <v>1757</v>
      </c>
      <c r="N18" s="138">
        <f>N14*C16</f>
        <v>30000</v>
      </c>
      <c r="O18" s="132"/>
      <c r="P18" s="139"/>
      <c r="Q18" s="139"/>
      <c r="R18" s="139"/>
      <c r="S18" s="139"/>
      <c r="T18" s="139"/>
      <c r="U18" s="139"/>
      <c r="V18" s="139"/>
      <c r="W18" s="139"/>
    </row>
    <row r="19" spans="2:23" s="134" customFormat="1" ht="26.25">
      <c r="B19" s="132"/>
      <c r="C19" s="141">
        <f>SUM(C15:C18)</f>
        <v>0.99999999999999989</v>
      </c>
      <c r="D19" s="132"/>
      <c r="E19" s="133"/>
      <c r="F19" s="132"/>
      <c r="G19" s="132"/>
      <c r="H19" s="132"/>
      <c r="I19" s="132"/>
      <c r="J19" s="132"/>
      <c r="K19" s="132"/>
      <c r="L19" s="132"/>
      <c r="M19" s="137" t="s">
        <v>1758</v>
      </c>
      <c r="N19" s="138">
        <f>N14*C17</f>
        <v>30000</v>
      </c>
      <c r="O19" s="132"/>
      <c r="P19" s="142" t="s">
        <v>1763</v>
      </c>
      <c r="Q19" s="142"/>
      <c r="R19" s="142"/>
      <c r="S19" s="142"/>
      <c r="T19" s="142"/>
      <c r="U19" s="142"/>
      <c r="V19" s="142"/>
      <c r="W19" s="142"/>
    </row>
    <row r="20" spans="2:23" s="134" customFormat="1" ht="26.25">
      <c r="B20" s="132"/>
      <c r="C20" s="132"/>
      <c r="D20" s="132"/>
      <c r="E20" s="133"/>
      <c r="F20" s="132"/>
      <c r="G20" s="132"/>
      <c r="H20" s="132"/>
      <c r="I20" s="132"/>
      <c r="J20" s="132"/>
      <c r="K20" s="132"/>
      <c r="L20" s="132"/>
      <c r="M20" s="137" t="s">
        <v>1760</v>
      </c>
      <c r="N20" s="138">
        <f>N14*C18</f>
        <v>10000</v>
      </c>
      <c r="O20" s="132"/>
      <c r="P20" s="142"/>
      <c r="Q20" s="142"/>
      <c r="R20" s="142"/>
      <c r="S20" s="142"/>
      <c r="T20" s="142"/>
      <c r="U20" s="142"/>
      <c r="V20" s="142"/>
      <c r="W20" s="142"/>
    </row>
    <row r="21" spans="2:23" s="134" customFormat="1">
      <c r="B21" s="132"/>
      <c r="C21" s="132"/>
      <c r="D21" s="132"/>
      <c r="E21" s="133"/>
      <c r="F21" s="132"/>
      <c r="G21" s="132"/>
      <c r="H21" s="132"/>
      <c r="I21" s="132"/>
      <c r="J21" s="132"/>
      <c r="K21" s="132"/>
      <c r="L21" s="132"/>
      <c r="M21" s="132"/>
      <c r="N21" s="132"/>
      <c r="O21" s="132"/>
    </row>
    <row r="22" spans="2:23" s="134" customFormat="1">
      <c r="B22" s="132"/>
      <c r="C22" s="132"/>
      <c r="D22" s="132"/>
      <c r="E22" s="133"/>
      <c r="F22" s="132"/>
      <c r="G22" s="132"/>
      <c r="H22" s="132"/>
      <c r="I22" s="132"/>
      <c r="J22" s="132"/>
      <c r="K22" s="132"/>
      <c r="L22" s="132"/>
      <c r="M22" s="132"/>
      <c r="N22" s="132"/>
      <c r="O22" s="132"/>
    </row>
    <row r="23" spans="2:23" s="134" customFormat="1">
      <c r="B23" s="132"/>
      <c r="C23" s="132"/>
      <c r="D23" s="132"/>
      <c r="E23" s="133"/>
      <c r="F23" s="132"/>
      <c r="G23" s="132"/>
      <c r="H23" s="132"/>
      <c r="I23" s="132"/>
      <c r="J23" s="132"/>
      <c r="K23" s="132"/>
      <c r="L23" s="132"/>
      <c r="M23" s="132"/>
      <c r="N23" s="132"/>
      <c r="O23" s="132"/>
    </row>
    <row r="24" spans="2:23" s="130" customFormat="1">
      <c r="E24" s="131"/>
    </row>
    <row r="25" spans="2:23" s="134" customFormat="1">
      <c r="B25" s="132"/>
      <c r="C25" s="132"/>
      <c r="D25" s="132"/>
      <c r="E25" s="133"/>
      <c r="F25" s="132"/>
      <c r="G25" s="132"/>
      <c r="H25" s="132"/>
      <c r="I25" s="132"/>
      <c r="J25" s="132"/>
      <c r="K25" s="132"/>
      <c r="L25" s="132"/>
      <c r="M25" s="132"/>
      <c r="N25" s="132"/>
      <c r="O25" s="132"/>
    </row>
    <row r="26" spans="2:23" s="134" customFormat="1" ht="23.25" customHeight="1">
      <c r="B26" s="132"/>
      <c r="C26" s="132"/>
      <c r="D26" s="132"/>
      <c r="E26" s="133"/>
      <c r="F26" s="132"/>
      <c r="G26" s="132"/>
      <c r="H26" s="132"/>
      <c r="I26" s="132"/>
      <c r="J26" s="132"/>
      <c r="K26" s="132"/>
      <c r="L26" s="132"/>
      <c r="M26" s="175" t="s">
        <v>1756</v>
      </c>
      <c r="N26" s="176">
        <v>15000</v>
      </c>
      <c r="O26" s="135"/>
      <c r="P26" s="135"/>
      <c r="Q26" s="135"/>
      <c r="R26" s="135"/>
    </row>
    <row r="27" spans="2:23" s="134" customFormat="1" ht="23.25" customHeight="1">
      <c r="B27" s="136" t="s">
        <v>1755</v>
      </c>
      <c r="C27" s="133">
        <v>0.25</v>
      </c>
      <c r="D27" s="132"/>
      <c r="E27" s="133"/>
      <c r="F27" s="132"/>
      <c r="G27" s="132"/>
      <c r="H27" s="132"/>
      <c r="I27" s="132"/>
      <c r="J27" s="132"/>
      <c r="K27" s="132"/>
      <c r="L27" s="132"/>
      <c r="M27" s="175"/>
      <c r="N27" s="176"/>
      <c r="O27" s="135"/>
      <c r="P27" s="135"/>
      <c r="Q27" s="135"/>
      <c r="R27" s="135"/>
    </row>
    <row r="28" spans="2:23" s="134" customFormat="1">
      <c r="B28" s="136" t="s">
        <v>1757</v>
      </c>
      <c r="C28" s="133">
        <v>0.25</v>
      </c>
      <c r="D28" s="132"/>
      <c r="E28" s="133"/>
      <c r="F28" s="132"/>
      <c r="G28" s="132"/>
      <c r="H28" s="132"/>
      <c r="I28" s="132"/>
      <c r="J28" s="132"/>
      <c r="K28" s="132"/>
      <c r="L28" s="132"/>
      <c r="M28" s="132"/>
      <c r="N28" s="132"/>
      <c r="O28" s="132"/>
    </row>
    <row r="29" spans="2:23" s="134" customFormat="1" ht="26.25" customHeight="1">
      <c r="B29" s="136" t="s">
        <v>1758</v>
      </c>
      <c r="C29" s="133">
        <v>0.25</v>
      </c>
      <c r="D29" s="132"/>
      <c r="E29" s="133"/>
      <c r="F29" s="132"/>
      <c r="G29" s="132"/>
      <c r="H29" s="132"/>
      <c r="I29" s="132"/>
      <c r="J29" s="132"/>
      <c r="K29" s="132"/>
      <c r="L29" s="132"/>
      <c r="M29" s="137" t="s">
        <v>1755</v>
      </c>
      <c r="N29" s="138">
        <f>N26*C27</f>
        <v>3750</v>
      </c>
      <c r="O29" s="132"/>
      <c r="P29" s="139" t="s">
        <v>1764</v>
      </c>
      <c r="Q29" s="139"/>
      <c r="R29" s="139"/>
      <c r="S29" s="139"/>
      <c r="T29" s="139"/>
      <c r="U29" s="139"/>
      <c r="V29" s="139"/>
      <c r="W29" s="139"/>
    </row>
    <row r="30" spans="2:23" s="134" customFormat="1" ht="26.25" customHeight="1">
      <c r="B30" s="136" t="s">
        <v>1774</v>
      </c>
      <c r="C30" s="133">
        <v>0.25</v>
      </c>
      <c r="D30" s="132"/>
      <c r="E30" s="133"/>
      <c r="F30" s="132"/>
      <c r="G30" s="132"/>
      <c r="H30" s="132"/>
      <c r="I30" s="132"/>
      <c r="J30" s="132"/>
      <c r="K30" s="132"/>
      <c r="L30" s="132"/>
      <c r="M30" s="137" t="s">
        <v>1757</v>
      </c>
      <c r="N30" s="138">
        <f>N26*C28</f>
        <v>3750</v>
      </c>
      <c r="O30" s="132"/>
      <c r="P30" s="139"/>
      <c r="Q30" s="139"/>
      <c r="R30" s="139"/>
      <c r="S30" s="139"/>
      <c r="T30" s="139"/>
      <c r="U30" s="139"/>
      <c r="V30" s="139"/>
      <c r="W30" s="139"/>
    </row>
    <row r="31" spans="2:23" s="134" customFormat="1" ht="26.25">
      <c r="B31" s="132"/>
      <c r="C31" s="141">
        <f>SUM(C27:C30)</f>
        <v>1</v>
      </c>
      <c r="D31" s="132"/>
      <c r="E31" s="133"/>
      <c r="F31" s="132"/>
      <c r="G31" s="132"/>
      <c r="H31" s="132"/>
      <c r="I31" s="132"/>
      <c r="J31" s="132"/>
      <c r="K31" s="132"/>
      <c r="L31" s="132"/>
      <c r="M31" s="137" t="s">
        <v>1758</v>
      </c>
      <c r="N31" s="138">
        <f>N26*C29</f>
        <v>3750</v>
      </c>
      <c r="O31" s="132"/>
      <c r="P31" s="143" t="s">
        <v>1766</v>
      </c>
      <c r="Q31" s="143"/>
      <c r="R31" s="143"/>
      <c r="S31" s="143"/>
      <c r="T31" s="143"/>
      <c r="U31" s="143"/>
      <c r="V31" s="143"/>
      <c r="W31" s="143"/>
    </row>
    <row r="32" spans="2:23" s="134" customFormat="1" ht="26.25">
      <c r="B32" s="132"/>
      <c r="C32" s="132"/>
      <c r="D32" s="132"/>
      <c r="E32" s="133"/>
      <c r="F32" s="132"/>
      <c r="G32" s="132"/>
      <c r="H32" s="132"/>
      <c r="I32" s="132"/>
      <c r="J32" s="132"/>
      <c r="K32" s="132"/>
      <c r="L32" s="132"/>
      <c r="M32" s="137" t="s">
        <v>1772</v>
      </c>
      <c r="N32" s="138">
        <f>N26*C30</f>
        <v>3750</v>
      </c>
      <c r="O32" s="132"/>
      <c r="P32" s="143"/>
      <c r="Q32" s="143"/>
      <c r="R32" s="143"/>
      <c r="S32" s="143"/>
      <c r="T32" s="143"/>
      <c r="U32" s="143"/>
      <c r="V32" s="143"/>
      <c r="W32" s="143"/>
    </row>
    <row r="33" spans="2:23" s="134" customFormat="1">
      <c r="B33" s="132"/>
      <c r="C33" s="132"/>
      <c r="D33" s="132"/>
      <c r="E33" s="133"/>
      <c r="F33" s="132"/>
      <c r="G33" s="132"/>
      <c r="H33" s="132"/>
      <c r="I33" s="132"/>
      <c r="J33" s="132"/>
      <c r="K33" s="132"/>
      <c r="L33" s="132"/>
      <c r="M33" s="132"/>
      <c r="N33" s="132"/>
      <c r="O33" s="132"/>
    </row>
    <row r="34" spans="2:23" s="134" customFormat="1">
      <c r="B34" s="132"/>
      <c r="C34" s="132"/>
      <c r="D34" s="132"/>
      <c r="E34" s="133"/>
      <c r="F34" s="132"/>
      <c r="G34" s="132"/>
      <c r="H34" s="132"/>
      <c r="I34" s="132"/>
      <c r="J34" s="132"/>
      <c r="K34" s="132"/>
      <c r="L34" s="132"/>
      <c r="M34" s="132"/>
      <c r="N34" s="132"/>
      <c r="O34" s="132"/>
    </row>
    <row r="35" spans="2:23" s="134" customFormat="1">
      <c r="B35" s="132"/>
      <c r="C35" s="132"/>
      <c r="D35" s="132"/>
      <c r="E35" s="133"/>
      <c r="F35" s="132"/>
      <c r="G35" s="132"/>
      <c r="H35" s="132"/>
      <c r="I35" s="132"/>
      <c r="J35" s="132"/>
      <c r="K35" s="132"/>
      <c r="L35" s="132"/>
      <c r="M35" s="132"/>
      <c r="N35" s="132"/>
      <c r="O35" s="132"/>
    </row>
    <row r="36" spans="2:23" s="130" customFormat="1">
      <c r="E36" s="131"/>
    </row>
    <row r="37" spans="2:23" s="134" customFormat="1">
      <c r="B37" s="132"/>
      <c r="C37" s="132"/>
      <c r="D37" s="132"/>
      <c r="E37" s="133"/>
      <c r="F37" s="132"/>
      <c r="G37" s="132"/>
      <c r="H37" s="132"/>
      <c r="I37" s="132"/>
      <c r="J37" s="132"/>
      <c r="K37" s="132"/>
      <c r="L37" s="132"/>
      <c r="M37" s="132"/>
      <c r="N37" s="132"/>
      <c r="O37" s="132"/>
    </row>
    <row r="38" spans="2:23" s="134" customFormat="1" ht="23.25" customHeight="1">
      <c r="B38" s="132"/>
      <c r="C38" s="132"/>
      <c r="D38" s="132"/>
      <c r="E38" s="133"/>
      <c r="F38" s="132"/>
      <c r="G38" s="132"/>
      <c r="H38" s="132"/>
      <c r="I38" s="132"/>
      <c r="J38" s="132"/>
      <c r="K38" s="132"/>
      <c r="L38" s="132"/>
      <c r="M38" s="175" t="s">
        <v>1756</v>
      </c>
      <c r="N38" s="176">
        <v>15000</v>
      </c>
      <c r="O38" s="135"/>
      <c r="P38" s="135"/>
      <c r="Q38" s="135"/>
      <c r="R38" s="135"/>
    </row>
    <row r="39" spans="2:23" s="134" customFormat="1" ht="23.25" customHeight="1">
      <c r="B39" s="136" t="s">
        <v>1755</v>
      </c>
      <c r="C39" s="133">
        <v>0.15</v>
      </c>
      <c r="D39" s="132"/>
      <c r="E39" s="133"/>
      <c r="F39" s="132"/>
      <c r="G39" s="132"/>
      <c r="H39" s="132"/>
      <c r="I39" s="132"/>
      <c r="J39" s="132"/>
      <c r="K39" s="132"/>
      <c r="L39" s="132"/>
      <c r="M39" s="175"/>
      <c r="N39" s="176"/>
      <c r="O39" s="135"/>
      <c r="P39" s="135"/>
      <c r="Q39" s="135"/>
      <c r="R39" s="135"/>
    </row>
    <row r="40" spans="2:23" s="134" customFormat="1">
      <c r="B40" s="136" t="s">
        <v>1757</v>
      </c>
      <c r="C40" s="133">
        <v>0.15</v>
      </c>
      <c r="D40" s="132"/>
      <c r="E40" s="133"/>
      <c r="F40" s="132"/>
      <c r="G40" s="132"/>
      <c r="H40" s="132"/>
      <c r="I40" s="132"/>
      <c r="J40" s="132"/>
      <c r="K40" s="132"/>
      <c r="L40" s="132"/>
      <c r="M40" s="132"/>
      <c r="N40" s="132"/>
      <c r="O40" s="132"/>
    </row>
    <row r="41" spans="2:23" s="134" customFormat="1" ht="26.25" customHeight="1">
      <c r="B41" s="136" t="s">
        <v>1758</v>
      </c>
      <c r="C41" s="133">
        <v>0.15</v>
      </c>
      <c r="D41" s="132"/>
      <c r="E41" s="133"/>
      <c r="F41" s="132"/>
      <c r="G41" s="132"/>
      <c r="H41" s="132"/>
      <c r="I41" s="132"/>
      <c r="J41" s="132"/>
      <c r="K41" s="132"/>
      <c r="L41" s="132"/>
      <c r="M41" s="137" t="s">
        <v>1755</v>
      </c>
      <c r="N41" s="138">
        <f>N38*C39</f>
        <v>2250</v>
      </c>
      <c r="O41" s="132"/>
      <c r="P41" s="139" t="s">
        <v>1767</v>
      </c>
      <c r="Q41" s="139"/>
      <c r="R41" s="139"/>
      <c r="S41" s="139"/>
      <c r="T41" s="139"/>
      <c r="U41" s="139"/>
      <c r="V41" s="139"/>
      <c r="W41" s="139"/>
    </row>
    <row r="42" spans="2:23" s="134" customFormat="1" ht="26.25" customHeight="1">
      <c r="B42" s="136" t="s">
        <v>1773</v>
      </c>
      <c r="C42" s="133">
        <v>0.55000000000000004</v>
      </c>
      <c r="D42" s="132"/>
      <c r="E42" s="133"/>
      <c r="F42" s="132"/>
      <c r="G42" s="132"/>
      <c r="H42" s="132"/>
      <c r="I42" s="132"/>
      <c r="J42" s="132"/>
      <c r="K42" s="132"/>
      <c r="L42" s="132"/>
      <c r="M42" s="137" t="s">
        <v>1757</v>
      </c>
      <c r="N42" s="138">
        <f>N38*C40</f>
        <v>2250</v>
      </c>
      <c r="O42" s="132"/>
      <c r="P42" s="139"/>
      <c r="Q42" s="139"/>
      <c r="R42" s="139"/>
      <c r="S42" s="139"/>
      <c r="T42" s="139"/>
      <c r="U42" s="139"/>
      <c r="V42" s="139"/>
      <c r="W42" s="139"/>
    </row>
    <row r="43" spans="2:23" s="134" customFormat="1" ht="26.25">
      <c r="B43" s="132"/>
      <c r="C43" s="133">
        <f>SUM(C39:C42)</f>
        <v>1</v>
      </c>
      <c r="D43" s="132"/>
      <c r="E43" s="133"/>
      <c r="F43" s="132"/>
      <c r="G43" s="132"/>
      <c r="H43" s="132"/>
      <c r="I43" s="132"/>
      <c r="J43" s="132"/>
      <c r="K43" s="132"/>
      <c r="L43" s="132"/>
      <c r="M43" s="137" t="s">
        <v>1758</v>
      </c>
      <c r="N43" s="138">
        <f>N38*C41</f>
        <v>2250</v>
      </c>
      <c r="O43" s="132"/>
      <c r="P43" s="144" t="s">
        <v>1768</v>
      </c>
      <c r="Q43" s="144"/>
      <c r="R43" s="144"/>
      <c r="S43" s="144"/>
      <c r="T43" s="144"/>
      <c r="U43" s="144"/>
      <c r="V43" s="144"/>
      <c r="W43" s="144"/>
    </row>
    <row r="44" spans="2:23" s="134" customFormat="1" ht="26.25">
      <c r="B44" s="132"/>
      <c r="C44" s="132"/>
      <c r="D44" s="132"/>
      <c r="E44" s="133"/>
      <c r="F44" s="132"/>
      <c r="G44" s="132"/>
      <c r="H44" s="132"/>
      <c r="I44" s="132"/>
      <c r="J44" s="132"/>
      <c r="K44" s="132"/>
      <c r="L44" s="132"/>
      <c r="M44" s="137" t="s">
        <v>1765</v>
      </c>
      <c r="N44" s="138">
        <f>N38*C42</f>
        <v>8250</v>
      </c>
      <c r="O44" s="132"/>
      <c r="P44" s="144"/>
      <c r="Q44" s="144"/>
      <c r="R44" s="144"/>
      <c r="S44" s="144"/>
      <c r="T44" s="144"/>
      <c r="U44" s="144"/>
      <c r="V44" s="144"/>
      <c r="W44" s="144"/>
    </row>
    <row r="45" spans="2:23" s="134" customFormat="1">
      <c r="B45" s="132"/>
      <c r="C45" s="132"/>
      <c r="D45" s="132"/>
      <c r="E45" s="133"/>
      <c r="F45" s="132"/>
      <c r="G45" s="132"/>
      <c r="H45" s="132"/>
      <c r="I45" s="132"/>
      <c r="J45" s="132"/>
      <c r="K45" s="132"/>
      <c r="L45" s="132"/>
      <c r="M45" s="132"/>
      <c r="N45" s="132"/>
      <c r="O45" s="132"/>
    </row>
    <row r="46" spans="2:23" s="134" customFormat="1">
      <c r="B46" s="132"/>
      <c r="C46" s="132"/>
      <c r="D46" s="132"/>
      <c r="E46" s="133"/>
      <c r="F46" s="132"/>
      <c r="G46" s="132"/>
      <c r="H46" s="132"/>
      <c r="I46" s="132"/>
      <c r="J46" s="132"/>
      <c r="K46" s="132"/>
      <c r="L46" s="132"/>
      <c r="M46" s="132"/>
      <c r="N46" s="132"/>
      <c r="O46" s="132"/>
    </row>
    <row r="47" spans="2:23" s="134" customFormat="1">
      <c r="B47" s="132"/>
      <c r="C47" s="132"/>
      <c r="D47" s="132"/>
      <c r="E47" s="133"/>
      <c r="F47" s="132"/>
      <c r="G47" s="132"/>
      <c r="H47" s="132"/>
      <c r="I47" s="132"/>
      <c r="J47" s="132"/>
      <c r="K47" s="132"/>
      <c r="L47" s="132"/>
      <c r="M47" s="132"/>
      <c r="N47" s="132"/>
      <c r="O47" s="132"/>
    </row>
    <row r="48" spans="2:23" s="130" customFormat="1">
      <c r="E48" s="131"/>
    </row>
    <row r="49" spans="2:23" s="134" customFormat="1">
      <c r="B49" s="132"/>
      <c r="C49" s="132"/>
      <c r="D49" s="132"/>
      <c r="E49" s="133"/>
      <c r="F49" s="132"/>
      <c r="G49" s="132"/>
      <c r="H49" s="132"/>
      <c r="I49" s="132"/>
      <c r="J49" s="132"/>
      <c r="K49" s="132"/>
      <c r="L49" s="132"/>
      <c r="M49" s="132"/>
      <c r="N49" s="132"/>
      <c r="O49" s="132"/>
    </row>
    <row r="50" spans="2:23" s="134" customFormat="1" ht="23.25" customHeight="1">
      <c r="B50" s="132"/>
      <c r="C50" s="132"/>
      <c r="D50" s="132"/>
      <c r="E50" s="133"/>
      <c r="F50" s="132"/>
      <c r="G50" s="132"/>
      <c r="H50" s="132"/>
      <c r="I50" s="132"/>
      <c r="J50" s="132"/>
      <c r="K50" s="132"/>
      <c r="L50" s="132"/>
      <c r="M50" s="175" t="s">
        <v>1756</v>
      </c>
      <c r="N50" s="176">
        <v>1000000</v>
      </c>
      <c r="O50" s="135"/>
      <c r="P50" s="135"/>
      <c r="Q50" s="135"/>
      <c r="R50" s="135"/>
    </row>
    <row r="51" spans="2:23" s="134" customFormat="1" ht="23.25" customHeight="1">
      <c r="B51" s="136" t="s">
        <v>1755</v>
      </c>
      <c r="C51" s="133">
        <v>0.1</v>
      </c>
      <c r="D51" s="132"/>
      <c r="E51" s="133"/>
      <c r="F51" s="132"/>
      <c r="G51" s="132"/>
      <c r="H51" s="132"/>
      <c r="I51" s="132"/>
      <c r="J51" s="132"/>
      <c r="K51" s="132"/>
      <c r="L51" s="132"/>
      <c r="M51" s="175"/>
      <c r="N51" s="176"/>
      <c r="O51" s="135"/>
      <c r="P51" s="135"/>
      <c r="Q51" s="135"/>
      <c r="R51" s="135"/>
    </row>
    <row r="52" spans="2:23" s="134" customFormat="1">
      <c r="B52" s="136" t="s">
        <v>1757</v>
      </c>
      <c r="C52" s="133">
        <v>0.1</v>
      </c>
      <c r="D52" s="132"/>
      <c r="E52" s="133"/>
      <c r="F52" s="132"/>
      <c r="G52" s="132"/>
      <c r="H52" s="132"/>
      <c r="I52" s="132"/>
      <c r="J52" s="132"/>
      <c r="K52" s="132"/>
      <c r="L52" s="132"/>
      <c r="M52" s="132"/>
      <c r="N52" s="132"/>
      <c r="O52" s="132"/>
    </row>
    <row r="53" spans="2:23" s="134" customFormat="1" ht="26.25" customHeight="1">
      <c r="B53" s="136" t="s">
        <v>1758</v>
      </c>
      <c r="C53" s="133">
        <v>0.1</v>
      </c>
      <c r="D53" s="132"/>
      <c r="E53" s="133"/>
      <c r="F53" s="132"/>
      <c r="G53" s="132"/>
      <c r="H53" s="132"/>
      <c r="I53" s="132"/>
      <c r="J53" s="132"/>
      <c r="K53" s="132"/>
      <c r="L53" s="132"/>
      <c r="M53" s="137" t="s">
        <v>1755</v>
      </c>
      <c r="N53" s="138">
        <f>N50*C51</f>
        <v>100000</v>
      </c>
      <c r="O53" s="132"/>
      <c r="P53" s="139" t="s">
        <v>1769</v>
      </c>
      <c r="Q53" s="139"/>
      <c r="R53" s="139"/>
      <c r="S53" s="139"/>
      <c r="T53" s="139"/>
      <c r="U53" s="139"/>
      <c r="V53" s="139"/>
      <c r="W53" s="139"/>
    </row>
    <row r="54" spans="2:23" s="134" customFormat="1" ht="26.25" customHeight="1">
      <c r="B54" s="136" t="s">
        <v>1773</v>
      </c>
      <c r="C54" s="133">
        <v>0.7</v>
      </c>
      <c r="D54" s="132"/>
      <c r="E54" s="133"/>
      <c r="F54" s="132"/>
      <c r="G54" s="132"/>
      <c r="H54" s="132"/>
      <c r="I54" s="132"/>
      <c r="J54" s="132"/>
      <c r="K54" s="132"/>
      <c r="L54" s="132"/>
      <c r="M54" s="137" t="s">
        <v>1757</v>
      </c>
      <c r="N54" s="138">
        <f>N50*C52</f>
        <v>100000</v>
      </c>
      <c r="O54" s="132"/>
      <c r="P54" s="139"/>
      <c r="Q54" s="139"/>
      <c r="R54" s="139"/>
      <c r="S54" s="139"/>
      <c r="T54" s="139"/>
      <c r="U54" s="139"/>
      <c r="V54" s="139"/>
      <c r="W54" s="139"/>
    </row>
    <row r="55" spans="2:23" s="134" customFormat="1" ht="26.25">
      <c r="B55" s="132"/>
      <c r="C55" s="141">
        <f>SUM(C51:C54)</f>
        <v>1</v>
      </c>
      <c r="D55" s="132"/>
      <c r="E55" s="133"/>
      <c r="F55" s="132"/>
      <c r="G55" s="132"/>
      <c r="H55" s="132"/>
      <c r="I55" s="132"/>
      <c r="J55" s="132"/>
      <c r="K55" s="132"/>
      <c r="L55" s="132"/>
      <c r="M55" s="137" t="s">
        <v>1758</v>
      </c>
      <c r="N55" s="138">
        <f>N50*C53</f>
        <v>100000</v>
      </c>
      <c r="O55" s="132"/>
      <c r="P55" s="144" t="s">
        <v>1770</v>
      </c>
      <c r="Q55" s="144"/>
      <c r="R55" s="144"/>
      <c r="S55" s="144"/>
      <c r="T55" s="144"/>
      <c r="U55" s="144"/>
      <c r="V55" s="144"/>
      <c r="W55" s="144"/>
    </row>
    <row r="56" spans="2:23" s="134" customFormat="1" ht="26.25">
      <c r="B56" s="132"/>
      <c r="C56" s="132"/>
      <c r="D56" s="132"/>
      <c r="E56" s="133"/>
      <c r="F56" s="132"/>
      <c r="G56" s="132"/>
      <c r="H56" s="132"/>
      <c r="I56" s="132"/>
      <c r="J56" s="132"/>
      <c r="K56" s="132"/>
      <c r="L56" s="132"/>
      <c r="M56" s="137" t="s">
        <v>1771</v>
      </c>
      <c r="N56" s="138">
        <f>N50*C54</f>
        <v>700000</v>
      </c>
      <c r="O56" s="132"/>
      <c r="P56" s="144"/>
      <c r="Q56" s="144"/>
      <c r="R56" s="144"/>
      <c r="S56" s="144"/>
      <c r="T56" s="144"/>
      <c r="U56" s="144"/>
      <c r="V56" s="144"/>
      <c r="W56" s="144"/>
    </row>
    <row r="57" spans="2:23" s="134" customFormat="1">
      <c r="B57" s="132"/>
      <c r="C57" s="132"/>
      <c r="D57" s="132"/>
      <c r="E57" s="133"/>
      <c r="F57" s="132"/>
      <c r="G57" s="132"/>
      <c r="H57" s="132"/>
      <c r="I57" s="132"/>
      <c r="J57" s="132"/>
      <c r="K57" s="132"/>
      <c r="L57" s="132"/>
      <c r="M57" s="132"/>
      <c r="N57" s="132"/>
      <c r="O57" s="132"/>
    </row>
    <row r="58" spans="2:23" s="134" customFormat="1">
      <c r="B58" s="132"/>
      <c r="C58" s="132"/>
      <c r="D58" s="132"/>
      <c r="E58" s="133"/>
      <c r="F58" s="132"/>
      <c r="G58" s="132"/>
      <c r="H58" s="132"/>
      <c r="I58" s="132"/>
      <c r="J58" s="132"/>
      <c r="K58" s="132"/>
      <c r="L58" s="132"/>
      <c r="M58" s="132"/>
      <c r="N58" s="132"/>
      <c r="O58" s="132"/>
    </row>
    <row r="59" spans="2:23" s="134" customFormat="1">
      <c r="B59" s="132"/>
      <c r="C59" s="132"/>
      <c r="D59" s="132"/>
      <c r="E59" s="133"/>
      <c r="F59" s="132"/>
      <c r="G59" s="132"/>
      <c r="H59" s="132"/>
      <c r="I59" s="132"/>
      <c r="J59" s="132"/>
      <c r="K59" s="132"/>
      <c r="L59" s="132"/>
      <c r="M59" s="132"/>
      <c r="N59" s="132"/>
      <c r="O59" s="132"/>
    </row>
    <row r="60" spans="2:23" s="130" customFormat="1">
      <c r="E60" s="131"/>
    </row>
    <row r="61" spans="2:23" s="134" customFormat="1">
      <c r="B61" s="132"/>
      <c r="C61" s="132"/>
      <c r="D61" s="132"/>
      <c r="E61" s="133"/>
      <c r="F61" s="132"/>
      <c r="G61" s="132"/>
      <c r="H61" s="132"/>
      <c r="I61" s="132"/>
      <c r="J61" s="132"/>
      <c r="K61" s="132"/>
      <c r="L61" s="132"/>
      <c r="M61" s="132"/>
      <c r="N61" s="132"/>
      <c r="O61" s="132"/>
    </row>
    <row r="62" spans="2:23" s="134" customFormat="1">
      <c r="B62" s="132"/>
      <c r="C62" s="132"/>
      <c r="D62" s="132"/>
      <c r="E62" s="133"/>
      <c r="F62" s="132"/>
      <c r="G62" s="132"/>
      <c r="H62" s="132"/>
      <c r="I62" s="132"/>
      <c r="J62" s="132"/>
      <c r="K62" s="132"/>
      <c r="L62" s="132"/>
      <c r="M62" s="132"/>
      <c r="N62" s="132"/>
      <c r="O62" s="132"/>
    </row>
    <row r="63" spans="2:23" s="134" customFormat="1">
      <c r="B63" s="132"/>
      <c r="C63" s="132"/>
      <c r="D63" s="132"/>
      <c r="E63" s="133"/>
      <c r="F63" s="132"/>
      <c r="G63" s="132"/>
      <c r="H63" s="132"/>
      <c r="I63" s="132"/>
      <c r="J63" s="132"/>
      <c r="K63" s="132"/>
      <c r="L63" s="132"/>
      <c r="M63" s="132"/>
      <c r="N63" s="132"/>
      <c r="O63" s="132"/>
    </row>
    <row r="64" spans="2:23" s="134" customFormat="1">
      <c r="B64" s="132"/>
      <c r="C64" s="132"/>
      <c r="D64" s="132"/>
      <c r="E64" s="133"/>
      <c r="F64" s="132"/>
      <c r="G64" s="132"/>
      <c r="H64" s="132"/>
      <c r="I64" s="132"/>
      <c r="J64" s="132"/>
      <c r="K64" s="132"/>
      <c r="L64" s="132"/>
      <c r="M64" s="132"/>
      <c r="N64" s="132"/>
      <c r="O64" s="132"/>
    </row>
    <row r="65" spans="2:15" s="134" customFormat="1">
      <c r="B65" s="132"/>
      <c r="C65" s="132"/>
      <c r="D65" s="132"/>
      <c r="E65" s="133"/>
      <c r="F65" s="132"/>
      <c r="G65" s="132"/>
      <c r="H65" s="132"/>
      <c r="I65" s="132"/>
      <c r="J65" s="132"/>
      <c r="K65" s="132"/>
      <c r="L65" s="132"/>
      <c r="M65" s="132"/>
      <c r="N65" s="132"/>
      <c r="O65" s="132"/>
    </row>
    <row r="66" spans="2:15" s="134" customFormat="1">
      <c r="B66" s="132"/>
      <c r="C66" s="132"/>
      <c r="D66" s="132"/>
      <c r="E66" s="133"/>
      <c r="F66" s="132"/>
      <c r="G66" s="132"/>
      <c r="H66" s="132"/>
      <c r="I66" s="132"/>
      <c r="J66" s="132"/>
      <c r="K66" s="132"/>
      <c r="L66" s="132"/>
      <c r="M66" s="132"/>
      <c r="N66" s="132"/>
      <c r="O66" s="132"/>
    </row>
    <row r="67" spans="2:15" s="134" customFormat="1">
      <c r="B67" s="132"/>
      <c r="C67" s="132"/>
      <c r="D67" s="132"/>
      <c r="E67" s="133"/>
      <c r="F67" s="132"/>
      <c r="G67" s="132"/>
      <c r="H67" s="132"/>
      <c r="I67" s="132"/>
      <c r="J67" s="132"/>
      <c r="K67" s="132"/>
      <c r="L67" s="132"/>
      <c r="M67" s="132"/>
      <c r="N67" s="132"/>
      <c r="O67" s="132"/>
    </row>
    <row r="68" spans="2:15" s="134" customFormat="1">
      <c r="B68" s="132"/>
      <c r="C68" s="132"/>
      <c r="D68" s="132"/>
      <c r="E68" s="133"/>
      <c r="F68" s="132"/>
      <c r="G68" s="132"/>
      <c r="H68" s="132"/>
      <c r="I68" s="132"/>
      <c r="J68" s="132"/>
      <c r="K68" s="132"/>
      <c r="L68" s="132"/>
      <c r="M68" s="132"/>
      <c r="N68" s="132"/>
      <c r="O68" s="132"/>
    </row>
    <row r="69" spans="2:15" s="134" customFormat="1">
      <c r="B69" s="132"/>
      <c r="C69" s="132"/>
      <c r="D69" s="132"/>
      <c r="E69" s="133"/>
      <c r="F69" s="132"/>
      <c r="G69" s="132"/>
      <c r="H69" s="132"/>
      <c r="I69" s="132"/>
      <c r="J69" s="132"/>
      <c r="K69" s="132"/>
      <c r="L69" s="132"/>
      <c r="M69" s="132"/>
      <c r="N69" s="132"/>
      <c r="O69" s="132"/>
    </row>
    <row r="70" spans="2:15" s="134" customFormat="1">
      <c r="B70" s="132"/>
      <c r="C70" s="132"/>
      <c r="D70" s="132"/>
      <c r="E70" s="133"/>
      <c r="F70" s="132"/>
      <c r="G70" s="132"/>
      <c r="H70" s="132"/>
      <c r="I70" s="132"/>
      <c r="J70" s="132"/>
      <c r="K70" s="132"/>
      <c r="L70" s="132"/>
      <c r="M70" s="132"/>
      <c r="N70" s="132"/>
      <c r="O70" s="132"/>
    </row>
    <row r="71" spans="2:15" s="134" customFormat="1">
      <c r="B71" s="132"/>
      <c r="C71" s="132"/>
      <c r="D71" s="132"/>
      <c r="E71" s="133"/>
      <c r="F71" s="132"/>
      <c r="G71" s="132"/>
      <c r="H71" s="132"/>
      <c r="I71" s="132"/>
      <c r="J71" s="132"/>
      <c r="K71" s="132"/>
      <c r="L71" s="132"/>
      <c r="M71" s="132"/>
      <c r="N71" s="132"/>
      <c r="O71" s="132"/>
    </row>
    <row r="72" spans="2:15" s="134" customFormat="1">
      <c r="B72" s="132"/>
      <c r="C72" s="132"/>
      <c r="D72" s="132"/>
      <c r="E72" s="133"/>
      <c r="F72" s="132"/>
      <c r="G72" s="132"/>
      <c r="H72" s="132"/>
      <c r="I72" s="132"/>
      <c r="J72" s="132"/>
      <c r="K72" s="132"/>
      <c r="L72" s="132"/>
      <c r="M72" s="132"/>
      <c r="N72" s="132"/>
      <c r="O72" s="132"/>
    </row>
    <row r="73" spans="2:15" s="134" customFormat="1">
      <c r="B73" s="132"/>
      <c r="C73" s="132"/>
      <c r="D73" s="132"/>
      <c r="E73" s="133"/>
      <c r="F73" s="132"/>
      <c r="G73" s="132"/>
      <c r="H73" s="132"/>
      <c r="I73" s="132"/>
      <c r="J73" s="132"/>
      <c r="K73" s="132"/>
      <c r="L73" s="132"/>
      <c r="M73" s="132"/>
      <c r="N73" s="132"/>
      <c r="O73" s="132"/>
    </row>
    <row r="74" spans="2:15" s="134" customFormat="1">
      <c r="B74" s="132"/>
      <c r="C74" s="132"/>
      <c r="D74" s="132"/>
      <c r="E74" s="133"/>
      <c r="F74" s="132"/>
      <c r="G74" s="132"/>
      <c r="H74" s="132"/>
      <c r="I74" s="132"/>
      <c r="J74" s="132"/>
      <c r="K74" s="132"/>
      <c r="L74" s="132"/>
      <c r="M74" s="132"/>
      <c r="N74" s="132"/>
      <c r="O74" s="132"/>
    </row>
    <row r="75" spans="2:15" s="134" customFormat="1">
      <c r="B75" s="132"/>
      <c r="C75" s="132"/>
      <c r="D75" s="132"/>
      <c r="E75" s="133"/>
      <c r="F75" s="132"/>
      <c r="G75" s="132"/>
      <c r="H75" s="132"/>
      <c r="I75" s="132"/>
      <c r="J75" s="132"/>
      <c r="K75" s="132"/>
      <c r="L75" s="132"/>
      <c r="M75" s="132"/>
      <c r="N75" s="132"/>
      <c r="O75" s="132"/>
    </row>
    <row r="76" spans="2:15" s="134" customFormat="1">
      <c r="B76" s="132"/>
      <c r="C76" s="132"/>
      <c r="D76" s="132"/>
      <c r="E76" s="133"/>
      <c r="F76" s="132"/>
      <c r="G76" s="132"/>
      <c r="H76" s="132"/>
      <c r="I76" s="132"/>
      <c r="J76" s="132"/>
      <c r="K76" s="132"/>
      <c r="L76" s="132"/>
      <c r="M76" s="132"/>
      <c r="N76" s="132"/>
      <c r="O76" s="132"/>
    </row>
    <row r="77" spans="2:15" s="134" customFormat="1">
      <c r="B77" s="132"/>
      <c r="C77" s="132"/>
      <c r="D77" s="132"/>
      <c r="E77" s="133"/>
      <c r="F77" s="132"/>
      <c r="G77" s="132"/>
      <c r="H77" s="132"/>
      <c r="I77" s="132"/>
      <c r="J77" s="132"/>
      <c r="K77" s="132"/>
      <c r="L77" s="132"/>
      <c r="M77" s="132"/>
      <c r="N77" s="132"/>
      <c r="O77" s="132"/>
    </row>
    <row r="78" spans="2:15" s="134" customFormat="1">
      <c r="B78" s="132"/>
      <c r="C78" s="132"/>
      <c r="D78" s="132"/>
      <c r="E78" s="133"/>
      <c r="F78" s="132"/>
      <c r="G78" s="132"/>
      <c r="H78" s="132"/>
      <c r="I78" s="132"/>
      <c r="J78" s="132"/>
      <c r="K78" s="132"/>
      <c r="L78" s="132"/>
      <c r="M78" s="132"/>
      <c r="N78" s="132"/>
      <c r="O78" s="132"/>
    </row>
    <row r="79" spans="2:15" s="134" customFormat="1">
      <c r="B79" s="132"/>
      <c r="C79" s="132"/>
      <c r="D79" s="132"/>
      <c r="E79" s="133"/>
      <c r="F79" s="132"/>
      <c r="G79" s="132"/>
      <c r="H79" s="132"/>
      <c r="I79" s="132"/>
      <c r="J79" s="132"/>
      <c r="K79" s="132"/>
      <c r="L79" s="132"/>
      <c r="M79" s="132"/>
      <c r="N79" s="132"/>
      <c r="O79" s="132"/>
    </row>
    <row r="80" spans="2:15" s="134" customFormat="1">
      <c r="B80" s="132"/>
      <c r="C80" s="132"/>
      <c r="D80" s="132"/>
      <c r="E80" s="133"/>
      <c r="F80" s="132"/>
      <c r="G80" s="132"/>
      <c r="H80" s="132"/>
      <c r="I80" s="132"/>
      <c r="J80" s="132"/>
      <c r="K80" s="132"/>
      <c r="L80" s="132"/>
      <c r="M80" s="132"/>
      <c r="N80" s="132"/>
      <c r="O80" s="132"/>
    </row>
    <row r="81" spans="2:15" s="134" customFormat="1">
      <c r="B81" s="132"/>
      <c r="C81" s="132"/>
      <c r="D81" s="132"/>
      <c r="E81" s="133"/>
      <c r="F81" s="132"/>
      <c r="G81" s="132"/>
      <c r="H81" s="132"/>
      <c r="I81" s="132"/>
      <c r="J81" s="132"/>
      <c r="K81" s="132"/>
      <c r="L81" s="132"/>
      <c r="M81" s="132"/>
      <c r="N81" s="132"/>
      <c r="O81" s="132"/>
    </row>
    <row r="82" spans="2:15" s="134" customFormat="1">
      <c r="B82" s="132"/>
      <c r="C82" s="132"/>
      <c r="D82" s="132"/>
      <c r="E82" s="133"/>
      <c r="F82" s="132"/>
      <c r="G82" s="132"/>
      <c r="H82" s="132"/>
      <c r="I82" s="132"/>
      <c r="J82" s="132"/>
      <c r="K82" s="132"/>
      <c r="L82" s="132"/>
      <c r="M82" s="132"/>
      <c r="N82" s="132"/>
      <c r="O82" s="132"/>
    </row>
    <row r="83" spans="2:15" s="134" customFormat="1">
      <c r="B83" s="132"/>
      <c r="C83" s="132"/>
      <c r="D83" s="132"/>
      <c r="E83" s="133"/>
      <c r="F83" s="132"/>
      <c r="G83" s="132"/>
      <c r="H83" s="132"/>
      <c r="I83" s="132"/>
      <c r="J83" s="132"/>
      <c r="K83" s="132"/>
      <c r="L83" s="132"/>
      <c r="M83" s="132"/>
      <c r="N83" s="132"/>
      <c r="O83" s="132"/>
    </row>
    <row r="84" spans="2:15" s="134" customFormat="1">
      <c r="B84" s="132"/>
      <c r="C84" s="132"/>
      <c r="D84" s="132"/>
      <c r="E84" s="133"/>
      <c r="F84" s="132"/>
      <c r="G84" s="132"/>
      <c r="H84" s="132"/>
      <c r="I84" s="132"/>
      <c r="J84" s="132"/>
      <c r="K84" s="132"/>
      <c r="L84" s="132"/>
      <c r="M84" s="132"/>
      <c r="N84" s="132"/>
      <c r="O84" s="132"/>
    </row>
    <row r="85" spans="2:15" s="134" customFormat="1">
      <c r="B85" s="132"/>
      <c r="C85" s="132"/>
      <c r="D85" s="132"/>
      <c r="E85" s="133"/>
      <c r="F85" s="132"/>
      <c r="G85" s="132"/>
      <c r="H85" s="132"/>
      <c r="I85" s="132"/>
      <c r="J85" s="132"/>
      <c r="K85" s="132"/>
      <c r="L85" s="132"/>
      <c r="M85" s="132"/>
      <c r="N85" s="132"/>
      <c r="O85" s="132"/>
    </row>
    <row r="86" spans="2:15" s="134" customFormat="1">
      <c r="B86" s="132"/>
      <c r="C86" s="132"/>
      <c r="D86" s="132"/>
      <c r="E86" s="133"/>
      <c r="F86" s="132"/>
      <c r="G86" s="132"/>
      <c r="H86" s="132"/>
      <c r="I86" s="132"/>
      <c r="J86" s="132"/>
      <c r="K86" s="132"/>
      <c r="L86" s="132"/>
      <c r="M86" s="132"/>
      <c r="N86" s="132"/>
      <c r="O86" s="132"/>
    </row>
    <row r="87" spans="2:15" s="134" customFormat="1">
      <c r="B87" s="132"/>
      <c r="C87" s="132"/>
      <c r="D87" s="132"/>
      <c r="E87" s="133"/>
      <c r="F87" s="132"/>
      <c r="G87" s="132"/>
      <c r="H87" s="132"/>
      <c r="I87" s="132"/>
      <c r="J87" s="132"/>
      <c r="K87" s="132"/>
      <c r="L87" s="132"/>
      <c r="M87" s="132"/>
      <c r="N87" s="132"/>
      <c r="O87" s="132"/>
    </row>
    <row r="88" spans="2:15" s="134" customFormat="1">
      <c r="B88" s="132"/>
      <c r="C88" s="132"/>
      <c r="D88" s="132"/>
      <c r="E88" s="133"/>
      <c r="F88" s="132"/>
      <c r="G88" s="132"/>
      <c r="H88" s="132"/>
      <c r="I88" s="132"/>
      <c r="J88" s="132"/>
      <c r="K88" s="132"/>
      <c r="L88" s="132"/>
      <c r="M88" s="132"/>
      <c r="N88" s="132"/>
      <c r="O88" s="132"/>
    </row>
    <row r="89" spans="2:15" s="134" customFormat="1">
      <c r="B89" s="132"/>
      <c r="C89" s="132"/>
      <c r="D89" s="132"/>
      <c r="E89" s="133"/>
      <c r="F89" s="132"/>
      <c r="G89" s="132"/>
      <c r="H89" s="132"/>
      <c r="I89" s="132"/>
      <c r="J89" s="132"/>
      <c r="K89" s="132"/>
      <c r="L89" s="132"/>
      <c r="M89" s="132"/>
      <c r="N89" s="132"/>
      <c r="O89" s="132"/>
    </row>
    <row r="90" spans="2:15" s="134" customFormat="1">
      <c r="B90" s="132"/>
      <c r="C90" s="132"/>
      <c r="D90" s="132"/>
      <c r="E90" s="133"/>
      <c r="F90" s="132"/>
      <c r="G90" s="132"/>
      <c r="H90" s="132"/>
      <c r="I90" s="132"/>
      <c r="J90" s="132"/>
      <c r="K90" s="132"/>
      <c r="L90" s="132"/>
      <c r="M90" s="132"/>
      <c r="N90" s="132"/>
      <c r="O90" s="132"/>
    </row>
    <row r="91" spans="2:15" s="134" customFormat="1">
      <c r="B91" s="132"/>
      <c r="C91" s="132"/>
      <c r="D91" s="132"/>
      <c r="E91" s="133"/>
      <c r="F91" s="132"/>
      <c r="G91" s="132"/>
      <c r="H91" s="132"/>
      <c r="I91" s="132"/>
      <c r="J91" s="132"/>
      <c r="K91" s="132"/>
      <c r="L91" s="132"/>
      <c r="M91" s="132"/>
      <c r="N91" s="132"/>
      <c r="O91" s="132"/>
    </row>
    <row r="92" spans="2:15" s="134" customFormat="1">
      <c r="B92" s="132"/>
      <c r="C92" s="132"/>
      <c r="D92" s="132"/>
      <c r="E92" s="133"/>
      <c r="F92" s="132"/>
      <c r="G92" s="132"/>
      <c r="H92" s="132"/>
      <c r="I92" s="132"/>
      <c r="J92" s="132"/>
      <c r="K92" s="132"/>
      <c r="L92" s="132"/>
      <c r="M92" s="132"/>
      <c r="N92" s="132"/>
      <c r="O92" s="132"/>
    </row>
    <row r="93" spans="2:15" s="134" customFormat="1">
      <c r="B93" s="132"/>
      <c r="C93" s="132"/>
      <c r="D93" s="132"/>
      <c r="E93" s="133"/>
      <c r="F93" s="132"/>
      <c r="G93" s="132"/>
      <c r="H93" s="132"/>
      <c r="I93" s="132"/>
      <c r="J93" s="132"/>
      <c r="K93" s="132"/>
      <c r="L93" s="132"/>
      <c r="M93" s="132"/>
      <c r="N93" s="132"/>
      <c r="O93" s="132"/>
    </row>
    <row r="94" spans="2:15" s="134" customFormat="1">
      <c r="B94" s="132"/>
      <c r="C94" s="132"/>
      <c r="D94" s="132"/>
      <c r="E94" s="133"/>
      <c r="F94" s="132"/>
      <c r="G94" s="132"/>
      <c r="H94" s="132"/>
      <c r="I94" s="132"/>
      <c r="J94" s="132"/>
      <c r="K94" s="132"/>
      <c r="L94" s="132"/>
      <c r="M94" s="132"/>
      <c r="N94" s="132"/>
      <c r="O94" s="132"/>
    </row>
    <row r="95" spans="2:15" s="134" customFormat="1">
      <c r="B95" s="132"/>
      <c r="C95" s="132"/>
      <c r="D95" s="132"/>
      <c r="E95" s="133"/>
      <c r="F95" s="132"/>
      <c r="G95" s="132"/>
      <c r="H95" s="132"/>
      <c r="I95" s="132"/>
      <c r="J95" s="132"/>
      <c r="K95" s="132"/>
      <c r="L95" s="132"/>
      <c r="M95" s="132"/>
      <c r="N95" s="132"/>
      <c r="O95" s="132"/>
    </row>
    <row r="96" spans="2:15" s="134" customFormat="1">
      <c r="B96" s="132"/>
      <c r="C96" s="132"/>
      <c r="D96" s="132"/>
      <c r="E96" s="133"/>
      <c r="F96" s="132"/>
      <c r="G96" s="132"/>
      <c r="H96" s="132"/>
      <c r="I96" s="132"/>
      <c r="J96" s="132"/>
      <c r="K96" s="132"/>
      <c r="L96" s="132"/>
      <c r="M96" s="132"/>
      <c r="N96" s="132"/>
      <c r="O96" s="132"/>
    </row>
    <row r="97" spans="2:15" s="134" customFormat="1">
      <c r="B97" s="132"/>
      <c r="C97" s="132"/>
      <c r="D97" s="132"/>
      <c r="E97" s="133"/>
      <c r="F97" s="132"/>
      <c r="G97" s="132"/>
      <c r="H97" s="132"/>
      <c r="I97" s="132"/>
      <c r="J97" s="132"/>
      <c r="K97" s="132"/>
      <c r="L97" s="132"/>
      <c r="M97" s="132"/>
      <c r="N97" s="132"/>
      <c r="O97" s="132"/>
    </row>
    <row r="98" spans="2:15" s="134" customFormat="1">
      <c r="B98" s="132"/>
      <c r="C98" s="132"/>
      <c r="D98" s="132"/>
      <c r="E98" s="133"/>
      <c r="F98" s="132"/>
      <c r="G98" s="132"/>
      <c r="H98" s="132"/>
      <c r="I98" s="132"/>
      <c r="J98" s="132"/>
      <c r="K98" s="132"/>
      <c r="L98" s="132"/>
      <c r="M98" s="132"/>
      <c r="N98" s="132"/>
      <c r="O98" s="132"/>
    </row>
    <row r="99" spans="2:15" s="134" customFormat="1">
      <c r="B99" s="132"/>
      <c r="C99" s="132"/>
      <c r="D99" s="132"/>
      <c r="E99" s="133"/>
      <c r="F99" s="132"/>
      <c r="G99" s="132"/>
      <c r="H99" s="132"/>
      <c r="I99" s="132"/>
      <c r="J99" s="132"/>
      <c r="K99" s="132"/>
      <c r="L99" s="132"/>
      <c r="M99" s="132"/>
      <c r="N99" s="132"/>
      <c r="O99" s="132"/>
    </row>
    <row r="100" spans="2:15" s="134" customFormat="1">
      <c r="B100" s="132"/>
      <c r="C100" s="132"/>
      <c r="D100" s="132"/>
      <c r="E100" s="133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</row>
    <row r="101" spans="2:15" s="134" customFormat="1">
      <c r="B101" s="132"/>
      <c r="C101" s="132"/>
      <c r="D101" s="132"/>
      <c r="E101" s="133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</row>
    <row r="102" spans="2:15" s="134" customFormat="1">
      <c r="B102" s="132"/>
      <c r="C102" s="132"/>
      <c r="D102" s="132"/>
      <c r="E102" s="133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</row>
    <row r="103" spans="2:15" s="134" customFormat="1">
      <c r="B103" s="132"/>
      <c r="C103" s="132"/>
      <c r="D103" s="132"/>
      <c r="E103" s="133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</row>
    <row r="104" spans="2:15" s="134" customFormat="1">
      <c r="B104" s="132"/>
      <c r="C104" s="132"/>
      <c r="D104" s="132"/>
      <c r="E104" s="133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</row>
    <row r="105" spans="2:15" s="134" customFormat="1">
      <c r="B105" s="132"/>
      <c r="C105" s="132"/>
      <c r="D105" s="132"/>
      <c r="E105" s="133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</row>
    <row r="106" spans="2:15" s="134" customFormat="1">
      <c r="B106" s="132"/>
      <c r="C106" s="132"/>
      <c r="D106" s="132"/>
      <c r="E106" s="133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</row>
    <row r="107" spans="2:15" s="134" customFormat="1">
      <c r="B107" s="132"/>
      <c r="C107" s="132"/>
      <c r="D107" s="132"/>
      <c r="E107" s="133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</row>
    <row r="108" spans="2:15" s="134" customFormat="1">
      <c r="B108" s="132"/>
      <c r="C108" s="132"/>
      <c r="D108" s="132"/>
      <c r="E108" s="133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</row>
    <row r="109" spans="2:15" s="134" customFormat="1">
      <c r="B109" s="132"/>
      <c r="C109" s="132"/>
      <c r="D109" s="132"/>
      <c r="E109" s="133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</row>
    <row r="110" spans="2:15" s="134" customFormat="1">
      <c r="B110" s="132"/>
      <c r="C110" s="132"/>
      <c r="D110" s="132"/>
      <c r="E110" s="133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</row>
    <row r="111" spans="2:15" s="134" customFormat="1">
      <c r="B111" s="132"/>
      <c r="C111" s="132"/>
      <c r="D111" s="132"/>
      <c r="E111" s="133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</row>
    <row r="112" spans="2:15" s="134" customFormat="1">
      <c r="B112" s="132"/>
      <c r="C112" s="132"/>
      <c r="D112" s="132"/>
      <c r="E112" s="133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</row>
    <row r="113" spans="2:15" s="134" customFormat="1">
      <c r="B113" s="132"/>
      <c r="C113" s="132"/>
      <c r="D113" s="132"/>
      <c r="E113" s="133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</row>
    <row r="114" spans="2:15" s="134" customFormat="1">
      <c r="B114" s="132"/>
      <c r="C114" s="132"/>
      <c r="D114" s="132"/>
      <c r="E114" s="133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</row>
    <row r="115" spans="2:15" s="134" customFormat="1">
      <c r="B115" s="132"/>
      <c r="C115" s="132"/>
      <c r="D115" s="132"/>
      <c r="E115" s="133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</row>
    <row r="116" spans="2:15" s="134" customFormat="1">
      <c r="B116" s="132"/>
      <c r="C116" s="132"/>
      <c r="D116" s="132"/>
      <c r="E116" s="133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</row>
    <row r="117" spans="2:15" s="134" customFormat="1">
      <c r="B117" s="132"/>
      <c r="C117" s="132"/>
      <c r="D117" s="132"/>
      <c r="E117" s="133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</row>
    <row r="118" spans="2:15" s="134" customFormat="1">
      <c r="B118" s="132"/>
      <c r="C118" s="132"/>
      <c r="D118" s="132"/>
      <c r="E118" s="133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</row>
    <row r="119" spans="2:15" s="134" customFormat="1">
      <c r="B119" s="132"/>
      <c r="C119" s="132"/>
      <c r="D119" s="132"/>
      <c r="E119" s="133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</row>
    <row r="120" spans="2:15" s="134" customFormat="1">
      <c r="B120" s="132"/>
      <c r="C120" s="132"/>
      <c r="D120" s="132"/>
      <c r="E120" s="133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</row>
    <row r="121" spans="2:15" s="134" customFormat="1">
      <c r="B121" s="132"/>
      <c r="C121" s="132"/>
      <c r="D121" s="132"/>
      <c r="E121" s="133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</row>
    <row r="122" spans="2:15" s="134" customFormat="1">
      <c r="B122" s="132"/>
      <c r="C122" s="132"/>
      <c r="D122" s="132"/>
      <c r="E122" s="133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</row>
    <row r="123" spans="2:15" s="134" customFormat="1">
      <c r="B123" s="132"/>
      <c r="C123" s="132"/>
      <c r="D123" s="132"/>
      <c r="E123" s="133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</row>
    <row r="124" spans="2:15" s="134" customFormat="1">
      <c r="B124" s="132"/>
      <c r="C124" s="132"/>
      <c r="D124" s="132"/>
      <c r="E124" s="133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</row>
    <row r="125" spans="2:15" s="134" customFormat="1">
      <c r="B125" s="132"/>
      <c r="C125" s="132"/>
      <c r="D125" s="132"/>
      <c r="E125" s="133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</row>
    <row r="126" spans="2:15" s="134" customFormat="1">
      <c r="B126" s="132"/>
      <c r="C126" s="132"/>
      <c r="D126" s="132"/>
      <c r="E126" s="133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</row>
    <row r="127" spans="2:15" s="134" customFormat="1">
      <c r="B127" s="132"/>
      <c r="C127" s="132"/>
      <c r="D127" s="132"/>
      <c r="E127" s="133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</row>
    <row r="128" spans="2:15" s="134" customFormat="1">
      <c r="B128" s="132"/>
      <c r="C128" s="132"/>
      <c r="D128" s="132"/>
      <c r="E128" s="133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</row>
    <row r="129" spans="2:15" s="134" customFormat="1">
      <c r="B129" s="132"/>
      <c r="C129" s="132"/>
      <c r="D129" s="132"/>
      <c r="E129" s="133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</row>
    <row r="130" spans="2:15" s="134" customFormat="1">
      <c r="B130" s="132"/>
      <c r="C130" s="132"/>
      <c r="D130" s="132"/>
      <c r="E130" s="133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</row>
    <row r="131" spans="2:15" s="134" customFormat="1">
      <c r="B131" s="132"/>
      <c r="C131" s="132"/>
      <c r="D131" s="132"/>
      <c r="E131" s="133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</row>
    <row r="132" spans="2:15" s="134" customFormat="1">
      <c r="B132" s="132"/>
      <c r="C132" s="132"/>
      <c r="D132" s="132"/>
      <c r="E132" s="133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</row>
    <row r="133" spans="2:15" s="134" customFormat="1">
      <c r="B133" s="132"/>
      <c r="C133" s="132"/>
      <c r="D133" s="132"/>
      <c r="E133" s="133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</row>
    <row r="134" spans="2:15" s="134" customFormat="1">
      <c r="B134" s="132"/>
      <c r="C134" s="132"/>
      <c r="D134" s="132"/>
      <c r="E134" s="133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</row>
    <row r="135" spans="2:15" s="134" customFormat="1">
      <c r="B135" s="132"/>
      <c r="C135" s="132"/>
      <c r="D135" s="132"/>
      <c r="E135" s="133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</row>
    <row r="136" spans="2:15" s="134" customFormat="1">
      <c r="B136" s="132"/>
      <c r="C136" s="132"/>
      <c r="D136" s="132"/>
      <c r="E136" s="133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</row>
    <row r="137" spans="2:15" s="134" customFormat="1">
      <c r="B137" s="132"/>
      <c r="C137" s="132"/>
      <c r="D137" s="132"/>
      <c r="E137" s="133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</row>
    <row r="138" spans="2:15" s="134" customFormat="1">
      <c r="B138" s="132"/>
      <c r="C138" s="132"/>
      <c r="D138" s="132"/>
      <c r="E138" s="133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</row>
    <row r="139" spans="2:15" s="134" customFormat="1">
      <c r="B139" s="132"/>
      <c r="C139" s="132"/>
      <c r="D139" s="132"/>
      <c r="E139" s="133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</row>
    <row r="140" spans="2:15" s="134" customFormat="1">
      <c r="B140" s="132"/>
      <c r="C140" s="132"/>
      <c r="D140" s="132"/>
      <c r="E140" s="133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</row>
    <row r="141" spans="2:15" s="134" customFormat="1">
      <c r="B141" s="132"/>
      <c r="C141" s="132"/>
      <c r="D141" s="132"/>
      <c r="E141" s="133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</row>
    <row r="142" spans="2:15" s="134" customFormat="1">
      <c r="B142" s="132"/>
      <c r="C142" s="132"/>
      <c r="D142" s="132"/>
      <c r="E142" s="133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</row>
    <row r="143" spans="2:15" s="134" customFormat="1">
      <c r="B143" s="132"/>
      <c r="C143" s="132"/>
      <c r="D143" s="132"/>
      <c r="E143" s="133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</row>
    <row r="144" spans="2:15" s="134" customFormat="1">
      <c r="B144" s="132"/>
      <c r="C144" s="132"/>
      <c r="D144" s="132"/>
      <c r="E144" s="133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</row>
    <row r="145" spans="2:15" s="134" customFormat="1">
      <c r="B145" s="132"/>
      <c r="C145" s="132"/>
      <c r="D145" s="132"/>
      <c r="E145" s="133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</row>
    <row r="146" spans="2:15" s="134" customFormat="1">
      <c r="B146" s="132"/>
      <c r="C146" s="132"/>
      <c r="D146" s="132"/>
      <c r="E146" s="133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</row>
    <row r="147" spans="2:15" s="134" customFormat="1">
      <c r="B147" s="132"/>
      <c r="C147" s="132"/>
      <c r="D147" s="132"/>
      <c r="E147" s="133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</row>
    <row r="148" spans="2:15" s="134" customFormat="1">
      <c r="B148" s="132"/>
      <c r="C148" s="132"/>
      <c r="D148" s="132"/>
      <c r="E148" s="133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</row>
    <row r="149" spans="2:15" s="134" customFormat="1">
      <c r="B149" s="132"/>
      <c r="C149" s="132"/>
      <c r="D149" s="132"/>
      <c r="E149" s="133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</row>
    <row r="150" spans="2:15" s="134" customFormat="1">
      <c r="B150" s="132"/>
      <c r="C150" s="132"/>
      <c r="D150" s="132"/>
      <c r="E150" s="133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</row>
    <row r="151" spans="2:15" s="134" customFormat="1">
      <c r="B151" s="132"/>
      <c r="C151" s="132"/>
      <c r="D151" s="132"/>
      <c r="E151" s="133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</row>
    <row r="152" spans="2:15" s="134" customFormat="1">
      <c r="B152" s="132"/>
      <c r="C152" s="132"/>
      <c r="D152" s="132"/>
      <c r="E152" s="133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</row>
    <row r="153" spans="2:15" s="134" customFormat="1">
      <c r="B153" s="132"/>
      <c r="C153" s="132"/>
      <c r="D153" s="132"/>
      <c r="E153" s="133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</row>
    <row r="154" spans="2:15" s="134" customFormat="1">
      <c r="B154" s="132"/>
      <c r="C154" s="132"/>
      <c r="D154" s="132"/>
      <c r="E154" s="133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</row>
    <row r="155" spans="2:15" s="134" customFormat="1">
      <c r="B155" s="132"/>
      <c r="C155" s="132"/>
      <c r="D155" s="132"/>
      <c r="E155" s="133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</row>
    <row r="156" spans="2:15" s="134" customFormat="1">
      <c r="B156" s="132"/>
      <c r="C156" s="132"/>
      <c r="D156" s="132"/>
      <c r="E156" s="133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</row>
    <row r="157" spans="2:15" s="134" customFormat="1">
      <c r="B157" s="132"/>
      <c r="C157" s="132"/>
      <c r="D157" s="132"/>
      <c r="E157" s="133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</row>
    <row r="158" spans="2:15" s="134" customFormat="1">
      <c r="B158" s="132"/>
      <c r="C158" s="132"/>
      <c r="D158" s="132"/>
      <c r="E158" s="133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</row>
    <row r="159" spans="2:15" s="134" customFormat="1">
      <c r="B159" s="132"/>
      <c r="C159" s="132"/>
      <c r="D159" s="132"/>
      <c r="E159" s="133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</row>
    <row r="160" spans="2:15" s="134" customFormat="1">
      <c r="B160" s="132"/>
      <c r="C160" s="132"/>
      <c r="D160" s="132"/>
      <c r="E160" s="133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</row>
    <row r="161" spans="2:15" s="134" customFormat="1">
      <c r="B161" s="132"/>
      <c r="C161" s="132"/>
      <c r="D161" s="132"/>
      <c r="E161" s="133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</row>
    <row r="162" spans="2:15" s="134" customFormat="1">
      <c r="B162" s="132"/>
      <c r="C162" s="132"/>
      <c r="D162" s="132"/>
      <c r="E162" s="133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</row>
    <row r="163" spans="2:15" s="134" customFormat="1">
      <c r="B163" s="132"/>
      <c r="C163" s="132"/>
      <c r="D163" s="132"/>
      <c r="E163" s="133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</row>
    <row r="164" spans="2:15" s="134" customFormat="1">
      <c r="B164" s="132"/>
      <c r="C164" s="132"/>
      <c r="D164" s="132"/>
      <c r="E164" s="133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</row>
    <row r="165" spans="2:15" s="134" customFormat="1">
      <c r="B165" s="132"/>
      <c r="C165" s="132"/>
      <c r="D165" s="132"/>
      <c r="E165" s="133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</row>
    <row r="166" spans="2:15" s="134" customFormat="1">
      <c r="B166" s="132"/>
      <c r="C166" s="132"/>
      <c r="D166" s="132"/>
      <c r="E166" s="133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</row>
    <row r="167" spans="2:15" s="134" customFormat="1">
      <c r="B167" s="132"/>
      <c r="C167" s="132"/>
      <c r="D167" s="132"/>
      <c r="E167" s="133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</row>
    <row r="168" spans="2:15" s="134" customFormat="1">
      <c r="B168" s="132"/>
      <c r="C168" s="132"/>
      <c r="D168" s="132"/>
      <c r="E168" s="133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</row>
    <row r="169" spans="2:15" s="134" customFormat="1">
      <c r="B169" s="132"/>
      <c r="C169" s="132"/>
      <c r="D169" s="132"/>
      <c r="E169" s="133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</row>
    <row r="170" spans="2:15" s="134" customFormat="1">
      <c r="B170" s="132"/>
      <c r="C170" s="132"/>
      <c r="D170" s="132"/>
      <c r="E170" s="133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</row>
    <row r="171" spans="2:15" s="134" customFormat="1">
      <c r="B171" s="132"/>
      <c r="C171" s="132"/>
      <c r="D171" s="132"/>
      <c r="E171" s="133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</row>
    <row r="172" spans="2:15" s="134" customFormat="1">
      <c r="B172" s="132"/>
      <c r="C172" s="132"/>
      <c r="D172" s="132"/>
      <c r="E172" s="133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</row>
    <row r="173" spans="2:15" s="134" customFormat="1">
      <c r="B173" s="132"/>
      <c r="C173" s="132"/>
      <c r="D173" s="132"/>
      <c r="E173" s="133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</row>
    <row r="174" spans="2:15" s="134" customFormat="1">
      <c r="B174" s="132"/>
      <c r="C174" s="132"/>
      <c r="D174" s="132"/>
      <c r="E174" s="133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</row>
    <row r="175" spans="2:15" s="134" customFormat="1">
      <c r="B175" s="132"/>
      <c r="C175" s="132"/>
      <c r="D175" s="132"/>
      <c r="E175" s="133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</row>
    <row r="176" spans="2:15" s="134" customFormat="1">
      <c r="B176" s="132"/>
      <c r="C176" s="132"/>
      <c r="D176" s="132"/>
      <c r="E176" s="133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</row>
    <row r="177" spans="2:15" s="134" customFormat="1">
      <c r="B177" s="132"/>
      <c r="C177" s="132"/>
      <c r="D177" s="132"/>
      <c r="E177" s="133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</row>
    <row r="178" spans="2:15" s="134" customFormat="1">
      <c r="B178" s="132"/>
      <c r="C178" s="132"/>
      <c r="D178" s="132"/>
      <c r="E178" s="133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</row>
    <row r="179" spans="2:15" s="134" customFormat="1">
      <c r="B179" s="132"/>
      <c r="C179" s="132"/>
      <c r="D179" s="132"/>
      <c r="E179" s="133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</row>
    <row r="180" spans="2:15" s="134" customFormat="1">
      <c r="B180" s="132"/>
      <c r="C180" s="132"/>
      <c r="D180" s="132"/>
      <c r="E180" s="133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</row>
    <row r="181" spans="2:15" s="134" customFormat="1">
      <c r="B181" s="132"/>
      <c r="C181" s="132"/>
      <c r="D181" s="132"/>
      <c r="E181" s="133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</row>
    <row r="182" spans="2:15" s="134" customFormat="1">
      <c r="B182" s="132"/>
      <c r="C182" s="132"/>
      <c r="D182" s="132"/>
      <c r="E182" s="133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</row>
    <row r="183" spans="2:15" s="134" customFormat="1">
      <c r="B183" s="132"/>
      <c r="C183" s="132"/>
      <c r="D183" s="132"/>
      <c r="E183" s="133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</row>
    <row r="184" spans="2:15" s="134" customFormat="1">
      <c r="B184" s="132"/>
      <c r="C184" s="132"/>
      <c r="D184" s="132"/>
      <c r="E184" s="133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</row>
    <row r="185" spans="2:15" s="134" customFormat="1">
      <c r="B185" s="132"/>
      <c r="C185" s="132"/>
      <c r="D185" s="132"/>
      <c r="E185" s="133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</row>
    <row r="186" spans="2:15" s="134" customFormat="1">
      <c r="B186" s="132"/>
      <c r="C186" s="132"/>
      <c r="D186" s="132"/>
      <c r="E186" s="133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</row>
    <row r="187" spans="2:15" s="134" customFormat="1">
      <c r="B187" s="132"/>
      <c r="C187" s="132"/>
      <c r="D187" s="132"/>
      <c r="E187" s="133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</row>
    <row r="188" spans="2:15" s="134" customFormat="1">
      <c r="B188" s="132"/>
      <c r="C188" s="132"/>
      <c r="D188" s="132"/>
      <c r="E188" s="133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</row>
    <row r="189" spans="2:15" s="134" customFormat="1">
      <c r="B189" s="132"/>
      <c r="C189" s="132"/>
      <c r="D189" s="132"/>
      <c r="E189" s="133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</row>
    <row r="190" spans="2:15" s="134" customFormat="1">
      <c r="B190" s="132"/>
      <c r="C190" s="132"/>
      <c r="D190" s="132"/>
      <c r="E190" s="133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</row>
    <row r="191" spans="2:15" s="134" customFormat="1">
      <c r="B191" s="132"/>
      <c r="C191" s="132"/>
      <c r="D191" s="132"/>
      <c r="E191" s="133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</row>
    <row r="192" spans="2:15" s="134" customFormat="1">
      <c r="B192" s="132"/>
      <c r="C192" s="132"/>
      <c r="D192" s="132"/>
      <c r="E192" s="133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</row>
    <row r="193" spans="2:15" s="134" customFormat="1">
      <c r="B193" s="132"/>
      <c r="C193" s="132"/>
      <c r="D193" s="132"/>
      <c r="E193" s="133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</row>
    <row r="194" spans="2:15" s="134" customFormat="1">
      <c r="B194" s="132"/>
      <c r="C194" s="132"/>
      <c r="D194" s="132"/>
      <c r="E194" s="133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</row>
    <row r="195" spans="2:15" s="134" customFormat="1">
      <c r="B195" s="132"/>
      <c r="C195" s="132"/>
      <c r="D195" s="132"/>
      <c r="E195" s="133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</row>
    <row r="196" spans="2:15" s="134" customFormat="1">
      <c r="B196" s="132"/>
      <c r="C196" s="132"/>
      <c r="D196" s="132"/>
      <c r="E196" s="133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</row>
    <row r="197" spans="2:15" s="134" customFormat="1">
      <c r="B197" s="132"/>
      <c r="C197" s="132"/>
      <c r="D197" s="132"/>
      <c r="E197" s="133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</row>
    <row r="198" spans="2:15" s="134" customFormat="1">
      <c r="B198" s="132"/>
      <c r="C198" s="132"/>
      <c r="D198" s="132"/>
      <c r="E198" s="133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</row>
    <row r="199" spans="2:15" s="134" customFormat="1">
      <c r="B199" s="132"/>
      <c r="C199" s="132"/>
      <c r="D199" s="132"/>
      <c r="E199" s="133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</row>
    <row r="200" spans="2:15" s="134" customFormat="1">
      <c r="B200" s="132"/>
      <c r="C200" s="132"/>
      <c r="D200" s="132"/>
      <c r="E200" s="133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</row>
    <row r="201" spans="2:15" s="134" customFormat="1">
      <c r="B201" s="132"/>
      <c r="C201" s="132"/>
      <c r="D201" s="132"/>
      <c r="E201" s="133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</row>
    <row r="202" spans="2:15" s="134" customFormat="1">
      <c r="B202" s="132"/>
      <c r="C202" s="132"/>
      <c r="D202" s="132"/>
      <c r="E202" s="133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</row>
    <row r="203" spans="2:15" s="134" customFormat="1">
      <c r="B203" s="132"/>
      <c r="C203" s="132"/>
      <c r="D203" s="132"/>
      <c r="E203" s="133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</row>
    <row r="204" spans="2:15" s="134" customFormat="1">
      <c r="B204" s="132"/>
      <c r="C204" s="132"/>
      <c r="D204" s="132"/>
      <c r="E204" s="133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</row>
    <row r="205" spans="2:15" s="134" customFormat="1">
      <c r="B205" s="132"/>
      <c r="C205" s="132"/>
      <c r="D205" s="132"/>
      <c r="E205" s="133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</row>
    <row r="206" spans="2:15" s="134" customFormat="1">
      <c r="B206" s="132"/>
      <c r="C206" s="132"/>
      <c r="D206" s="132"/>
      <c r="E206" s="133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</row>
    <row r="207" spans="2:15" s="134" customFormat="1">
      <c r="B207" s="132"/>
      <c r="C207" s="132"/>
      <c r="D207" s="132"/>
      <c r="E207" s="133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</row>
    <row r="208" spans="2:15" s="134" customFormat="1">
      <c r="B208" s="132"/>
      <c r="C208" s="132"/>
      <c r="D208" s="132"/>
      <c r="E208" s="133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</row>
    <row r="209" spans="2:15" s="134" customFormat="1">
      <c r="B209" s="132"/>
      <c r="C209" s="132"/>
      <c r="D209" s="132"/>
      <c r="E209" s="133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</row>
    <row r="210" spans="2:15" s="134" customFormat="1">
      <c r="B210" s="132"/>
      <c r="C210" s="132"/>
      <c r="D210" s="132"/>
      <c r="E210" s="133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</row>
    <row r="211" spans="2:15" s="134" customFormat="1">
      <c r="B211" s="132"/>
      <c r="C211" s="132"/>
      <c r="D211" s="132"/>
      <c r="E211" s="133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</row>
    <row r="212" spans="2:15" s="134" customFormat="1">
      <c r="B212" s="132"/>
      <c r="C212" s="132"/>
      <c r="D212" s="132"/>
      <c r="E212" s="133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</row>
    <row r="213" spans="2:15" s="134" customFormat="1">
      <c r="B213" s="132"/>
      <c r="C213" s="132"/>
      <c r="D213" s="132"/>
      <c r="E213" s="133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</row>
    <row r="214" spans="2:15" s="134" customFormat="1">
      <c r="B214" s="132"/>
      <c r="C214" s="132"/>
      <c r="D214" s="132"/>
      <c r="E214" s="133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</row>
    <row r="215" spans="2:15" s="134" customFormat="1">
      <c r="B215" s="132"/>
      <c r="C215" s="132"/>
      <c r="D215" s="132"/>
      <c r="E215" s="133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</row>
    <row r="216" spans="2:15" s="134" customFormat="1">
      <c r="B216" s="132"/>
      <c r="C216" s="132"/>
      <c r="D216" s="132"/>
      <c r="E216" s="133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</row>
    <row r="217" spans="2:15" s="134" customFormat="1">
      <c r="B217" s="132"/>
      <c r="C217" s="132"/>
      <c r="D217" s="132"/>
      <c r="E217" s="133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</row>
    <row r="218" spans="2:15" s="134" customFormat="1">
      <c r="B218" s="132"/>
      <c r="C218" s="132"/>
      <c r="D218" s="132"/>
      <c r="E218" s="133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</row>
    <row r="219" spans="2:15" s="134" customFormat="1">
      <c r="B219" s="132"/>
      <c r="C219" s="132"/>
      <c r="D219" s="132"/>
      <c r="E219" s="133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</row>
    <row r="220" spans="2:15" s="134" customFormat="1">
      <c r="B220" s="132"/>
      <c r="C220" s="132"/>
      <c r="D220" s="132"/>
      <c r="E220" s="133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</row>
    <row r="221" spans="2:15" s="134" customFormat="1">
      <c r="B221" s="132"/>
      <c r="C221" s="132"/>
      <c r="D221" s="132"/>
      <c r="E221" s="133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</row>
    <row r="222" spans="2:15" s="134" customFormat="1">
      <c r="B222" s="132"/>
      <c r="C222" s="132"/>
      <c r="D222" s="132"/>
      <c r="E222" s="133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</row>
    <row r="223" spans="2:15" s="134" customFormat="1">
      <c r="B223" s="132"/>
      <c r="C223" s="132"/>
      <c r="D223" s="132"/>
      <c r="E223" s="133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</row>
    <row r="224" spans="2:15" s="134" customFormat="1">
      <c r="B224" s="132"/>
      <c r="C224" s="132"/>
      <c r="D224" s="132"/>
      <c r="E224" s="133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</row>
    <row r="225" spans="2:15" s="134" customFormat="1">
      <c r="B225" s="132"/>
      <c r="C225" s="132"/>
      <c r="D225" s="132"/>
      <c r="E225" s="133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</row>
    <row r="226" spans="2:15" s="134" customFormat="1">
      <c r="B226" s="132"/>
      <c r="C226" s="132"/>
      <c r="D226" s="132"/>
      <c r="E226" s="133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</row>
    <row r="227" spans="2:15" s="134" customFormat="1">
      <c r="B227" s="132"/>
      <c r="C227" s="132"/>
      <c r="D227" s="132"/>
      <c r="E227" s="133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</row>
    <row r="228" spans="2:15" s="134" customFormat="1">
      <c r="B228" s="132"/>
      <c r="C228" s="132"/>
      <c r="D228" s="132"/>
      <c r="E228" s="133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</row>
    <row r="229" spans="2:15" s="134" customFormat="1">
      <c r="B229" s="132"/>
      <c r="C229" s="132"/>
      <c r="D229" s="132"/>
      <c r="E229" s="133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</row>
    <row r="230" spans="2:15" s="134" customFormat="1">
      <c r="B230" s="132"/>
      <c r="C230" s="132"/>
      <c r="D230" s="132"/>
      <c r="E230" s="133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</row>
    <row r="231" spans="2:15" s="134" customFormat="1">
      <c r="B231" s="132"/>
      <c r="C231" s="132"/>
      <c r="D231" s="132"/>
      <c r="E231" s="133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</row>
    <row r="232" spans="2:15" s="134" customFormat="1">
      <c r="B232" s="132"/>
      <c r="C232" s="132"/>
      <c r="D232" s="132"/>
      <c r="E232" s="133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</row>
    <row r="233" spans="2:15" s="134" customFormat="1">
      <c r="B233" s="132"/>
      <c r="C233" s="132"/>
      <c r="D233" s="132"/>
      <c r="E233" s="133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</row>
    <row r="234" spans="2:15" s="134" customFormat="1">
      <c r="B234" s="132"/>
      <c r="C234" s="132"/>
      <c r="D234" s="132"/>
      <c r="E234" s="133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</row>
    <row r="235" spans="2:15" s="134" customFormat="1">
      <c r="B235" s="132"/>
      <c r="C235" s="132"/>
      <c r="D235" s="132"/>
      <c r="E235" s="133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</row>
    <row r="236" spans="2:15" s="134" customFormat="1">
      <c r="B236" s="132"/>
      <c r="C236" s="132"/>
      <c r="D236" s="132"/>
      <c r="E236" s="133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</row>
    <row r="237" spans="2:15" s="134" customFormat="1">
      <c r="B237" s="132"/>
      <c r="C237" s="132"/>
      <c r="D237" s="132"/>
      <c r="E237" s="133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</row>
    <row r="238" spans="2:15" s="134" customFormat="1">
      <c r="B238" s="132"/>
      <c r="C238" s="132"/>
      <c r="D238" s="132"/>
      <c r="E238" s="133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</row>
    <row r="239" spans="2:15" s="134" customFormat="1">
      <c r="B239" s="132"/>
      <c r="C239" s="132"/>
      <c r="D239" s="132"/>
      <c r="E239" s="133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</row>
    <row r="240" spans="2:15" s="134" customFormat="1">
      <c r="B240" s="132"/>
      <c r="C240" s="132"/>
      <c r="D240" s="132"/>
      <c r="E240" s="133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</row>
    <row r="241" spans="2:15" s="134" customFormat="1">
      <c r="B241" s="132"/>
      <c r="C241" s="132"/>
      <c r="D241" s="132"/>
      <c r="E241" s="133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</row>
    <row r="242" spans="2:15" s="134" customFormat="1">
      <c r="B242" s="132"/>
      <c r="C242" s="132"/>
      <c r="D242" s="132"/>
      <c r="E242" s="133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</row>
    <row r="243" spans="2:15" s="134" customFormat="1">
      <c r="B243" s="132"/>
      <c r="C243" s="132"/>
      <c r="D243" s="132"/>
      <c r="E243" s="133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</row>
    <row r="244" spans="2:15" s="134" customFormat="1">
      <c r="B244" s="132"/>
      <c r="C244" s="132"/>
      <c r="D244" s="132"/>
      <c r="E244" s="133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</row>
    <row r="245" spans="2:15" s="134" customFormat="1">
      <c r="B245" s="132"/>
      <c r="C245" s="132"/>
      <c r="D245" s="132"/>
      <c r="E245" s="133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</row>
    <row r="246" spans="2:15" s="134" customFormat="1">
      <c r="B246" s="132"/>
      <c r="C246" s="132"/>
      <c r="D246" s="132"/>
      <c r="E246" s="133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</row>
    <row r="247" spans="2:15" s="134" customFormat="1">
      <c r="B247" s="132"/>
      <c r="C247" s="132"/>
      <c r="D247" s="132"/>
      <c r="E247" s="133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</row>
    <row r="248" spans="2:15" s="134" customFormat="1">
      <c r="B248" s="132"/>
      <c r="C248" s="132"/>
      <c r="D248" s="132"/>
      <c r="E248" s="133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</row>
    <row r="249" spans="2:15" s="134" customFormat="1">
      <c r="B249" s="132"/>
      <c r="C249" s="132"/>
      <c r="D249" s="132"/>
      <c r="E249" s="133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</row>
    <row r="250" spans="2:15" s="134" customFormat="1">
      <c r="B250" s="132"/>
      <c r="C250" s="132"/>
      <c r="D250" s="132"/>
      <c r="E250" s="133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</row>
    <row r="251" spans="2:15" s="134" customFormat="1">
      <c r="B251" s="132"/>
      <c r="C251" s="132"/>
      <c r="D251" s="132"/>
      <c r="E251" s="133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</row>
    <row r="252" spans="2:15" s="134" customFormat="1">
      <c r="B252" s="132"/>
      <c r="C252" s="132"/>
      <c r="D252" s="132"/>
      <c r="E252" s="133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</row>
    <row r="253" spans="2:15" s="134" customFormat="1">
      <c r="B253" s="132"/>
      <c r="C253" s="132"/>
      <c r="D253" s="132"/>
      <c r="E253" s="133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</row>
    <row r="254" spans="2:15" s="134" customFormat="1">
      <c r="B254" s="132"/>
      <c r="C254" s="132"/>
      <c r="D254" s="132"/>
      <c r="E254" s="133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</row>
    <row r="255" spans="2:15" s="134" customFormat="1">
      <c r="B255" s="132"/>
      <c r="C255" s="132"/>
      <c r="D255" s="132"/>
      <c r="E255" s="133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</row>
    <row r="256" spans="2:15" s="134" customFormat="1">
      <c r="B256" s="132"/>
      <c r="C256" s="132"/>
      <c r="D256" s="132"/>
      <c r="E256" s="133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</row>
    <row r="257" spans="2:15" s="134" customFormat="1">
      <c r="B257" s="132"/>
      <c r="C257" s="132"/>
      <c r="D257" s="132"/>
      <c r="E257" s="133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</row>
    <row r="258" spans="2:15" s="134" customFormat="1">
      <c r="B258" s="132"/>
      <c r="C258" s="132"/>
      <c r="D258" s="132"/>
      <c r="E258" s="133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</row>
    <row r="259" spans="2:15" s="134" customFormat="1">
      <c r="B259" s="132"/>
      <c r="C259" s="132"/>
      <c r="D259" s="132"/>
      <c r="E259" s="133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</row>
    <row r="260" spans="2:15" s="134" customFormat="1">
      <c r="B260" s="132"/>
      <c r="C260" s="132"/>
      <c r="D260" s="132"/>
      <c r="E260" s="133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</row>
    <row r="261" spans="2:15" s="134" customFormat="1">
      <c r="B261" s="132"/>
      <c r="C261" s="132"/>
      <c r="D261" s="132"/>
      <c r="E261" s="133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</row>
    <row r="262" spans="2:15" s="134" customFormat="1">
      <c r="B262" s="132"/>
      <c r="C262" s="132"/>
      <c r="D262" s="132"/>
      <c r="E262" s="133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</row>
    <row r="263" spans="2:15" s="134" customFormat="1">
      <c r="B263" s="132"/>
      <c r="C263" s="132"/>
      <c r="D263" s="132"/>
      <c r="E263" s="133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</row>
    <row r="264" spans="2:15" s="134" customFormat="1">
      <c r="B264" s="132"/>
      <c r="C264" s="132"/>
      <c r="D264" s="132"/>
      <c r="E264" s="133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</row>
    <row r="265" spans="2:15" s="134" customFormat="1">
      <c r="B265" s="132"/>
      <c r="C265" s="132"/>
      <c r="D265" s="132"/>
      <c r="E265" s="133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</row>
    <row r="266" spans="2:15" s="134" customFormat="1">
      <c r="B266" s="132"/>
      <c r="C266" s="132"/>
      <c r="D266" s="132"/>
      <c r="E266" s="133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</row>
    <row r="267" spans="2:15" s="134" customFormat="1">
      <c r="B267" s="132"/>
      <c r="C267" s="132"/>
      <c r="D267" s="132"/>
      <c r="E267" s="133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</row>
    <row r="268" spans="2:15" s="134" customFormat="1">
      <c r="B268" s="132"/>
      <c r="C268" s="132"/>
      <c r="D268" s="132"/>
      <c r="E268" s="133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</row>
    <row r="269" spans="2:15" s="134" customFormat="1">
      <c r="B269" s="132"/>
      <c r="C269" s="132"/>
      <c r="D269" s="132"/>
      <c r="E269" s="133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</row>
    <row r="270" spans="2:15" s="134" customFormat="1">
      <c r="B270" s="132"/>
      <c r="C270" s="132"/>
      <c r="D270" s="132"/>
      <c r="E270" s="133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</row>
    <row r="271" spans="2:15" s="134" customFormat="1">
      <c r="B271" s="132"/>
      <c r="C271" s="132"/>
      <c r="D271" s="132"/>
      <c r="E271" s="133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</row>
    <row r="272" spans="2:15" s="134" customFormat="1">
      <c r="B272" s="132"/>
      <c r="C272" s="132"/>
      <c r="D272" s="132"/>
      <c r="E272" s="133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</row>
    <row r="273" spans="2:15" s="134" customFormat="1">
      <c r="B273" s="132"/>
      <c r="C273" s="132"/>
      <c r="D273" s="132"/>
      <c r="E273" s="133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</row>
    <row r="274" spans="2:15" s="134" customFormat="1">
      <c r="B274" s="132"/>
      <c r="C274" s="132"/>
      <c r="D274" s="132"/>
      <c r="E274" s="133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</row>
    <row r="275" spans="2:15" s="134" customFormat="1">
      <c r="B275" s="132"/>
      <c r="C275" s="132"/>
      <c r="D275" s="132"/>
      <c r="E275" s="133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</row>
    <row r="276" spans="2:15" s="134" customFormat="1">
      <c r="B276" s="132"/>
      <c r="C276" s="132"/>
      <c r="D276" s="132"/>
      <c r="E276" s="133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</row>
    <row r="277" spans="2:15" s="134" customFormat="1">
      <c r="B277" s="132"/>
      <c r="C277" s="132"/>
      <c r="D277" s="132"/>
      <c r="E277" s="133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</row>
    <row r="278" spans="2:15" s="134" customFormat="1">
      <c r="B278" s="132"/>
      <c r="C278" s="132"/>
      <c r="D278" s="132"/>
      <c r="E278" s="133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</row>
    <row r="279" spans="2:15" s="134" customFormat="1">
      <c r="B279" s="132"/>
      <c r="C279" s="132"/>
      <c r="D279" s="132"/>
      <c r="E279" s="133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</row>
    <row r="280" spans="2:15" s="134" customFormat="1">
      <c r="B280" s="132"/>
      <c r="C280" s="132"/>
      <c r="D280" s="132"/>
      <c r="E280" s="133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</row>
    <row r="281" spans="2:15" s="134" customFormat="1">
      <c r="B281" s="132"/>
      <c r="C281" s="132"/>
      <c r="D281" s="132"/>
      <c r="E281" s="133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</row>
    <row r="282" spans="2:15" s="134" customFormat="1">
      <c r="B282" s="132"/>
      <c r="C282" s="132"/>
      <c r="D282" s="132"/>
      <c r="E282" s="133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</row>
    <row r="283" spans="2:15" s="134" customFormat="1">
      <c r="B283" s="132"/>
      <c r="C283" s="132"/>
      <c r="D283" s="132"/>
      <c r="E283" s="133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</row>
    <row r="284" spans="2:15" s="134" customFormat="1">
      <c r="B284" s="132"/>
      <c r="C284" s="132"/>
      <c r="D284" s="132"/>
      <c r="E284" s="133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</row>
    <row r="285" spans="2:15" s="134" customFormat="1">
      <c r="B285" s="132"/>
      <c r="C285" s="132"/>
      <c r="D285" s="132"/>
      <c r="E285" s="133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</row>
    <row r="286" spans="2:15" s="134" customFormat="1">
      <c r="B286" s="132"/>
      <c r="C286" s="132"/>
      <c r="D286" s="132"/>
      <c r="E286" s="133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</row>
    <row r="287" spans="2:15" s="134" customFormat="1">
      <c r="B287" s="132"/>
      <c r="C287" s="132"/>
      <c r="D287" s="132"/>
      <c r="E287" s="133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</row>
    <row r="288" spans="2:15" s="134" customFormat="1">
      <c r="B288" s="132"/>
      <c r="C288" s="132"/>
      <c r="D288" s="132"/>
      <c r="E288" s="133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</row>
    <row r="289" spans="2:15" s="134" customFormat="1">
      <c r="B289" s="132"/>
      <c r="C289" s="132"/>
      <c r="D289" s="132"/>
      <c r="E289" s="133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</row>
    <row r="290" spans="2:15" s="134" customFormat="1">
      <c r="B290" s="132"/>
      <c r="C290" s="132"/>
      <c r="D290" s="132"/>
      <c r="E290" s="133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</row>
    <row r="291" spans="2:15" s="134" customFormat="1">
      <c r="B291" s="132"/>
      <c r="C291" s="132"/>
      <c r="D291" s="132"/>
      <c r="E291" s="133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</row>
    <row r="292" spans="2:15" s="134" customFormat="1">
      <c r="B292" s="132"/>
      <c r="C292" s="132"/>
      <c r="D292" s="132"/>
      <c r="E292" s="133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</row>
    <row r="293" spans="2:15" s="134" customFormat="1">
      <c r="B293" s="132"/>
      <c r="C293" s="132"/>
      <c r="D293" s="132"/>
      <c r="E293" s="133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</row>
    <row r="294" spans="2:15" s="134" customFormat="1">
      <c r="B294" s="132"/>
      <c r="C294" s="132"/>
      <c r="D294" s="132"/>
      <c r="E294" s="133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</row>
    <row r="295" spans="2:15" s="134" customFormat="1">
      <c r="B295" s="132"/>
      <c r="C295" s="132"/>
      <c r="D295" s="132"/>
      <c r="E295" s="133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</row>
    <row r="296" spans="2:15" s="134" customFormat="1">
      <c r="B296" s="132"/>
      <c r="C296" s="132"/>
      <c r="D296" s="132"/>
      <c r="E296" s="133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</row>
    <row r="297" spans="2:15" s="134" customFormat="1">
      <c r="B297" s="132"/>
      <c r="C297" s="132"/>
      <c r="D297" s="132"/>
      <c r="E297" s="133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</row>
    <row r="298" spans="2:15" s="134" customFormat="1">
      <c r="B298" s="132"/>
      <c r="C298" s="132"/>
      <c r="D298" s="132"/>
      <c r="E298" s="133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</row>
    <row r="299" spans="2:15" s="134" customFormat="1">
      <c r="B299" s="132"/>
      <c r="C299" s="132"/>
      <c r="D299" s="132"/>
      <c r="E299" s="133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</row>
    <row r="300" spans="2:15" s="134" customFormat="1">
      <c r="B300" s="132"/>
      <c r="C300" s="132"/>
      <c r="D300" s="132"/>
      <c r="E300" s="133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</row>
    <row r="301" spans="2:15" s="134" customFormat="1">
      <c r="B301" s="132"/>
      <c r="C301" s="132"/>
      <c r="D301" s="132"/>
      <c r="E301" s="133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</row>
    <row r="302" spans="2:15" s="134" customFormat="1">
      <c r="B302" s="132"/>
      <c r="C302" s="132"/>
      <c r="D302" s="132"/>
      <c r="E302" s="133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</row>
    <row r="303" spans="2:15" s="134" customFormat="1">
      <c r="B303" s="132"/>
      <c r="C303" s="132"/>
      <c r="D303" s="132"/>
      <c r="E303" s="133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</row>
    <row r="304" spans="2:15" s="134" customFormat="1">
      <c r="B304" s="132"/>
      <c r="C304" s="132"/>
      <c r="D304" s="132"/>
      <c r="E304" s="133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</row>
    <row r="305" spans="2:15" s="134" customFormat="1">
      <c r="B305" s="132"/>
      <c r="C305" s="132"/>
      <c r="D305" s="132"/>
      <c r="E305" s="133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</row>
    <row r="306" spans="2:15" s="134" customFormat="1">
      <c r="B306" s="132"/>
      <c r="C306" s="132"/>
      <c r="D306" s="132"/>
      <c r="E306" s="133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</row>
    <row r="307" spans="2:15" s="134" customFormat="1">
      <c r="B307" s="132"/>
      <c r="C307" s="132"/>
      <c r="D307" s="132"/>
      <c r="E307" s="133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</row>
    <row r="308" spans="2:15" s="134" customFormat="1">
      <c r="B308" s="132"/>
      <c r="C308" s="132"/>
      <c r="D308" s="132"/>
      <c r="E308" s="133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</row>
    <row r="309" spans="2:15" s="134" customFormat="1">
      <c r="B309" s="132"/>
      <c r="C309" s="132"/>
      <c r="D309" s="132"/>
      <c r="E309" s="133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</row>
    <row r="310" spans="2:15" s="134" customFormat="1">
      <c r="B310" s="132"/>
      <c r="C310" s="132"/>
      <c r="D310" s="132"/>
      <c r="E310" s="133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</row>
    <row r="311" spans="2:15" s="134" customFormat="1">
      <c r="B311" s="132"/>
      <c r="C311" s="132"/>
      <c r="D311" s="132"/>
      <c r="E311" s="133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</row>
    <row r="312" spans="2:15" s="134" customFormat="1">
      <c r="B312" s="132"/>
      <c r="C312" s="132"/>
      <c r="D312" s="132"/>
      <c r="E312" s="133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</row>
    <row r="313" spans="2:15" s="134" customFormat="1">
      <c r="B313" s="132"/>
      <c r="C313" s="132"/>
      <c r="D313" s="132"/>
      <c r="E313" s="133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</row>
    <row r="314" spans="2:15" s="134" customFormat="1">
      <c r="B314" s="132"/>
      <c r="C314" s="132"/>
      <c r="D314" s="132"/>
      <c r="E314" s="133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</row>
    <row r="315" spans="2:15" s="134" customFormat="1">
      <c r="B315" s="132"/>
      <c r="C315" s="132"/>
      <c r="D315" s="132"/>
      <c r="E315" s="133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</row>
    <row r="316" spans="2:15" s="134" customFormat="1">
      <c r="B316" s="132"/>
      <c r="C316" s="132"/>
      <c r="D316" s="132"/>
      <c r="E316" s="133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</row>
    <row r="317" spans="2:15" s="134" customFormat="1">
      <c r="B317" s="132"/>
      <c r="C317" s="132"/>
      <c r="D317" s="132"/>
      <c r="E317" s="133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</row>
    <row r="318" spans="2:15" s="134" customFormat="1">
      <c r="B318" s="132"/>
      <c r="C318" s="132"/>
      <c r="D318" s="132"/>
      <c r="E318" s="133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</row>
    <row r="319" spans="2:15" s="134" customFormat="1">
      <c r="B319" s="132"/>
      <c r="C319" s="132"/>
      <c r="D319" s="132"/>
      <c r="E319" s="133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</row>
    <row r="320" spans="2:15" s="134" customFormat="1">
      <c r="B320" s="132"/>
      <c r="C320" s="132"/>
      <c r="D320" s="132"/>
      <c r="E320" s="133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</row>
    <row r="321" spans="2:15" s="134" customFormat="1">
      <c r="B321" s="132"/>
      <c r="C321" s="132"/>
      <c r="D321" s="132"/>
      <c r="E321" s="133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</row>
    <row r="322" spans="2:15" s="134" customFormat="1">
      <c r="B322" s="132"/>
      <c r="C322" s="132"/>
      <c r="D322" s="132"/>
      <c r="E322" s="133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</row>
    <row r="323" spans="2:15" s="134" customFormat="1">
      <c r="B323" s="132"/>
      <c r="C323" s="132"/>
      <c r="D323" s="132"/>
      <c r="E323" s="133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</row>
    <row r="324" spans="2:15" s="134" customFormat="1">
      <c r="B324" s="132"/>
      <c r="C324" s="132"/>
      <c r="D324" s="132"/>
      <c r="E324" s="133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</row>
    <row r="325" spans="2:15" s="134" customFormat="1">
      <c r="B325" s="132"/>
      <c r="C325" s="132"/>
      <c r="D325" s="132"/>
      <c r="E325" s="133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</row>
    <row r="326" spans="2:15" s="134" customFormat="1">
      <c r="B326" s="132"/>
      <c r="C326" s="132"/>
      <c r="D326" s="132"/>
      <c r="E326" s="133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</row>
    <row r="327" spans="2:15" s="134" customFormat="1">
      <c r="B327" s="132"/>
      <c r="C327" s="132"/>
      <c r="D327" s="132"/>
      <c r="E327" s="133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</row>
    <row r="328" spans="2:15" s="134" customFormat="1">
      <c r="B328" s="132"/>
      <c r="C328" s="132"/>
      <c r="D328" s="132"/>
      <c r="E328" s="133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</row>
    <row r="329" spans="2:15" s="134" customFormat="1">
      <c r="B329" s="132"/>
      <c r="C329" s="132"/>
      <c r="D329" s="132"/>
      <c r="E329" s="133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</row>
    <row r="330" spans="2:15" s="134" customFormat="1">
      <c r="B330" s="132"/>
      <c r="C330" s="132"/>
      <c r="D330" s="132"/>
      <c r="E330" s="133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</row>
    <row r="331" spans="2:15" s="134" customFormat="1">
      <c r="B331" s="132"/>
      <c r="C331" s="132"/>
      <c r="D331" s="132"/>
      <c r="E331" s="133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</row>
    <row r="332" spans="2:15" s="134" customFormat="1">
      <c r="B332" s="132"/>
      <c r="C332" s="132"/>
      <c r="D332" s="132"/>
      <c r="E332" s="133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</row>
    <row r="333" spans="2:15" s="134" customFormat="1">
      <c r="B333" s="132"/>
      <c r="C333" s="132"/>
      <c r="D333" s="132"/>
      <c r="E333" s="133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</row>
    <row r="334" spans="2:15" s="134" customFormat="1">
      <c r="B334" s="132"/>
      <c r="C334" s="132"/>
      <c r="D334" s="132"/>
      <c r="E334" s="133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</row>
    <row r="335" spans="2:15" s="134" customFormat="1">
      <c r="B335" s="132"/>
      <c r="C335" s="132"/>
      <c r="D335" s="132"/>
      <c r="E335" s="133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</row>
    <row r="336" spans="2:15" s="134" customFormat="1">
      <c r="B336" s="132"/>
      <c r="C336" s="132"/>
      <c r="D336" s="132"/>
      <c r="E336" s="133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</row>
    <row r="337" spans="2:15" s="134" customFormat="1">
      <c r="B337" s="132"/>
      <c r="C337" s="132"/>
      <c r="D337" s="132"/>
      <c r="E337" s="133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</row>
    <row r="338" spans="2:15" s="134" customFormat="1">
      <c r="B338" s="132"/>
      <c r="C338" s="132"/>
      <c r="D338" s="132"/>
      <c r="E338" s="133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</row>
    <row r="339" spans="2:15" s="134" customFormat="1">
      <c r="B339" s="132"/>
      <c r="C339" s="132"/>
      <c r="D339" s="132"/>
      <c r="E339" s="133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</row>
    <row r="340" spans="2:15" s="134" customFormat="1">
      <c r="B340" s="132"/>
      <c r="C340" s="132"/>
      <c r="D340" s="132"/>
      <c r="E340" s="133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</row>
    <row r="341" spans="2:15" s="134" customFormat="1">
      <c r="B341" s="132"/>
      <c r="C341" s="132"/>
      <c r="D341" s="132"/>
      <c r="E341" s="133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</row>
    <row r="342" spans="2:15" s="134" customFormat="1">
      <c r="B342" s="132"/>
      <c r="C342" s="132"/>
      <c r="D342" s="132"/>
      <c r="E342" s="133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</row>
    <row r="343" spans="2:15" s="134" customFormat="1">
      <c r="B343" s="132"/>
      <c r="C343" s="132"/>
      <c r="D343" s="132"/>
      <c r="E343" s="133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</row>
    <row r="344" spans="2:15" s="134" customFormat="1">
      <c r="B344" s="132"/>
      <c r="C344" s="132"/>
      <c r="D344" s="132"/>
      <c r="E344" s="133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</row>
    <row r="345" spans="2:15" s="134" customFormat="1">
      <c r="B345" s="132"/>
      <c r="C345" s="132"/>
      <c r="D345" s="132"/>
      <c r="E345" s="133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</row>
    <row r="346" spans="2:15" s="134" customFormat="1">
      <c r="B346" s="132"/>
      <c r="C346" s="132"/>
      <c r="D346" s="132"/>
      <c r="E346" s="133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</row>
    <row r="347" spans="2:15" s="134" customFormat="1">
      <c r="B347" s="132"/>
      <c r="C347" s="132"/>
      <c r="D347" s="132"/>
      <c r="E347" s="133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</row>
    <row r="348" spans="2:15" s="134" customFormat="1">
      <c r="B348" s="132"/>
      <c r="C348" s="132"/>
      <c r="D348" s="132"/>
      <c r="E348" s="133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</row>
    <row r="349" spans="2:15" s="134" customFormat="1">
      <c r="B349" s="132"/>
      <c r="C349" s="132"/>
      <c r="D349" s="132"/>
      <c r="E349" s="133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</row>
    <row r="350" spans="2:15" s="134" customFormat="1">
      <c r="B350" s="132"/>
      <c r="C350" s="132"/>
      <c r="D350" s="132"/>
      <c r="E350" s="133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</row>
    <row r="351" spans="2:15" s="134" customFormat="1">
      <c r="B351" s="132"/>
      <c r="C351" s="132"/>
      <c r="D351" s="132"/>
      <c r="E351" s="133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</row>
    <row r="352" spans="2:15" s="134" customFormat="1">
      <c r="B352" s="132"/>
      <c r="C352" s="132"/>
      <c r="D352" s="132"/>
      <c r="E352" s="133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</row>
    <row r="353" spans="2:15" s="134" customFormat="1">
      <c r="B353" s="132"/>
      <c r="C353" s="132"/>
      <c r="D353" s="132"/>
      <c r="E353" s="133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</row>
    <row r="354" spans="2:15" s="134" customFormat="1">
      <c r="B354" s="132"/>
      <c r="C354" s="132"/>
      <c r="D354" s="132"/>
      <c r="E354" s="133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</row>
    <row r="355" spans="2:15" s="134" customFormat="1">
      <c r="B355" s="132"/>
      <c r="C355" s="132"/>
      <c r="D355" s="132"/>
      <c r="E355" s="133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</row>
    <row r="356" spans="2:15" s="134" customFormat="1">
      <c r="B356" s="132"/>
      <c r="C356" s="132"/>
      <c r="D356" s="132"/>
      <c r="E356" s="133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</row>
    <row r="357" spans="2:15" s="134" customFormat="1">
      <c r="B357" s="132"/>
      <c r="C357" s="132"/>
      <c r="D357" s="132"/>
      <c r="E357" s="133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</row>
    <row r="358" spans="2:15" s="134" customFormat="1">
      <c r="B358" s="132"/>
      <c r="C358" s="132"/>
      <c r="D358" s="132"/>
      <c r="E358" s="133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</row>
    <row r="359" spans="2:15" s="134" customFormat="1">
      <c r="B359" s="132"/>
      <c r="C359" s="132"/>
      <c r="D359" s="132"/>
      <c r="E359" s="133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</row>
    <row r="360" spans="2:15" s="134" customFormat="1">
      <c r="B360" s="132"/>
      <c r="C360" s="132"/>
      <c r="D360" s="132"/>
      <c r="E360" s="133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</row>
    <row r="361" spans="2:15" s="134" customFormat="1">
      <c r="B361" s="132"/>
      <c r="C361" s="132"/>
      <c r="D361" s="132"/>
      <c r="E361" s="133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</row>
    <row r="362" spans="2:15" s="134" customFormat="1">
      <c r="B362" s="132"/>
      <c r="C362" s="132"/>
      <c r="D362" s="132"/>
      <c r="E362" s="133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</row>
    <row r="363" spans="2:15" s="134" customFormat="1">
      <c r="B363" s="132"/>
      <c r="C363" s="132"/>
      <c r="D363" s="132"/>
      <c r="E363" s="133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</row>
    <row r="364" spans="2:15" s="134" customFormat="1">
      <c r="B364" s="132"/>
      <c r="C364" s="132"/>
      <c r="D364" s="132"/>
      <c r="E364" s="133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</row>
    <row r="365" spans="2:15" s="134" customFormat="1">
      <c r="B365" s="132"/>
      <c r="C365" s="132"/>
      <c r="D365" s="132"/>
      <c r="E365" s="133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</row>
    <row r="366" spans="2:15" s="134" customFormat="1">
      <c r="B366" s="132"/>
      <c r="C366" s="132"/>
      <c r="D366" s="132"/>
      <c r="E366" s="133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</row>
    <row r="367" spans="2:15" s="134" customFormat="1">
      <c r="B367" s="132"/>
      <c r="C367" s="132"/>
      <c r="D367" s="132"/>
      <c r="E367" s="133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</row>
    <row r="368" spans="2:15" s="134" customFormat="1">
      <c r="B368" s="132"/>
      <c r="C368" s="132"/>
      <c r="D368" s="132"/>
      <c r="E368" s="133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</row>
    <row r="369" spans="2:15" s="134" customFormat="1">
      <c r="B369" s="132"/>
      <c r="C369" s="132"/>
      <c r="D369" s="132"/>
      <c r="E369" s="133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</row>
    <row r="370" spans="2:15" s="134" customFormat="1">
      <c r="B370" s="132"/>
      <c r="C370" s="132"/>
      <c r="D370" s="132"/>
      <c r="E370" s="133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</row>
    <row r="371" spans="2:15" s="134" customFormat="1">
      <c r="B371" s="132"/>
      <c r="C371" s="132"/>
      <c r="D371" s="132"/>
      <c r="E371" s="133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</row>
    <row r="372" spans="2:15" s="134" customFormat="1">
      <c r="B372" s="132"/>
      <c r="C372" s="132"/>
      <c r="D372" s="132"/>
      <c r="E372" s="133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</row>
    <row r="373" spans="2:15" s="134" customFormat="1">
      <c r="B373" s="132"/>
      <c r="C373" s="132"/>
      <c r="D373" s="132"/>
      <c r="E373" s="133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</row>
    <row r="374" spans="2:15" s="134" customFormat="1">
      <c r="B374" s="132"/>
      <c r="C374" s="132"/>
      <c r="D374" s="132"/>
      <c r="E374" s="133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</row>
    <row r="375" spans="2:15" s="134" customFormat="1">
      <c r="B375" s="132"/>
      <c r="C375" s="132"/>
      <c r="D375" s="132"/>
      <c r="E375" s="133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</row>
    <row r="376" spans="2:15" s="134" customFormat="1">
      <c r="B376" s="132"/>
      <c r="C376" s="132"/>
      <c r="D376" s="132"/>
      <c r="E376" s="133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</row>
    <row r="377" spans="2:15" s="134" customFormat="1">
      <c r="B377" s="132"/>
      <c r="C377" s="132"/>
      <c r="D377" s="132"/>
      <c r="E377" s="133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</row>
    <row r="378" spans="2:15" s="134" customFormat="1">
      <c r="B378" s="132"/>
      <c r="C378" s="132"/>
      <c r="D378" s="132"/>
      <c r="E378" s="133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</row>
    <row r="379" spans="2:15" s="134" customFormat="1">
      <c r="B379" s="132"/>
      <c r="C379" s="132"/>
      <c r="D379" s="132"/>
      <c r="E379" s="133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</row>
    <row r="380" spans="2:15" s="134" customFormat="1">
      <c r="B380" s="132"/>
      <c r="C380" s="132"/>
      <c r="D380" s="132"/>
      <c r="E380" s="133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</row>
    <row r="381" spans="2:15" s="134" customFormat="1">
      <c r="B381" s="132"/>
      <c r="C381" s="132"/>
      <c r="D381" s="132"/>
      <c r="E381" s="133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</row>
    <row r="382" spans="2:15" s="134" customFormat="1">
      <c r="B382" s="132"/>
      <c r="C382" s="132"/>
      <c r="D382" s="132"/>
      <c r="E382" s="133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</row>
    <row r="383" spans="2:15" s="134" customFormat="1">
      <c r="B383" s="132"/>
      <c r="C383" s="132"/>
      <c r="D383" s="132"/>
      <c r="E383" s="133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</row>
    <row r="384" spans="2:15" s="134" customFormat="1">
      <c r="B384" s="132"/>
      <c r="C384" s="132"/>
      <c r="D384" s="132"/>
      <c r="E384" s="133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</row>
    <row r="385" spans="2:15" s="134" customFormat="1">
      <c r="B385" s="132"/>
      <c r="C385" s="132"/>
      <c r="D385" s="132"/>
      <c r="E385" s="133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</row>
    <row r="386" spans="2:15" s="134" customFormat="1">
      <c r="B386" s="132"/>
      <c r="C386" s="132"/>
      <c r="D386" s="132"/>
      <c r="E386" s="133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</row>
    <row r="387" spans="2:15" s="134" customFormat="1">
      <c r="B387" s="132"/>
      <c r="C387" s="132"/>
      <c r="D387" s="132"/>
      <c r="E387" s="133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</row>
    <row r="388" spans="2:15" s="134" customFormat="1">
      <c r="B388" s="132"/>
      <c r="C388" s="132"/>
      <c r="D388" s="132"/>
      <c r="E388" s="133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</row>
    <row r="389" spans="2:15" s="134" customFormat="1">
      <c r="B389" s="132"/>
      <c r="C389" s="132"/>
      <c r="D389" s="132"/>
      <c r="E389" s="133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</row>
    <row r="390" spans="2:15" s="134" customFormat="1">
      <c r="B390" s="132"/>
      <c r="C390" s="132"/>
      <c r="D390" s="132"/>
      <c r="E390" s="133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</row>
    <row r="391" spans="2:15" s="134" customFormat="1">
      <c r="B391" s="132"/>
      <c r="C391" s="132"/>
      <c r="D391" s="132"/>
      <c r="E391" s="133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</row>
    <row r="392" spans="2:15" s="134" customFormat="1">
      <c r="B392" s="132"/>
      <c r="C392" s="132"/>
      <c r="D392" s="132"/>
      <c r="E392" s="133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</row>
    <row r="393" spans="2:15" s="134" customFormat="1">
      <c r="B393" s="132"/>
      <c r="C393" s="132"/>
      <c r="D393" s="132"/>
      <c r="E393" s="133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</row>
    <row r="394" spans="2:15" s="134" customFormat="1">
      <c r="B394" s="132"/>
      <c r="C394" s="132"/>
      <c r="D394" s="132"/>
      <c r="E394" s="133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</row>
    <row r="395" spans="2:15" s="134" customFormat="1">
      <c r="B395" s="132"/>
      <c r="C395" s="132"/>
      <c r="D395" s="132"/>
      <c r="E395" s="133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</row>
    <row r="396" spans="2:15" s="134" customFormat="1">
      <c r="B396" s="132"/>
      <c r="C396" s="132"/>
      <c r="D396" s="132"/>
      <c r="E396" s="133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</row>
    <row r="397" spans="2:15" s="134" customFormat="1">
      <c r="B397" s="132"/>
      <c r="C397" s="132"/>
      <c r="D397" s="132"/>
      <c r="E397" s="133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</row>
    <row r="398" spans="2:15" s="134" customFormat="1">
      <c r="B398" s="132"/>
      <c r="C398" s="132"/>
      <c r="D398" s="132"/>
      <c r="E398" s="133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</row>
    <row r="399" spans="2:15" s="134" customFormat="1">
      <c r="B399" s="132"/>
      <c r="C399" s="132"/>
      <c r="D399" s="132"/>
      <c r="E399" s="133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</row>
    <row r="400" spans="2:15" s="134" customFormat="1">
      <c r="B400" s="132"/>
      <c r="C400" s="132"/>
      <c r="D400" s="132"/>
      <c r="E400" s="133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</row>
    <row r="401" spans="2:15" s="134" customFormat="1">
      <c r="B401" s="132"/>
      <c r="C401" s="132"/>
      <c r="D401" s="132"/>
      <c r="E401" s="133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</row>
    <row r="402" spans="2:15" s="134" customFormat="1">
      <c r="B402" s="132"/>
      <c r="C402" s="132"/>
      <c r="D402" s="132"/>
      <c r="E402" s="133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</row>
    <row r="403" spans="2:15" s="134" customFormat="1">
      <c r="B403" s="132"/>
      <c r="C403" s="132"/>
      <c r="D403" s="132"/>
      <c r="E403" s="133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</row>
    <row r="404" spans="2:15" s="134" customFormat="1">
      <c r="B404" s="132"/>
      <c r="C404" s="132"/>
      <c r="D404" s="132"/>
      <c r="E404" s="133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</row>
    <row r="405" spans="2:15" s="134" customFormat="1">
      <c r="B405" s="132"/>
      <c r="C405" s="132"/>
      <c r="D405" s="132"/>
      <c r="E405" s="133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</row>
    <row r="406" spans="2:15" s="134" customFormat="1">
      <c r="B406" s="132"/>
      <c r="C406" s="132"/>
      <c r="D406" s="132"/>
      <c r="E406" s="133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</row>
    <row r="407" spans="2:15" s="134" customFormat="1">
      <c r="B407" s="132"/>
      <c r="C407" s="132"/>
      <c r="D407" s="132"/>
      <c r="E407" s="133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</row>
    <row r="408" spans="2:15" s="134" customFormat="1">
      <c r="B408" s="132"/>
      <c r="C408" s="132"/>
      <c r="D408" s="132"/>
      <c r="E408" s="133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</row>
    <row r="409" spans="2:15" s="134" customFormat="1">
      <c r="B409" s="132"/>
      <c r="C409" s="132"/>
      <c r="D409" s="132"/>
      <c r="E409" s="133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</row>
    <row r="410" spans="2:15" s="134" customFormat="1">
      <c r="B410" s="132"/>
      <c r="C410" s="132"/>
      <c r="D410" s="132"/>
      <c r="E410" s="133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</row>
    <row r="411" spans="2:15" s="134" customFormat="1">
      <c r="B411" s="132"/>
      <c r="C411" s="132"/>
      <c r="D411" s="132"/>
      <c r="E411" s="133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</row>
    <row r="412" spans="2:15" s="134" customFormat="1">
      <c r="B412" s="132"/>
      <c r="C412" s="132"/>
      <c r="D412" s="132"/>
      <c r="E412" s="133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</row>
    <row r="413" spans="2:15" s="134" customFormat="1">
      <c r="B413" s="132"/>
      <c r="C413" s="132"/>
      <c r="D413" s="132"/>
      <c r="E413" s="133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</row>
    <row r="414" spans="2:15" s="134" customFormat="1">
      <c r="B414" s="132"/>
      <c r="C414" s="132"/>
      <c r="D414" s="132"/>
      <c r="E414" s="133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</row>
    <row r="415" spans="2:15" s="134" customFormat="1">
      <c r="B415" s="132"/>
      <c r="C415" s="132"/>
      <c r="D415" s="132"/>
      <c r="E415" s="133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</row>
    <row r="416" spans="2:15" s="134" customFormat="1">
      <c r="B416" s="132"/>
      <c r="C416" s="132"/>
      <c r="D416" s="132"/>
      <c r="E416" s="133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</row>
    <row r="417" spans="2:15" s="134" customFormat="1">
      <c r="B417" s="132"/>
      <c r="C417" s="132"/>
      <c r="D417" s="132"/>
      <c r="E417" s="133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</row>
    <row r="418" spans="2:15" s="134" customFormat="1">
      <c r="B418" s="132"/>
      <c r="C418" s="132"/>
      <c r="D418" s="132"/>
      <c r="E418" s="133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</row>
    <row r="419" spans="2:15" s="134" customFormat="1">
      <c r="B419" s="132"/>
      <c r="C419" s="132"/>
      <c r="D419" s="132"/>
      <c r="E419" s="133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</row>
    <row r="420" spans="2:15" s="134" customFormat="1">
      <c r="B420" s="132"/>
      <c r="C420" s="132"/>
      <c r="D420" s="132"/>
      <c r="E420" s="133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</row>
    <row r="421" spans="2:15" s="134" customFormat="1">
      <c r="B421" s="132"/>
      <c r="C421" s="132"/>
      <c r="D421" s="132"/>
      <c r="E421" s="133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</row>
    <row r="422" spans="2:15" s="134" customFormat="1">
      <c r="B422" s="132"/>
      <c r="C422" s="132"/>
      <c r="D422" s="132"/>
      <c r="E422" s="133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</row>
    <row r="423" spans="2:15" s="134" customFormat="1">
      <c r="B423" s="132"/>
      <c r="C423" s="132"/>
      <c r="D423" s="132"/>
      <c r="E423" s="133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</row>
    <row r="424" spans="2:15" s="134" customFormat="1">
      <c r="B424" s="132"/>
      <c r="C424" s="132"/>
      <c r="D424" s="132"/>
      <c r="E424" s="133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</row>
    <row r="425" spans="2:15" s="134" customFormat="1">
      <c r="B425" s="132"/>
      <c r="C425" s="132"/>
      <c r="D425" s="132"/>
      <c r="E425" s="133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</row>
    <row r="426" spans="2:15" s="134" customFormat="1">
      <c r="B426" s="132"/>
      <c r="C426" s="132"/>
      <c r="D426" s="132"/>
      <c r="E426" s="133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</row>
    <row r="427" spans="2:15" s="134" customFormat="1">
      <c r="B427" s="132"/>
      <c r="C427" s="132"/>
      <c r="D427" s="132"/>
      <c r="E427" s="133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</row>
    <row r="428" spans="2:15" s="134" customFormat="1">
      <c r="B428" s="132"/>
      <c r="C428" s="132"/>
      <c r="D428" s="132"/>
      <c r="E428" s="133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</row>
    <row r="429" spans="2:15" s="134" customFormat="1">
      <c r="B429" s="132"/>
      <c r="C429" s="132"/>
      <c r="D429" s="132"/>
      <c r="E429" s="133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</row>
    <row r="430" spans="2:15" s="134" customFormat="1">
      <c r="B430" s="132"/>
      <c r="C430" s="132"/>
      <c r="D430" s="132"/>
      <c r="E430" s="133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</row>
    <row r="431" spans="2:15" s="134" customFormat="1">
      <c r="B431" s="132"/>
      <c r="C431" s="132"/>
      <c r="D431" s="132"/>
      <c r="E431" s="133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</row>
    <row r="432" spans="2:15" s="134" customFormat="1">
      <c r="B432" s="132"/>
      <c r="C432" s="132"/>
      <c r="D432" s="132"/>
      <c r="E432" s="133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</row>
    <row r="433" spans="2:15" s="134" customFormat="1">
      <c r="B433" s="132"/>
      <c r="C433" s="132"/>
      <c r="D433" s="132"/>
      <c r="E433" s="133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</row>
    <row r="434" spans="2:15" s="134" customFormat="1">
      <c r="B434" s="132"/>
      <c r="C434" s="132"/>
      <c r="D434" s="132"/>
      <c r="E434" s="133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</row>
    <row r="435" spans="2:15" s="134" customFormat="1">
      <c r="B435" s="132"/>
      <c r="C435" s="132"/>
      <c r="D435" s="132"/>
      <c r="E435" s="133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</row>
    <row r="436" spans="2:15" s="134" customFormat="1">
      <c r="B436" s="132"/>
      <c r="C436" s="132"/>
      <c r="D436" s="132"/>
      <c r="E436" s="133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</row>
    <row r="437" spans="2:15" s="134" customFormat="1">
      <c r="B437" s="132"/>
      <c r="C437" s="132"/>
      <c r="D437" s="132"/>
      <c r="E437" s="133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</row>
    <row r="438" spans="2:15" s="134" customFormat="1">
      <c r="B438" s="132"/>
      <c r="C438" s="132"/>
      <c r="D438" s="132"/>
      <c r="E438" s="133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</row>
    <row r="439" spans="2:15" s="134" customFormat="1">
      <c r="B439" s="132"/>
      <c r="C439" s="132"/>
      <c r="D439" s="132"/>
      <c r="E439" s="133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</row>
    <row r="440" spans="2:15" s="134" customFormat="1">
      <c r="B440" s="132"/>
      <c r="C440" s="132"/>
      <c r="D440" s="132"/>
      <c r="E440" s="133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</row>
    <row r="441" spans="2:15" s="134" customFormat="1">
      <c r="B441" s="132"/>
      <c r="C441" s="132"/>
      <c r="D441" s="132"/>
      <c r="E441" s="133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</row>
    <row r="442" spans="2:15" s="134" customFormat="1">
      <c r="B442" s="132"/>
      <c r="C442" s="132"/>
      <c r="D442" s="132"/>
      <c r="E442" s="133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</row>
    <row r="443" spans="2:15" s="134" customFormat="1">
      <c r="B443" s="132"/>
      <c r="C443" s="132"/>
      <c r="D443" s="132"/>
      <c r="E443" s="133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</row>
    <row r="444" spans="2:15" s="134" customFormat="1">
      <c r="B444" s="132"/>
      <c r="C444" s="132"/>
      <c r="D444" s="132"/>
      <c r="E444" s="133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</row>
    <row r="445" spans="2:15" s="134" customFormat="1">
      <c r="B445" s="132"/>
      <c r="C445" s="132"/>
      <c r="D445" s="132"/>
      <c r="E445" s="133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</row>
    <row r="446" spans="2:15" s="134" customFormat="1">
      <c r="B446" s="132"/>
      <c r="C446" s="132"/>
      <c r="D446" s="132"/>
      <c r="E446" s="133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</row>
    <row r="447" spans="2:15" s="134" customFormat="1">
      <c r="B447" s="132"/>
      <c r="C447" s="132"/>
      <c r="D447" s="132"/>
      <c r="E447" s="133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</row>
    <row r="448" spans="2:15" s="134" customFormat="1">
      <c r="B448" s="132"/>
      <c r="C448" s="132"/>
      <c r="D448" s="132"/>
      <c r="E448" s="133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</row>
    <row r="449" spans="2:15" s="134" customFormat="1">
      <c r="B449" s="132"/>
      <c r="C449" s="132"/>
      <c r="D449" s="132"/>
      <c r="E449" s="133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</row>
    <row r="450" spans="2:15" s="134" customFormat="1">
      <c r="B450" s="132"/>
      <c r="C450" s="132"/>
      <c r="D450" s="132"/>
      <c r="E450" s="133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</row>
    <row r="451" spans="2:15" s="134" customFormat="1">
      <c r="B451" s="132"/>
      <c r="C451" s="132"/>
      <c r="D451" s="132"/>
      <c r="E451" s="133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</row>
    <row r="452" spans="2:15" s="134" customFormat="1">
      <c r="B452" s="132"/>
      <c r="C452" s="132"/>
      <c r="D452" s="132"/>
      <c r="E452" s="133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</row>
    <row r="453" spans="2:15" s="134" customFormat="1">
      <c r="B453" s="132"/>
      <c r="C453" s="132"/>
      <c r="D453" s="132"/>
      <c r="E453" s="133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</row>
    <row r="454" spans="2:15" s="134" customFormat="1">
      <c r="B454" s="132"/>
      <c r="C454" s="132"/>
      <c r="D454" s="132"/>
      <c r="E454" s="133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</row>
    <row r="455" spans="2:15" s="134" customFormat="1">
      <c r="B455" s="132"/>
      <c r="C455" s="132"/>
      <c r="D455" s="132"/>
      <c r="E455" s="133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</row>
    <row r="456" spans="2:15" s="134" customFormat="1">
      <c r="B456" s="132"/>
      <c r="C456" s="132"/>
      <c r="D456" s="132"/>
      <c r="E456" s="133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</row>
    <row r="457" spans="2:15" s="134" customFormat="1">
      <c r="B457" s="132"/>
      <c r="C457" s="132"/>
      <c r="D457" s="132"/>
      <c r="E457" s="133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</row>
    <row r="458" spans="2:15" s="134" customFormat="1">
      <c r="B458" s="132"/>
      <c r="C458" s="132"/>
      <c r="D458" s="132"/>
      <c r="E458" s="133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</row>
    <row r="459" spans="2:15" s="134" customFormat="1">
      <c r="B459" s="132"/>
      <c r="C459" s="132"/>
      <c r="D459" s="132"/>
      <c r="E459" s="133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</row>
    <row r="460" spans="2:15" s="134" customFormat="1">
      <c r="B460" s="132"/>
      <c r="C460" s="132"/>
      <c r="D460" s="132"/>
      <c r="E460" s="133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</row>
    <row r="461" spans="2:15" s="134" customFormat="1">
      <c r="B461" s="132"/>
      <c r="C461" s="132"/>
      <c r="D461" s="132"/>
      <c r="E461" s="133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</row>
    <row r="462" spans="2:15" s="134" customFormat="1">
      <c r="B462" s="132"/>
      <c r="C462" s="132"/>
      <c r="D462" s="132"/>
      <c r="E462" s="133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</row>
    <row r="463" spans="2:15" s="134" customFormat="1">
      <c r="B463" s="132"/>
      <c r="C463" s="132"/>
      <c r="D463" s="132"/>
      <c r="E463" s="133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</row>
    <row r="464" spans="2:15" s="134" customFormat="1">
      <c r="B464" s="132"/>
      <c r="C464" s="132"/>
      <c r="D464" s="132"/>
      <c r="E464" s="133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</row>
    <row r="465" spans="2:15" s="134" customFormat="1">
      <c r="B465" s="132"/>
      <c r="C465" s="132"/>
      <c r="D465" s="132"/>
      <c r="E465" s="133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</row>
    <row r="466" spans="2:15" s="134" customFormat="1">
      <c r="B466" s="132"/>
      <c r="C466" s="132"/>
      <c r="D466" s="132"/>
      <c r="E466" s="133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</row>
    <row r="467" spans="2:15" s="134" customFormat="1">
      <c r="B467" s="132"/>
      <c r="C467" s="132"/>
      <c r="D467" s="132"/>
      <c r="E467" s="133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</row>
    <row r="468" spans="2:15" s="134" customFormat="1">
      <c r="B468" s="132"/>
      <c r="C468" s="132"/>
      <c r="D468" s="132"/>
      <c r="E468" s="133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</row>
    <row r="469" spans="2:15" s="134" customFormat="1">
      <c r="B469" s="132"/>
      <c r="C469" s="132"/>
      <c r="D469" s="132"/>
      <c r="E469" s="133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</row>
    <row r="470" spans="2:15" s="134" customFormat="1">
      <c r="B470" s="132"/>
      <c r="C470" s="132"/>
      <c r="D470" s="132"/>
      <c r="E470" s="133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</row>
    <row r="471" spans="2:15" s="134" customFormat="1">
      <c r="B471" s="132"/>
      <c r="C471" s="132"/>
      <c r="D471" s="132"/>
      <c r="E471" s="133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</row>
    <row r="472" spans="2:15" s="134" customFormat="1">
      <c r="B472" s="132"/>
      <c r="C472" s="132"/>
      <c r="D472" s="132"/>
      <c r="E472" s="133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</row>
    <row r="473" spans="2:15" s="134" customFormat="1">
      <c r="B473" s="132"/>
      <c r="C473" s="132"/>
      <c r="D473" s="132"/>
      <c r="E473" s="133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</row>
    <row r="474" spans="2:15" s="134" customFormat="1">
      <c r="B474" s="132"/>
      <c r="C474" s="132"/>
      <c r="D474" s="132"/>
      <c r="E474" s="133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</row>
    <row r="475" spans="2:15" s="134" customFormat="1">
      <c r="B475" s="132"/>
      <c r="C475" s="132"/>
      <c r="D475" s="132"/>
      <c r="E475" s="133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</row>
    <row r="476" spans="2:15" s="134" customFormat="1">
      <c r="B476" s="132"/>
      <c r="C476" s="132"/>
      <c r="D476" s="132"/>
      <c r="E476" s="133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</row>
    <row r="477" spans="2:15" s="134" customFormat="1">
      <c r="B477" s="132"/>
      <c r="C477" s="132"/>
      <c r="D477" s="132"/>
      <c r="E477" s="133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</row>
    <row r="478" spans="2:15" s="134" customFormat="1">
      <c r="B478" s="132"/>
      <c r="C478" s="132"/>
      <c r="D478" s="132"/>
      <c r="E478" s="133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</row>
    <row r="479" spans="2:15" s="134" customFormat="1">
      <c r="B479" s="132"/>
      <c r="C479" s="132"/>
      <c r="D479" s="132"/>
      <c r="E479" s="133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</row>
    <row r="480" spans="2:15" s="134" customFormat="1">
      <c r="B480" s="132"/>
      <c r="C480" s="132"/>
      <c r="D480" s="132"/>
      <c r="E480" s="133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</row>
  </sheetData>
  <mergeCells count="20">
    <mergeCell ref="M50:M51"/>
    <mergeCell ref="N50:N51"/>
    <mergeCell ref="M2:M3"/>
    <mergeCell ref="M14:M15"/>
    <mergeCell ref="N14:N15"/>
    <mergeCell ref="M26:M27"/>
    <mergeCell ref="N26:N27"/>
    <mergeCell ref="M38:M39"/>
    <mergeCell ref="N38:N39"/>
    <mergeCell ref="P41:W42"/>
    <mergeCell ref="P43:W44"/>
    <mergeCell ref="P53:W54"/>
    <mergeCell ref="P55:W56"/>
    <mergeCell ref="N2:N3"/>
    <mergeCell ref="P5:W6"/>
    <mergeCell ref="P7:W8"/>
    <mergeCell ref="P17:W18"/>
    <mergeCell ref="P19:W20"/>
    <mergeCell ref="P29:W30"/>
    <mergeCell ref="P31:W3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DCAD8"/>
    <outlinePr summaryBelow="0" summaryRight="0"/>
  </sheetPr>
  <dimension ref="A1:AF318"/>
  <sheetViews>
    <sheetView showGridLines="0" zoomScaleNormal="100" workbookViewId="0">
      <pane ySplit="1" topLeftCell="A2" activePane="bottomLeft" state="frozen"/>
      <selection pane="bottomLeft" activeCell="H1" sqref="H1"/>
    </sheetView>
  </sheetViews>
  <sheetFormatPr defaultColWidth="14.42578125" defaultRowHeight="15" customHeight="1"/>
  <cols>
    <col min="1" max="1" width="7.7109375" hidden="1" customWidth="1"/>
    <col min="2" max="2" width="12.7109375" style="121" bestFit="1" customWidth="1"/>
    <col min="3" max="3" width="12.42578125" style="122" customWidth="1"/>
    <col min="4" max="4" width="0.28515625" style="124" customWidth="1"/>
    <col min="5" max="5" width="9.5703125" style="123" customWidth="1"/>
    <col min="6" max="6" width="9.28515625" style="122" customWidth="1"/>
    <col min="7" max="7" width="12.140625" style="122" customWidth="1"/>
    <col min="8" max="8" width="11.5703125" style="122" customWidth="1"/>
    <col min="9" max="9" width="12" style="122" customWidth="1"/>
    <col min="10" max="10" width="18.7109375" style="122" customWidth="1"/>
    <col min="11" max="11" width="18.85546875" style="122" customWidth="1"/>
    <col min="12" max="12" width="17.5703125" style="122" customWidth="1"/>
    <col min="13" max="13" width="15" style="125" customWidth="1"/>
    <col min="14" max="14" width="15" style="122" bestFit="1" customWidth="1"/>
    <col min="15" max="15" width="17.85546875" style="122" customWidth="1"/>
    <col min="16" max="16" width="14.140625" style="123" customWidth="1"/>
    <col min="17" max="17" width="13.7109375" style="120" customWidth="1"/>
    <col min="18" max="32" width="11.7109375" customWidth="1"/>
  </cols>
  <sheetData>
    <row r="1" spans="1:32" s="154" customFormat="1" ht="33.75" thickBot="1">
      <c r="A1" s="148" t="s">
        <v>1749</v>
      </c>
      <c r="B1" s="172" t="s">
        <v>0</v>
      </c>
      <c r="C1" s="172" t="s">
        <v>1</v>
      </c>
      <c r="D1" s="173"/>
      <c r="E1" s="172" t="s">
        <v>16</v>
      </c>
      <c r="F1" s="172" t="s">
        <v>2</v>
      </c>
      <c r="G1" s="172" t="s">
        <v>3</v>
      </c>
      <c r="H1" s="174" t="s">
        <v>4</v>
      </c>
      <c r="I1" s="174" t="s">
        <v>5</v>
      </c>
      <c r="J1" s="174" t="s">
        <v>1750</v>
      </c>
      <c r="K1" s="174" t="s">
        <v>1751</v>
      </c>
      <c r="L1" s="174" t="s">
        <v>6</v>
      </c>
      <c r="M1" s="174" t="s">
        <v>1754</v>
      </c>
      <c r="N1" s="174" t="s">
        <v>1752</v>
      </c>
      <c r="O1" s="174" t="s">
        <v>1753</v>
      </c>
      <c r="P1" s="149"/>
      <c r="Q1" s="150"/>
      <c r="R1" s="151"/>
      <c r="S1" s="152"/>
      <c r="T1" s="151"/>
      <c r="U1" s="152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3"/>
    </row>
    <row r="2" spans="1:32" ht="16.5">
      <c r="A2" s="155" t="str">
        <f t="shared" ref="A2:A256" si="0">IF(E2="","",COUNTIF(E$2:E2,E2)&amp;"-"&amp;E2)</f>
        <v/>
      </c>
      <c r="B2" s="158">
        <v>44786</v>
      </c>
      <c r="C2" s="159" t="str">
        <f>IF(B2&gt;0,TEXT(B2,"mmmmmmmmmmmmmmm"),"-")</f>
        <v>agosto</v>
      </c>
      <c r="D2" s="160"/>
      <c r="E2" s="166"/>
      <c r="F2" s="167"/>
      <c r="G2" s="168">
        <v>0</v>
      </c>
      <c r="H2" s="168">
        <v>0</v>
      </c>
      <c r="I2" s="168">
        <v>0</v>
      </c>
      <c r="J2" s="161">
        <f t="shared" ref="J2:J256" si="1">F2*G2</f>
        <v>0</v>
      </c>
      <c r="K2" s="161">
        <f t="shared" ref="K2:K256" si="2">G2*F2+H2</f>
        <v>0</v>
      </c>
      <c r="L2" s="161" t="str">
        <f t="shared" ref="L2:L256" si="3">IFERROR(K2/ABS(F2),"-x-")</f>
        <v>-x-</v>
      </c>
      <c r="M2" s="162">
        <f>SUMIF($E$2:E2,E2,$F$2:F2)</f>
        <v>0</v>
      </c>
      <c r="N2" s="163" t="str">
        <f>IFERROR(IF(A2=CONCATENATE("1","-",E2),L2,
IF(O2="Venda",VLOOKUP(CONCATENATE((COUNTIF($E$2:E2,E2)-1),"-",E2),$A$2:$N$313,14,FALSE),(VLOOKUP(CONCATENATE((COUNTIF($E$2:E2,E2)-1),"-",E2),$A$2:$N$313,14,FALSE)*VLOOKUP(CONCATENATE((COUNTIF($E$2:E2,E2)-1),"-",E2),$A$2:$N$313,13,FALSE)+K2)/M2)),"-x-")</f>
        <v>-x-</v>
      </c>
      <c r="O2" s="164" t="str">
        <f>IF(G2=0,"-",IF(F2&gt;0,"Compra","Venda"))</f>
        <v>-</v>
      </c>
      <c r="P2" s="126"/>
      <c r="Q2" s="12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>
      <c r="A3" s="156" t="str">
        <f t="shared" si="0"/>
        <v/>
      </c>
      <c r="B3" s="158"/>
      <c r="C3" s="159" t="str">
        <f t="shared" ref="C3:C66" si="4">IF(B3&gt;0,TEXT(B3,"mmmmmmmmmmmmmmm"),"-")</f>
        <v>-</v>
      </c>
      <c r="D3" s="160"/>
      <c r="E3" s="166"/>
      <c r="F3" s="167"/>
      <c r="G3" s="168">
        <v>0</v>
      </c>
      <c r="H3" s="168">
        <v>0</v>
      </c>
      <c r="I3" s="168">
        <v>0</v>
      </c>
      <c r="J3" s="161">
        <f t="shared" si="1"/>
        <v>0</v>
      </c>
      <c r="K3" s="161">
        <f t="shared" si="2"/>
        <v>0</v>
      </c>
      <c r="L3" s="161" t="str">
        <f t="shared" si="3"/>
        <v>-x-</v>
      </c>
      <c r="M3" s="162">
        <f>SUMIF($E$2:E3,E3,$F$2:F3)</f>
        <v>0</v>
      </c>
      <c r="N3" s="163" t="str">
        <f>IFERROR(IF(A3=CONCATENATE("1","-",E3),L3,
IF(O3="Venda",VLOOKUP(CONCATENATE((COUNTIF($E$2:E3,E3)-1),"-",E3),$A$2:$N$313,14,FALSE),(VLOOKUP(CONCATENATE((COUNTIF($E$2:E3,E3)-1),"-",E3),$A$2:$N$313,14,FALSE)*VLOOKUP(CONCATENATE((COUNTIF($E$2:E3,E3)-1),"-",E3),$A$2:$N$313,13,FALSE)+K3)/M3)),"-x-")</f>
        <v>-x-</v>
      </c>
      <c r="O3" s="164" t="str">
        <f t="shared" ref="O3:O66" si="5">IF(G3=0,"-",IF(F3&gt;0,"Compra","Venda"))</f>
        <v>-</v>
      </c>
      <c r="P3" s="126"/>
      <c r="Q3" s="12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6.5">
      <c r="A4" s="156" t="str">
        <f t="shared" si="0"/>
        <v/>
      </c>
      <c r="B4" s="158"/>
      <c r="C4" s="159" t="str">
        <f t="shared" si="4"/>
        <v>-</v>
      </c>
      <c r="D4" s="160"/>
      <c r="E4" s="166"/>
      <c r="F4" s="167"/>
      <c r="G4" s="168">
        <v>0</v>
      </c>
      <c r="H4" s="168">
        <v>0</v>
      </c>
      <c r="I4" s="168">
        <v>0</v>
      </c>
      <c r="J4" s="161">
        <f t="shared" si="1"/>
        <v>0</v>
      </c>
      <c r="K4" s="161">
        <f t="shared" si="2"/>
        <v>0</v>
      </c>
      <c r="L4" s="161" t="str">
        <f t="shared" si="3"/>
        <v>-x-</v>
      </c>
      <c r="M4" s="162">
        <f>SUMIF($E$2:E4,E4,$F$2:F4)</f>
        <v>0</v>
      </c>
      <c r="N4" s="163" t="str">
        <f>IFERROR(IF(A4=CONCATENATE("1","-",E4),L4,
IF(O4="Venda",VLOOKUP(CONCATENATE((COUNTIF($E$2:E4,E4)-1),"-",E4),$A$2:$N$313,14,FALSE),(VLOOKUP(CONCATENATE((COUNTIF($E$2:E4,E4)-1),"-",E4),$A$2:$N$313,14,FALSE)*VLOOKUP(CONCATENATE((COUNTIF($E$2:E4,E4)-1),"-",E4),$A$2:$N$313,13,FALSE)+K4)/M4)),"-x-")</f>
        <v>-x-</v>
      </c>
      <c r="O4" s="164" t="str">
        <f t="shared" si="5"/>
        <v>-</v>
      </c>
      <c r="P4" s="126"/>
      <c r="Q4" s="12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6.5">
      <c r="A5" s="156" t="str">
        <f t="shared" si="0"/>
        <v/>
      </c>
      <c r="B5" s="158"/>
      <c r="C5" s="159" t="str">
        <f t="shared" si="4"/>
        <v>-</v>
      </c>
      <c r="D5" s="160"/>
      <c r="E5" s="166"/>
      <c r="F5" s="167"/>
      <c r="G5" s="168">
        <v>0</v>
      </c>
      <c r="H5" s="168">
        <v>0</v>
      </c>
      <c r="I5" s="168">
        <v>0</v>
      </c>
      <c r="J5" s="161">
        <f t="shared" si="1"/>
        <v>0</v>
      </c>
      <c r="K5" s="161">
        <f t="shared" si="2"/>
        <v>0</v>
      </c>
      <c r="L5" s="161" t="str">
        <f t="shared" si="3"/>
        <v>-x-</v>
      </c>
      <c r="M5" s="162">
        <f>SUMIF($E$2:E5,E5,$F$2:F5)</f>
        <v>0</v>
      </c>
      <c r="N5" s="163" t="str">
        <f>IFERROR(IF(A5=CONCATENATE("1","-",E5),L5,
IF(O5="Venda",VLOOKUP(CONCATENATE((COUNTIF($E$2:E5,E5)-1),"-",E5),$A$2:$N$313,14,FALSE),(VLOOKUP(CONCATENATE((COUNTIF($E$2:E5,E5)-1),"-",E5),$A$2:$N$313,14,FALSE)*VLOOKUP(CONCATENATE((COUNTIF($E$2:E5,E5)-1),"-",E5),$A$2:$N$313,13,FALSE)+K5)/M5)),"-x-")</f>
        <v>-x-</v>
      </c>
      <c r="O5" s="164" t="str">
        <f t="shared" si="5"/>
        <v>-</v>
      </c>
      <c r="P5" s="126"/>
      <c r="Q5" s="12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.5">
      <c r="A6" s="156" t="str">
        <f t="shared" si="0"/>
        <v/>
      </c>
      <c r="B6" s="158"/>
      <c r="C6" s="159" t="str">
        <f t="shared" si="4"/>
        <v>-</v>
      </c>
      <c r="D6" s="160"/>
      <c r="E6" s="166"/>
      <c r="F6" s="167"/>
      <c r="G6" s="168">
        <v>0</v>
      </c>
      <c r="H6" s="168">
        <v>0</v>
      </c>
      <c r="I6" s="168">
        <v>0</v>
      </c>
      <c r="J6" s="161">
        <f t="shared" si="1"/>
        <v>0</v>
      </c>
      <c r="K6" s="161">
        <f t="shared" si="2"/>
        <v>0</v>
      </c>
      <c r="L6" s="161" t="str">
        <f t="shared" si="3"/>
        <v>-x-</v>
      </c>
      <c r="M6" s="162">
        <f>SUMIF($E$2:E6,E6,$F$2:F6)</f>
        <v>0</v>
      </c>
      <c r="N6" s="163" t="str">
        <f>IFERROR(IF(A6=CONCATENATE("1","-",E6),L6,
IF(O6="Venda",VLOOKUP(CONCATENATE((COUNTIF($E$2:E6,E6)-1),"-",E6),$A$2:$N$313,14,FALSE),(VLOOKUP(CONCATENATE((COUNTIF($E$2:E6,E6)-1),"-",E6),$A$2:$N$313,14,FALSE)*VLOOKUP(CONCATENATE((COUNTIF($E$2:E6,E6)-1),"-",E6),$A$2:$N$313,13,FALSE)+K6)/M6)),"-x-")</f>
        <v>-x-</v>
      </c>
      <c r="O6" s="164" t="str">
        <f t="shared" si="5"/>
        <v>-</v>
      </c>
      <c r="P6" s="126"/>
      <c r="Q6" s="12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6.5">
      <c r="A7" s="156" t="str">
        <f t="shared" si="0"/>
        <v/>
      </c>
      <c r="B7" s="158"/>
      <c r="C7" s="159" t="str">
        <f t="shared" si="4"/>
        <v>-</v>
      </c>
      <c r="D7" s="160"/>
      <c r="E7" s="166"/>
      <c r="F7" s="167"/>
      <c r="G7" s="168">
        <v>0</v>
      </c>
      <c r="H7" s="168">
        <v>0</v>
      </c>
      <c r="I7" s="168">
        <v>0</v>
      </c>
      <c r="J7" s="161">
        <f t="shared" si="1"/>
        <v>0</v>
      </c>
      <c r="K7" s="161">
        <f t="shared" si="2"/>
        <v>0</v>
      </c>
      <c r="L7" s="161" t="str">
        <f t="shared" si="3"/>
        <v>-x-</v>
      </c>
      <c r="M7" s="162">
        <f>SUMIF($E$2:E7,E7,$F$2:F7)</f>
        <v>0</v>
      </c>
      <c r="N7" s="163" t="str">
        <f>IFERROR(IF(A7=CONCATENATE("1","-",E7),L7,
IF(O7="Venda",VLOOKUP(CONCATENATE((COUNTIF($E$2:E7,E7)-1),"-",E7),$A$2:$N$313,14,FALSE),(VLOOKUP(CONCATENATE((COUNTIF($E$2:E7,E7)-1),"-",E7),$A$2:$N$313,14,FALSE)*VLOOKUP(CONCATENATE((COUNTIF($E$2:E7,E7)-1),"-",E7),$A$2:$N$313,13,FALSE)+K7)/M7)),"-x-")</f>
        <v>-x-</v>
      </c>
      <c r="O7" s="164" t="str">
        <f t="shared" si="5"/>
        <v>-</v>
      </c>
      <c r="P7" s="126"/>
      <c r="Q7" s="12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6.5">
      <c r="A8" s="156" t="str">
        <f t="shared" si="0"/>
        <v/>
      </c>
      <c r="B8" s="158"/>
      <c r="C8" s="159" t="str">
        <f t="shared" si="4"/>
        <v>-</v>
      </c>
      <c r="D8" s="160"/>
      <c r="E8" s="166"/>
      <c r="F8" s="167"/>
      <c r="G8" s="168">
        <v>0</v>
      </c>
      <c r="H8" s="168">
        <v>0</v>
      </c>
      <c r="I8" s="168">
        <v>0</v>
      </c>
      <c r="J8" s="161">
        <f t="shared" si="1"/>
        <v>0</v>
      </c>
      <c r="K8" s="161">
        <f t="shared" si="2"/>
        <v>0</v>
      </c>
      <c r="L8" s="161" t="str">
        <f t="shared" si="3"/>
        <v>-x-</v>
      </c>
      <c r="M8" s="162">
        <f>SUMIF($E$2:E8,E8,$F$2:F8)</f>
        <v>0</v>
      </c>
      <c r="N8" s="163" t="str">
        <f>IFERROR(IF(A8=CONCATENATE("1","-",E8),L8,
IF(O8="Venda",VLOOKUP(CONCATENATE((COUNTIF($E$2:E8,E8)-1),"-",E8),$A$2:$N$313,14,FALSE),(VLOOKUP(CONCATENATE((COUNTIF($E$2:E8,E8)-1),"-",E8),$A$2:$N$313,14,FALSE)*VLOOKUP(CONCATENATE((COUNTIF($E$2:E8,E8)-1),"-",E8),$A$2:$N$313,13,FALSE)+K8)/M8)),"-x-")</f>
        <v>-x-</v>
      </c>
      <c r="O8" s="164" t="str">
        <f t="shared" si="5"/>
        <v>-</v>
      </c>
      <c r="P8" s="126"/>
      <c r="Q8" s="128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6.5">
      <c r="A9" s="156" t="str">
        <f t="shared" si="0"/>
        <v/>
      </c>
      <c r="B9" s="158"/>
      <c r="C9" s="159" t="str">
        <f t="shared" si="4"/>
        <v>-</v>
      </c>
      <c r="D9" s="160"/>
      <c r="E9" s="166"/>
      <c r="F9" s="167"/>
      <c r="G9" s="168">
        <v>0</v>
      </c>
      <c r="H9" s="168">
        <v>0</v>
      </c>
      <c r="I9" s="168">
        <v>0</v>
      </c>
      <c r="J9" s="161">
        <f t="shared" si="1"/>
        <v>0</v>
      </c>
      <c r="K9" s="161">
        <f t="shared" si="2"/>
        <v>0</v>
      </c>
      <c r="L9" s="161" t="str">
        <f t="shared" si="3"/>
        <v>-x-</v>
      </c>
      <c r="M9" s="162">
        <f>SUMIF($E$2:E9,E9,$F$2:F9)</f>
        <v>0</v>
      </c>
      <c r="N9" s="163" t="str">
        <f>IFERROR(IF(A9=CONCATENATE("1","-",E9),L9,
IF(O9="Venda",VLOOKUP(CONCATENATE((COUNTIF($E$2:E9,E9)-1),"-",E9),$A$2:$N$313,14,FALSE),(VLOOKUP(CONCATENATE((COUNTIF($E$2:E9,E9)-1),"-",E9),$A$2:$N$313,14,FALSE)*VLOOKUP(CONCATENATE((COUNTIF($E$2:E9,E9)-1),"-",E9),$A$2:$N$313,13,FALSE)+K9)/M9)),"-x-")</f>
        <v>-x-</v>
      </c>
      <c r="O9" s="164" t="str">
        <f t="shared" si="5"/>
        <v>-</v>
      </c>
      <c r="P9" s="126"/>
      <c r="Q9" s="12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6.5">
      <c r="A10" s="156" t="str">
        <f t="shared" si="0"/>
        <v/>
      </c>
      <c r="B10" s="158"/>
      <c r="C10" s="159" t="str">
        <f t="shared" si="4"/>
        <v>-</v>
      </c>
      <c r="D10" s="160"/>
      <c r="E10" s="166"/>
      <c r="F10" s="167"/>
      <c r="G10" s="168">
        <v>0</v>
      </c>
      <c r="H10" s="168">
        <v>0</v>
      </c>
      <c r="I10" s="168">
        <v>0</v>
      </c>
      <c r="J10" s="161">
        <f t="shared" si="1"/>
        <v>0</v>
      </c>
      <c r="K10" s="161">
        <f t="shared" si="2"/>
        <v>0</v>
      </c>
      <c r="L10" s="161" t="str">
        <f t="shared" si="3"/>
        <v>-x-</v>
      </c>
      <c r="M10" s="162">
        <f>SUMIF($E$2:E10,E10,$F$2:F10)</f>
        <v>0</v>
      </c>
      <c r="N10" s="163" t="str">
        <f>IFERROR(IF(A10=CONCATENATE("1","-",E10),L10,
IF(O10="Venda",VLOOKUP(CONCATENATE((COUNTIF($E$2:E10,E10)-1),"-",E10),$A$2:$N$313,14,FALSE),(VLOOKUP(CONCATENATE((COUNTIF($E$2:E10,E10)-1),"-",E10),$A$2:$N$313,14,FALSE)*VLOOKUP(CONCATENATE((COUNTIF($E$2:E10,E10)-1),"-",E10),$A$2:$N$313,13,FALSE)+K10)/M10)),"-x-")</f>
        <v>-x-</v>
      </c>
      <c r="O10" s="164" t="str">
        <f t="shared" si="5"/>
        <v>-</v>
      </c>
      <c r="P10" s="126"/>
      <c r="Q10" s="12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6.5">
      <c r="A11" s="156" t="str">
        <f t="shared" si="0"/>
        <v/>
      </c>
      <c r="B11" s="158"/>
      <c r="C11" s="159" t="str">
        <f t="shared" si="4"/>
        <v>-</v>
      </c>
      <c r="D11" s="160"/>
      <c r="E11" s="166"/>
      <c r="F11" s="167"/>
      <c r="G11" s="168">
        <v>0</v>
      </c>
      <c r="H11" s="168">
        <v>0</v>
      </c>
      <c r="I11" s="168">
        <v>0</v>
      </c>
      <c r="J11" s="161">
        <f t="shared" si="1"/>
        <v>0</v>
      </c>
      <c r="K11" s="161">
        <f t="shared" si="2"/>
        <v>0</v>
      </c>
      <c r="L11" s="161" t="str">
        <f t="shared" si="3"/>
        <v>-x-</v>
      </c>
      <c r="M11" s="162">
        <f>SUMIF($E$2:E11,E11,$F$2:F11)</f>
        <v>0</v>
      </c>
      <c r="N11" s="163" t="str">
        <f>IFERROR(IF(A11=CONCATENATE("1","-",E11),L11,
IF(O11="Venda",VLOOKUP(CONCATENATE((COUNTIF($E$2:E11,E11)-1),"-",E11),$A$2:$N$313,14,FALSE),(VLOOKUP(CONCATENATE((COUNTIF($E$2:E11,E11)-1),"-",E11),$A$2:$N$313,14,FALSE)*VLOOKUP(CONCATENATE((COUNTIF($E$2:E11,E11)-1),"-",E11),$A$2:$N$313,13,FALSE)+K11)/M11)),"-x-")</f>
        <v>-x-</v>
      </c>
      <c r="O11" s="164" t="str">
        <f t="shared" si="5"/>
        <v>-</v>
      </c>
      <c r="P11" s="126"/>
      <c r="Q11" s="129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6.5">
      <c r="A12" s="156" t="str">
        <f t="shared" si="0"/>
        <v/>
      </c>
      <c r="B12" s="158"/>
      <c r="C12" s="159" t="str">
        <f t="shared" si="4"/>
        <v>-</v>
      </c>
      <c r="D12" s="160"/>
      <c r="E12" s="166"/>
      <c r="F12" s="167"/>
      <c r="G12" s="168">
        <v>0</v>
      </c>
      <c r="H12" s="168">
        <v>0</v>
      </c>
      <c r="I12" s="168">
        <v>0</v>
      </c>
      <c r="J12" s="161">
        <f t="shared" si="1"/>
        <v>0</v>
      </c>
      <c r="K12" s="161">
        <f t="shared" si="2"/>
        <v>0</v>
      </c>
      <c r="L12" s="161" t="str">
        <f t="shared" si="3"/>
        <v>-x-</v>
      </c>
      <c r="M12" s="162">
        <f>SUMIF($E$2:E12,E12,$F$2:F12)</f>
        <v>0</v>
      </c>
      <c r="N12" s="163" t="str">
        <f>IFERROR(IF(A12=CONCATENATE("1","-",E12),L12,
IF(O12="Venda",VLOOKUP(CONCATENATE((COUNTIF($E$2:E12,E12)-1),"-",E12),$A$2:$N$313,14,FALSE),(VLOOKUP(CONCATENATE((COUNTIF($E$2:E12,E12)-1),"-",E12),$A$2:$N$313,14,FALSE)*VLOOKUP(CONCATENATE((COUNTIF($E$2:E12,E12)-1),"-",E12),$A$2:$N$313,13,FALSE)+K12)/M12)),"-x-")</f>
        <v>-x-</v>
      </c>
      <c r="O12" s="164" t="str">
        <f t="shared" si="5"/>
        <v>-</v>
      </c>
      <c r="P12" s="126"/>
      <c r="Q12" s="129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6.5">
      <c r="A13" s="156" t="str">
        <f t="shared" si="0"/>
        <v/>
      </c>
      <c r="B13" s="158"/>
      <c r="C13" s="159" t="str">
        <f t="shared" si="4"/>
        <v>-</v>
      </c>
      <c r="D13" s="160"/>
      <c r="E13" s="166"/>
      <c r="F13" s="167"/>
      <c r="G13" s="168">
        <v>0</v>
      </c>
      <c r="H13" s="168">
        <v>0</v>
      </c>
      <c r="I13" s="168">
        <v>0</v>
      </c>
      <c r="J13" s="161">
        <f t="shared" si="1"/>
        <v>0</v>
      </c>
      <c r="K13" s="161">
        <f t="shared" si="2"/>
        <v>0</v>
      </c>
      <c r="L13" s="161" t="str">
        <f t="shared" si="3"/>
        <v>-x-</v>
      </c>
      <c r="M13" s="162">
        <f>SUMIF($E$2:E13,E13,$F$2:F13)</f>
        <v>0</v>
      </c>
      <c r="N13" s="163" t="str">
        <f>IFERROR(IF(A13=CONCATENATE("1","-",E13),L13,
IF(O13="Venda",VLOOKUP(CONCATENATE((COUNTIF($E$2:E13,E13)-1),"-",E13),$A$2:$N$313,14,FALSE),(VLOOKUP(CONCATENATE((COUNTIF($E$2:E13,E13)-1),"-",E13),$A$2:$N$313,14,FALSE)*VLOOKUP(CONCATENATE((COUNTIF($E$2:E13,E13)-1),"-",E13),$A$2:$N$313,13,FALSE)+K13)/M13)),"-x-")</f>
        <v>-x-</v>
      </c>
      <c r="O13" s="164" t="str">
        <f t="shared" si="5"/>
        <v>-</v>
      </c>
      <c r="P13" s="126"/>
      <c r="Q13" s="12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6.5">
      <c r="A14" s="156" t="str">
        <f t="shared" si="0"/>
        <v/>
      </c>
      <c r="B14" s="158"/>
      <c r="C14" s="159" t="str">
        <f t="shared" si="4"/>
        <v>-</v>
      </c>
      <c r="D14" s="160"/>
      <c r="E14" s="166"/>
      <c r="F14" s="167"/>
      <c r="G14" s="168">
        <v>0</v>
      </c>
      <c r="H14" s="168">
        <v>0</v>
      </c>
      <c r="I14" s="168">
        <v>0</v>
      </c>
      <c r="J14" s="161">
        <f t="shared" si="1"/>
        <v>0</v>
      </c>
      <c r="K14" s="161">
        <f t="shared" si="2"/>
        <v>0</v>
      </c>
      <c r="L14" s="161" t="str">
        <f t="shared" si="3"/>
        <v>-x-</v>
      </c>
      <c r="M14" s="162">
        <f>SUMIF($E$2:E14,E14,$F$2:F14)</f>
        <v>0</v>
      </c>
      <c r="N14" s="163" t="str">
        <f>IFERROR(IF(A14=CONCATENATE("1","-",E14),L14,
IF(O14="Venda",VLOOKUP(CONCATENATE((COUNTIF($E$2:E14,E14)-1),"-",E14),$A$2:$N$313,14,FALSE),(VLOOKUP(CONCATENATE((COUNTIF($E$2:E14,E14)-1),"-",E14),$A$2:$N$313,14,FALSE)*VLOOKUP(CONCATENATE((COUNTIF($E$2:E14,E14)-1),"-",E14),$A$2:$N$313,13,FALSE)+K14)/M14)),"-x-")</f>
        <v>-x-</v>
      </c>
      <c r="O14" s="164" t="str">
        <f t="shared" si="5"/>
        <v>-</v>
      </c>
      <c r="P14" s="126"/>
      <c r="Q14" s="12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6.5">
      <c r="A15" s="156" t="str">
        <f t="shared" si="0"/>
        <v/>
      </c>
      <c r="B15" s="158"/>
      <c r="C15" s="159" t="str">
        <f t="shared" si="4"/>
        <v>-</v>
      </c>
      <c r="D15" s="160"/>
      <c r="E15" s="166"/>
      <c r="F15" s="167"/>
      <c r="G15" s="168">
        <v>0</v>
      </c>
      <c r="H15" s="168">
        <v>0</v>
      </c>
      <c r="I15" s="168">
        <v>0</v>
      </c>
      <c r="J15" s="161">
        <f t="shared" si="1"/>
        <v>0</v>
      </c>
      <c r="K15" s="161">
        <f t="shared" si="2"/>
        <v>0</v>
      </c>
      <c r="L15" s="161" t="str">
        <f t="shared" si="3"/>
        <v>-x-</v>
      </c>
      <c r="M15" s="162">
        <f>SUMIF($E$2:E15,E15,$F$2:F15)</f>
        <v>0</v>
      </c>
      <c r="N15" s="163" t="str">
        <f>IFERROR(IF(A15=CONCATENATE("1","-",E15),L15,
IF(O15="Venda",VLOOKUP(CONCATENATE((COUNTIF($E$2:E15,E15)-1),"-",E15),$A$2:$N$313,14,FALSE),(VLOOKUP(CONCATENATE((COUNTIF($E$2:E15,E15)-1),"-",E15),$A$2:$N$313,14,FALSE)*VLOOKUP(CONCATENATE((COUNTIF($E$2:E15,E15)-1),"-",E15),$A$2:$N$313,13,FALSE)+K15)/M15)),"-x-")</f>
        <v>-x-</v>
      </c>
      <c r="O15" s="164" t="str">
        <f t="shared" si="5"/>
        <v>-</v>
      </c>
      <c r="P15" s="126"/>
      <c r="Q15" s="12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6.5">
      <c r="A16" s="156" t="str">
        <f t="shared" si="0"/>
        <v/>
      </c>
      <c r="B16" s="158"/>
      <c r="C16" s="159" t="str">
        <f t="shared" si="4"/>
        <v>-</v>
      </c>
      <c r="D16" s="160"/>
      <c r="E16" s="166"/>
      <c r="F16" s="167"/>
      <c r="G16" s="168">
        <v>0</v>
      </c>
      <c r="H16" s="168">
        <v>0</v>
      </c>
      <c r="I16" s="168">
        <v>0</v>
      </c>
      <c r="J16" s="161">
        <f t="shared" si="1"/>
        <v>0</v>
      </c>
      <c r="K16" s="161">
        <f t="shared" si="2"/>
        <v>0</v>
      </c>
      <c r="L16" s="161" t="str">
        <f t="shared" si="3"/>
        <v>-x-</v>
      </c>
      <c r="M16" s="162">
        <f>SUMIF($E$2:E16,E16,$F$2:F16)</f>
        <v>0</v>
      </c>
      <c r="N16" s="163" t="str">
        <f>IFERROR(IF(A16=CONCATENATE("1","-",E16),L16,
IF(O16="Venda",VLOOKUP(CONCATENATE((COUNTIF($E$2:E16,E16)-1),"-",E16),$A$2:$N$313,14,FALSE),(VLOOKUP(CONCATENATE((COUNTIF($E$2:E16,E16)-1),"-",E16),$A$2:$N$313,14,FALSE)*VLOOKUP(CONCATENATE((COUNTIF($E$2:E16,E16)-1),"-",E16),$A$2:$N$313,13,FALSE)+K16)/M16)),"-x-")</f>
        <v>-x-</v>
      </c>
      <c r="O16" s="164" t="str">
        <f t="shared" si="5"/>
        <v>-</v>
      </c>
      <c r="P16" s="126"/>
      <c r="Q16" s="12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customHeight="1">
      <c r="A17" s="156" t="str">
        <f t="shared" si="0"/>
        <v/>
      </c>
      <c r="B17" s="165"/>
      <c r="C17" s="159" t="str">
        <f t="shared" si="4"/>
        <v>-</v>
      </c>
      <c r="D17" s="160"/>
      <c r="E17" s="169"/>
      <c r="F17" s="170"/>
      <c r="G17" s="171">
        <v>0</v>
      </c>
      <c r="H17" s="168">
        <v>0</v>
      </c>
      <c r="I17" s="171">
        <v>0</v>
      </c>
      <c r="J17" s="161">
        <f t="shared" si="1"/>
        <v>0</v>
      </c>
      <c r="K17" s="161">
        <f t="shared" si="2"/>
        <v>0</v>
      </c>
      <c r="L17" s="161" t="str">
        <f t="shared" si="3"/>
        <v>-x-</v>
      </c>
      <c r="M17" s="162">
        <f>SUMIF($E$2:E17,E17,$F$2:F17)</f>
        <v>0</v>
      </c>
      <c r="N17" s="163" t="str">
        <f>IFERROR(IF(A17=CONCATENATE("1","-",E17),L17,
IF(O17="Venda",VLOOKUP(CONCATENATE((COUNTIF($E$2:E17,E17)-1),"-",E17),$A$2:$N$313,14,FALSE),(VLOOKUP(CONCATENATE((COUNTIF($E$2:E17,E17)-1),"-",E17),$A$2:$N$313,14,FALSE)*VLOOKUP(CONCATENATE((COUNTIF($E$2:E17,E17)-1),"-",E17),$A$2:$N$313,13,FALSE)+K17)/M17)),"-x-")</f>
        <v>-x-</v>
      </c>
      <c r="O17" s="164" t="str">
        <f t="shared" si="5"/>
        <v>-</v>
      </c>
      <c r="P17" s="126"/>
      <c r="Q17" s="12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>
      <c r="A18" s="156" t="str">
        <f t="shared" si="0"/>
        <v/>
      </c>
      <c r="B18" s="165"/>
      <c r="C18" s="159" t="str">
        <f t="shared" si="4"/>
        <v>-</v>
      </c>
      <c r="D18" s="160"/>
      <c r="E18" s="169"/>
      <c r="F18" s="170"/>
      <c r="G18" s="171">
        <v>0</v>
      </c>
      <c r="H18" s="168">
        <v>0</v>
      </c>
      <c r="I18" s="171">
        <v>0</v>
      </c>
      <c r="J18" s="161">
        <f t="shared" si="1"/>
        <v>0</v>
      </c>
      <c r="K18" s="161">
        <f t="shared" si="2"/>
        <v>0</v>
      </c>
      <c r="L18" s="161" t="str">
        <f t="shared" si="3"/>
        <v>-x-</v>
      </c>
      <c r="M18" s="162">
        <f>SUMIF($E$2:E18,E18,$F$2:F18)</f>
        <v>0</v>
      </c>
      <c r="N18" s="163" t="str">
        <f>IFERROR(IF(A18=CONCATENATE("1","-",E18),L18,
IF(O18="Venda",VLOOKUP(CONCATENATE((COUNTIF($E$2:E18,E18)-1),"-",E18),$A$2:$N$313,14,FALSE),(VLOOKUP(CONCATENATE((COUNTIF($E$2:E18,E18)-1),"-",E18),$A$2:$N$313,14,FALSE)*VLOOKUP(CONCATENATE((COUNTIF($E$2:E18,E18)-1),"-",E18),$A$2:$N$313,13,FALSE)+K18)/M18)),"-x-")</f>
        <v>-x-</v>
      </c>
      <c r="O18" s="164" t="str">
        <f t="shared" si="5"/>
        <v>-</v>
      </c>
      <c r="P18" s="126"/>
      <c r="Q18" s="12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>
      <c r="A19" s="156" t="str">
        <f t="shared" si="0"/>
        <v/>
      </c>
      <c r="B19" s="165"/>
      <c r="C19" s="159" t="str">
        <f t="shared" si="4"/>
        <v>-</v>
      </c>
      <c r="D19" s="160"/>
      <c r="E19" s="169"/>
      <c r="F19" s="170"/>
      <c r="G19" s="171">
        <v>0</v>
      </c>
      <c r="H19" s="168">
        <v>0</v>
      </c>
      <c r="I19" s="171">
        <v>0</v>
      </c>
      <c r="J19" s="161">
        <f t="shared" si="1"/>
        <v>0</v>
      </c>
      <c r="K19" s="161">
        <f t="shared" si="2"/>
        <v>0</v>
      </c>
      <c r="L19" s="161" t="str">
        <f t="shared" si="3"/>
        <v>-x-</v>
      </c>
      <c r="M19" s="162">
        <f>SUMIF($E$2:E19,E19,$F$2:F19)</f>
        <v>0</v>
      </c>
      <c r="N19" s="163" t="str">
        <f>IFERROR(IF(A19=CONCATENATE("1","-",E19),L19,
IF(O19="Venda",VLOOKUP(CONCATENATE((COUNTIF($E$2:E19,E19)-1),"-",E19),$A$2:$N$313,14,FALSE),(VLOOKUP(CONCATENATE((COUNTIF($E$2:E19,E19)-1),"-",E19),$A$2:$N$313,14,FALSE)*VLOOKUP(CONCATENATE((COUNTIF($E$2:E19,E19)-1),"-",E19),$A$2:$N$313,13,FALSE)+K19)/M19)),"-x-")</f>
        <v>-x-</v>
      </c>
      <c r="O19" s="164" t="str">
        <f t="shared" si="5"/>
        <v>-</v>
      </c>
      <c r="P19" s="126"/>
      <c r="Q19" s="12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>
      <c r="A20" s="156" t="str">
        <f t="shared" si="0"/>
        <v/>
      </c>
      <c r="B20" s="165"/>
      <c r="C20" s="159" t="str">
        <f t="shared" si="4"/>
        <v>-</v>
      </c>
      <c r="D20" s="160"/>
      <c r="E20" s="169"/>
      <c r="F20" s="170"/>
      <c r="G20" s="171">
        <v>0</v>
      </c>
      <c r="H20" s="168">
        <v>0</v>
      </c>
      <c r="I20" s="171">
        <v>0</v>
      </c>
      <c r="J20" s="161">
        <f t="shared" si="1"/>
        <v>0</v>
      </c>
      <c r="K20" s="161">
        <f t="shared" si="2"/>
        <v>0</v>
      </c>
      <c r="L20" s="161" t="str">
        <f t="shared" si="3"/>
        <v>-x-</v>
      </c>
      <c r="M20" s="162">
        <f>SUMIF($E$2:E20,E20,$F$2:F20)</f>
        <v>0</v>
      </c>
      <c r="N20" s="163" t="str">
        <f>IFERROR(IF(A20=CONCATENATE("1","-",E20),L20,
IF(O20="Venda",VLOOKUP(CONCATENATE((COUNTIF($E$2:E20,E20)-1),"-",E20),$A$2:$N$313,14,FALSE),(VLOOKUP(CONCATENATE((COUNTIF($E$2:E20,E20)-1),"-",E20),$A$2:$N$313,14,FALSE)*VLOOKUP(CONCATENATE((COUNTIF($E$2:E20,E20)-1),"-",E20),$A$2:$N$313,13,FALSE)+K20)/M20)),"-x-")</f>
        <v>-x-</v>
      </c>
      <c r="O20" s="164" t="str">
        <f t="shared" si="5"/>
        <v>-</v>
      </c>
      <c r="P20" s="126"/>
      <c r="Q20" s="1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customHeight="1">
      <c r="A21" s="156" t="str">
        <f t="shared" si="0"/>
        <v/>
      </c>
      <c r="B21" s="165"/>
      <c r="C21" s="159" t="str">
        <f t="shared" si="4"/>
        <v>-</v>
      </c>
      <c r="D21" s="160"/>
      <c r="E21" s="169"/>
      <c r="F21" s="170"/>
      <c r="G21" s="171">
        <v>0</v>
      </c>
      <c r="H21" s="168">
        <v>0</v>
      </c>
      <c r="I21" s="171">
        <v>0</v>
      </c>
      <c r="J21" s="161">
        <f t="shared" si="1"/>
        <v>0</v>
      </c>
      <c r="K21" s="161">
        <f t="shared" si="2"/>
        <v>0</v>
      </c>
      <c r="L21" s="161" t="str">
        <f t="shared" si="3"/>
        <v>-x-</v>
      </c>
      <c r="M21" s="162">
        <f>SUMIF($E$2:E21,E21,$F$2:F21)</f>
        <v>0</v>
      </c>
      <c r="N21" s="163" t="str">
        <f>IFERROR(IF(A21=CONCATENATE("1","-",E21),L21,
IF(O21="Venda",VLOOKUP(CONCATENATE((COUNTIF($E$2:E21,E21)-1),"-",E21),$A$2:$N$313,14,FALSE),(VLOOKUP(CONCATENATE((COUNTIF($E$2:E21,E21)-1),"-",E21),$A$2:$N$313,14,FALSE)*VLOOKUP(CONCATENATE((COUNTIF($E$2:E21,E21)-1),"-",E21),$A$2:$N$313,13,FALSE)+K21)/M21)),"-x-")</f>
        <v>-x-</v>
      </c>
      <c r="O21" s="164" t="str">
        <f t="shared" si="5"/>
        <v>-</v>
      </c>
      <c r="P21" s="126"/>
      <c r="Q21" s="12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>
      <c r="A22" s="156" t="str">
        <f t="shared" si="0"/>
        <v/>
      </c>
      <c r="B22" s="165"/>
      <c r="C22" s="159" t="str">
        <f t="shared" si="4"/>
        <v>-</v>
      </c>
      <c r="D22" s="160"/>
      <c r="E22" s="169"/>
      <c r="F22" s="170"/>
      <c r="G22" s="171">
        <v>0</v>
      </c>
      <c r="H22" s="168">
        <v>0</v>
      </c>
      <c r="I22" s="171">
        <v>0</v>
      </c>
      <c r="J22" s="161">
        <f t="shared" si="1"/>
        <v>0</v>
      </c>
      <c r="K22" s="161">
        <f t="shared" si="2"/>
        <v>0</v>
      </c>
      <c r="L22" s="161" t="str">
        <f t="shared" si="3"/>
        <v>-x-</v>
      </c>
      <c r="M22" s="162">
        <f>SUMIF($E$2:E22,E22,$F$2:F22)</f>
        <v>0</v>
      </c>
      <c r="N22" s="163" t="str">
        <f>IFERROR(IF(A22=CONCATENATE("1","-",E22),L22,
IF(O22="Venda",VLOOKUP(CONCATENATE((COUNTIF($E$2:E22,E22)-1),"-",E22),$A$2:$N$313,14,FALSE),(VLOOKUP(CONCATENATE((COUNTIF($E$2:E22,E22)-1),"-",E22),$A$2:$N$313,14,FALSE)*VLOOKUP(CONCATENATE((COUNTIF($E$2:E22,E22)-1),"-",E22),$A$2:$N$313,13,FALSE)+K22)/M22)),"-x-")</f>
        <v>-x-</v>
      </c>
      <c r="O22" s="164" t="str">
        <f t="shared" si="5"/>
        <v>-</v>
      </c>
      <c r="P22" s="126"/>
      <c r="Q22" s="12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customHeight="1">
      <c r="A23" s="156" t="str">
        <f t="shared" si="0"/>
        <v/>
      </c>
      <c r="B23" s="165"/>
      <c r="C23" s="159" t="str">
        <f t="shared" si="4"/>
        <v>-</v>
      </c>
      <c r="D23" s="160"/>
      <c r="E23" s="169"/>
      <c r="F23" s="170"/>
      <c r="G23" s="171">
        <v>0</v>
      </c>
      <c r="H23" s="168">
        <v>0</v>
      </c>
      <c r="I23" s="171">
        <v>0</v>
      </c>
      <c r="J23" s="161">
        <f t="shared" si="1"/>
        <v>0</v>
      </c>
      <c r="K23" s="161">
        <f t="shared" si="2"/>
        <v>0</v>
      </c>
      <c r="L23" s="161" t="str">
        <f t="shared" si="3"/>
        <v>-x-</v>
      </c>
      <c r="M23" s="162">
        <f>SUMIF($E$2:E23,E23,$F$2:F23)</f>
        <v>0</v>
      </c>
      <c r="N23" s="163" t="str">
        <f>IFERROR(IF(A23=CONCATENATE("1","-",E23),L23,
IF(O23="Venda",VLOOKUP(CONCATENATE((COUNTIF($E$2:E23,E23)-1),"-",E23),$A$2:$N$313,14,FALSE),(VLOOKUP(CONCATENATE((COUNTIF($E$2:E23,E23)-1),"-",E23),$A$2:$N$313,14,FALSE)*VLOOKUP(CONCATENATE((COUNTIF($E$2:E23,E23)-1),"-",E23),$A$2:$N$313,13,FALSE)+K23)/M23)),"-x-")</f>
        <v>-x-</v>
      </c>
      <c r="O23" s="164" t="str">
        <f t="shared" si="5"/>
        <v>-</v>
      </c>
      <c r="P23" s="126"/>
      <c r="Q23" s="12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customHeight="1">
      <c r="A24" s="156" t="str">
        <f t="shared" si="0"/>
        <v/>
      </c>
      <c r="B24" s="165"/>
      <c r="C24" s="159" t="str">
        <f t="shared" si="4"/>
        <v>-</v>
      </c>
      <c r="D24" s="160"/>
      <c r="E24" s="169"/>
      <c r="F24" s="170"/>
      <c r="G24" s="171">
        <v>0</v>
      </c>
      <c r="H24" s="168">
        <v>0</v>
      </c>
      <c r="I24" s="171">
        <v>0</v>
      </c>
      <c r="J24" s="161">
        <f t="shared" si="1"/>
        <v>0</v>
      </c>
      <c r="K24" s="161">
        <f t="shared" si="2"/>
        <v>0</v>
      </c>
      <c r="L24" s="161" t="str">
        <f t="shared" si="3"/>
        <v>-x-</v>
      </c>
      <c r="M24" s="162">
        <f>SUMIF($E$2:E24,E24,$F$2:F24)</f>
        <v>0</v>
      </c>
      <c r="N24" s="163" t="str">
        <f>IFERROR(IF(A24=CONCATENATE("1","-",E24),L24,
IF(O24="Venda",VLOOKUP(CONCATENATE((COUNTIF($E$2:E24,E24)-1),"-",E24),$A$2:$N$313,14,FALSE),(VLOOKUP(CONCATENATE((COUNTIF($E$2:E24,E24)-1),"-",E24),$A$2:$N$313,14,FALSE)*VLOOKUP(CONCATENATE((COUNTIF($E$2:E24,E24)-1),"-",E24),$A$2:$N$313,13,FALSE)+K24)/M24)),"-x-")</f>
        <v>-x-</v>
      </c>
      <c r="O24" s="164" t="str">
        <f t="shared" si="5"/>
        <v>-</v>
      </c>
      <c r="P24" s="126"/>
      <c r="Q24" s="12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customHeight="1">
      <c r="A25" s="156" t="str">
        <f t="shared" si="0"/>
        <v/>
      </c>
      <c r="B25" s="165"/>
      <c r="C25" s="159" t="str">
        <f t="shared" si="4"/>
        <v>-</v>
      </c>
      <c r="D25" s="160"/>
      <c r="E25" s="169"/>
      <c r="F25" s="170"/>
      <c r="G25" s="171">
        <v>0</v>
      </c>
      <c r="H25" s="168">
        <v>0</v>
      </c>
      <c r="I25" s="171">
        <v>0</v>
      </c>
      <c r="J25" s="161">
        <f t="shared" si="1"/>
        <v>0</v>
      </c>
      <c r="K25" s="161">
        <f t="shared" si="2"/>
        <v>0</v>
      </c>
      <c r="L25" s="161" t="str">
        <f t="shared" si="3"/>
        <v>-x-</v>
      </c>
      <c r="M25" s="162">
        <f>SUMIF($E$2:E25,E25,$F$2:F25)</f>
        <v>0</v>
      </c>
      <c r="N25" s="163" t="str">
        <f>IFERROR(IF(A25=CONCATENATE("1","-",E25),L25,
IF(O25="Venda",VLOOKUP(CONCATENATE((COUNTIF($E$2:E25,E25)-1),"-",E25),$A$2:$N$313,14,FALSE),(VLOOKUP(CONCATENATE((COUNTIF($E$2:E25,E25)-1),"-",E25),$A$2:$N$313,14,FALSE)*VLOOKUP(CONCATENATE((COUNTIF($E$2:E25,E25)-1),"-",E25),$A$2:$N$313,13,FALSE)+K25)/M25)),"-x-")</f>
        <v>-x-</v>
      </c>
      <c r="O25" s="164" t="str">
        <f t="shared" si="5"/>
        <v>-</v>
      </c>
      <c r="P25" s="126"/>
      <c r="Q25" s="12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156" t="str">
        <f t="shared" si="0"/>
        <v/>
      </c>
      <c r="B26" s="165"/>
      <c r="C26" s="159" t="str">
        <f t="shared" si="4"/>
        <v>-</v>
      </c>
      <c r="D26" s="160"/>
      <c r="E26" s="169"/>
      <c r="F26" s="170"/>
      <c r="G26" s="171">
        <v>0</v>
      </c>
      <c r="H26" s="168">
        <v>0</v>
      </c>
      <c r="I26" s="171">
        <v>0</v>
      </c>
      <c r="J26" s="161">
        <f t="shared" si="1"/>
        <v>0</v>
      </c>
      <c r="K26" s="161">
        <f t="shared" si="2"/>
        <v>0</v>
      </c>
      <c r="L26" s="161" t="str">
        <f t="shared" si="3"/>
        <v>-x-</v>
      </c>
      <c r="M26" s="162">
        <f>SUMIF($E$2:E26,E26,$F$2:F26)</f>
        <v>0</v>
      </c>
      <c r="N26" s="163" t="str">
        <f>IFERROR(IF(A26=CONCATENATE("1","-",E26),L26,
IF(O26="Venda",VLOOKUP(CONCATENATE((COUNTIF($E$2:E26,E26)-1),"-",E26),$A$2:$N$313,14,FALSE),(VLOOKUP(CONCATENATE((COUNTIF($E$2:E26,E26)-1),"-",E26),$A$2:$N$313,14,FALSE)*VLOOKUP(CONCATENATE((COUNTIF($E$2:E26,E26)-1),"-",E26),$A$2:$N$313,13,FALSE)+K26)/M26)),"-x-")</f>
        <v>-x-</v>
      </c>
      <c r="O26" s="164" t="str">
        <f t="shared" si="5"/>
        <v>-</v>
      </c>
      <c r="P26" s="126"/>
      <c r="Q26" s="12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>
      <c r="A27" s="156" t="str">
        <f t="shared" si="0"/>
        <v/>
      </c>
      <c r="B27" s="165"/>
      <c r="C27" s="159" t="str">
        <f t="shared" si="4"/>
        <v>-</v>
      </c>
      <c r="D27" s="160"/>
      <c r="E27" s="169"/>
      <c r="F27" s="170"/>
      <c r="G27" s="171">
        <v>0</v>
      </c>
      <c r="H27" s="168">
        <v>0</v>
      </c>
      <c r="I27" s="171">
        <v>0</v>
      </c>
      <c r="J27" s="161">
        <f t="shared" si="1"/>
        <v>0</v>
      </c>
      <c r="K27" s="161">
        <f t="shared" si="2"/>
        <v>0</v>
      </c>
      <c r="L27" s="161" t="str">
        <f t="shared" si="3"/>
        <v>-x-</v>
      </c>
      <c r="M27" s="162">
        <f>SUMIF($E$2:E27,E27,$F$2:F27)</f>
        <v>0</v>
      </c>
      <c r="N27" s="163" t="str">
        <f>IFERROR(IF(A27=CONCATENATE("1","-",E27),L27,
IF(O27="Venda",VLOOKUP(CONCATENATE((COUNTIF($E$2:E27,E27)-1),"-",E27),$A$2:$N$313,14,FALSE),(VLOOKUP(CONCATENATE((COUNTIF($E$2:E27,E27)-1),"-",E27),$A$2:$N$313,14,FALSE)*VLOOKUP(CONCATENATE((COUNTIF($E$2:E27,E27)-1),"-",E27),$A$2:$N$313,13,FALSE)+K27)/M27)),"-x-")</f>
        <v>-x-</v>
      </c>
      <c r="O27" s="164" t="str">
        <f t="shared" si="5"/>
        <v>-</v>
      </c>
      <c r="P27" s="126"/>
      <c r="Q27" s="12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>
      <c r="A28" s="156" t="str">
        <f t="shared" si="0"/>
        <v/>
      </c>
      <c r="B28" s="165"/>
      <c r="C28" s="159" t="str">
        <f t="shared" si="4"/>
        <v>-</v>
      </c>
      <c r="D28" s="160"/>
      <c r="E28" s="169"/>
      <c r="F28" s="170"/>
      <c r="G28" s="171">
        <v>0</v>
      </c>
      <c r="H28" s="168">
        <v>0</v>
      </c>
      <c r="I28" s="171">
        <v>0</v>
      </c>
      <c r="J28" s="161">
        <f t="shared" si="1"/>
        <v>0</v>
      </c>
      <c r="K28" s="161">
        <f t="shared" si="2"/>
        <v>0</v>
      </c>
      <c r="L28" s="161" t="str">
        <f t="shared" si="3"/>
        <v>-x-</v>
      </c>
      <c r="M28" s="162">
        <f>SUMIF($E$2:E28,E28,$F$2:F28)</f>
        <v>0</v>
      </c>
      <c r="N28" s="163" t="str">
        <f>IFERROR(IF(A28=CONCATENATE("1","-",E28),L28,
IF(O28="Venda",VLOOKUP(CONCATENATE((COUNTIF($E$2:E28,E28)-1),"-",E28),$A$2:$N$313,14,FALSE),(VLOOKUP(CONCATENATE((COUNTIF($E$2:E28,E28)-1),"-",E28),$A$2:$N$313,14,FALSE)*VLOOKUP(CONCATENATE((COUNTIF($E$2:E28,E28)-1),"-",E28),$A$2:$N$313,13,FALSE)+K28)/M28)),"-x-")</f>
        <v>-x-</v>
      </c>
      <c r="O28" s="164" t="str">
        <f t="shared" si="5"/>
        <v>-</v>
      </c>
      <c r="P28" s="126"/>
      <c r="Q28" s="12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>
      <c r="A29" s="156" t="str">
        <f t="shared" si="0"/>
        <v/>
      </c>
      <c r="B29" s="165"/>
      <c r="C29" s="159" t="str">
        <f t="shared" si="4"/>
        <v>-</v>
      </c>
      <c r="D29" s="160"/>
      <c r="E29" s="169"/>
      <c r="F29" s="170"/>
      <c r="G29" s="171">
        <v>0</v>
      </c>
      <c r="H29" s="168">
        <v>0</v>
      </c>
      <c r="I29" s="171">
        <v>0</v>
      </c>
      <c r="J29" s="161">
        <f t="shared" si="1"/>
        <v>0</v>
      </c>
      <c r="K29" s="161">
        <f t="shared" si="2"/>
        <v>0</v>
      </c>
      <c r="L29" s="161" t="str">
        <f t="shared" si="3"/>
        <v>-x-</v>
      </c>
      <c r="M29" s="162">
        <f>SUMIF($E$2:E29,E29,$F$2:F29)</f>
        <v>0</v>
      </c>
      <c r="N29" s="163" t="str">
        <f>IFERROR(IF(A29=CONCATENATE("1","-",E29),L29,
IF(O29="Venda",VLOOKUP(CONCATENATE((COUNTIF($E$2:E29,E29)-1),"-",E29),$A$2:$N$313,14,FALSE),(VLOOKUP(CONCATENATE((COUNTIF($E$2:E29,E29)-1),"-",E29),$A$2:$N$313,14,FALSE)*VLOOKUP(CONCATENATE((COUNTIF($E$2:E29,E29)-1),"-",E29),$A$2:$N$313,13,FALSE)+K29)/M29)),"-x-")</f>
        <v>-x-</v>
      </c>
      <c r="O29" s="164" t="str">
        <f t="shared" si="5"/>
        <v>-</v>
      </c>
      <c r="P29" s="126"/>
      <c r="Q29" s="12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customHeight="1">
      <c r="A30" s="156" t="str">
        <f t="shared" si="0"/>
        <v/>
      </c>
      <c r="B30" s="165"/>
      <c r="C30" s="159" t="str">
        <f t="shared" si="4"/>
        <v>-</v>
      </c>
      <c r="D30" s="160"/>
      <c r="E30" s="169"/>
      <c r="F30" s="170"/>
      <c r="G30" s="171">
        <v>0</v>
      </c>
      <c r="H30" s="168">
        <v>0</v>
      </c>
      <c r="I30" s="171">
        <v>0</v>
      </c>
      <c r="J30" s="161">
        <f t="shared" si="1"/>
        <v>0</v>
      </c>
      <c r="K30" s="161">
        <f t="shared" si="2"/>
        <v>0</v>
      </c>
      <c r="L30" s="161" t="str">
        <f t="shared" si="3"/>
        <v>-x-</v>
      </c>
      <c r="M30" s="162">
        <f>SUMIF($E$2:E30,E30,$F$2:F30)</f>
        <v>0</v>
      </c>
      <c r="N30" s="163" t="str">
        <f>IFERROR(IF(A30=CONCATENATE("1","-",E30),L30,
IF(O30="Venda",VLOOKUP(CONCATENATE((COUNTIF($E$2:E30,E30)-1),"-",E30),$A$2:$N$313,14,FALSE),(VLOOKUP(CONCATENATE((COUNTIF($E$2:E30,E30)-1),"-",E30),$A$2:$N$313,14,FALSE)*VLOOKUP(CONCATENATE((COUNTIF($E$2:E30,E30)-1),"-",E30),$A$2:$N$313,13,FALSE)+K30)/M30)),"-x-")</f>
        <v>-x-</v>
      </c>
      <c r="O30" s="164" t="str">
        <f t="shared" si="5"/>
        <v>-</v>
      </c>
      <c r="P30" s="126"/>
      <c r="Q30" s="12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customHeight="1">
      <c r="A31" s="156" t="str">
        <f t="shared" si="0"/>
        <v/>
      </c>
      <c r="B31" s="165"/>
      <c r="C31" s="159" t="str">
        <f t="shared" si="4"/>
        <v>-</v>
      </c>
      <c r="D31" s="160"/>
      <c r="E31" s="169"/>
      <c r="F31" s="170"/>
      <c r="G31" s="171">
        <v>0</v>
      </c>
      <c r="H31" s="168">
        <v>0</v>
      </c>
      <c r="I31" s="171">
        <v>0</v>
      </c>
      <c r="J31" s="161">
        <f t="shared" si="1"/>
        <v>0</v>
      </c>
      <c r="K31" s="161">
        <f t="shared" si="2"/>
        <v>0</v>
      </c>
      <c r="L31" s="161" t="str">
        <f t="shared" si="3"/>
        <v>-x-</v>
      </c>
      <c r="M31" s="162">
        <f>SUMIF($E$2:E31,E31,$F$2:F31)</f>
        <v>0</v>
      </c>
      <c r="N31" s="163" t="str">
        <f>IFERROR(IF(A31=CONCATENATE("1","-",E31),L31,
IF(O31="Venda",VLOOKUP(CONCATENATE((COUNTIF($E$2:E31,E31)-1),"-",E31),$A$2:$N$313,14,FALSE),(VLOOKUP(CONCATENATE((COUNTIF($E$2:E31,E31)-1),"-",E31),$A$2:$N$313,14,FALSE)*VLOOKUP(CONCATENATE((COUNTIF($E$2:E31,E31)-1),"-",E31),$A$2:$N$313,13,FALSE)+K31)/M31)),"-x-")</f>
        <v>-x-</v>
      </c>
      <c r="O31" s="164" t="str">
        <f t="shared" si="5"/>
        <v>-</v>
      </c>
      <c r="P31" s="126"/>
      <c r="Q31" s="12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customHeight="1">
      <c r="A32" s="156" t="str">
        <f t="shared" si="0"/>
        <v/>
      </c>
      <c r="B32" s="165"/>
      <c r="C32" s="159" t="str">
        <f t="shared" si="4"/>
        <v>-</v>
      </c>
      <c r="D32" s="160"/>
      <c r="E32" s="169"/>
      <c r="F32" s="170"/>
      <c r="G32" s="171">
        <v>0</v>
      </c>
      <c r="H32" s="168">
        <v>0</v>
      </c>
      <c r="I32" s="171">
        <v>0</v>
      </c>
      <c r="J32" s="161">
        <f t="shared" si="1"/>
        <v>0</v>
      </c>
      <c r="K32" s="161">
        <f t="shared" si="2"/>
        <v>0</v>
      </c>
      <c r="L32" s="161" t="str">
        <f t="shared" si="3"/>
        <v>-x-</v>
      </c>
      <c r="M32" s="162">
        <f>SUMIF($E$2:E32,E32,$F$2:F32)</f>
        <v>0</v>
      </c>
      <c r="N32" s="163" t="str">
        <f>IFERROR(IF(A32=CONCATENATE("1","-",E32),L32,
IF(O32="Venda",VLOOKUP(CONCATENATE((COUNTIF($E$2:E32,E32)-1),"-",E32),$A$2:$N$313,14,FALSE),(VLOOKUP(CONCATENATE((COUNTIF($E$2:E32,E32)-1),"-",E32),$A$2:$N$313,14,FALSE)*VLOOKUP(CONCATENATE((COUNTIF($E$2:E32,E32)-1),"-",E32),$A$2:$N$313,13,FALSE)+K32)/M32)),"-x-")</f>
        <v>-x-</v>
      </c>
      <c r="O32" s="164" t="str">
        <f t="shared" si="5"/>
        <v>-</v>
      </c>
      <c r="P32" s="126"/>
      <c r="Q32" s="12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>
      <c r="A33" s="156" t="str">
        <f t="shared" si="0"/>
        <v/>
      </c>
      <c r="B33" s="165"/>
      <c r="C33" s="159" t="str">
        <f t="shared" si="4"/>
        <v>-</v>
      </c>
      <c r="D33" s="160"/>
      <c r="E33" s="169"/>
      <c r="F33" s="170"/>
      <c r="G33" s="171">
        <v>0</v>
      </c>
      <c r="H33" s="168">
        <v>0</v>
      </c>
      <c r="I33" s="171">
        <v>0</v>
      </c>
      <c r="J33" s="161">
        <f t="shared" si="1"/>
        <v>0</v>
      </c>
      <c r="K33" s="161">
        <f t="shared" si="2"/>
        <v>0</v>
      </c>
      <c r="L33" s="161" t="str">
        <f t="shared" si="3"/>
        <v>-x-</v>
      </c>
      <c r="M33" s="162">
        <f>SUMIF($E$2:E33,E33,$F$2:F33)</f>
        <v>0</v>
      </c>
      <c r="N33" s="163" t="str">
        <f>IFERROR(IF(A33=CONCATENATE("1","-",E33),L33,
IF(O33="Venda",VLOOKUP(CONCATENATE((COUNTIF($E$2:E33,E33)-1),"-",E33),$A$2:$N$313,14,FALSE),(VLOOKUP(CONCATENATE((COUNTIF($E$2:E33,E33)-1),"-",E33),$A$2:$N$313,14,FALSE)*VLOOKUP(CONCATENATE((COUNTIF($E$2:E33,E33)-1),"-",E33),$A$2:$N$313,13,FALSE)+K33)/M33)),"-x-")</f>
        <v>-x-</v>
      </c>
      <c r="O33" s="164" t="str">
        <f t="shared" si="5"/>
        <v>-</v>
      </c>
      <c r="P33" s="126"/>
      <c r="Q33" s="12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>
      <c r="A34" s="156" t="str">
        <f t="shared" si="0"/>
        <v/>
      </c>
      <c r="B34" s="165"/>
      <c r="C34" s="159" t="str">
        <f t="shared" si="4"/>
        <v>-</v>
      </c>
      <c r="D34" s="160"/>
      <c r="E34" s="169"/>
      <c r="F34" s="170"/>
      <c r="G34" s="171">
        <v>0</v>
      </c>
      <c r="H34" s="168">
        <v>0</v>
      </c>
      <c r="I34" s="171">
        <v>0</v>
      </c>
      <c r="J34" s="161">
        <f t="shared" si="1"/>
        <v>0</v>
      </c>
      <c r="K34" s="161">
        <f t="shared" si="2"/>
        <v>0</v>
      </c>
      <c r="L34" s="161" t="str">
        <f t="shared" si="3"/>
        <v>-x-</v>
      </c>
      <c r="M34" s="162">
        <f>SUMIF($E$2:E34,E34,$F$2:F34)</f>
        <v>0</v>
      </c>
      <c r="N34" s="163" t="str">
        <f>IFERROR(IF(A34=CONCATENATE("1","-",E34),L34,
IF(O34="Venda",VLOOKUP(CONCATENATE((COUNTIF($E$2:E34,E34)-1),"-",E34),$A$2:$N$313,14,FALSE),(VLOOKUP(CONCATENATE((COUNTIF($E$2:E34,E34)-1),"-",E34),$A$2:$N$313,14,FALSE)*VLOOKUP(CONCATENATE((COUNTIF($E$2:E34,E34)-1),"-",E34),$A$2:$N$313,13,FALSE)+K34)/M34)),"-x-")</f>
        <v>-x-</v>
      </c>
      <c r="O34" s="164" t="str">
        <f t="shared" si="5"/>
        <v>-</v>
      </c>
      <c r="P34" s="126"/>
      <c r="Q34" s="12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156" t="str">
        <f t="shared" si="0"/>
        <v/>
      </c>
      <c r="B35" s="165"/>
      <c r="C35" s="159" t="str">
        <f t="shared" si="4"/>
        <v>-</v>
      </c>
      <c r="D35" s="160"/>
      <c r="E35" s="169"/>
      <c r="F35" s="170"/>
      <c r="G35" s="171">
        <v>0</v>
      </c>
      <c r="H35" s="168">
        <v>0</v>
      </c>
      <c r="I35" s="171">
        <v>0</v>
      </c>
      <c r="J35" s="161">
        <f t="shared" si="1"/>
        <v>0</v>
      </c>
      <c r="K35" s="161">
        <f t="shared" si="2"/>
        <v>0</v>
      </c>
      <c r="L35" s="161" t="str">
        <f t="shared" si="3"/>
        <v>-x-</v>
      </c>
      <c r="M35" s="162">
        <f>SUMIF($E$2:E35,E35,$F$2:F35)</f>
        <v>0</v>
      </c>
      <c r="N35" s="163" t="str">
        <f>IFERROR(IF(A35=CONCATENATE("1","-",E35),L35,
IF(O35="Venda",VLOOKUP(CONCATENATE((COUNTIF($E$2:E35,E35)-1),"-",E35),$A$2:$N$313,14,FALSE),(VLOOKUP(CONCATENATE((COUNTIF($E$2:E35,E35)-1),"-",E35),$A$2:$N$313,14,FALSE)*VLOOKUP(CONCATENATE((COUNTIF($E$2:E35,E35)-1),"-",E35),$A$2:$N$313,13,FALSE)+K35)/M35)),"-x-")</f>
        <v>-x-</v>
      </c>
      <c r="O35" s="164" t="str">
        <f t="shared" si="5"/>
        <v>-</v>
      </c>
      <c r="P35" s="126"/>
      <c r="Q35" s="12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>
      <c r="A36" s="156" t="str">
        <f t="shared" si="0"/>
        <v/>
      </c>
      <c r="B36" s="165"/>
      <c r="C36" s="159" t="str">
        <f t="shared" si="4"/>
        <v>-</v>
      </c>
      <c r="D36" s="160"/>
      <c r="E36" s="169"/>
      <c r="F36" s="170"/>
      <c r="G36" s="171">
        <v>0</v>
      </c>
      <c r="H36" s="168">
        <v>0</v>
      </c>
      <c r="I36" s="171">
        <v>0</v>
      </c>
      <c r="J36" s="161">
        <f t="shared" si="1"/>
        <v>0</v>
      </c>
      <c r="K36" s="161">
        <f t="shared" si="2"/>
        <v>0</v>
      </c>
      <c r="L36" s="161" t="str">
        <f t="shared" si="3"/>
        <v>-x-</v>
      </c>
      <c r="M36" s="162">
        <f>SUMIF($E$2:E36,E36,$F$2:F36)</f>
        <v>0</v>
      </c>
      <c r="N36" s="163" t="str">
        <f>IFERROR(IF(A36=CONCATENATE("1","-",E36),L36,
IF(O36="Venda",VLOOKUP(CONCATENATE((COUNTIF($E$2:E36,E36)-1),"-",E36),$A$2:$N$313,14,FALSE),(VLOOKUP(CONCATENATE((COUNTIF($E$2:E36,E36)-1),"-",E36),$A$2:$N$313,14,FALSE)*VLOOKUP(CONCATENATE((COUNTIF($E$2:E36,E36)-1),"-",E36),$A$2:$N$313,13,FALSE)+K36)/M36)),"-x-")</f>
        <v>-x-</v>
      </c>
      <c r="O36" s="164" t="str">
        <f t="shared" si="5"/>
        <v>-</v>
      </c>
      <c r="P36" s="126"/>
      <c r="Q36" s="12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>
      <c r="A37" s="156" t="str">
        <f t="shared" si="0"/>
        <v/>
      </c>
      <c r="B37" s="165"/>
      <c r="C37" s="159" t="str">
        <f t="shared" si="4"/>
        <v>-</v>
      </c>
      <c r="D37" s="160"/>
      <c r="E37" s="169"/>
      <c r="F37" s="170"/>
      <c r="G37" s="171">
        <v>0</v>
      </c>
      <c r="H37" s="168">
        <v>0</v>
      </c>
      <c r="I37" s="171">
        <v>0</v>
      </c>
      <c r="J37" s="161">
        <f t="shared" si="1"/>
        <v>0</v>
      </c>
      <c r="K37" s="161">
        <f t="shared" si="2"/>
        <v>0</v>
      </c>
      <c r="L37" s="161" t="str">
        <f t="shared" si="3"/>
        <v>-x-</v>
      </c>
      <c r="M37" s="162">
        <f>SUMIF($E$2:E37,E37,$F$2:F37)</f>
        <v>0</v>
      </c>
      <c r="N37" s="163" t="str">
        <f>IFERROR(IF(A37=CONCATENATE("1","-",E37),L37,
IF(O37="Venda",VLOOKUP(CONCATENATE((COUNTIF($E$2:E37,E37)-1),"-",E37),$A$2:$N$313,14,FALSE),(VLOOKUP(CONCATENATE((COUNTIF($E$2:E37,E37)-1),"-",E37),$A$2:$N$313,14,FALSE)*VLOOKUP(CONCATENATE((COUNTIF($E$2:E37,E37)-1),"-",E37),$A$2:$N$313,13,FALSE)+K37)/M37)),"-x-")</f>
        <v>-x-</v>
      </c>
      <c r="O37" s="164" t="str">
        <f t="shared" si="5"/>
        <v>-</v>
      </c>
      <c r="P37" s="126"/>
      <c r="Q37" s="12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>
      <c r="A38" s="156" t="str">
        <f t="shared" si="0"/>
        <v/>
      </c>
      <c r="B38" s="165"/>
      <c r="C38" s="159" t="str">
        <f t="shared" si="4"/>
        <v>-</v>
      </c>
      <c r="D38" s="160"/>
      <c r="E38" s="169"/>
      <c r="F38" s="170"/>
      <c r="G38" s="171">
        <v>0</v>
      </c>
      <c r="H38" s="168">
        <v>0</v>
      </c>
      <c r="I38" s="171">
        <v>0</v>
      </c>
      <c r="J38" s="161">
        <f t="shared" si="1"/>
        <v>0</v>
      </c>
      <c r="K38" s="161">
        <f t="shared" si="2"/>
        <v>0</v>
      </c>
      <c r="L38" s="161" t="str">
        <f t="shared" si="3"/>
        <v>-x-</v>
      </c>
      <c r="M38" s="162">
        <f>SUMIF($E$2:E38,E38,$F$2:F38)</f>
        <v>0</v>
      </c>
      <c r="N38" s="163" t="str">
        <f>IFERROR(IF(A38=CONCATENATE("1","-",E38),L38,
IF(O38="Venda",VLOOKUP(CONCATENATE((COUNTIF($E$2:E38,E38)-1),"-",E38),$A$2:$N$313,14,FALSE),(VLOOKUP(CONCATENATE((COUNTIF($E$2:E38,E38)-1),"-",E38),$A$2:$N$313,14,FALSE)*VLOOKUP(CONCATENATE((COUNTIF($E$2:E38,E38)-1),"-",E38),$A$2:$N$313,13,FALSE)+K38)/M38)),"-x-")</f>
        <v>-x-</v>
      </c>
      <c r="O38" s="164" t="str">
        <f t="shared" si="5"/>
        <v>-</v>
      </c>
      <c r="P38" s="126"/>
      <c r="Q38" s="12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>
      <c r="A39" s="156" t="str">
        <f t="shared" si="0"/>
        <v/>
      </c>
      <c r="B39" s="165"/>
      <c r="C39" s="159" t="str">
        <f t="shared" si="4"/>
        <v>-</v>
      </c>
      <c r="D39" s="160"/>
      <c r="E39" s="169"/>
      <c r="F39" s="170"/>
      <c r="G39" s="171">
        <v>0</v>
      </c>
      <c r="H39" s="168">
        <v>0</v>
      </c>
      <c r="I39" s="171">
        <v>0</v>
      </c>
      <c r="J39" s="161">
        <f t="shared" si="1"/>
        <v>0</v>
      </c>
      <c r="K39" s="161">
        <f t="shared" si="2"/>
        <v>0</v>
      </c>
      <c r="L39" s="161" t="str">
        <f t="shared" si="3"/>
        <v>-x-</v>
      </c>
      <c r="M39" s="162">
        <f>SUMIF($E$2:E39,E39,$F$2:F39)</f>
        <v>0</v>
      </c>
      <c r="N39" s="163" t="str">
        <f>IFERROR(IF(A39=CONCATENATE("1","-",E39),L39,
IF(O39="Venda",VLOOKUP(CONCATENATE((COUNTIF($E$2:E39,E39)-1),"-",E39),$A$2:$N$313,14,FALSE),(VLOOKUP(CONCATENATE((COUNTIF($E$2:E39,E39)-1),"-",E39),$A$2:$N$313,14,FALSE)*VLOOKUP(CONCATENATE((COUNTIF($E$2:E39,E39)-1),"-",E39),$A$2:$N$313,13,FALSE)+K39)/M39)),"-x-")</f>
        <v>-x-</v>
      </c>
      <c r="O39" s="164" t="str">
        <f t="shared" si="5"/>
        <v>-</v>
      </c>
      <c r="P39" s="126"/>
      <c r="Q39" s="12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>
      <c r="A40" s="156" t="str">
        <f t="shared" si="0"/>
        <v/>
      </c>
      <c r="B40" s="165"/>
      <c r="C40" s="159" t="str">
        <f t="shared" si="4"/>
        <v>-</v>
      </c>
      <c r="D40" s="160"/>
      <c r="E40" s="169"/>
      <c r="F40" s="170"/>
      <c r="G40" s="171">
        <v>0</v>
      </c>
      <c r="H40" s="168">
        <v>0</v>
      </c>
      <c r="I40" s="171">
        <v>0</v>
      </c>
      <c r="J40" s="161">
        <f t="shared" si="1"/>
        <v>0</v>
      </c>
      <c r="K40" s="161">
        <f t="shared" si="2"/>
        <v>0</v>
      </c>
      <c r="L40" s="161" t="str">
        <f t="shared" si="3"/>
        <v>-x-</v>
      </c>
      <c r="M40" s="162">
        <f>SUMIF($E$2:E40,E40,$F$2:F40)</f>
        <v>0</v>
      </c>
      <c r="N40" s="163" t="str">
        <f>IFERROR(IF(A40=CONCATENATE("1","-",E40),L40,
IF(O40="Venda",VLOOKUP(CONCATENATE((COUNTIF($E$2:E40,E40)-1),"-",E40),$A$2:$N$313,14,FALSE),(VLOOKUP(CONCATENATE((COUNTIF($E$2:E40,E40)-1),"-",E40),$A$2:$N$313,14,FALSE)*VLOOKUP(CONCATENATE((COUNTIF($E$2:E40,E40)-1),"-",E40),$A$2:$N$313,13,FALSE)+K40)/M40)),"-x-")</f>
        <v>-x-</v>
      </c>
      <c r="O40" s="164" t="str">
        <f t="shared" si="5"/>
        <v>-</v>
      </c>
      <c r="P40" s="126"/>
      <c r="Q40" s="12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>
      <c r="A41" s="156" t="str">
        <f t="shared" si="0"/>
        <v/>
      </c>
      <c r="B41" s="165"/>
      <c r="C41" s="159" t="str">
        <f t="shared" si="4"/>
        <v>-</v>
      </c>
      <c r="D41" s="160"/>
      <c r="E41" s="169"/>
      <c r="F41" s="170"/>
      <c r="G41" s="171">
        <v>0</v>
      </c>
      <c r="H41" s="168">
        <v>0</v>
      </c>
      <c r="I41" s="171">
        <v>0</v>
      </c>
      <c r="J41" s="161">
        <f t="shared" si="1"/>
        <v>0</v>
      </c>
      <c r="K41" s="161">
        <f t="shared" si="2"/>
        <v>0</v>
      </c>
      <c r="L41" s="161" t="str">
        <f t="shared" si="3"/>
        <v>-x-</v>
      </c>
      <c r="M41" s="162">
        <f>SUMIF($E$2:E41,E41,$F$2:F41)</f>
        <v>0</v>
      </c>
      <c r="N41" s="163" t="str">
        <f>IFERROR(IF(A41=CONCATENATE("1","-",E41),L41,
IF(O41="Venda",VLOOKUP(CONCATENATE((COUNTIF($E$2:E41,E41)-1),"-",E41),$A$2:$N$313,14,FALSE),(VLOOKUP(CONCATENATE((COUNTIF($E$2:E41,E41)-1),"-",E41),$A$2:$N$313,14,FALSE)*VLOOKUP(CONCATENATE((COUNTIF($E$2:E41,E41)-1),"-",E41),$A$2:$N$313,13,FALSE)+K41)/M41)),"-x-")</f>
        <v>-x-</v>
      </c>
      <c r="O41" s="164" t="str">
        <f t="shared" si="5"/>
        <v>-</v>
      </c>
      <c r="P41" s="126"/>
      <c r="Q41" s="12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>
      <c r="A42" s="156" t="str">
        <f t="shared" si="0"/>
        <v/>
      </c>
      <c r="B42" s="165"/>
      <c r="C42" s="159" t="str">
        <f t="shared" si="4"/>
        <v>-</v>
      </c>
      <c r="D42" s="160"/>
      <c r="E42" s="169"/>
      <c r="F42" s="170"/>
      <c r="G42" s="171"/>
      <c r="H42" s="168">
        <v>0</v>
      </c>
      <c r="I42" s="171">
        <v>0</v>
      </c>
      <c r="J42" s="161">
        <f t="shared" si="1"/>
        <v>0</v>
      </c>
      <c r="K42" s="161">
        <f t="shared" si="2"/>
        <v>0</v>
      </c>
      <c r="L42" s="161" t="str">
        <f t="shared" si="3"/>
        <v>-x-</v>
      </c>
      <c r="M42" s="162">
        <f>SUMIF($E$2:E42,E42,$F$2:F42)</f>
        <v>0</v>
      </c>
      <c r="N42" s="163" t="str">
        <f>IFERROR(IF(A42=CONCATENATE("1","-",E42),L42,
IF(O42="Venda",VLOOKUP(CONCATENATE((COUNTIF($E$2:E42,E42)-1),"-",E42),$A$2:$N$313,14,FALSE),(VLOOKUP(CONCATENATE((COUNTIF($E$2:E42,E42)-1),"-",E42),$A$2:$N$313,14,FALSE)*VLOOKUP(CONCATENATE((COUNTIF($E$2:E42,E42)-1),"-",E42),$A$2:$N$313,13,FALSE)+K42)/M42)),"-x-")</f>
        <v>-x-</v>
      </c>
      <c r="O42" s="164" t="str">
        <f t="shared" si="5"/>
        <v>-</v>
      </c>
      <c r="P42" s="126"/>
      <c r="Q42" s="12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>
      <c r="A43" s="156" t="str">
        <f t="shared" si="0"/>
        <v/>
      </c>
      <c r="B43" s="165"/>
      <c r="C43" s="159" t="str">
        <f t="shared" si="4"/>
        <v>-</v>
      </c>
      <c r="D43" s="160"/>
      <c r="E43" s="169"/>
      <c r="F43" s="170"/>
      <c r="G43" s="171"/>
      <c r="H43" s="168">
        <v>0</v>
      </c>
      <c r="I43" s="171">
        <v>0</v>
      </c>
      <c r="J43" s="161">
        <f t="shared" si="1"/>
        <v>0</v>
      </c>
      <c r="K43" s="161">
        <f t="shared" si="2"/>
        <v>0</v>
      </c>
      <c r="L43" s="161" t="str">
        <f t="shared" si="3"/>
        <v>-x-</v>
      </c>
      <c r="M43" s="162">
        <f>SUMIF($E$2:E43,E43,$F$2:F43)</f>
        <v>0</v>
      </c>
      <c r="N43" s="163" t="str">
        <f>IFERROR(IF(A43=CONCATENATE("1","-",E43),L43,
IF(O43="Venda",VLOOKUP(CONCATENATE((COUNTIF($E$2:E43,E43)-1),"-",E43),$A$2:$N$313,14,FALSE),(VLOOKUP(CONCATENATE((COUNTIF($E$2:E43,E43)-1),"-",E43),$A$2:$N$313,14,FALSE)*VLOOKUP(CONCATENATE((COUNTIF($E$2:E43,E43)-1),"-",E43),$A$2:$N$313,13,FALSE)+K43)/M43)),"-x-")</f>
        <v>-x-</v>
      </c>
      <c r="O43" s="164" t="str">
        <f t="shared" si="5"/>
        <v>-</v>
      </c>
      <c r="P43" s="126"/>
      <c r="Q43" s="12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>
      <c r="A44" s="156" t="str">
        <f t="shared" si="0"/>
        <v/>
      </c>
      <c r="B44" s="165"/>
      <c r="C44" s="159" t="str">
        <f t="shared" si="4"/>
        <v>-</v>
      </c>
      <c r="D44" s="160"/>
      <c r="E44" s="169"/>
      <c r="F44" s="170"/>
      <c r="G44" s="171"/>
      <c r="H44" s="168">
        <v>0</v>
      </c>
      <c r="I44" s="171">
        <v>0</v>
      </c>
      <c r="J44" s="161">
        <f t="shared" si="1"/>
        <v>0</v>
      </c>
      <c r="K44" s="161">
        <f t="shared" si="2"/>
        <v>0</v>
      </c>
      <c r="L44" s="161" t="str">
        <f t="shared" si="3"/>
        <v>-x-</v>
      </c>
      <c r="M44" s="162">
        <f>SUMIF($E$2:E44,E44,$F$2:F44)</f>
        <v>0</v>
      </c>
      <c r="N44" s="163" t="str">
        <f>IFERROR(IF(A44=CONCATENATE("1","-",E44),L44,
IF(O44="Venda",VLOOKUP(CONCATENATE((COUNTIF($E$2:E44,E44)-1),"-",E44),$A$2:$N$313,14,FALSE),(VLOOKUP(CONCATENATE((COUNTIF($E$2:E44,E44)-1),"-",E44),$A$2:$N$313,14,FALSE)*VLOOKUP(CONCATENATE((COUNTIF($E$2:E44,E44)-1),"-",E44),$A$2:$N$313,13,FALSE)+K44)/M44)),"-x-")</f>
        <v>-x-</v>
      </c>
      <c r="O44" s="164" t="str">
        <f t="shared" si="5"/>
        <v>-</v>
      </c>
      <c r="P44" s="126"/>
      <c r="Q44" s="12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>
      <c r="A45" s="156" t="str">
        <f t="shared" si="0"/>
        <v/>
      </c>
      <c r="B45" s="165"/>
      <c r="C45" s="159" t="str">
        <f t="shared" si="4"/>
        <v>-</v>
      </c>
      <c r="D45" s="160"/>
      <c r="E45" s="169"/>
      <c r="F45" s="170"/>
      <c r="G45" s="171"/>
      <c r="H45" s="168">
        <v>0</v>
      </c>
      <c r="I45" s="171">
        <v>0</v>
      </c>
      <c r="J45" s="161">
        <f t="shared" si="1"/>
        <v>0</v>
      </c>
      <c r="K45" s="161">
        <f t="shared" si="2"/>
        <v>0</v>
      </c>
      <c r="L45" s="161" t="str">
        <f t="shared" si="3"/>
        <v>-x-</v>
      </c>
      <c r="M45" s="162">
        <f>SUMIF($E$2:E45,E45,$F$2:F45)</f>
        <v>0</v>
      </c>
      <c r="N45" s="163" t="str">
        <f>IFERROR(IF(A45=CONCATENATE("1","-",E45),L45,
IF(O45="Venda",VLOOKUP(CONCATENATE((COUNTIF($E$2:E45,E45)-1),"-",E45),$A$2:$N$313,14,FALSE),(VLOOKUP(CONCATENATE((COUNTIF($E$2:E45,E45)-1),"-",E45),$A$2:$N$313,14,FALSE)*VLOOKUP(CONCATENATE((COUNTIF($E$2:E45,E45)-1),"-",E45),$A$2:$N$313,13,FALSE)+K45)/M45)),"-x-")</f>
        <v>-x-</v>
      </c>
      <c r="O45" s="164" t="str">
        <f t="shared" si="5"/>
        <v>-</v>
      </c>
      <c r="P45" s="126"/>
      <c r="Q45" s="12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>
      <c r="A46" s="156" t="str">
        <f t="shared" si="0"/>
        <v/>
      </c>
      <c r="B46" s="165"/>
      <c r="C46" s="159" t="str">
        <f t="shared" si="4"/>
        <v>-</v>
      </c>
      <c r="D46" s="160"/>
      <c r="E46" s="169"/>
      <c r="F46" s="170"/>
      <c r="G46" s="171"/>
      <c r="H46" s="168">
        <v>0</v>
      </c>
      <c r="I46" s="171">
        <v>0</v>
      </c>
      <c r="J46" s="161">
        <f t="shared" si="1"/>
        <v>0</v>
      </c>
      <c r="K46" s="161">
        <f t="shared" si="2"/>
        <v>0</v>
      </c>
      <c r="L46" s="161" t="str">
        <f t="shared" si="3"/>
        <v>-x-</v>
      </c>
      <c r="M46" s="162">
        <f>SUMIF($E$2:E46,E46,$F$2:F46)</f>
        <v>0</v>
      </c>
      <c r="N46" s="163" t="str">
        <f>IFERROR(IF(A46=CONCATENATE("1","-",E46),L46,
IF(O46="Venda",VLOOKUP(CONCATENATE((COUNTIF($E$2:E46,E46)-1),"-",E46),$A$2:$N$313,14,FALSE),(VLOOKUP(CONCATENATE((COUNTIF($E$2:E46,E46)-1),"-",E46),$A$2:$N$313,14,FALSE)*VLOOKUP(CONCATENATE((COUNTIF($E$2:E46,E46)-1),"-",E46),$A$2:$N$313,13,FALSE)+K46)/M46)),"-x-")</f>
        <v>-x-</v>
      </c>
      <c r="O46" s="164" t="str">
        <f t="shared" si="5"/>
        <v>-</v>
      </c>
      <c r="P46" s="126"/>
      <c r="Q46" s="12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>
      <c r="A47" s="156" t="str">
        <f t="shared" si="0"/>
        <v/>
      </c>
      <c r="B47" s="165"/>
      <c r="C47" s="159" t="str">
        <f t="shared" si="4"/>
        <v>-</v>
      </c>
      <c r="D47" s="160"/>
      <c r="E47" s="169"/>
      <c r="F47" s="170"/>
      <c r="G47" s="171"/>
      <c r="H47" s="168">
        <v>0</v>
      </c>
      <c r="I47" s="171">
        <v>0</v>
      </c>
      <c r="J47" s="161">
        <f t="shared" si="1"/>
        <v>0</v>
      </c>
      <c r="K47" s="161">
        <f t="shared" si="2"/>
        <v>0</v>
      </c>
      <c r="L47" s="161" t="str">
        <f t="shared" si="3"/>
        <v>-x-</v>
      </c>
      <c r="M47" s="162">
        <f>SUMIF($E$2:E47,E47,$F$2:F47)</f>
        <v>0</v>
      </c>
      <c r="N47" s="163" t="str">
        <f>IFERROR(IF(A47=CONCATENATE("1","-",E47),L47,
IF(O47="Venda",VLOOKUP(CONCATENATE((COUNTIF($E$2:E47,E47)-1),"-",E47),$A$2:$N$313,14,FALSE),(VLOOKUP(CONCATENATE((COUNTIF($E$2:E47,E47)-1),"-",E47),$A$2:$N$313,14,FALSE)*VLOOKUP(CONCATENATE((COUNTIF($E$2:E47,E47)-1),"-",E47),$A$2:$N$313,13,FALSE)+K47)/M47)),"-x-")</f>
        <v>-x-</v>
      </c>
      <c r="O47" s="164" t="str">
        <f t="shared" si="5"/>
        <v>-</v>
      </c>
      <c r="P47" s="126"/>
      <c r="Q47" s="12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>
      <c r="A48" s="156" t="str">
        <f t="shared" si="0"/>
        <v/>
      </c>
      <c r="B48" s="165"/>
      <c r="C48" s="159" t="str">
        <f t="shared" si="4"/>
        <v>-</v>
      </c>
      <c r="D48" s="160"/>
      <c r="E48" s="169"/>
      <c r="F48" s="170"/>
      <c r="G48" s="171"/>
      <c r="H48" s="168">
        <v>0</v>
      </c>
      <c r="I48" s="171">
        <v>0</v>
      </c>
      <c r="J48" s="161">
        <f t="shared" si="1"/>
        <v>0</v>
      </c>
      <c r="K48" s="161">
        <f t="shared" si="2"/>
        <v>0</v>
      </c>
      <c r="L48" s="161" t="str">
        <f t="shared" si="3"/>
        <v>-x-</v>
      </c>
      <c r="M48" s="162">
        <f>SUMIF($E$2:E48,E48,$F$2:F48)</f>
        <v>0</v>
      </c>
      <c r="N48" s="163" t="str">
        <f>IFERROR(IF(A48=CONCATENATE("1","-",E48),L48,
IF(O48="Venda",VLOOKUP(CONCATENATE((COUNTIF($E$2:E48,E48)-1),"-",E48),$A$2:$N$313,14,FALSE),(VLOOKUP(CONCATENATE((COUNTIF($E$2:E48,E48)-1),"-",E48),$A$2:$N$313,14,FALSE)*VLOOKUP(CONCATENATE((COUNTIF($E$2:E48,E48)-1),"-",E48),$A$2:$N$313,13,FALSE)+K48)/M48)),"-x-")</f>
        <v>-x-</v>
      </c>
      <c r="O48" s="164" t="str">
        <f t="shared" si="5"/>
        <v>-</v>
      </c>
      <c r="P48" s="126"/>
      <c r="Q48" s="12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>
      <c r="A49" s="156" t="str">
        <f t="shared" si="0"/>
        <v/>
      </c>
      <c r="B49" s="165"/>
      <c r="C49" s="159" t="str">
        <f t="shared" si="4"/>
        <v>-</v>
      </c>
      <c r="D49" s="160"/>
      <c r="E49" s="169"/>
      <c r="F49" s="170"/>
      <c r="G49" s="171"/>
      <c r="H49" s="168">
        <v>0</v>
      </c>
      <c r="I49" s="171">
        <v>0</v>
      </c>
      <c r="J49" s="161">
        <f t="shared" si="1"/>
        <v>0</v>
      </c>
      <c r="K49" s="161">
        <f t="shared" si="2"/>
        <v>0</v>
      </c>
      <c r="L49" s="161" t="str">
        <f t="shared" si="3"/>
        <v>-x-</v>
      </c>
      <c r="M49" s="162">
        <f>SUMIF($E$2:E49,E49,$F$2:F49)</f>
        <v>0</v>
      </c>
      <c r="N49" s="163" t="str">
        <f>IFERROR(IF(A49=CONCATENATE("1","-",E49),L49,
IF(O49="Venda",VLOOKUP(CONCATENATE((COUNTIF($E$2:E49,E49)-1),"-",E49),$A$2:$N$313,14,FALSE),(VLOOKUP(CONCATENATE((COUNTIF($E$2:E49,E49)-1),"-",E49),$A$2:$N$313,14,FALSE)*VLOOKUP(CONCATENATE((COUNTIF($E$2:E49,E49)-1),"-",E49),$A$2:$N$313,13,FALSE)+K49)/M49)),"-x-")</f>
        <v>-x-</v>
      </c>
      <c r="O49" s="164" t="str">
        <f t="shared" si="5"/>
        <v>-</v>
      </c>
      <c r="P49" s="126"/>
      <c r="Q49" s="1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>
      <c r="A50" s="156" t="str">
        <f t="shared" si="0"/>
        <v/>
      </c>
      <c r="B50" s="165"/>
      <c r="C50" s="159" t="str">
        <f t="shared" si="4"/>
        <v>-</v>
      </c>
      <c r="D50" s="160"/>
      <c r="E50" s="169"/>
      <c r="F50" s="170"/>
      <c r="G50" s="171"/>
      <c r="H50" s="168">
        <v>0</v>
      </c>
      <c r="I50" s="171">
        <v>0</v>
      </c>
      <c r="J50" s="161">
        <f t="shared" si="1"/>
        <v>0</v>
      </c>
      <c r="K50" s="161">
        <f t="shared" si="2"/>
        <v>0</v>
      </c>
      <c r="L50" s="161" t="str">
        <f t="shared" si="3"/>
        <v>-x-</v>
      </c>
      <c r="M50" s="162">
        <f>SUMIF($E$2:E50,E50,$F$2:F50)</f>
        <v>0</v>
      </c>
      <c r="N50" s="163" t="str">
        <f>IFERROR(IF(A50=CONCATENATE("1","-",E50),L50,
IF(O50="Venda",VLOOKUP(CONCATENATE((COUNTIF($E$2:E50,E50)-1),"-",E50),$A$2:$N$313,14,FALSE),(VLOOKUP(CONCATENATE((COUNTIF($E$2:E50,E50)-1),"-",E50),$A$2:$N$313,14,FALSE)*VLOOKUP(CONCATENATE((COUNTIF($E$2:E50,E50)-1),"-",E50),$A$2:$N$313,13,FALSE)+K50)/M50)),"-x-")</f>
        <v>-x-</v>
      </c>
      <c r="O50" s="164" t="str">
        <f t="shared" si="5"/>
        <v>-</v>
      </c>
      <c r="P50" s="126"/>
      <c r="Q50" s="1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customHeight="1">
      <c r="A51" s="156" t="str">
        <f t="shared" si="0"/>
        <v/>
      </c>
      <c r="B51" s="165"/>
      <c r="C51" s="159" t="str">
        <f t="shared" si="4"/>
        <v>-</v>
      </c>
      <c r="D51" s="160"/>
      <c r="E51" s="169"/>
      <c r="F51" s="170"/>
      <c r="G51" s="171"/>
      <c r="H51" s="168">
        <v>0</v>
      </c>
      <c r="I51" s="171">
        <v>0</v>
      </c>
      <c r="J51" s="161">
        <f t="shared" si="1"/>
        <v>0</v>
      </c>
      <c r="K51" s="161">
        <f t="shared" si="2"/>
        <v>0</v>
      </c>
      <c r="L51" s="161" t="str">
        <f t="shared" si="3"/>
        <v>-x-</v>
      </c>
      <c r="M51" s="162">
        <f>SUMIF($E$2:E51,E51,$F$2:F51)</f>
        <v>0</v>
      </c>
      <c r="N51" s="163" t="str">
        <f>IFERROR(IF(A51=CONCATENATE("1","-",E51),L51,
IF(O51="Venda",VLOOKUP(CONCATENATE((COUNTIF($E$2:E51,E51)-1),"-",E51),$A$2:$N$313,14,FALSE),(VLOOKUP(CONCATENATE((COUNTIF($E$2:E51,E51)-1),"-",E51),$A$2:$N$313,14,FALSE)*VLOOKUP(CONCATENATE((COUNTIF($E$2:E51,E51)-1),"-",E51),$A$2:$N$313,13,FALSE)+K51)/M51)),"-x-")</f>
        <v>-x-</v>
      </c>
      <c r="O51" s="164" t="str">
        <f t="shared" si="5"/>
        <v>-</v>
      </c>
      <c r="P51" s="126"/>
      <c r="Q51" s="1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customHeight="1">
      <c r="A52" s="156" t="str">
        <f t="shared" si="0"/>
        <v/>
      </c>
      <c r="B52" s="165"/>
      <c r="C52" s="159" t="str">
        <f t="shared" si="4"/>
        <v>-</v>
      </c>
      <c r="D52" s="160"/>
      <c r="E52" s="169"/>
      <c r="F52" s="170"/>
      <c r="G52" s="171"/>
      <c r="H52" s="168">
        <v>0</v>
      </c>
      <c r="I52" s="171">
        <v>0</v>
      </c>
      <c r="J52" s="161">
        <f t="shared" si="1"/>
        <v>0</v>
      </c>
      <c r="K52" s="161">
        <f t="shared" si="2"/>
        <v>0</v>
      </c>
      <c r="L52" s="161" t="str">
        <f t="shared" si="3"/>
        <v>-x-</v>
      </c>
      <c r="M52" s="162">
        <f>SUMIF($E$2:E52,E52,$F$2:F52)</f>
        <v>0</v>
      </c>
      <c r="N52" s="163" t="str">
        <f>IFERROR(IF(A52=CONCATENATE("1","-",E52),L52,
IF(O52="Venda",VLOOKUP(CONCATENATE((COUNTIF($E$2:E52,E52)-1),"-",E52),$A$2:$N$313,14,FALSE),(VLOOKUP(CONCATENATE((COUNTIF($E$2:E52,E52)-1),"-",E52),$A$2:$N$313,14,FALSE)*VLOOKUP(CONCATENATE((COUNTIF($E$2:E52,E52)-1),"-",E52),$A$2:$N$313,13,FALSE)+K52)/M52)),"-x-")</f>
        <v>-x-</v>
      </c>
      <c r="O52" s="164" t="str">
        <f t="shared" si="5"/>
        <v>-</v>
      </c>
      <c r="P52" s="126"/>
      <c r="Q52" s="1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customHeight="1">
      <c r="A53" s="156" t="str">
        <f t="shared" si="0"/>
        <v/>
      </c>
      <c r="B53" s="165"/>
      <c r="C53" s="159" t="str">
        <f t="shared" si="4"/>
        <v>-</v>
      </c>
      <c r="D53" s="160"/>
      <c r="E53" s="169"/>
      <c r="F53" s="170"/>
      <c r="G53" s="171"/>
      <c r="H53" s="168">
        <v>0</v>
      </c>
      <c r="I53" s="171">
        <v>0</v>
      </c>
      <c r="J53" s="161">
        <f t="shared" si="1"/>
        <v>0</v>
      </c>
      <c r="K53" s="161">
        <f t="shared" si="2"/>
        <v>0</v>
      </c>
      <c r="L53" s="161" t="str">
        <f t="shared" si="3"/>
        <v>-x-</v>
      </c>
      <c r="M53" s="162">
        <f>SUMIF($E$2:E53,E53,$F$2:F53)</f>
        <v>0</v>
      </c>
      <c r="N53" s="163" t="str">
        <f>IFERROR(IF(A53=CONCATENATE("1","-",E53),L53,
IF(O53="Venda",VLOOKUP(CONCATENATE((COUNTIF($E$2:E53,E53)-1),"-",E53),$A$2:$N$313,14,FALSE),(VLOOKUP(CONCATENATE((COUNTIF($E$2:E53,E53)-1),"-",E53),$A$2:$N$313,14,FALSE)*VLOOKUP(CONCATENATE((COUNTIF($E$2:E53,E53)-1),"-",E53),$A$2:$N$313,13,FALSE)+K53)/M53)),"-x-")</f>
        <v>-x-</v>
      </c>
      <c r="O53" s="164" t="str">
        <f t="shared" si="5"/>
        <v>-</v>
      </c>
      <c r="P53" s="126"/>
      <c r="Q53" s="1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customHeight="1">
      <c r="A54" s="156" t="str">
        <f t="shared" si="0"/>
        <v/>
      </c>
      <c r="B54" s="165"/>
      <c r="C54" s="159" t="str">
        <f t="shared" si="4"/>
        <v>-</v>
      </c>
      <c r="D54" s="160"/>
      <c r="E54" s="169"/>
      <c r="F54" s="170"/>
      <c r="G54" s="171"/>
      <c r="H54" s="168">
        <v>0</v>
      </c>
      <c r="I54" s="171">
        <v>0</v>
      </c>
      <c r="J54" s="161">
        <f t="shared" si="1"/>
        <v>0</v>
      </c>
      <c r="K54" s="161">
        <f t="shared" si="2"/>
        <v>0</v>
      </c>
      <c r="L54" s="161" t="str">
        <f t="shared" si="3"/>
        <v>-x-</v>
      </c>
      <c r="M54" s="162">
        <f>SUMIF($E$2:E54,E54,$F$2:F54)</f>
        <v>0</v>
      </c>
      <c r="N54" s="163" t="str">
        <f>IFERROR(IF(A54=CONCATENATE("1","-",E54),L54,
IF(O54="Venda",VLOOKUP(CONCATENATE((COUNTIF($E$2:E54,E54)-1),"-",E54),$A$2:$N$313,14,FALSE),(VLOOKUP(CONCATENATE((COUNTIF($E$2:E54,E54)-1),"-",E54),$A$2:$N$313,14,FALSE)*VLOOKUP(CONCATENATE((COUNTIF($E$2:E54,E54)-1),"-",E54),$A$2:$N$313,13,FALSE)+K54)/M54)),"-x-")</f>
        <v>-x-</v>
      </c>
      <c r="O54" s="164" t="str">
        <f t="shared" si="5"/>
        <v>-</v>
      </c>
      <c r="P54" s="126"/>
      <c r="Q54" s="1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customHeight="1">
      <c r="A55" s="156" t="str">
        <f t="shared" si="0"/>
        <v/>
      </c>
      <c r="B55" s="165"/>
      <c r="C55" s="159" t="str">
        <f t="shared" si="4"/>
        <v>-</v>
      </c>
      <c r="D55" s="160"/>
      <c r="E55" s="169"/>
      <c r="F55" s="170"/>
      <c r="G55" s="171"/>
      <c r="H55" s="168">
        <v>0</v>
      </c>
      <c r="I55" s="171">
        <v>0</v>
      </c>
      <c r="J55" s="161">
        <f t="shared" si="1"/>
        <v>0</v>
      </c>
      <c r="K55" s="161">
        <f t="shared" si="2"/>
        <v>0</v>
      </c>
      <c r="L55" s="161" t="str">
        <f t="shared" si="3"/>
        <v>-x-</v>
      </c>
      <c r="M55" s="162">
        <f>SUMIF($E$2:E55,E55,$F$2:F55)</f>
        <v>0</v>
      </c>
      <c r="N55" s="163" t="str">
        <f>IFERROR(IF(A55=CONCATENATE("1","-",E55),L55,
IF(O55="Venda",VLOOKUP(CONCATENATE((COUNTIF($E$2:E55,E55)-1),"-",E55),$A$2:$N$313,14,FALSE),(VLOOKUP(CONCATENATE((COUNTIF($E$2:E55,E55)-1),"-",E55),$A$2:$N$313,14,FALSE)*VLOOKUP(CONCATENATE((COUNTIF($E$2:E55,E55)-1),"-",E55),$A$2:$N$313,13,FALSE)+K55)/M55)),"-x-")</f>
        <v>-x-</v>
      </c>
      <c r="O55" s="164" t="str">
        <f t="shared" si="5"/>
        <v>-</v>
      </c>
      <c r="P55" s="126"/>
      <c r="Q55" s="12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customHeight="1">
      <c r="A56" s="156" t="str">
        <f t="shared" si="0"/>
        <v/>
      </c>
      <c r="B56" s="165"/>
      <c r="C56" s="159" t="str">
        <f t="shared" si="4"/>
        <v>-</v>
      </c>
      <c r="D56" s="160"/>
      <c r="E56" s="169"/>
      <c r="F56" s="170"/>
      <c r="G56" s="171"/>
      <c r="H56" s="168">
        <v>0</v>
      </c>
      <c r="I56" s="171">
        <v>0</v>
      </c>
      <c r="J56" s="161">
        <f t="shared" si="1"/>
        <v>0</v>
      </c>
      <c r="K56" s="161">
        <f t="shared" si="2"/>
        <v>0</v>
      </c>
      <c r="L56" s="161" t="str">
        <f t="shared" si="3"/>
        <v>-x-</v>
      </c>
      <c r="M56" s="162">
        <f>SUMIF($E$2:E56,E56,$F$2:F56)</f>
        <v>0</v>
      </c>
      <c r="N56" s="163" t="str">
        <f>IFERROR(IF(A56=CONCATENATE("1","-",E56),L56,
IF(O56="Venda",VLOOKUP(CONCATENATE((COUNTIF($E$2:E56,E56)-1),"-",E56),$A$2:$N$313,14,FALSE),(VLOOKUP(CONCATENATE((COUNTIF($E$2:E56,E56)-1),"-",E56),$A$2:$N$313,14,FALSE)*VLOOKUP(CONCATENATE((COUNTIF($E$2:E56,E56)-1),"-",E56),$A$2:$N$313,13,FALSE)+K56)/M56)),"-x-")</f>
        <v>-x-</v>
      </c>
      <c r="O56" s="164" t="str">
        <f t="shared" si="5"/>
        <v>-</v>
      </c>
      <c r="P56" s="126"/>
      <c r="Q56" s="128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customHeight="1">
      <c r="A57" s="156" t="str">
        <f t="shared" si="0"/>
        <v/>
      </c>
      <c r="B57" s="165"/>
      <c r="C57" s="159" t="str">
        <f t="shared" si="4"/>
        <v>-</v>
      </c>
      <c r="D57" s="160"/>
      <c r="E57" s="169"/>
      <c r="F57" s="170"/>
      <c r="G57" s="171"/>
      <c r="H57" s="168">
        <v>0</v>
      </c>
      <c r="I57" s="171">
        <v>0</v>
      </c>
      <c r="J57" s="161">
        <f t="shared" si="1"/>
        <v>0</v>
      </c>
      <c r="K57" s="161">
        <f t="shared" si="2"/>
        <v>0</v>
      </c>
      <c r="L57" s="161" t="str">
        <f t="shared" si="3"/>
        <v>-x-</v>
      </c>
      <c r="M57" s="162">
        <f>SUMIF($E$2:E57,E57,$F$2:F57)</f>
        <v>0</v>
      </c>
      <c r="N57" s="163" t="str">
        <f>IFERROR(IF(A57=CONCATENATE("1","-",E57),L57,
IF(O57="Venda",VLOOKUP(CONCATENATE((COUNTIF($E$2:E57,E57)-1),"-",E57),$A$2:$N$313,14,FALSE),(VLOOKUP(CONCATENATE((COUNTIF($E$2:E57,E57)-1),"-",E57),$A$2:$N$313,14,FALSE)*VLOOKUP(CONCATENATE((COUNTIF($E$2:E57,E57)-1),"-",E57),$A$2:$N$313,13,FALSE)+K57)/M57)),"-x-")</f>
        <v>-x-</v>
      </c>
      <c r="O57" s="164" t="str">
        <f t="shared" si="5"/>
        <v>-</v>
      </c>
      <c r="P57" s="126"/>
      <c r="Q57" s="12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customHeight="1">
      <c r="A58" s="156" t="str">
        <f t="shared" si="0"/>
        <v/>
      </c>
      <c r="B58" s="165"/>
      <c r="C58" s="159" t="str">
        <f t="shared" si="4"/>
        <v>-</v>
      </c>
      <c r="D58" s="160"/>
      <c r="E58" s="169"/>
      <c r="F58" s="170"/>
      <c r="G58" s="171"/>
      <c r="H58" s="168">
        <v>0</v>
      </c>
      <c r="I58" s="171">
        <v>0</v>
      </c>
      <c r="J58" s="161">
        <f t="shared" si="1"/>
        <v>0</v>
      </c>
      <c r="K58" s="161">
        <f t="shared" si="2"/>
        <v>0</v>
      </c>
      <c r="L58" s="161" t="str">
        <f t="shared" si="3"/>
        <v>-x-</v>
      </c>
      <c r="M58" s="162">
        <f>SUMIF($E$2:E58,E58,$F$2:F58)</f>
        <v>0</v>
      </c>
      <c r="N58" s="163" t="str">
        <f>IFERROR(IF(A58=CONCATENATE("1","-",E58),L58,
IF(O58="Venda",VLOOKUP(CONCATENATE((COUNTIF($E$2:E58,E58)-1),"-",E58),$A$2:$N$313,14,FALSE),(VLOOKUP(CONCATENATE((COUNTIF($E$2:E58,E58)-1),"-",E58),$A$2:$N$313,14,FALSE)*VLOOKUP(CONCATENATE((COUNTIF($E$2:E58,E58)-1),"-",E58),$A$2:$N$313,13,FALSE)+K58)/M58)),"-x-")</f>
        <v>-x-</v>
      </c>
      <c r="O58" s="164" t="str">
        <f t="shared" si="5"/>
        <v>-</v>
      </c>
      <c r="P58" s="126"/>
      <c r="Q58" s="12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customHeight="1">
      <c r="A59" s="156" t="str">
        <f t="shared" si="0"/>
        <v/>
      </c>
      <c r="B59" s="165"/>
      <c r="C59" s="159" t="str">
        <f t="shared" si="4"/>
        <v>-</v>
      </c>
      <c r="D59" s="160"/>
      <c r="E59" s="169"/>
      <c r="F59" s="170"/>
      <c r="G59" s="171"/>
      <c r="H59" s="168">
        <v>0</v>
      </c>
      <c r="I59" s="171">
        <v>0</v>
      </c>
      <c r="J59" s="161">
        <f t="shared" si="1"/>
        <v>0</v>
      </c>
      <c r="K59" s="161">
        <f t="shared" si="2"/>
        <v>0</v>
      </c>
      <c r="L59" s="161" t="str">
        <f t="shared" si="3"/>
        <v>-x-</v>
      </c>
      <c r="M59" s="162">
        <f>SUMIF($E$2:E59,E59,$F$2:F59)</f>
        <v>0</v>
      </c>
      <c r="N59" s="163" t="str">
        <f>IFERROR(IF(A59=CONCATENATE("1","-",E59),L59,
IF(O59="Venda",VLOOKUP(CONCATENATE((COUNTIF($E$2:E59,E59)-1),"-",E59),$A$2:$N$313,14,FALSE),(VLOOKUP(CONCATENATE((COUNTIF($E$2:E59,E59)-1),"-",E59),$A$2:$N$313,14,FALSE)*VLOOKUP(CONCATENATE((COUNTIF($E$2:E59,E59)-1),"-",E59),$A$2:$N$313,13,FALSE)+K59)/M59)),"-x-")</f>
        <v>-x-</v>
      </c>
      <c r="O59" s="164" t="str">
        <f t="shared" si="5"/>
        <v>-</v>
      </c>
      <c r="P59" s="126"/>
      <c r="Q59" s="12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customHeight="1">
      <c r="A60" s="156" t="str">
        <f t="shared" si="0"/>
        <v/>
      </c>
      <c r="B60" s="165"/>
      <c r="C60" s="159" t="str">
        <f t="shared" si="4"/>
        <v>-</v>
      </c>
      <c r="D60" s="160"/>
      <c r="E60" s="169"/>
      <c r="F60" s="170"/>
      <c r="G60" s="171"/>
      <c r="H60" s="168">
        <v>0</v>
      </c>
      <c r="I60" s="171">
        <v>0</v>
      </c>
      <c r="J60" s="161">
        <f t="shared" si="1"/>
        <v>0</v>
      </c>
      <c r="K60" s="161">
        <f t="shared" si="2"/>
        <v>0</v>
      </c>
      <c r="L60" s="161" t="str">
        <f t="shared" si="3"/>
        <v>-x-</v>
      </c>
      <c r="M60" s="162">
        <f>SUMIF($E$2:E60,E60,$F$2:F60)</f>
        <v>0</v>
      </c>
      <c r="N60" s="163" t="str">
        <f>IFERROR(IF(A60=CONCATENATE("1","-",E60),L60,
IF(O60="Venda",VLOOKUP(CONCATENATE((COUNTIF($E$2:E60,E60)-1),"-",E60),$A$2:$N$313,14,FALSE),(VLOOKUP(CONCATENATE((COUNTIF($E$2:E60,E60)-1),"-",E60),$A$2:$N$313,14,FALSE)*VLOOKUP(CONCATENATE((COUNTIF($E$2:E60,E60)-1),"-",E60),$A$2:$N$313,13,FALSE)+K60)/M60)),"-x-")</f>
        <v>-x-</v>
      </c>
      <c r="O60" s="164" t="str">
        <f t="shared" si="5"/>
        <v>-</v>
      </c>
      <c r="P60" s="126"/>
      <c r="Q60" s="12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customHeight="1">
      <c r="A61" s="156" t="str">
        <f t="shared" si="0"/>
        <v/>
      </c>
      <c r="B61" s="165"/>
      <c r="C61" s="159" t="str">
        <f t="shared" si="4"/>
        <v>-</v>
      </c>
      <c r="D61" s="160"/>
      <c r="E61" s="169"/>
      <c r="F61" s="170"/>
      <c r="G61" s="171"/>
      <c r="H61" s="168">
        <v>0</v>
      </c>
      <c r="I61" s="171">
        <v>0</v>
      </c>
      <c r="J61" s="161">
        <f t="shared" si="1"/>
        <v>0</v>
      </c>
      <c r="K61" s="161">
        <f t="shared" si="2"/>
        <v>0</v>
      </c>
      <c r="L61" s="161" t="str">
        <f t="shared" si="3"/>
        <v>-x-</v>
      </c>
      <c r="M61" s="162">
        <f>SUMIF($E$2:E61,E61,$F$2:F61)</f>
        <v>0</v>
      </c>
      <c r="N61" s="163" t="str">
        <f>IFERROR(IF(A61=CONCATENATE("1","-",E61),L61,
IF(O61="Venda",VLOOKUP(CONCATENATE((COUNTIF($E$2:E61,E61)-1),"-",E61),$A$2:$N$313,14,FALSE),(VLOOKUP(CONCATENATE((COUNTIF($E$2:E61,E61)-1),"-",E61),$A$2:$N$313,14,FALSE)*VLOOKUP(CONCATENATE((COUNTIF($E$2:E61,E61)-1),"-",E61),$A$2:$N$313,13,FALSE)+K61)/M61)),"-x-")</f>
        <v>-x-</v>
      </c>
      <c r="O61" s="164" t="str">
        <f t="shared" si="5"/>
        <v>-</v>
      </c>
      <c r="P61" s="126"/>
      <c r="Q61" s="128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customHeight="1">
      <c r="A62" s="156" t="str">
        <f t="shared" si="0"/>
        <v/>
      </c>
      <c r="B62" s="165"/>
      <c r="C62" s="159" t="str">
        <f t="shared" si="4"/>
        <v>-</v>
      </c>
      <c r="D62" s="160"/>
      <c r="E62" s="169"/>
      <c r="F62" s="170"/>
      <c r="G62" s="171"/>
      <c r="H62" s="168">
        <v>0</v>
      </c>
      <c r="I62" s="171">
        <v>0</v>
      </c>
      <c r="J62" s="161">
        <f t="shared" si="1"/>
        <v>0</v>
      </c>
      <c r="K62" s="161">
        <f t="shared" si="2"/>
        <v>0</v>
      </c>
      <c r="L62" s="161" t="str">
        <f t="shared" si="3"/>
        <v>-x-</v>
      </c>
      <c r="M62" s="162">
        <f>SUMIF($E$2:E62,E62,$F$2:F62)</f>
        <v>0</v>
      </c>
      <c r="N62" s="163" t="str">
        <f>IFERROR(IF(A62=CONCATENATE("1","-",E62),L62,
IF(O62="Venda",VLOOKUP(CONCATENATE((COUNTIF($E$2:E62,E62)-1),"-",E62),$A$2:$N$313,14,FALSE),(VLOOKUP(CONCATENATE((COUNTIF($E$2:E62,E62)-1),"-",E62),$A$2:$N$313,14,FALSE)*VLOOKUP(CONCATENATE((COUNTIF($E$2:E62,E62)-1),"-",E62),$A$2:$N$313,13,FALSE)+K62)/M62)),"-x-")</f>
        <v>-x-</v>
      </c>
      <c r="O62" s="164" t="str">
        <f t="shared" si="5"/>
        <v>-</v>
      </c>
      <c r="P62" s="126"/>
      <c r="Q62" s="128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customHeight="1">
      <c r="A63" s="156" t="str">
        <f t="shared" si="0"/>
        <v/>
      </c>
      <c r="B63" s="165"/>
      <c r="C63" s="159" t="str">
        <f t="shared" si="4"/>
        <v>-</v>
      </c>
      <c r="D63" s="160"/>
      <c r="E63" s="169"/>
      <c r="F63" s="170"/>
      <c r="G63" s="171"/>
      <c r="H63" s="168">
        <v>0</v>
      </c>
      <c r="I63" s="171">
        <v>0</v>
      </c>
      <c r="J63" s="161">
        <f t="shared" si="1"/>
        <v>0</v>
      </c>
      <c r="K63" s="161">
        <f t="shared" si="2"/>
        <v>0</v>
      </c>
      <c r="L63" s="161" t="str">
        <f t="shared" si="3"/>
        <v>-x-</v>
      </c>
      <c r="M63" s="162">
        <f>SUMIF($E$2:E63,E63,$F$2:F63)</f>
        <v>0</v>
      </c>
      <c r="N63" s="163" t="str">
        <f>IFERROR(IF(A63=CONCATENATE("1","-",E63),L63,
IF(O63="Venda",VLOOKUP(CONCATENATE((COUNTIF($E$2:E63,E63)-1),"-",E63),$A$2:$N$313,14,FALSE),(VLOOKUP(CONCATENATE((COUNTIF($E$2:E63,E63)-1),"-",E63),$A$2:$N$313,14,FALSE)*VLOOKUP(CONCATENATE((COUNTIF($E$2:E63,E63)-1),"-",E63),$A$2:$N$313,13,FALSE)+K63)/M63)),"-x-")</f>
        <v>-x-</v>
      </c>
      <c r="O63" s="164" t="str">
        <f t="shared" si="5"/>
        <v>-</v>
      </c>
      <c r="P63" s="126"/>
      <c r="Q63" s="128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customHeight="1">
      <c r="A64" s="156" t="str">
        <f t="shared" si="0"/>
        <v/>
      </c>
      <c r="B64" s="165"/>
      <c r="C64" s="159" t="str">
        <f t="shared" si="4"/>
        <v>-</v>
      </c>
      <c r="D64" s="160"/>
      <c r="E64" s="169"/>
      <c r="F64" s="170"/>
      <c r="G64" s="171"/>
      <c r="H64" s="168">
        <v>0</v>
      </c>
      <c r="I64" s="171">
        <v>0</v>
      </c>
      <c r="J64" s="161">
        <f t="shared" si="1"/>
        <v>0</v>
      </c>
      <c r="K64" s="161">
        <f t="shared" si="2"/>
        <v>0</v>
      </c>
      <c r="L64" s="161" t="str">
        <f t="shared" si="3"/>
        <v>-x-</v>
      </c>
      <c r="M64" s="162">
        <f>SUMIF($E$2:E64,E64,$F$2:F64)</f>
        <v>0</v>
      </c>
      <c r="N64" s="163" t="str">
        <f>IFERROR(IF(A64=CONCATENATE("1","-",E64),L64,
IF(O64="Venda",VLOOKUP(CONCATENATE((COUNTIF($E$2:E64,E64)-1),"-",E64),$A$2:$N$313,14,FALSE),(VLOOKUP(CONCATENATE((COUNTIF($E$2:E64,E64)-1),"-",E64),$A$2:$N$313,14,FALSE)*VLOOKUP(CONCATENATE((COUNTIF($E$2:E64,E64)-1),"-",E64),$A$2:$N$313,13,FALSE)+K64)/M64)),"-x-")</f>
        <v>-x-</v>
      </c>
      <c r="O64" s="164" t="str">
        <f t="shared" si="5"/>
        <v>-</v>
      </c>
      <c r="P64" s="126"/>
      <c r="Q64" s="128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customHeight="1">
      <c r="A65" s="156" t="str">
        <f t="shared" si="0"/>
        <v/>
      </c>
      <c r="B65" s="165"/>
      <c r="C65" s="159" t="str">
        <f t="shared" si="4"/>
        <v>-</v>
      </c>
      <c r="D65" s="160"/>
      <c r="E65" s="169"/>
      <c r="F65" s="170"/>
      <c r="G65" s="171"/>
      <c r="H65" s="168">
        <v>0</v>
      </c>
      <c r="I65" s="171">
        <v>0</v>
      </c>
      <c r="J65" s="161">
        <f t="shared" si="1"/>
        <v>0</v>
      </c>
      <c r="K65" s="161">
        <f t="shared" si="2"/>
        <v>0</v>
      </c>
      <c r="L65" s="161" t="str">
        <f t="shared" si="3"/>
        <v>-x-</v>
      </c>
      <c r="M65" s="162">
        <f>SUMIF($E$2:E65,E65,$F$2:F65)</f>
        <v>0</v>
      </c>
      <c r="N65" s="163" t="str">
        <f>IFERROR(IF(A65=CONCATENATE("1","-",E65),L65,
IF(O65="Venda",VLOOKUP(CONCATENATE((COUNTIF($E$2:E65,E65)-1),"-",E65),$A$2:$N$313,14,FALSE),(VLOOKUP(CONCATENATE((COUNTIF($E$2:E65,E65)-1),"-",E65),$A$2:$N$313,14,FALSE)*VLOOKUP(CONCATENATE((COUNTIF($E$2:E65,E65)-1),"-",E65),$A$2:$N$313,13,FALSE)+K65)/M65)),"-x-")</f>
        <v>-x-</v>
      </c>
      <c r="O65" s="164" t="str">
        <f t="shared" si="5"/>
        <v>-</v>
      </c>
      <c r="P65" s="126"/>
      <c r="Q65" s="128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customHeight="1">
      <c r="A66" s="156" t="str">
        <f t="shared" si="0"/>
        <v/>
      </c>
      <c r="B66" s="165"/>
      <c r="C66" s="159" t="str">
        <f t="shared" si="4"/>
        <v>-</v>
      </c>
      <c r="D66" s="160"/>
      <c r="E66" s="169"/>
      <c r="F66" s="170"/>
      <c r="G66" s="171"/>
      <c r="H66" s="168">
        <v>0</v>
      </c>
      <c r="I66" s="171">
        <v>0</v>
      </c>
      <c r="J66" s="161">
        <f t="shared" si="1"/>
        <v>0</v>
      </c>
      <c r="K66" s="161">
        <f t="shared" si="2"/>
        <v>0</v>
      </c>
      <c r="L66" s="161" t="str">
        <f t="shared" si="3"/>
        <v>-x-</v>
      </c>
      <c r="M66" s="162">
        <f>SUMIF($E$2:E66,E66,$F$2:F66)</f>
        <v>0</v>
      </c>
      <c r="N66" s="163" t="str">
        <f>IFERROR(IF(A66=CONCATENATE("1","-",E66),L66,
IF(O66="Venda",VLOOKUP(CONCATENATE((COUNTIF($E$2:E66,E66)-1),"-",E66),$A$2:$N$313,14,FALSE),(VLOOKUP(CONCATENATE((COUNTIF($E$2:E66,E66)-1),"-",E66),$A$2:$N$313,14,FALSE)*VLOOKUP(CONCATENATE((COUNTIF($E$2:E66,E66)-1),"-",E66),$A$2:$N$313,13,FALSE)+K66)/M66)),"-x-")</f>
        <v>-x-</v>
      </c>
      <c r="O66" s="164" t="str">
        <f t="shared" si="5"/>
        <v>-</v>
      </c>
      <c r="P66" s="126"/>
      <c r="Q66" s="128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customHeight="1">
      <c r="A67" s="156" t="str">
        <f t="shared" si="0"/>
        <v/>
      </c>
      <c r="B67" s="165"/>
      <c r="C67" s="159" t="str">
        <f t="shared" ref="C67:C130" si="6">IF(B67&gt;0,TEXT(B67,"mmmmmmmmmmmmmmm"),"-")</f>
        <v>-</v>
      </c>
      <c r="D67" s="160"/>
      <c r="E67" s="169"/>
      <c r="F67" s="170"/>
      <c r="G67" s="171"/>
      <c r="H67" s="168">
        <v>0</v>
      </c>
      <c r="I67" s="171">
        <v>0</v>
      </c>
      <c r="J67" s="161">
        <f t="shared" si="1"/>
        <v>0</v>
      </c>
      <c r="K67" s="161">
        <f t="shared" si="2"/>
        <v>0</v>
      </c>
      <c r="L67" s="161" t="str">
        <f t="shared" si="3"/>
        <v>-x-</v>
      </c>
      <c r="M67" s="162">
        <f>SUMIF($E$2:E67,E67,$F$2:F67)</f>
        <v>0</v>
      </c>
      <c r="N67" s="163" t="str">
        <f>IFERROR(IF(A67=CONCATENATE("1","-",E67),L67,
IF(O67="Venda",VLOOKUP(CONCATENATE((COUNTIF($E$2:E67,E67)-1),"-",E67),$A$2:$N$313,14,FALSE),(VLOOKUP(CONCATENATE((COUNTIF($E$2:E67,E67)-1),"-",E67),$A$2:$N$313,14,FALSE)*VLOOKUP(CONCATENATE((COUNTIF($E$2:E67,E67)-1),"-",E67),$A$2:$N$313,13,FALSE)+K67)/M67)),"-x-")</f>
        <v>-x-</v>
      </c>
      <c r="O67" s="164" t="str">
        <f t="shared" ref="O67:O130" si="7">IF(G67=0,"-",IF(F67&gt;0,"Compra","Venda"))</f>
        <v>-</v>
      </c>
      <c r="P67" s="126"/>
      <c r="Q67" s="128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customHeight="1">
      <c r="A68" s="156" t="str">
        <f t="shared" si="0"/>
        <v/>
      </c>
      <c r="B68" s="165"/>
      <c r="C68" s="159" t="str">
        <f t="shared" si="6"/>
        <v>-</v>
      </c>
      <c r="D68" s="160"/>
      <c r="E68" s="169"/>
      <c r="F68" s="170"/>
      <c r="G68" s="171"/>
      <c r="H68" s="168">
        <v>0</v>
      </c>
      <c r="I68" s="171">
        <v>0</v>
      </c>
      <c r="J68" s="161">
        <f t="shared" si="1"/>
        <v>0</v>
      </c>
      <c r="K68" s="161">
        <f t="shared" si="2"/>
        <v>0</v>
      </c>
      <c r="L68" s="161" t="str">
        <f t="shared" si="3"/>
        <v>-x-</v>
      </c>
      <c r="M68" s="162">
        <f>SUMIF($E$2:E68,E68,$F$2:F68)</f>
        <v>0</v>
      </c>
      <c r="N68" s="163" t="str">
        <f>IFERROR(IF(A68=CONCATENATE("1","-",E68),L68,
IF(O68="Venda",VLOOKUP(CONCATENATE((COUNTIF($E$2:E68,E68)-1),"-",E68),$A$2:$N$313,14,FALSE),(VLOOKUP(CONCATENATE((COUNTIF($E$2:E68,E68)-1),"-",E68),$A$2:$N$313,14,FALSE)*VLOOKUP(CONCATENATE((COUNTIF($E$2:E68,E68)-1),"-",E68),$A$2:$N$313,13,FALSE)+K68)/M68)),"-x-")</f>
        <v>-x-</v>
      </c>
      <c r="O68" s="164" t="str">
        <f t="shared" si="7"/>
        <v>-</v>
      </c>
      <c r="P68" s="126"/>
      <c r="Q68" s="128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customHeight="1">
      <c r="A69" s="156" t="str">
        <f t="shared" si="0"/>
        <v/>
      </c>
      <c r="B69" s="165"/>
      <c r="C69" s="159" t="str">
        <f t="shared" si="6"/>
        <v>-</v>
      </c>
      <c r="D69" s="160"/>
      <c r="E69" s="169"/>
      <c r="F69" s="170"/>
      <c r="G69" s="171"/>
      <c r="H69" s="168">
        <v>0</v>
      </c>
      <c r="I69" s="171">
        <v>0</v>
      </c>
      <c r="J69" s="161">
        <f t="shared" si="1"/>
        <v>0</v>
      </c>
      <c r="K69" s="161">
        <f t="shared" si="2"/>
        <v>0</v>
      </c>
      <c r="L69" s="161" t="str">
        <f t="shared" si="3"/>
        <v>-x-</v>
      </c>
      <c r="M69" s="162">
        <f>SUMIF($E$2:E69,E69,$F$2:F69)</f>
        <v>0</v>
      </c>
      <c r="N69" s="163" t="str">
        <f>IFERROR(IF(A69=CONCATENATE("1","-",E69),L69,
IF(O69="Venda",VLOOKUP(CONCATENATE((COUNTIF($E$2:E69,E69)-1),"-",E69),$A$2:$N$313,14,FALSE),(VLOOKUP(CONCATENATE((COUNTIF($E$2:E69,E69)-1),"-",E69),$A$2:$N$313,14,FALSE)*VLOOKUP(CONCATENATE((COUNTIF($E$2:E69,E69)-1),"-",E69),$A$2:$N$313,13,FALSE)+K69)/M69)),"-x-")</f>
        <v>-x-</v>
      </c>
      <c r="O69" s="164" t="str">
        <f t="shared" si="7"/>
        <v>-</v>
      </c>
      <c r="P69" s="126"/>
      <c r="Q69" s="128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customHeight="1">
      <c r="A70" s="156" t="str">
        <f t="shared" si="0"/>
        <v/>
      </c>
      <c r="B70" s="165"/>
      <c r="C70" s="159" t="str">
        <f t="shared" si="6"/>
        <v>-</v>
      </c>
      <c r="D70" s="160"/>
      <c r="E70" s="169"/>
      <c r="F70" s="170"/>
      <c r="G70" s="171"/>
      <c r="H70" s="168">
        <v>0</v>
      </c>
      <c r="I70" s="171">
        <v>0</v>
      </c>
      <c r="J70" s="161">
        <f t="shared" si="1"/>
        <v>0</v>
      </c>
      <c r="K70" s="161">
        <f t="shared" si="2"/>
        <v>0</v>
      </c>
      <c r="L70" s="161" t="str">
        <f t="shared" si="3"/>
        <v>-x-</v>
      </c>
      <c r="M70" s="162">
        <f>SUMIF($E$2:E70,E70,$F$2:F70)</f>
        <v>0</v>
      </c>
      <c r="N70" s="163" t="str">
        <f>IFERROR(IF(A70=CONCATENATE("1","-",E70),L70,
IF(O70="Venda",VLOOKUP(CONCATENATE((COUNTIF($E$2:E70,E70)-1),"-",E70),$A$2:$N$313,14,FALSE),(VLOOKUP(CONCATENATE((COUNTIF($E$2:E70,E70)-1),"-",E70),$A$2:$N$313,14,FALSE)*VLOOKUP(CONCATENATE((COUNTIF($E$2:E70,E70)-1),"-",E70),$A$2:$N$313,13,FALSE)+K70)/M70)),"-x-")</f>
        <v>-x-</v>
      </c>
      <c r="O70" s="164" t="str">
        <f t="shared" si="7"/>
        <v>-</v>
      </c>
      <c r="P70" s="126"/>
      <c r="Q70" s="128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customHeight="1">
      <c r="A71" s="156" t="str">
        <f t="shared" si="0"/>
        <v/>
      </c>
      <c r="B71" s="165"/>
      <c r="C71" s="159" t="str">
        <f t="shared" si="6"/>
        <v>-</v>
      </c>
      <c r="D71" s="160"/>
      <c r="E71" s="169"/>
      <c r="F71" s="170"/>
      <c r="G71" s="171"/>
      <c r="H71" s="168">
        <v>0</v>
      </c>
      <c r="I71" s="171">
        <v>0</v>
      </c>
      <c r="J71" s="161">
        <f t="shared" si="1"/>
        <v>0</v>
      </c>
      <c r="K71" s="161">
        <f t="shared" si="2"/>
        <v>0</v>
      </c>
      <c r="L71" s="161" t="str">
        <f t="shared" si="3"/>
        <v>-x-</v>
      </c>
      <c r="M71" s="162">
        <f>SUMIF($E$2:E71,E71,$F$2:F71)</f>
        <v>0</v>
      </c>
      <c r="N71" s="163" t="str">
        <f>IFERROR(IF(A71=CONCATENATE("1","-",E71),L71,
IF(O71="Venda",VLOOKUP(CONCATENATE((COUNTIF($E$2:E71,E71)-1),"-",E71),$A$2:$N$313,14,FALSE),(VLOOKUP(CONCATENATE((COUNTIF($E$2:E71,E71)-1),"-",E71),$A$2:$N$313,14,FALSE)*VLOOKUP(CONCATENATE((COUNTIF($E$2:E71,E71)-1),"-",E71),$A$2:$N$313,13,FALSE)+K71)/M71)),"-x-")</f>
        <v>-x-</v>
      </c>
      <c r="O71" s="164" t="str">
        <f t="shared" si="7"/>
        <v>-</v>
      </c>
      <c r="P71" s="126"/>
      <c r="Q71" s="128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customHeight="1">
      <c r="A72" s="156" t="str">
        <f t="shared" si="0"/>
        <v/>
      </c>
      <c r="B72" s="165"/>
      <c r="C72" s="159" t="str">
        <f t="shared" si="6"/>
        <v>-</v>
      </c>
      <c r="D72" s="160"/>
      <c r="E72" s="169"/>
      <c r="F72" s="170"/>
      <c r="G72" s="171"/>
      <c r="H72" s="168">
        <v>0</v>
      </c>
      <c r="I72" s="171">
        <v>0</v>
      </c>
      <c r="J72" s="161">
        <f t="shared" si="1"/>
        <v>0</v>
      </c>
      <c r="K72" s="161">
        <f t="shared" si="2"/>
        <v>0</v>
      </c>
      <c r="L72" s="161" t="str">
        <f t="shared" si="3"/>
        <v>-x-</v>
      </c>
      <c r="M72" s="162">
        <f>SUMIF($E$2:E72,E72,$F$2:F72)</f>
        <v>0</v>
      </c>
      <c r="N72" s="163" t="str">
        <f>IFERROR(IF(A72=CONCATENATE("1","-",E72),L72,
IF(O72="Venda",VLOOKUP(CONCATENATE((COUNTIF($E$2:E72,E72)-1),"-",E72),$A$2:$N$313,14,FALSE),(VLOOKUP(CONCATENATE((COUNTIF($E$2:E72,E72)-1),"-",E72),$A$2:$N$313,14,FALSE)*VLOOKUP(CONCATENATE((COUNTIF($E$2:E72,E72)-1),"-",E72),$A$2:$N$313,13,FALSE)+K72)/M72)),"-x-")</f>
        <v>-x-</v>
      </c>
      <c r="O72" s="164" t="str">
        <f t="shared" si="7"/>
        <v>-</v>
      </c>
      <c r="P72" s="126"/>
      <c r="Q72" s="12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customHeight="1">
      <c r="A73" s="156" t="str">
        <f t="shared" si="0"/>
        <v/>
      </c>
      <c r="B73" s="165"/>
      <c r="C73" s="159" t="str">
        <f t="shared" si="6"/>
        <v>-</v>
      </c>
      <c r="D73" s="160"/>
      <c r="E73" s="169"/>
      <c r="F73" s="170"/>
      <c r="G73" s="171"/>
      <c r="H73" s="168">
        <v>0</v>
      </c>
      <c r="I73" s="171">
        <v>0</v>
      </c>
      <c r="J73" s="161">
        <f t="shared" si="1"/>
        <v>0</v>
      </c>
      <c r="K73" s="161">
        <f t="shared" si="2"/>
        <v>0</v>
      </c>
      <c r="L73" s="161" t="str">
        <f t="shared" si="3"/>
        <v>-x-</v>
      </c>
      <c r="M73" s="162">
        <f>SUMIF($E$2:E73,E73,$F$2:F73)</f>
        <v>0</v>
      </c>
      <c r="N73" s="163" t="str">
        <f>IFERROR(IF(A73=CONCATENATE("1","-",E73),L73,
IF(O73="Venda",VLOOKUP(CONCATENATE((COUNTIF($E$2:E73,E73)-1),"-",E73),$A$2:$N$313,14,FALSE),(VLOOKUP(CONCATENATE((COUNTIF($E$2:E73,E73)-1),"-",E73),$A$2:$N$313,14,FALSE)*VLOOKUP(CONCATENATE((COUNTIF($E$2:E73,E73)-1),"-",E73),$A$2:$N$313,13,FALSE)+K73)/M73)),"-x-")</f>
        <v>-x-</v>
      </c>
      <c r="O73" s="164" t="str">
        <f t="shared" si="7"/>
        <v>-</v>
      </c>
      <c r="P73" s="126"/>
      <c r="Q73" s="128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customHeight="1">
      <c r="A74" s="156" t="str">
        <f t="shared" si="0"/>
        <v/>
      </c>
      <c r="B74" s="165"/>
      <c r="C74" s="159" t="str">
        <f t="shared" si="6"/>
        <v>-</v>
      </c>
      <c r="D74" s="160"/>
      <c r="E74" s="169"/>
      <c r="F74" s="170"/>
      <c r="G74" s="171"/>
      <c r="H74" s="168">
        <v>0</v>
      </c>
      <c r="I74" s="171">
        <v>0</v>
      </c>
      <c r="J74" s="161">
        <f t="shared" si="1"/>
        <v>0</v>
      </c>
      <c r="K74" s="161">
        <f t="shared" si="2"/>
        <v>0</v>
      </c>
      <c r="L74" s="161" t="str">
        <f t="shared" si="3"/>
        <v>-x-</v>
      </c>
      <c r="M74" s="162">
        <f>SUMIF($E$2:E74,E74,$F$2:F74)</f>
        <v>0</v>
      </c>
      <c r="N74" s="163" t="str">
        <f>IFERROR(IF(A74=CONCATENATE("1","-",E74),L74,
IF(O74="Venda",VLOOKUP(CONCATENATE((COUNTIF($E$2:E74,E74)-1),"-",E74),$A$2:$N$313,14,FALSE),(VLOOKUP(CONCATENATE((COUNTIF($E$2:E74,E74)-1),"-",E74),$A$2:$N$313,14,FALSE)*VLOOKUP(CONCATENATE((COUNTIF($E$2:E74,E74)-1),"-",E74),$A$2:$N$313,13,FALSE)+K74)/M74)),"-x-")</f>
        <v>-x-</v>
      </c>
      <c r="O74" s="164" t="str">
        <f t="shared" si="7"/>
        <v>-</v>
      </c>
      <c r="P74" s="126"/>
      <c r="Q74" s="128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customHeight="1">
      <c r="A75" s="156" t="str">
        <f t="shared" si="0"/>
        <v/>
      </c>
      <c r="B75" s="165"/>
      <c r="C75" s="159" t="str">
        <f t="shared" si="6"/>
        <v>-</v>
      </c>
      <c r="D75" s="160"/>
      <c r="E75" s="169"/>
      <c r="F75" s="170"/>
      <c r="G75" s="171"/>
      <c r="H75" s="168">
        <v>0</v>
      </c>
      <c r="I75" s="171">
        <v>0</v>
      </c>
      <c r="J75" s="161">
        <f t="shared" si="1"/>
        <v>0</v>
      </c>
      <c r="K75" s="161">
        <f t="shared" si="2"/>
        <v>0</v>
      </c>
      <c r="L75" s="161" t="str">
        <f t="shared" si="3"/>
        <v>-x-</v>
      </c>
      <c r="M75" s="162">
        <f>SUMIF($E$2:E75,E75,$F$2:F75)</f>
        <v>0</v>
      </c>
      <c r="N75" s="163" t="str">
        <f>IFERROR(IF(A75=CONCATENATE("1","-",E75),L75,
IF(O75="Venda",VLOOKUP(CONCATENATE((COUNTIF($E$2:E75,E75)-1),"-",E75),$A$2:$N$313,14,FALSE),(VLOOKUP(CONCATENATE((COUNTIF($E$2:E75,E75)-1),"-",E75),$A$2:$N$313,14,FALSE)*VLOOKUP(CONCATENATE((COUNTIF($E$2:E75,E75)-1),"-",E75),$A$2:$N$313,13,FALSE)+K75)/M75)),"-x-")</f>
        <v>-x-</v>
      </c>
      <c r="O75" s="164" t="str">
        <f t="shared" si="7"/>
        <v>-</v>
      </c>
      <c r="P75" s="126"/>
      <c r="Q75" s="128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customHeight="1">
      <c r="A76" s="156" t="str">
        <f t="shared" si="0"/>
        <v/>
      </c>
      <c r="B76" s="165"/>
      <c r="C76" s="159" t="str">
        <f t="shared" si="6"/>
        <v>-</v>
      </c>
      <c r="D76" s="160"/>
      <c r="E76" s="169"/>
      <c r="F76" s="170"/>
      <c r="G76" s="171"/>
      <c r="H76" s="168">
        <v>0</v>
      </c>
      <c r="I76" s="171">
        <v>0</v>
      </c>
      <c r="J76" s="161">
        <f t="shared" si="1"/>
        <v>0</v>
      </c>
      <c r="K76" s="161">
        <f t="shared" si="2"/>
        <v>0</v>
      </c>
      <c r="L76" s="161" t="str">
        <f t="shared" si="3"/>
        <v>-x-</v>
      </c>
      <c r="M76" s="162">
        <f>SUMIF($E$2:E76,E76,$F$2:F76)</f>
        <v>0</v>
      </c>
      <c r="N76" s="163" t="str">
        <f>IFERROR(IF(A76=CONCATENATE("1","-",E76),L76,
IF(O76="Venda",VLOOKUP(CONCATENATE((COUNTIF($E$2:E76,E76)-1),"-",E76),$A$2:$N$313,14,FALSE),(VLOOKUP(CONCATENATE((COUNTIF($E$2:E76,E76)-1),"-",E76),$A$2:$N$313,14,FALSE)*VLOOKUP(CONCATENATE((COUNTIF($E$2:E76,E76)-1),"-",E76),$A$2:$N$313,13,FALSE)+K76)/M76)),"-x-")</f>
        <v>-x-</v>
      </c>
      <c r="O76" s="164" t="str">
        <f t="shared" si="7"/>
        <v>-</v>
      </c>
      <c r="P76" s="126"/>
      <c r="Q76" s="128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customHeight="1">
      <c r="A77" s="156" t="str">
        <f t="shared" si="0"/>
        <v/>
      </c>
      <c r="B77" s="165"/>
      <c r="C77" s="159" t="str">
        <f t="shared" si="6"/>
        <v>-</v>
      </c>
      <c r="D77" s="160"/>
      <c r="E77" s="169"/>
      <c r="F77" s="170"/>
      <c r="G77" s="171"/>
      <c r="H77" s="168">
        <v>0</v>
      </c>
      <c r="I77" s="171">
        <v>0</v>
      </c>
      <c r="J77" s="161">
        <f t="shared" si="1"/>
        <v>0</v>
      </c>
      <c r="K77" s="161">
        <f t="shared" si="2"/>
        <v>0</v>
      </c>
      <c r="L77" s="161" t="str">
        <f t="shared" si="3"/>
        <v>-x-</v>
      </c>
      <c r="M77" s="162">
        <f>SUMIF($E$2:E77,E77,$F$2:F77)</f>
        <v>0</v>
      </c>
      <c r="N77" s="163" t="str">
        <f>IFERROR(IF(A77=CONCATENATE("1","-",E77),L77,
IF(O77="Venda",VLOOKUP(CONCATENATE((COUNTIF($E$2:E77,E77)-1),"-",E77),$A$2:$N$313,14,FALSE),(VLOOKUP(CONCATENATE((COUNTIF($E$2:E77,E77)-1),"-",E77),$A$2:$N$313,14,FALSE)*VLOOKUP(CONCATENATE((COUNTIF($E$2:E77,E77)-1),"-",E77),$A$2:$N$313,13,FALSE)+K77)/M77)),"-x-")</f>
        <v>-x-</v>
      </c>
      <c r="O77" s="164" t="str">
        <f t="shared" si="7"/>
        <v>-</v>
      </c>
      <c r="P77" s="126"/>
      <c r="Q77" s="128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customHeight="1">
      <c r="A78" s="156" t="str">
        <f t="shared" si="0"/>
        <v/>
      </c>
      <c r="B78" s="165"/>
      <c r="C78" s="159" t="str">
        <f t="shared" si="6"/>
        <v>-</v>
      </c>
      <c r="D78" s="160"/>
      <c r="E78" s="169"/>
      <c r="F78" s="170"/>
      <c r="G78" s="171"/>
      <c r="H78" s="168">
        <v>0</v>
      </c>
      <c r="I78" s="171">
        <v>0</v>
      </c>
      <c r="J78" s="161">
        <f t="shared" si="1"/>
        <v>0</v>
      </c>
      <c r="K78" s="161">
        <f t="shared" si="2"/>
        <v>0</v>
      </c>
      <c r="L78" s="161" t="str">
        <f t="shared" si="3"/>
        <v>-x-</v>
      </c>
      <c r="M78" s="162">
        <f>SUMIF($E$2:E78,E78,$F$2:F78)</f>
        <v>0</v>
      </c>
      <c r="N78" s="163" t="str">
        <f>IFERROR(IF(A78=CONCATENATE("1","-",E78),L78,
IF(O78="Venda",VLOOKUP(CONCATENATE((COUNTIF($E$2:E78,E78)-1),"-",E78),$A$2:$N$313,14,FALSE),(VLOOKUP(CONCATENATE((COUNTIF($E$2:E78,E78)-1),"-",E78),$A$2:$N$313,14,FALSE)*VLOOKUP(CONCATENATE((COUNTIF($E$2:E78,E78)-1),"-",E78),$A$2:$N$313,13,FALSE)+K78)/M78)),"-x-")</f>
        <v>-x-</v>
      </c>
      <c r="O78" s="164" t="str">
        <f t="shared" si="7"/>
        <v>-</v>
      </c>
      <c r="P78" s="126"/>
      <c r="Q78" s="128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customHeight="1">
      <c r="A79" s="156" t="str">
        <f t="shared" si="0"/>
        <v/>
      </c>
      <c r="B79" s="165"/>
      <c r="C79" s="159" t="str">
        <f t="shared" si="6"/>
        <v>-</v>
      </c>
      <c r="D79" s="160"/>
      <c r="E79" s="169"/>
      <c r="F79" s="170"/>
      <c r="G79" s="171"/>
      <c r="H79" s="168">
        <v>0</v>
      </c>
      <c r="I79" s="171">
        <v>0</v>
      </c>
      <c r="J79" s="161">
        <f t="shared" si="1"/>
        <v>0</v>
      </c>
      <c r="K79" s="161">
        <f t="shared" si="2"/>
        <v>0</v>
      </c>
      <c r="L79" s="161" t="str">
        <f t="shared" si="3"/>
        <v>-x-</v>
      </c>
      <c r="M79" s="162">
        <f>SUMIF($E$2:E79,E79,$F$2:F79)</f>
        <v>0</v>
      </c>
      <c r="N79" s="163" t="str">
        <f>IFERROR(IF(A79=CONCATENATE("1","-",E79),L79,
IF(O79="Venda",VLOOKUP(CONCATENATE((COUNTIF($E$2:E79,E79)-1),"-",E79),$A$2:$N$313,14,FALSE),(VLOOKUP(CONCATENATE((COUNTIF($E$2:E79,E79)-1),"-",E79),$A$2:$N$313,14,FALSE)*VLOOKUP(CONCATENATE((COUNTIF($E$2:E79,E79)-1),"-",E79),$A$2:$N$313,13,FALSE)+K79)/M79)),"-x-")</f>
        <v>-x-</v>
      </c>
      <c r="O79" s="164" t="str">
        <f t="shared" si="7"/>
        <v>-</v>
      </c>
      <c r="P79" s="126"/>
      <c r="Q79" s="128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customHeight="1">
      <c r="A80" s="156" t="str">
        <f t="shared" si="0"/>
        <v/>
      </c>
      <c r="B80" s="165"/>
      <c r="C80" s="159" t="str">
        <f t="shared" si="6"/>
        <v>-</v>
      </c>
      <c r="D80" s="160"/>
      <c r="E80" s="169"/>
      <c r="F80" s="170"/>
      <c r="G80" s="171"/>
      <c r="H80" s="168">
        <v>0</v>
      </c>
      <c r="I80" s="171">
        <v>0</v>
      </c>
      <c r="J80" s="161">
        <f t="shared" si="1"/>
        <v>0</v>
      </c>
      <c r="K80" s="161">
        <f t="shared" si="2"/>
        <v>0</v>
      </c>
      <c r="L80" s="161" t="str">
        <f t="shared" si="3"/>
        <v>-x-</v>
      </c>
      <c r="M80" s="162">
        <f>SUMIF($E$2:E80,E80,$F$2:F80)</f>
        <v>0</v>
      </c>
      <c r="N80" s="163" t="str">
        <f>IFERROR(IF(A80=CONCATENATE("1","-",E80),L80,
IF(O80="Venda",VLOOKUP(CONCATENATE((COUNTIF($E$2:E80,E80)-1),"-",E80),$A$2:$N$313,14,FALSE),(VLOOKUP(CONCATENATE((COUNTIF($E$2:E80,E80)-1),"-",E80),$A$2:$N$313,14,FALSE)*VLOOKUP(CONCATENATE((COUNTIF($E$2:E80,E80)-1),"-",E80),$A$2:$N$313,13,FALSE)+K80)/M80)),"-x-")</f>
        <v>-x-</v>
      </c>
      <c r="O80" s="164" t="str">
        <f t="shared" si="7"/>
        <v>-</v>
      </c>
      <c r="P80" s="126"/>
      <c r="Q80" s="128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customHeight="1">
      <c r="A81" s="156" t="str">
        <f t="shared" si="0"/>
        <v/>
      </c>
      <c r="B81" s="165"/>
      <c r="C81" s="159" t="str">
        <f t="shared" si="6"/>
        <v>-</v>
      </c>
      <c r="D81" s="160"/>
      <c r="E81" s="169"/>
      <c r="F81" s="170"/>
      <c r="G81" s="171"/>
      <c r="H81" s="168">
        <v>0</v>
      </c>
      <c r="I81" s="171">
        <v>0</v>
      </c>
      <c r="J81" s="161">
        <f t="shared" si="1"/>
        <v>0</v>
      </c>
      <c r="K81" s="161">
        <f t="shared" si="2"/>
        <v>0</v>
      </c>
      <c r="L81" s="161" t="str">
        <f t="shared" si="3"/>
        <v>-x-</v>
      </c>
      <c r="M81" s="162">
        <f>SUMIF($E$2:E81,E81,$F$2:F81)</f>
        <v>0</v>
      </c>
      <c r="N81" s="163" t="str">
        <f>IFERROR(IF(A81=CONCATENATE("1","-",E81),L81,
IF(O81="Venda",VLOOKUP(CONCATENATE((COUNTIF($E$2:E81,E81)-1),"-",E81),$A$2:$N$313,14,FALSE),(VLOOKUP(CONCATENATE((COUNTIF($E$2:E81,E81)-1),"-",E81),$A$2:$N$313,14,FALSE)*VLOOKUP(CONCATENATE((COUNTIF($E$2:E81,E81)-1),"-",E81),$A$2:$N$313,13,FALSE)+K81)/M81)),"-x-")</f>
        <v>-x-</v>
      </c>
      <c r="O81" s="164" t="str">
        <f t="shared" si="7"/>
        <v>-</v>
      </c>
      <c r="P81" s="126"/>
      <c r="Q81" s="128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customHeight="1">
      <c r="A82" s="156" t="str">
        <f t="shared" si="0"/>
        <v/>
      </c>
      <c r="B82" s="165"/>
      <c r="C82" s="159" t="str">
        <f t="shared" si="6"/>
        <v>-</v>
      </c>
      <c r="D82" s="160"/>
      <c r="E82" s="169"/>
      <c r="F82" s="170"/>
      <c r="G82" s="171"/>
      <c r="H82" s="168">
        <v>0</v>
      </c>
      <c r="I82" s="171">
        <v>0</v>
      </c>
      <c r="J82" s="161">
        <f t="shared" si="1"/>
        <v>0</v>
      </c>
      <c r="K82" s="161">
        <f t="shared" si="2"/>
        <v>0</v>
      </c>
      <c r="L82" s="161" t="str">
        <f t="shared" si="3"/>
        <v>-x-</v>
      </c>
      <c r="M82" s="162">
        <f>SUMIF($E$2:E82,E82,$F$2:F82)</f>
        <v>0</v>
      </c>
      <c r="N82" s="163" t="str">
        <f>IFERROR(IF(A82=CONCATENATE("1","-",E82),L82,
IF(O82="Venda",VLOOKUP(CONCATENATE((COUNTIF($E$2:E82,E82)-1),"-",E82),$A$2:$N$313,14,FALSE),(VLOOKUP(CONCATENATE((COUNTIF($E$2:E82,E82)-1),"-",E82),$A$2:$N$313,14,FALSE)*VLOOKUP(CONCATENATE((COUNTIF($E$2:E82,E82)-1),"-",E82),$A$2:$N$313,13,FALSE)+K82)/M82)),"-x-")</f>
        <v>-x-</v>
      </c>
      <c r="O82" s="164" t="str">
        <f t="shared" si="7"/>
        <v>-</v>
      </c>
      <c r="P82" s="126"/>
      <c r="Q82" s="128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customHeight="1">
      <c r="A83" s="156" t="str">
        <f t="shared" si="0"/>
        <v/>
      </c>
      <c r="B83" s="165"/>
      <c r="C83" s="159" t="str">
        <f t="shared" si="6"/>
        <v>-</v>
      </c>
      <c r="D83" s="160"/>
      <c r="E83" s="169"/>
      <c r="F83" s="170"/>
      <c r="G83" s="171"/>
      <c r="H83" s="168">
        <v>0</v>
      </c>
      <c r="I83" s="171">
        <v>0</v>
      </c>
      <c r="J83" s="161">
        <f t="shared" si="1"/>
        <v>0</v>
      </c>
      <c r="K83" s="161">
        <f t="shared" si="2"/>
        <v>0</v>
      </c>
      <c r="L83" s="161" t="str">
        <f t="shared" si="3"/>
        <v>-x-</v>
      </c>
      <c r="M83" s="162">
        <f>SUMIF($E$2:E83,E83,$F$2:F83)</f>
        <v>0</v>
      </c>
      <c r="N83" s="163" t="str">
        <f>IFERROR(IF(A83=CONCATENATE("1","-",E83),L83,
IF(O83="Venda",VLOOKUP(CONCATENATE((COUNTIF($E$2:E83,E83)-1),"-",E83),$A$2:$N$313,14,FALSE),(VLOOKUP(CONCATENATE((COUNTIF($E$2:E83,E83)-1),"-",E83),$A$2:$N$313,14,FALSE)*VLOOKUP(CONCATENATE((COUNTIF($E$2:E83,E83)-1),"-",E83),$A$2:$N$313,13,FALSE)+K83)/M83)),"-x-")</f>
        <v>-x-</v>
      </c>
      <c r="O83" s="164" t="str">
        <f t="shared" si="7"/>
        <v>-</v>
      </c>
      <c r="P83" s="126"/>
      <c r="Q83" s="128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customHeight="1">
      <c r="A84" s="156" t="str">
        <f t="shared" si="0"/>
        <v/>
      </c>
      <c r="B84" s="165"/>
      <c r="C84" s="159" t="str">
        <f t="shared" si="6"/>
        <v>-</v>
      </c>
      <c r="D84" s="160"/>
      <c r="E84" s="169"/>
      <c r="F84" s="170"/>
      <c r="G84" s="171"/>
      <c r="H84" s="168">
        <v>0</v>
      </c>
      <c r="I84" s="171">
        <v>0</v>
      </c>
      <c r="J84" s="161">
        <f t="shared" si="1"/>
        <v>0</v>
      </c>
      <c r="K84" s="161">
        <f t="shared" si="2"/>
        <v>0</v>
      </c>
      <c r="L84" s="161" t="str">
        <f t="shared" si="3"/>
        <v>-x-</v>
      </c>
      <c r="M84" s="162">
        <f>SUMIF($E$2:E84,E84,$F$2:F84)</f>
        <v>0</v>
      </c>
      <c r="N84" s="163" t="str">
        <f>IFERROR(IF(A84=CONCATENATE("1","-",E84),L84,
IF(O84="Venda",VLOOKUP(CONCATENATE((COUNTIF($E$2:E84,E84)-1),"-",E84),$A$2:$N$313,14,FALSE),(VLOOKUP(CONCATENATE((COUNTIF($E$2:E84,E84)-1),"-",E84),$A$2:$N$313,14,FALSE)*VLOOKUP(CONCATENATE((COUNTIF($E$2:E84,E84)-1),"-",E84),$A$2:$N$313,13,FALSE)+K84)/M84)),"-x-")</f>
        <v>-x-</v>
      </c>
      <c r="O84" s="164" t="str">
        <f t="shared" si="7"/>
        <v>-</v>
      </c>
      <c r="P84" s="126"/>
      <c r="Q84" s="128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customHeight="1">
      <c r="A85" s="156" t="str">
        <f t="shared" si="0"/>
        <v/>
      </c>
      <c r="B85" s="165"/>
      <c r="C85" s="159" t="str">
        <f t="shared" si="6"/>
        <v>-</v>
      </c>
      <c r="D85" s="160"/>
      <c r="E85" s="169"/>
      <c r="F85" s="170"/>
      <c r="G85" s="171"/>
      <c r="H85" s="168">
        <v>0</v>
      </c>
      <c r="I85" s="171">
        <v>0</v>
      </c>
      <c r="J85" s="161">
        <f t="shared" si="1"/>
        <v>0</v>
      </c>
      <c r="K85" s="161">
        <f t="shared" si="2"/>
        <v>0</v>
      </c>
      <c r="L85" s="161" t="str">
        <f t="shared" si="3"/>
        <v>-x-</v>
      </c>
      <c r="M85" s="162">
        <f>SUMIF($E$2:E85,E85,$F$2:F85)</f>
        <v>0</v>
      </c>
      <c r="N85" s="163" t="str">
        <f>IFERROR(IF(A85=CONCATENATE("1","-",E85),L85,
IF(O85="Venda",VLOOKUP(CONCATENATE((COUNTIF($E$2:E85,E85)-1),"-",E85),$A$2:$N$313,14,FALSE),(VLOOKUP(CONCATENATE((COUNTIF($E$2:E85,E85)-1),"-",E85),$A$2:$N$313,14,FALSE)*VLOOKUP(CONCATENATE((COUNTIF($E$2:E85,E85)-1),"-",E85),$A$2:$N$313,13,FALSE)+K85)/M85)),"-x-")</f>
        <v>-x-</v>
      </c>
      <c r="O85" s="164" t="str">
        <f t="shared" si="7"/>
        <v>-</v>
      </c>
      <c r="P85" s="126"/>
      <c r="Q85" s="128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customHeight="1">
      <c r="A86" s="156" t="str">
        <f t="shared" si="0"/>
        <v/>
      </c>
      <c r="B86" s="165"/>
      <c r="C86" s="159" t="str">
        <f t="shared" si="6"/>
        <v>-</v>
      </c>
      <c r="D86" s="160"/>
      <c r="E86" s="169"/>
      <c r="F86" s="170"/>
      <c r="G86" s="171"/>
      <c r="H86" s="168">
        <v>0</v>
      </c>
      <c r="I86" s="171">
        <v>0</v>
      </c>
      <c r="J86" s="161">
        <f t="shared" si="1"/>
        <v>0</v>
      </c>
      <c r="K86" s="161">
        <f t="shared" si="2"/>
        <v>0</v>
      </c>
      <c r="L86" s="161" t="str">
        <f t="shared" si="3"/>
        <v>-x-</v>
      </c>
      <c r="M86" s="162">
        <f>SUMIF($E$2:E86,E86,$F$2:F86)</f>
        <v>0</v>
      </c>
      <c r="N86" s="163" t="str">
        <f>IFERROR(IF(A86=CONCATENATE("1","-",E86),L86,
IF(O86="Venda",VLOOKUP(CONCATENATE((COUNTIF($E$2:E86,E86)-1),"-",E86),$A$2:$N$313,14,FALSE),(VLOOKUP(CONCATENATE((COUNTIF($E$2:E86,E86)-1),"-",E86),$A$2:$N$313,14,FALSE)*VLOOKUP(CONCATENATE((COUNTIF($E$2:E86,E86)-1),"-",E86),$A$2:$N$313,13,FALSE)+K86)/M86)),"-x-")</f>
        <v>-x-</v>
      </c>
      <c r="O86" s="164" t="str">
        <f t="shared" si="7"/>
        <v>-</v>
      </c>
      <c r="P86" s="126"/>
      <c r="Q86" s="128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customHeight="1">
      <c r="A87" s="156" t="str">
        <f t="shared" si="0"/>
        <v/>
      </c>
      <c r="B87" s="165"/>
      <c r="C87" s="159" t="str">
        <f t="shared" si="6"/>
        <v>-</v>
      </c>
      <c r="D87" s="160"/>
      <c r="E87" s="169"/>
      <c r="F87" s="170"/>
      <c r="G87" s="171"/>
      <c r="H87" s="168">
        <v>0</v>
      </c>
      <c r="I87" s="171">
        <v>0</v>
      </c>
      <c r="J87" s="161">
        <f t="shared" si="1"/>
        <v>0</v>
      </c>
      <c r="K87" s="161">
        <f t="shared" si="2"/>
        <v>0</v>
      </c>
      <c r="L87" s="161" t="str">
        <f t="shared" si="3"/>
        <v>-x-</v>
      </c>
      <c r="M87" s="162">
        <f>SUMIF($E$2:E87,E87,$F$2:F87)</f>
        <v>0</v>
      </c>
      <c r="N87" s="163" t="str">
        <f>IFERROR(IF(A87=CONCATENATE("1","-",E87),L87,
IF(O87="Venda",VLOOKUP(CONCATENATE((COUNTIF($E$2:E87,E87)-1),"-",E87),$A$2:$N$313,14,FALSE),(VLOOKUP(CONCATENATE((COUNTIF($E$2:E87,E87)-1),"-",E87),$A$2:$N$313,14,FALSE)*VLOOKUP(CONCATENATE((COUNTIF($E$2:E87,E87)-1),"-",E87),$A$2:$N$313,13,FALSE)+K87)/M87)),"-x-")</f>
        <v>-x-</v>
      </c>
      <c r="O87" s="164" t="str">
        <f t="shared" si="7"/>
        <v>-</v>
      </c>
      <c r="P87" s="126"/>
      <c r="Q87" s="128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customHeight="1">
      <c r="A88" s="156" t="str">
        <f t="shared" si="0"/>
        <v/>
      </c>
      <c r="B88" s="165"/>
      <c r="C88" s="159" t="str">
        <f t="shared" si="6"/>
        <v>-</v>
      </c>
      <c r="D88" s="160"/>
      <c r="E88" s="169"/>
      <c r="F88" s="170"/>
      <c r="G88" s="171"/>
      <c r="H88" s="168">
        <v>0</v>
      </c>
      <c r="I88" s="171">
        <v>0</v>
      </c>
      <c r="J88" s="161">
        <f t="shared" si="1"/>
        <v>0</v>
      </c>
      <c r="K88" s="161">
        <f t="shared" si="2"/>
        <v>0</v>
      </c>
      <c r="L88" s="161" t="str">
        <f t="shared" si="3"/>
        <v>-x-</v>
      </c>
      <c r="M88" s="162">
        <f>SUMIF($E$2:E88,E88,$F$2:F88)</f>
        <v>0</v>
      </c>
      <c r="N88" s="163" t="str">
        <f>IFERROR(IF(A88=CONCATENATE("1","-",E88),L88,
IF(O88="Venda",VLOOKUP(CONCATENATE((COUNTIF($E$2:E88,E88)-1),"-",E88),$A$2:$N$313,14,FALSE),(VLOOKUP(CONCATENATE((COUNTIF($E$2:E88,E88)-1),"-",E88),$A$2:$N$313,14,FALSE)*VLOOKUP(CONCATENATE((COUNTIF($E$2:E88,E88)-1),"-",E88),$A$2:$N$313,13,FALSE)+K88)/M88)),"-x-")</f>
        <v>-x-</v>
      </c>
      <c r="O88" s="164" t="str">
        <f t="shared" si="7"/>
        <v>-</v>
      </c>
      <c r="P88" s="126"/>
      <c r="Q88" s="128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customHeight="1">
      <c r="A89" s="156" t="str">
        <f t="shared" si="0"/>
        <v/>
      </c>
      <c r="B89" s="165"/>
      <c r="C89" s="159" t="str">
        <f t="shared" si="6"/>
        <v>-</v>
      </c>
      <c r="D89" s="160"/>
      <c r="E89" s="169"/>
      <c r="F89" s="170"/>
      <c r="G89" s="171"/>
      <c r="H89" s="168">
        <v>0</v>
      </c>
      <c r="I89" s="171">
        <v>0</v>
      </c>
      <c r="J89" s="161">
        <f t="shared" si="1"/>
        <v>0</v>
      </c>
      <c r="K89" s="161">
        <f t="shared" si="2"/>
        <v>0</v>
      </c>
      <c r="L89" s="161" t="str">
        <f t="shared" si="3"/>
        <v>-x-</v>
      </c>
      <c r="M89" s="162">
        <f>SUMIF($E$2:E89,E89,$F$2:F89)</f>
        <v>0</v>
      </c>
      <c r="N89" s="163" t="str">
        <f>IFERROR(IF(A89=CONCATENATE("1","-",E89),L89,
IF(O89="Venda",VLOOKUP(CONCATENATE((COUNTIF($E$2:E89,E89)-1),"-",E89),$A$2:$N$313,14,FALSE),(VLOOKUP(CONCATENATE((COUNTIF($E$2:E89,E89)-1),"-",E89),$A$2:$N$313,14,FALSE)*VLOOKUP(CONCATENATE((COUNTIF($E$2:E89,E89)-1),"-",E89),$A$2:$N$313,13,FALSE)+K89)/M89)),"-x-")</f>
        <v>-x-</v>
      </c>
      <c r="O89" s="164" t="str">
        <f t="shared" si="7"/>
        <v>-</v>
      </c>
      <c r="P89" s="126"/>
      <c r="Q89" s="128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customHeight="1">
      <c r="A90" s="156" t="str">
        <f t="shared" si="0"/>
        <v/>
      </c>
      <c r="B90" s="165"/>
      <c r="C90" s="159" t="str">
        <f t="shared" si="6"/>
        <v>-</v>
      </c>
      <c r="D90" s="160"/>
      <c r="E90" s="169"/>
      <c r="F90" s="170"/>
      <c r="G90" s="171"/>
      <c r="H90" s="168">
        <v>0</v>
      </c>
      <c r="I90" s="171">
        <v>0</v>
      </c>
      <c r="J90" s="161">
        <f t="shared" si="1"/>
        <v>0</v>
      </c>
      <c r="K90" s="161">
        <f t="shared" si="2"/>
        <v>0</v>
      </c>
      <c r="L90" s="161" t="str">
        <f t="shared" si="3"/>
        <v>-x-</v>
      </c>
      <c r="M90" s="162">
        <f>SUMIF($E$2:E90,E90,$F$2:F90)</f>
        <v>0</v>
      </c>
      <c r="N90" s="163" t="str">
        <f>IFERROR(IF(A90=CONCATENATE("1","-",E90),L90,
IF(O90="Venda",VLOOKUP(CONCATENATE((COUNTIF($E$2:E90,E90)-1),"-",E90),$A$2:$N$313,14,FALSE),(VLOOKUP(CONCATENATE((COUNTIF($E$2:E90,E90)-1),"-",E90),$A$2:$N$313,14,FALSE)*VLOOKUP(CONCATENATE((COUNTIF($E$2:E90,E90)-1),"-",E90),$A$2:$N$313,13,FALSE)+K90)/M90)),"-x-")</f>
        <v>-x-</v>
      </c>
      <c r="O90" s="164" t="str">
        <f t="shared" si="7"/>
        <v>-</v>
      </c>
      <c r="P90" s="126"/>
      <c r="Q90" s="128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customHeight="1">
      <c r="A91" s="156" t="str">
        <f t="shared" si="0"/>
        <v/>
      </c>
      <c r="B91" s="165"/>
      <c r="C91" s="159" t="str">
        <f t="shared" si="6"/>
        <v>-</v>
      </c>
      <c r="D91" s="160"/>
      <c r="E91" s="169"/>
      <c r="F91" s="170"/>
      <c r="G91" s="171"/>
      <c r="H91" s="168">
        <v>0</v>
      </c>
      <c r="I91" s="171">
        <v>0</v>
      </c>
      <c r="J91" s="161">
        <f t="shared" si="1"/>
        <v>0</v>
      </c>
      <c r="K91" s="161">
        <f t="shared" si="2"/>
        <v>0</v>
      </c>
      <c r="L91" s="161" t="str">
        <f t="shared" si="3"/>
        <v>-x-</v>
      </c>
      <c r="M91" s="162">
        <f>SUMIF($E$2:E91,E91,$F$2:F91)</f>
        <v>0</v>
      </c>
      <c r="N91" s="163" t="str">
        <f>IFERROR(IF(A91=CONCATENATE("1","-",E91),L91,
IF(O91="Venda",VLOOKUP(CONCATENATE((COUNTIF($E$2:E91,E91)-1),"-",E91),$A$2:$N$313,14,FALSE),(VLOOKUP(CONCATENATE((COUNTIF($E$2:E91,E91)-1),"-",E91),$A$2:$N$313,14,FALSE)*VLOOKUP(CONCATENATE((COUNTIF($E$2:E91,E91)-1),"-",E91),$A$2:$N$313,13,FALSE)+K91)/M91)),"-x-")</f>
        <v>-x-</v>
      </c>
      <c r="O91" s="164" t="str">
        <f t="shared" si="7"/>
        <v>-</v>
      </c>
      <c r="P91" s="126"/>
      <c r="Q91" s="128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customHeight="1">
      <c r="A92" s="156" t="str">
        <f t="shared" si="0"/>
        <v/>
      </c>
      <c r="B92" s="165"/>
      <c r="C92" s="159" t="str">
        <f t="shared" si="6"/>
        <v>-</v>
      </c>
      <c r="D92" s="160"/>
      <c r="E92" s="169"/>
      <c r="F92" s="170"/>
      <c r="G92" s="171"/>
      <c r="H92" s="168">
        <v>0</v>
      </c>
      <c r="I92" s="171">
        <v>0</v>
      </c>
      <c r="J92" s="161">
        <f t="shared" si="1"/>
        <v>0</v>
      </c>
      <c r="K92" s="161">
        <f t="shared" si="2"/>
        <v>0</v>
      </c>
      <c r="L92" s="161" t="str">
        <f t="shared" si="3"/>
        <v>-x-</v>
      </c>
      <c r="M92" s="162">
        <f>SUMIF($E$2:E92,E92,$F$2:F92)</f>
        <v>0</v>
      </c>
      <c r="N92" s="163" t="str">
        <f>IFERROR(IF(A92=CONCATENATE("1","-",E92),L92,
IF(O92="Venda",VLOOKUP(CONCATENATE((COUNTIF($E$2:E92,E92)-1),"-",E92),$A$2:$N$313,14,FALSE),(VLOOKUP(CONCATENATE((COUNTIF($E$2:E92,E92)-1),"-",E92),$A$2:$N$313,14,FALSE)*VLOOKUP(CONCATENATE((COUNTIF($E$2:E92,E92)-1),"-",E92),$A$2:$N$313,13,FALSE)+K92)/M92)),"-x-")</f>
        <v>-x-</v>
      </c>
      <c r="O92" s="164" t="str">
        <f t="shared" si="7"/>
        <v>-</v>
      </c>
      <c r="P92" s="126"/>
      <c r="Q92" s="128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customHeight="1">
      <c r="A93" s="156" t="str">
        <f t="shared" si="0"/>
        <v/>
      </c>
      <c r="B93" s="165"/>
      <c r="C93" s="159" t="str">
        <f t="shared" si="6"/>
        <v>-</v>
      </c>
      <c r="D93" s="160"/>
      <c r="E93" s="169"/>
      <c r="F93" s="170"/>
      <c r="G93" s="171"/>
      <c r="H93" s="168">
        <v>0</v>
      </c>
      <c r="I93" s="171">
        <v>0</v>
      </c>
      <c r="J93" s="161">
        <f t="shared" si="1"/>
        <v>0</v>
      </c>
      <c r="K93" s="161">
        <f t="shared" si="2"/>
        <v>0</v>
      </c>
      <c r="L93" s="161" t="str">
        <f t="shared" si="3"/>
        <v>-x-</v>
      </c>
      <c r="M93" s="162">
        <f>SUMIF($E$2:E93,E93,$F$2:F93)</f>
        <v>0</v>
      </c>
      <c r="N93" s="163" t="str">
        <f>IFERROR(IF(A93=CONCATENATE("1","-",E93),L93,
IF(O93="Venda",VLOOKUP(CONCATENATE((COUNTIF($E$2:E93,E93)-1),"-",E93),$A$2:$N$313,14,FALSE),(VLOOKUP(CONCATENATE((COUNTIF($E$2:E93,E93)-1),"-",E93),$A$2:$N$313,14,FALSE)*VLOOKUP(CONCATENATE((COUNTIF($E$2:E93,E93)-1),"-",E93),$A$2:$N$313,13,FALSE)+K93)/M93)),"-x-")</f>
        <v>-x-</v>
      </c>
      <c r="O93" s="164" t="str">
        <f t="shared" si="7"/>
        <v>-</v>
      </c>
      <c r="P93" s="126"/>
      <c r="Q93" s="128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customHeight="1">
      <c r="A94" s="156" t="str">
        <f t="shared" si="0"/>
        <v/>
      </c>
      <c r="B94" s="165"/>
      <c r="C94" s="159" t="str">
        <f t="shared" si="6"/>
        <v>-</v>
      </c>
      <c r="D94" s="160"/>
      <c r="E94" s="169"/>
      <c r="F94" s="170"/>
      <c r="G94" s="171"/>
      <c r="H94" s="168">
        <v>0</v>
      </c>
      <c r="I94" s="171">
        <v>0</v>
      </c>
      <c r="J94" s="161">
        <f t="shared" si="1"/>
        <v>0</v>
      </c>
      <c r="K94" s="161">
        <f t="shared" si="2"/>
        <v>0</v>
      </c>
      <c r="L94" s="161" t="str">
        <f t="shared" si="3"/>
        <v>-x-</v>
      </c>
      <c r="M94" s="162">
        <f>SUMIF($E$2:E94,E94,$F$2:F94)</f>
        <v>0</v>
      </c>
      <c r="N94" s="163" t="str">
        <f>IFERROR(IF(A94=CONCATENATE("1","-",E94),L94,
IF(O94="Venda",VLOOKUP(CONCATENATE((COUNTIF($E$2:E94,E94)-1),"-",E94),$A$2:$N$313,14,FALSE),(VLOOKUP(CONCATENATE((COUNTIF($E$2:E94,E94)-1),"-",E94),$A$2:$N$313,14,FALSE)*VLOOKUP(CONCATENATE((COUNTIF($E$2:E94,E94)-1),"-",E94),$A$2:$N$313,13,FALSE)+K94)/M94)),"-x-")</f>
        <v>-x-</v>
      </c>
      <c r="O94" s="164" t="str">
        <f t="shared" si="7"/>
        <v>-</v>
      </c>
      <c r="P94" s="126"/>
      <c r="Q94" s="128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customHeight="1">
      <c r="A95" s="156" t="str">
        <f t="shared" si="0"/>
        <v/>
      </c>
      <c r="B95" s="165"/>
      <c r="C95" s="159" t="str">
        <f t="shared" si="6"/>
        <v>-</v>
      </c>
      <c r="D95" s="160"/>
      <c r="E95" s="169"/>
      <c r="F95" s="170"/>
      <c r="G95" s="171"/>
      <c r="H95" s="168">
        <v>0</v>
      </c>
      <c r="I95" s="171">
        <v>0</v>
      </c>
      <c r="J95" s="161">
        <f t="shared" si="1"/>
        <v>0</v>
      </c>
      <c r="K95" s="161">
        <f t="shared" si="2"/>
        <v>0</v>
      </c>
      <c r="L95" s="161" t="str">
        <f t="shared" si="3"/>
        <v>-x-</v>
      </c>
      <c r="M95" s="162">
        <f>SUMIF($E$2:E95,E95,$F$2:F95)</f>
        <v>0</v>
      </c>
      <c r="N95" s="163" t="str">
        <f>IFERROR(IF(A95=CONCATENATE("1","-",E95),L95,
IF(O95="Venda",VLOOKUP(CONCATENATE((COUNTIF($E$2:E95,E95)-1),"-",E95),$A$2:$N$313,14,FALSE),(VLOOKUP(CONCATENATE((COUNTIF($E$2:E95,E95)-1),"-",E95),$A$2:$N$313,14,FALSE)*VLOOKUP(CONCATENATE((COUNTIF($E$2:E95,E95)-1),"-",E95),$A$2:$N$313,13,FALSE)+K95)/M95)),"-x-")</f>
        <v>-x-</v>
      </c>
      <c r="O95" s="164" t="str">
        <f t="shared" si="7"/>
        <v>-</v>
      </c>
      <c r="P95" s="126"/>
      <c r="Q95" s="128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customHeight="1">
      <c r="A96" s="156" t="str">
        <f t="shared" si="0"/>
        <v/>
      </c>
      <c r="B96" s="165"/>
      <c r="C96" s="159" t="str">
        <f t="shared" si="6"/>
        <v>-</v>
      </c>
      <c r="D96" s="160"/>
      <c r="E96" s="169"/>
      <c r="F96" s="170"/>
      <c r="G96" s="171"/>
      <c r="H96" s="168">
        <v>0</v>
      </c>
      <c r="I96" s="171">
        <v>0</v>
      </c>
      <c r="J96" s="161">
        <f t="shared" si="1"/>
        <v>0</v>
      </c>
      <c r="K96" s="161">
        <f t="shared" si="2"/>
        <v>0</v>
      </c>
      <c r="L96" s="161" t="str">
        <f t="shared" si="3"/>
        <v>-x-</v>
      </c>
      <c r="M96" s="162">
        <f>SUMIF($E$2:E96,E96,$F$2:F96)</f>
        <v>0</v>
      </c>
      <c r="N96" s="163" t="str">
        <f>IFERROR(IF(A96=CONCATENATE("1","-",E96),L96,
IF(O96="Venda",VLOOKUP(CONCATENATE((COUNTIF($E$2:E96,E96)-1),"-",E96),$A$2:$N$313,14,FALSE),(VLOOKUP(CONCATENATE((COUNTIF($E$2:E96,E96)-1),"-",E96),$A$2:$N$313,14,FALSE)*VLOOKUP(CONCATENATE((COUNTIF($E$2:E96,E96)-1),"-",E96),$A$2:$N$313,13,FALSE)+K96)/M96)),"-x-")</f>
        <v>-x-</v>
      </c>
      <c r="O96" s="164" t="str">
        <f t="shared" si="7"/>
        <v>-</v>
      </c>
      <c r="P96" s="126"/>
      <c r="Q96" s="128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customHeight="1">
      <c r="A97" s="156" t="str">
        <f t="shared" si="0"/>
        <v/>
      </c>
      <c r="B97" s="165"/>
      <c r="C97" s="159" t="str">
        <f t="shared" si="6"/>
        <v>-</v>
      </c>
      <c r="D97" s="160"/>
      <c r="E97" s="169"/>
      <c r="F97" s="170"/>
      <c r="G97" s="171"/>
      <c r="H97" s="168">
        <v>0</v>
      </c>
      <c r="I97" s="171">
        <v>0</v>
      </c>
      <c r="J97" s="161">
        <f t="shared" si="1"/>
        <v>0</v>
      </c>
      <c r="K97" s="161">
        <f t="shared" si="2"/>
        <v>0</v>
      </c>
      <c r="L97" s="161" t="str">
        <f t="shared" si="3"/>
        <v>-x-</v>
      </c>
      <c r="M97" s="162">
        <f>SUMIF($E$2:E97,E97,$F$2:F97)</f>
        <v>0</v>
      </c>
      <c r="N97" s="163" t="str">
        <f>IFERROR(IF(A97=CONCATENATE("1","-",E97),L97,
IF(O97="Venda",VLOOKUP(CONCATENATE((COUNTIF($E$2:E97,E97)-1),"-",E97),$A$2:$N$313,14,FALSE),(VLOOKUP(CONCATENATE((COUNTIF($E$2:E97,E97)-1),"-",E97),$A$2:$N$313,14,FALSE)*VLOOKUP(CONCATENATE((COUNTIF($E$2:E97,E97)-1),"-",E97),$A$2:$N$313,13,FALSE)+K97)/M97)),"-x-")</f>
        <v>-x-</v>
      </c>
      <c r="O97" s="164" t="str">
        <f t="shared" si="7"/>
        <v>-</v>
      </c>
      <c r="P97" s="126"/>
      <c r="Q97" s="128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customHeight="1">
      <c r="A98" s="156" t="str">
        <f t="shared" si="0"/>
        <v/>
      </c>
      <c r="B98" s="165"/>
      <c r="C98" s="159" t="str">
        <f t="shared" si="6"/>
        <v>-</v>
      </c>
      <c r="D98" s="160"/>
      <c r="E98" s="169"/>
      <c r="F98" s="170"/>
      <c r="G98" s="171"/>
      <c r="H98" s="168">
        <v>0</v>
      </c>
      <c r="I98" s="171">
        <v>0</v>
      </c>
      <c r="J98" s="161">
        <f t="shared" si="1"/>
        <v>0</v>
      </c>
      <c r="K98" s="161">
        <f t="shared" si="2"/>
        <v>0</v>
      </c>
      <c r="L98" s="161" t="str">
        <f t="shared" si="3"/>
        <v>-x-</v>
      </c>
      <c r="M98" s="162">
        <f>SUMIF($E$2:E98,E98,$F$2:F98)</f>
        <v>0</v>
      </c>
      <c r="N98" s="163" t="str">
        <f>IFERROR(IF(A98=CONCATENATE("1","-",E98),L98,
IF(O98="Venda",VLOOKUP(CONCATENATE((COUNTIF($E$2:E98,E98)-1),"-",E98),$A$2:$N$313,14,FALSE),(VLOOKUP(CONCATENATE((COUNTIF($E$2:E98,E98)-1),"-",E98),$A$2:$N$313,14,FALSE)*VLOOKUP(CONCATENATE((COUNTIF($E$2:E98,E98)-1),"-",E98),$A$2:$N$313,13,FALSE)+K98)/M98)),"-x-")</f>
        <v>-x-</v>
      </c>
      <c r="O98" s="164" t="str">
        <f t="shared" si="7"/>
        <v>-</v>
      </c>
      <c r="P98" s="126"/>
      <c r="Q98" s="128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customHeight="1">
      <c r="A99" s="156" t="str">
        <f t="shared" si="0"/>
        <v/>
      </c>
      <c r="B99" s="165"/>
      <c r="C99" s="159" t="str">
        <f t="shared" si="6"/>
        <v>-</v>
      </c>
      <c r="D99" s="160"/>
      <c r="E99" s="169"/>
      <c r="F99" s="170"/>
      <c r="G99" s="171"/>
      <c r="H99" s="168">
        <v>0</v>
      </c>
      <c r="I99" s="171">
        <v>0</v>
      </c>
      <c r="J99" s="161">
        <f t="shared" si="1"/>
        <v>0</v>
      </c>
      <c r="K99" s="161">
        <f t="shared" si="2"/>
        <v>0</v>
      </c>
      <c r="L99" s="161" t="str">
        <f t="shared" si="3"/>
        <v>-x-</v>
      </c>
      <c r="M99" s="162">
        <f>SUMIF($E$2:E99,E99,$F$2:F99)</f>
        <v>0</v>
      </c>
      <c r="N99" s="163" t="str">
        <f>IFERROR(IF(A99=CONCATENATE("1","-",E99),L99,
IF(O99="Venda",VLOOKUP(CONCATENATE((COUNTIF($E$2:E99,E99)-1),"-",E99),$A$2:$N$313,14,FALSE),(VLOOKUP(CONCATENATE((COUNTIF($E$2:E99,E99)-1),"-",E99),$A$2:$N$313,14,FALSE)*VLOOKUP(CONCATENATE((COUNTIF($E$2:E99,E99)-1),"-",E99),$A$2:$N$313,13,FALSE)+K99)/M99)),"-x-")</f>
        <v>-x-</v>
      </c>
      <c r="O99" s="164" t="str">
        <f t="shared" si="7"/>
        <v>-</v>
      </c>
      <c r="P99" s="126"/>
      <c r="Q99" s="128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customHeight="1">
      <c r="A100" s="156" t="str">
        <f t="shared" si="0"/>
        <v/>
      </c>
      <c r="B100" s="165"/>
      <c r="C100" s="159" t="str">
        <f t="shared" si="6"/>
        <v>-</v>
      </c>
      <c r="D100" s="160"/>
      <c r="E100" s="169"/>
      <c r="F100" s="170"/>
      <c r="G100" s="171"/>
      <c r="H100" s="168">
        <v>0</v>
      </c>
      <c r="I100" s="171">
        <v>0</v>
      </c>
      <c r="J100" s="161">
        <f t="shared" si="1"/>
        <v>0</v>
      </c>
      <c r="K100" s="161">
        <f t="shared" si="2"/>
        <v>0</v>
      </c>
      <c r="L100" s="161" t="str">
        <f t="shared" si="3"/>
        <v>-x-</v>
      </c>
      <c r="M100" s="162">
        <f>SUMIF($E$2:E100,E100,$F$2:F100)</f>
        <v>0</v>
      </c>
      <c r="N100" s="163" t="str">
        <f>IFERROR(IF(A100=CONCATENATE("1","-",E100),L100,
IF(O100="Venda",VLOOKUP(CONCATENATE((COUNTIF($E$2:E100,E100)-1),"-",E100),$A$2:$N$313,14,FALSE),(VLOOKUP(CONCATENATE((COUNTIF($E$2:E100,E100)-1),"-",E100),$A$2:$N$313,14,FALSE)*VLOOKUP(CONCATENATE((COUNTIF($E$2:E100,E100)-1),"-",E100),$A$2:$N$313,13,FALSE)+K100)/M100)),"-x-")</f>
        <v>-x-</v>
      </c>
      <c r="O100" s="164" t="str">
        <f t="shared" si="7"/>
        <v>-</v>
      </c>
      <c r="P100" s="126"/>
      <c r="Q100" s="12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customHeight="1">
      <c r="A101" s="156" t="str">
        <f t="shared" si="0"/>
        <v/>
      </c>
      <c r="B101" s="165"/>
      <c r="C101" s="159" t="str">
        <f t="shared" si="6"/>
        <v>-</v>
      </c>
      <c r="D101" s="160"/>
      <c r="E101" s="169"/>
      <c r="F101" s="170"/>
      <c r="G101" s="171"/>
      <c r="H101" s="168">
        <v>0</v>
      </c>
      <c r="I101" s="171">
        <v>0</v>
      </c>
      <c r="J101" s="161">
        <f t="shared" si="1"/>
        <v>0</v>
      </c>
      <c r="K101" s="161">
        <f t="shared" si="2"/>
        <v>0</v>
      </c>
      <c r="L101" s="161" t="str">
        <f t="shared" si="3"/>
        <v>-x-</v>
      </c>
      <c r="M101" s="162">
        <f>SUMIF($E$2:E101,E101,$F$2:F101)</f>
        <v>0</v>
      </c>
      <c r="N101" s="163" t="str">
        <f>IFERROR(IF(A101=CONCATENATE("1","-",E101),L101,
IF(O101="Venda",VLOOKUP(CONCATENATE((COUNTIF($E$2:E101,E101)-1),"-",E101),$A$2:$N$313,14,FALSE),(VLOOKUP(CONCATENATE((COUNTIF($E$2:E101,E101)-1),"-",E101),$A$2:$N$313,14,FALSE)*VLOOKUP(CONCATENATE((COUNTIF($E$2:E101,E101)-1),"-",E101),$A$2:$N$313,13,FALSE)+K101)/M101)),"-x-")</f>
        <v>-x-</v>
      </c>
      <c r="O101" s="164" t="str">
        <f t="shared" si="7"/>
        <v>-</v>
      </c>
      <c r="P101" s="126"/>
      <c r="Q101" s="128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customHeight="1">
      <c r="A102" s="156" t="str">
        <f t="shared" si="0"/>
        <v/>
      </c>
      <c r="B102" s="165"/>
      <c r="C102" s="159" t="str">
        <f t="shared" si="6"/>
        <v>-</v>
      </c>
      <c r="D102" s="160"/>
      <c r="E102" s="169"/>
      <c r="F102" s="170"/>
      <c r="G102" s="171"/>
      <c r="H102" s="168">
        <v>0</v>
      </c>
      <c r="I102" s="171">
        <v>0</v>
      </c>
      <c r="J102" s="161">
        <f t="shared" si="1"/>
        <v>0</v>
      </c>
      <c r="K102" s="161">
        <f t="shared" si="2"/>
        <v>0</v>
      </c>
      <c r="L102" s="161" t="str">
        <f t="shared" si="3"/>
        <v>-x-</v>
      </c>
      <c r="M102" s="162">
        <f>SUMIF($E$2:E102,E102,$F$2:F102)</f>
        <v>0</v>
      </c>
      <c r="N102" s="163" t="str">
        <f>IFERROR(IF(A102=CONCATENATE("1","-",E102),L102,
IF(O102="Venda",VLOOKUP(CONCATENATE((COUNTIF($E$2:E102,E102)-1),"-",E102),$A$2:$N$313,14,FALSE),(VLOOKUP(CONCATENATE((COUNTIF($E$2:E102,E102)-1),"-",E102),$A$2:$N$313,14,FALSE)*VLOOKUP(CONCATENATE((COUNTIF($E$2:E102,E102)-1),"-",E102),$A$2:$N$313,13,FALSE)+K102)/M102)),"-x-")</f>
        <v>-x-</v>
      </c>
      <c r="O102" s="164" t="str">
        <f t="shared" si="7"/>
        <v>-</v>
      </c>
      <c r="P102" s="126"/>
      <c r="Q102" s="128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customHeight="1">
      <c r="A103" s="156" t="str">
        <f t="shared" si="0"/>
        <v/>
      </c>
      <c r="B103" s="165"/>
      <c r="C103" s="159" t="str">
        <f t="shared" si="6"/>
        <v>-</v>
      </c>
      <c r="D103" s="160"/>
      <c r="E103" s="169"/>
      <c r="F103" s="170"/>
      <c r="G103" s="171"/>
      <c r="H103" s="168">
        <v>0</v>
      </c>
      <c r="I103" s="171">
        <v>0</v>
      </c>
      <c r="J103" s="161">
        <f t="shared" si="1"/>
        <v>0</v>
      </c>
      <c r="K103" s="161">
        <f t="shared" si="2"/>
        <v>0</v>
      </c>
      <c r="L103" s="161" t="str">
        <f t="shared" si="3"/>
        <v>-x-</v>
      </c>
      <c r="M103" s="162">
        <f>SUMIF($E$2:E103,E103,$F$2:F103)</f>
        <v>0</v>
      </c>
      <c r="N103" s="163" t="str">
        <f>IFERROR(IF(A103=CONCATENATE("1","-",E103),L103,
IF(O103="Venda",VLOOKUP(CONCATENATE((COUNTIF($E$2:E103,E103)-1),"-",E103),$A$2:$N$313,14,FALSE),(VLOOKUP(CONCATENATE((COUNTIF($E$2:E103,E103)-1),"-",E103),$A$2:$N$313,14,FALSE)*VLOOKUP(CONCATENATE((COUNTIF($E$2:E103,E103)-1),"-",E103),$A$2:$N$313,13,FALSE)+K103)/M103)),"-x-")</f>
        <v>-x-</v>
      </c>
      <c r="O103" s="164" t="str">
        <f t="shared" si="7"/>
        <v>-</v>
      </c>
      <c r="P103" s="126"/>
      <c r="Q103" s="128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customHeight="1">
      <c r="A104" s="156" t="str">
        <f t="shared" si="0"/>
        <v/>
      </c>
      <c r="B104" s="165"/>
      <c r="C104" s="159" t="str">
        <f t="shared" si="6"/>
        <v>-</v>
      </c>
      <c r="D104" s="160"/>
      <c r="E104" s="169"/>
      <c r="F104" s="170"/>
      <c r="G104" s="171"/>
      <c r="H104" s="168">
        <v>0</v>
      </c>
      <c r="I104" s="171">
        <v>0</v>
      </c>
      <c r="J104" s="161">
        <f t="shared" si="1"/>
        <v>0</v>
      </c>
      <c r="K104" s="161">
        <f t="shared" si="2"/>
        <v>0</v>
      </c>
      <c r="L104" s="161" t="str">
        <f t="shared" si="3"/>
        <v>-x-</v>
      </c>
      <c r="M104" s="162">
        <f>SUMIF($E$2:E104,E104,$F$2:F104)</f>
        <v>0</v>
      </c>
      <c r="N104" s="163" t="str">
        <f>IFERROR(IF(A104=CONCATENATE("1","-",E104),L104,
IF(O104="Venda",VLOOKUP(CONCATENATE((COUNTIF($E$2:E104,E104)-1),"-",E104),$A$2:$N$313,14,FALSE),(VLOOKUP(CONCATENATE((COUNTIF($E$2:E104,E104)-1),"-",E104),$A$2:$N$313,14,FALSE)*VLOOKUP(CONCATENATE((COUNTIF($E$2:E104,E104)-1),"-",E104),$A$2:$N$313,13,FALSE)+K104)/M104)),"-x-")</f>
        <v>-x-</v>
      </c>
      <c r="O104" s="164" t="str">
        <f t="shared" si="7"/>
        <v>-</v>
      </c>
      <c r="P104" s="126"/>
      <c r="Q104" s="128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customHeight="1">
      <c r="A105" s="156" t="str">
        <f t="shared" si="0"/>
        <v/>
      </c>
      <c r="B105" s="165"/>
      <c r="C105" s="159" t="str">
        <f t="shared" si="6"/>
        <v>-</v>
      </c>
      <c r="D105" s="160"/>
      <c r="E105" s="169"/>
      <c r="F105" s="170"/>
      <c r="G105" s="171"/>
      <c r="H105" s="168">
        <v>0</v>
      </c>
      <c r="I105" s="171">
        <v>0</v>
      </c>
      <c r="J105" s="161">
        <f t="shared" si="1"/>
        <v>0</v>
      </c>
      <c r="K105" s="161">
        <f t="shared" si="2"/>
        <v>0</v>
      </c>
      <c r="L105" s="161" t="str">
        <f t="shared" si="3"/>
        <v>-x-</v>
      </c>
      <c r="M105" s="162">
        <f>SUMIF($E$2:E105,E105,$F$2:F105)</f>
        <v>0</v>
      </c>
      <c r="N105" s="163" t="str">
        <f>IFERROR(IF(A105=CONCATENATE("1","-",E105),L105,
IF(O105="Venda",VLOOKUP(CONCATENATE((COUNTIF($E$2:E105,E105)-1),"-",E105),$A$2:$N$313,14,FALSE),(VLOOKUP(CONCATENATE((COUNTIF($E$2:E105,E105)-1),"-",E105),$A$2:$N$313,14,FALSE)*VLOOKUP(CONCATENATE((COUNTIF($E$2:E105,E105)-1),"-",E105),$A$2:$N$313,13,FALSE)+K105)/M105)),"-x-")</f>
        <v>-x-</v>
      </c>
      <c r="O105" s="164" t="str">
        <f t="shared" si="7"/>
        <v>-</v>
      </c>
      <c r="P105" s="126"/>
      <c r="Q105" s="128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customHeight="1">
      <c r="A106" s="156" t="str">
        <f t="shared" si="0"/>
        <v/>
      </c>
      <c r="B106" s="165"/>
      <c r="C106" s="159" t="str">
        <f t="shared" si="6"/>
        <v>-</v>
      </c>
      <c r="D106" s="160"/>
      <c r="E106" s="169"/>
      <c r="F106" s="170"/>
      <c r="G106" s="171"/>
      <c r="H106" s="168">
        <v>0</v>
      </c>
      <c r="I106" s="171">
        <v>0</v>
      </c>
      <c r="J106" s="161">
        <f t="shared" si="1"/>
        <v>0</v>
      </c>
      <c r="K106" s="161">
        <f t="shared" si="2"/>
        <v>0</v>
      </c>
      <c r="L106" s="161" t="str">
        <f t="shared" si="3"/>
        <v>-x-</v>
      </c>
      <c r="M106" s="162">
        <f>SUMIF($E$2:E106,E106,$F$2:F106)</f>
        <v>0</v>
      </c>
      <c r="N106" s="163" t="str">
        <f>IFERROR(IF(A106=CONCATENATE("1","-",E106),L106,
IF(O106="Venda",VLOOKUP(CONCATENATE((COUNTIF($E$2:E106,E106)-1),"-",E106),$A$2:$N$313,14,FALSE),(VLOOKUP(CONCATENATE((COUNTIF($E$2:E106,E106)-1),"-",E106),$A$2:$N$313,14,FALSE)*VLOOKUP(CONCATENATE((COUNTIF($E$2:E106,E106)-1),"-",E106),$A$2:$N$313,13,FALSE)+K106)/M106)),"-x-")</f>
        <v>-x-</v>
      </c>
      <c r="O106" s="164" t="str">
        <f t="shared" si="7"/>
        <v>-</v>
      </c>
      <c r="P106" s="126"/>
      <c r="Q106" s="128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customHeight="1">
      <c r="A107" s="156" t="str">
        <f t="shared" si="0"/>
        <v/>
      </c>
      <c r="B107" s="165"/>
      <c r="C107" s="159" t="str">
        <f t="shared" si="6"/>
        <v>-</v>
      </c>
      <c r="D107" s="160"/>
      <c r="E107" s="169"/>
      <c r="F107" s="170"/>
      <c r="G107" s="171"/>
      <c r="H107" s="168">
        <v>0</v>
      </c>
      <c r="I107" s="171">
        <v>0</v>
      </c>
      <c r="J107" s="161">
        <f t="shared" si="1"/>
        <v>0</v>
      </c>
      <c r="K107" s="161">
        <f t="shared" si="2"/>
        <v>0</v>
      </c>
      <c r="L107" s="161" t="str">
        <f t="shared" si="3"/>
        <v>-x-</v>
      </c>
      <c r="M107" s="162">
        <f>SUMIF($E$2:E107,E107,$F$2:F107)</f>
        <v>0</v>
      </c>
      <c r="N107" s="163" t="str">
        <f>IFERROR(IF(A107=CONCATENATE("1","-",E107),L107,
IF(O107="Venda",VLOOKUP(CONCATENATE((COUNTIF($E$2:E107,E107)-1),"-",E107),$A$2:$N$313,14,FALSE),(VLOOKUP(CONCATENATE((COUNTIF($E$2:E107,E107)-1),"-",E107),$A$2:$N$313,14,FALSE)*VLOOKUP(CONCATENATE((COUNTIF($E$2:E107,E107)-1),"-",E107),$A$2:$N$313,13,FALSE)+K107)/M107)),"-x-")</f>
        <v>-x-</v>
      </c>
      <c r="O107" s="164" t="str">
        <f t="shared" si="7"/>
        <v>-</v>
      </c>
      <c r="P107" s="126"/>
      <c r="Q107" s="128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customHeight="1">
      <c r="A108" s="156" t="str">
        <f t="shared" si="0"/>
        <v/>
      </c>
      <c r="B108" s="165"/>
      <c r="C108" s="159" t="str">
        <f t="shared" si="6"/>
        <v>-</v>
      </c>
      <c r="D108" s="160"/>
      <c r="E108" s="169"/>
      <c r="F108" s="170"/>
      <c r="G108" s="171"/>
      <c r="H108" s="168">
        <v>0</v>
      </c>
      <c r="I108" s="171">
        <v>0</v>
      </c>
      <c r="J108" s="161">
        <f t="shared" si="1"/>
        <v>0</v>
      </c>
      <c r="K108" s="161">
        <f t="shared" si="2"/>
        <v>0</v>
      </c>
      <c r="L108" s="161" t="str">
        <f t="shared" si="3"/>
        <v>-x-</v>
      </c>
      <c r="M108" s="162">
        <f>SUMIF($E$2:E108,E108,$F$2:F108)</f>
        <v>0</v>
      </c>
      <c r="N108" s="163" t="str">
        <f>IFERROR(IF(A108=CONCATENATE("1","-",E108),L108,
IF(O108="Venda",VLOOKUP(CONCATENATE((COUNTIF($E$2:E108,E108)-1),"-",E108),$A$2:$N$313,14,FALSE),(VLOOKUP(CONCATENATE((COUNTIF($E$2:E108,E108)-1),"-",E108),$A$2:$N$313,14,FALSE)*VLOOKUP(CONCATENATE((COUNTIF($E$2:E108,E108)-1),"-",E108),$A$2:$N$313,13,FALSE)+K108)/M108)),"-x-")</f>
        <v>-x-</v>
      </c>
      <c r="O108" s="164" t="str">
        <f t="shared" si="7"/>
        <v>-</v>
      </c>
      <c r="P108" s="126"/>
      <c r="Q108" s="128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customHeight="1">
      <c r="A109" s="156" t="str">
        <f t="shared" si="0"/>
        <v/>
      </c>
      <c r="B109" s="165"/>
      <c r="C109" s="159" t="str">
        <f t="shared" si="6"/>
        <v>-</v>
      </c>
      <c r="D109" s="160"/>
      <c r="E109" s="169"/>
      <c r="F109" s="170"/>
      <c r="G109" s="171"/>
      <c r="H109" s="168">
        <v>0</v>
      </c>
      <c r="I109" s="171">
        <v>0</v>
      </c>
      <c r="J109" s="161">
        <f t="shared" si="1"/>
        <v>0</v>
      </c>
      <c r="K109" s="161">
        <f t="shared" si="2"/>
        <v>0</v>
      </c>
      <c r="L109" s="161" t="str">
        <f t="shared" si="3"/>
        <v>-x-</v>
      </c>
      <c r="M109" s="162">
        <f>SUMIF($E$2:E109,E109,$F$2:F109)</f>
        <v>0</v>
      </c>
      <c r="N109" s="163" t="str">
        <f>IFERROR(IF(A109=CONCATENATE("1","-",E109),L109,
IF(O109="Venda",VLOOKUP(CONCATENATE((COUNTIF($E$2:E109,E109)-1),"-",E109),$A$2:$N$313,14,FALSE),(VLOOKUP(CONCATENATE((COUNTIF($E$2:E109,E109)-1),"-",E109),$A$2:$N$313,14,FALSE)*VLOOKUP(CONCATENATE((COUNTIF($E$2:E109,E109)-1),"-",E109),$A$2:$N$313,13,FALSE)+K109)/M109)),"-x-")</f>
        <v>-x-</v>
      </c>
      <c r="O109" s="164" t="str">
        <f t="shared" si="7"/>
        <v>-</v>
      </c>
      <c r="P109" s="126"/>
      <c r="Q109" s="128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customHeight="1">
      <c r="A110" s="156" t="str">
        <f t="shared" si="0"/>
        <v/>
      </c>
      <c r="B110" s="165"/>
      <c r="C110" s="159" t="str">
        <f t="shared" si="6"/>
        <v>-</v>
      </c>
      <c r="D110" s="160"/>
      <c r="E110" s="169"/>
      <c r="F110" s="170"/>
      <c r="G110" s="171"/>
      <c r="H110" s="168">
        <v>0</v>
      </c>
      <c r="I110" s="171">
        <v>0</v>
      </c>
      <c r="J110" s="161">
        <f t="shared" si="1"/>
        <v>0</v>
      </c>
      <c r="K110" s="161">
        <f t="shared" si="2"/>
        <v>0</v>
      </c>
      <c r="L110" s="161" t="str">
        <f t="shared" si="3"/>
        <v>-x-</v>
      </c>
      <c r="M110" s="162">
        <f>SUMIF($E$2:E110,E110,$F$2:F110)</f>
        <v>0</v>
      </c>
      <c r="N110" s="163" t="str">
        <f>IFERROR(IF(A110=CONCATENATE("1","-",E110),L110,
IF(O110="Venda",VLOOKUP(CONCATENATE((COUNTIF($E$2:E110,E110)-1),"-",E110),$A$2:$N$313,14,FALSE),(VLOOKUP(CONCATENATE((COUNTIF($E$2:E110,E110)-1),"-",E110),$A$2:$N$313,14,FALSE)*VLOOKUP(CONCATENATE((COUNTIF($E$2:E110,E110)-1),"-",E110),$A$2:$N$313,13,FALSE)+K110)/M110)),"-x-")</f>
        <v>-x-</v>
      </c>
      <c r="O110" s="164" t="str">
        <f t="shared" si="7"/>
        <v>-</v>
      </c>
      <c r="P110" s="126"/>
      <c r="Q110" s="128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customHeight="1">
      <c r="A111" s="156" t="str">
        <f t="shared" si="0"/>
        <v/>
      </c>
      <c r="B111" s="165"/>
      <c r="C111" s="159" t="str">
        <f t="shared" si="6"/>
        <v>-</v>
      </c>
      <c r="D111" s="160"/>
      <c r="E111" s="169"/>
      <c r="F111" s="170"/>
      <c r="G111" s="171"/>
      <c r="H111" s="168">
        <v>0</v>
      </c>
      <c r="I111" s="171">
        <v>0</v>
      </c>
      <c r="J111" s="161">
        <f t="shared" si="1"/>
        <v>0</v>
      </c>
      <c r="K111" s="161">
        <f t="shared" si="2"/>
        <v>0</v>
      </c>
      <c r="L111" s="161" t="str">
        <f t="shared" si="3"/>
        <v>-x-</v>
      </c>
      <c r="M111" s="162">
        <f>SUMIF($E$2:E111,E111,$F$2:F111)</f>
        <v>0</v>
      </c>
      <c r="N111" s="163" t="str">
        <f>IFERROR(IF(A111=CONCATENATE("1","-",E111),L111,
IF(O111="Venda",VLOOKUP(CONCATENATE((COUNTIF($E$2:E111,E111)-1),"-",E111),$A$2:$N$313,14,FALSE),(VLOOKUP(CONCATENATE((COUNTIF($E$2:E111,E111)-1),"-",E111),$A$2:$N$313,14,FALSE)*VLOOKUP(CONCATENATE((COUNTIF($E$2:E111,E111)-1),"-",E111),$A$2:$N$313,13,FALSE)+K111)/M111)),"-x-")</f>
        <v>-x-</v>
      </c>
      <c r="O111" s="164" t="str">
        <f t="shared" si="7"/>
        <v>-</v>
      </c>
      <c r="P111" s="126"/>
      <c r="Q111" s="128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customHeight="1">
      <c r="A112" s="156" t="str">
        <f t="shared" si="0"/>
        <v/>
      </c>
      <c r="B112" s="165"/>
      <c r="C112" s="159" t="str">
        <f t="shared" si="6"/>
        <v>-</v>
      </c>
      <c r="D112" s="160"/>
      <c r="E112" s="169"/>
      <c r="F112" s="170"/>
      <c r="G112" s="171"/>
      <c r="H112" s="168">
        <v>0</v>
      </c>
      <c r="I112" s="171">
        <v>0</v>
      </c>
      <c r="J112" s="161">
        <f t="shared" si="1"/>
        <v>0</v>
      </c>
      <c r="K112" s="161">
        <f t="shared" si="2"/>
        <v>0</v>
      </c>
      <c r="L112" s="161" t="str">
        <f t="shared" si="3"/>
        <v>-x-</v>
      </c>
      <c r="M112" s="162">
        <f>SUMIF($E$2:E112,E112,$F$2:F112)</f>
        <v>0</v>
      </c>
      <c r="N112" s="163" t="str">
        <f>IFERROR(IF(A112=CONCATENATE("1","-",E112),L112,
IF(O112="Venda",VLOOKUP(CONCATENATE((COUNTIF($E$2:E112,E112)-1),"-",E112),$A$2:$N$313,14,FALSE),(VLOOKUP(CONCATENATE((COUNTIF($E$2:E112,E112)-1),"-",E112),$A$2:$N$313,14,FALSE)*VLOOKUP(CONCATENATE((COUNTIF($E$2:E112,E112)-1),"-",E112),$A$2:$N$313,13,FALSE)+K112)/M112)),"-x-")</f>
        <v>-x-</v>
      </c>
      <c r="O112" s="164" t="str">
        <f t="shared" si="7"/>
        <v>-</v>
      </c>
      <c r="P112" s="126"/>
      <c r="Q112" s="128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customHeight="1">
      <c r="A113" s="156" t="str">
        <f t="shared" si="0"/>
        <v/>
      </c>
      <c r="B113" s="165"/>
      <c r="C113" s="159" t="str">
        <f t="shared" si="6"/>
        <v>-</v>
      </c>
      <c r="D113" s="160"/>
      <c r="E113" s="169"/>
      <c r="F113" s="170"/>
      <c r="G113" s="171"/>
      <c r="H113" s="168">
        <v>0</v>
      </c>
      <c r="I113" s="171">
        <v>0</v>
      </c>
      <c r="J113" s="161">
        <f t="shared" si="1"/>
        <v>0</v>
      </c>
      <c r="K113" s="161">
        <f t="shared" si="2"/>
        <v>0</v>
      </c>
      <c r="L113" s="161" t="str">
        <f t="shared" si="3"/>
        <v>-x-</v>
      </c>
      <c r="M113" s="162">
        <f>SUMIF($E$2:E113,E113,$F$2:F113)</f>
        <v>0</v>
      </c>
      <c r="N113" s="163" t="str">
        <f>IFERROR(IF(A113=CONCATENATE("1","-",E113),L113,
IF(O113="Venda",VLOOKUP(CONCATENATE((COUNTIF($E$2:E113,E113)-1),"-",E113),$A$2:$N$313,14,FALSE),(VLOOKUP(CONCATENATE((COUNTIF($E$2:E113,E113)-1),"-",E113),$A$2:$N$313,14,FALSE)*VLOOKUP(CONCATENATE((COUNTIF($E$2:E113,E113)-1),"-",E113),$A$2:$N$313,13,FALSE)+K113)/M113)),"-x-")</f>
        <v>-x-</v>
      </c>
      <c r="O113" s="164" t="str">
        <f t="shared" si="7"/>
        <v>-</v>
      </c>
      <c r="P113" s="126"/>
      <c r="Q113" s="128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customHeight="1">
      <c r="A114" s="156" t="str">
        <f t="shared" si="0"/>
        <v/>
      </c>
      <c r="B114" s="165"/>
      <c r="C114" s="159" t="str">
        <f t="shared" si="6"/>
        <v>-</v>
      </c>
      <c r="D114" s="160"/>
      <c r="E114" s="169"/>
      <c r="F114" s="170"/>
      <c r="G114" s="171"/>
      <c r="H114" s="168">
        <v>0</v>
      </c>
      <c r="I114" s="171">
        <v>0</v>
      </c>
      <c r="J114" s="161">
        <f t="shared" si="1"/>
        <v>0</v>
      </c>
      <c r="K114" s="161">
        <f t="shared" si="2"/>
        <v>0</v>
      </c>
      <c r="L114" s="161" t="str">
        <f t="shared" si="3"/>
        <v>-x-</v>
      </c>
      <c r="M114" s="162">
        <f>SUMIF($E$2:E114,E114,$F$2:F114)</f>
        <v>0</v>
      </c>
      <c r="N114" s="163" t="str">
        <f>IFERROR(IF(A114=CONCATENATE("1","-",E114),L114,
IF(O114="Venda",VLOOKUP(CONCATENATE((COUNTIF($E$2:E114,E114)-1),"-",E114),$A$2:$N$313,14,FALSE),(VLOOKUP(CONCATENATE((COUNTIF($E$2:E114,E114)-1),"-",E114),$A$2:$N$313,14,FALSE)*VLOOKUP(CONCATENATE((COUNTIF($E$2:E114,E114)-1),"-",E114),$A$2:$N$313,13,FALSE)+K114)/M114)),"-x-")</f>
        <v>-x-</v>
      </c>
      <c r="O114" s="164" t="str">
        <f t="shared" si="7"/>
        <v>-</v>
      </c>
      <c r="P114" s="126"/>
      <c r="Q114" s="128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customHeight="1">
      <c r="A115" s="156" t="str">
        <f t="shared" si="0"/>
        <v/>
      </c>
      <c r="B115" s="165"/>
      <c r="C115" s="159" t="str">
        <f t="shared" si="6"/>
        <v>-</v>
      </c>
      <c r="D115" s="160"/>
      <c r="E115" s="169"/>
      <c r="F115" s="170"/>
      <c r="G115" s="171"/>
      <c r="H115" s="168">
        <v>0</v>
      </c>
      <c r="I115" s="171">
        <v>0</v>
      </c>
      <c r="J115" s="161">
        <f t="shared" si="1"/>
        <v>0</v>
      </c>
      <c r="K115" s="161">
        <f t="shared" si="2"/>
        <v>0</v>
      </c>
      <c r="L115" s="161" t="str">
        <f t="shared" si="3"/>
        <v>-x-</v>
      </c>
      <c r="M115" s="162">
        <f>SUMIF($E$2:E115,E115,$F$2:F115)</f>
        <v>0</v>
      </c>
      <c r="N115" s="163" t="str">
        <f>IFERROR(IF(A115=CONCATENATE("1","-",E115),L115,
IF(O115="Venda",VLOOKUP(CONCATENATE((COUNTIF($E$2:E115,E115)-1),"-",E115),$A$2:$N$313,14,FALSE),(VLOOKUP(CONCATENATE((COUNTIF($E$2:E115,E115)-1),"-",E115),$A$2:$N$313,14,FALSE)*VLOOKUP(CONCATENATE((COUNTIF($E$2:E115,E115)-1),"-",E115),$A$2:$N$313,13,FALSE)+K115)/M115)),"-x-")</f>
        <v>-x-</v>
      </c>
      <c r="O115" s="164" t="str">
        <f t="shared" si="7"/>
        <v>-</v>
      </c>
      <c r="P115" s="126"/>
      <c r="Q115" s="128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customHeight="1">
      <c r="A116" s="156" t="str">
        <f t="shared" si="0"/>
        <v/>
      </c>
      <c r="B116" s="165"/>
      <c r="C116" s="159" t="str">
        <f t="shared" si="6"/>
        <v>-</v>
      </c>
      <c r="D116" s="160"/>
      <c r="E116" s="169"/>
      <c r="F116" s="170"/>
      <c r="G116" s="171"/>
      <c r="H116" s="168">
        <v>0</v>
      </c>
      <c r="I116" s="171">
        <v>0</v>
      </c>
      <c r="J116" s="161">
        <f t="shared" si="1"/>
        <v>0</v>
      </c>
      <c r="K116" s="161">
        <f t="shared" si="2"/>
        <v>0</v>
      </c>
      <c r="L116" s="161" t="str">
        <f t="shared" si="3"/>
        <v>-x-</v>
      </c>
      <c r="M116" s="162">
        <f>SUMIF($E$2:E116,E116,$F$2:F116)</f>
        <v>0</v>
      </c>
      <c r="N116" s="163" t="str">
        <f>IFERROR(IF(A116=CONCATENATE("1","-",E116),L116,
IF(O116="Venda",VLOOKUP(CONCATENATE((COUNTIF($E$2:E116,E116)-1),"-",E116),$A$2:$N$313,14,FALSE),(VLOOKUP(CONCATENATE((COUNTIF($E$2:E116,E116)-1),"-",E116),$A$2:$N$313,14,FALSE)*VLOOKUP(CONCATENATE((COUNTIF($E$2:E116,E116)-1),"-",E116),$A$2:$N$313,13,FALSE)+K116)/M116)),"-x-")</f>
        <v>-x-</v>
      </c>
      <c r="O116" s="164" t="str">
        <f t="shared" si="7"/>
        <v>-</v>
      </c>
      <c r="P116" s="126"/>
      <c r="Q116" s="128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customHeight="1">
      <c r="A117" s="156" t="str">
        <f t="shared" si="0"/>
        <v/>
      </c>
      <c r="B117" s="165"/>
      <c r="C117" s="159" t="str">
        <f t="shared" si="6"/>
        <v>-</v>
      </c>
      <c r="D117" s="160"/>
      <c r="E117" s="169"/>
      <c r="F117" s="170"/>
      <c r="G117" s="171"/>
      <c r="H117" s="168">
        <v>0</v>
      </c>
      <c r="I117" s="171">
        <v>0</v>
      </c>
      <c r="J117" s="161">
        <f t="shared" si="1"/>
        <v>0</v>
      </c>
      <c r="K117" s="161">
        <f t="shared" si="2"/>
        <v>0</v>
      </c>
      <c r="L117" s="161" t="str">
        <f t="shared" si="3"/>
        <v>-x-</v>
      </c>
      <c r="M117" s="162">
        <f>SUMIF($E$2:E117,E117,$F$2:F117)</f>
        <v>0</v>
      </c>
      <c r="N117" s="163" t="str">
        <f>IFERROR(IF(A117=CONCATENATE("1","-",E117),L117,
IF(O117="Venda",VLOOKUP(CONCATENATE((COUNTIF($E$2:E117,E117)-1),"-",E117),$A$2:$N$313,14,FALSE),(VLOOKUP(CONCATENATE((COUNTIF($E$2:E117,E117)-1),"-",E117),$A$2:$N$313,14,FALSE)*VLOOKUP(CONCATENATE((COUNTIF($E$2:E117,E117)-1),"-",E117),$A$2:$N$313,13,FALSE)+K117)/M117)),"-x-")</f>
        <v>-x-</v>
      </c>
      <c r="O117" s="164" t="str">
        <f t="shared" si="7"/>
        <v>-</v>
      </c>
      <c r="P117" s="126"/>
      <c r="Q117" s="128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customHeight="1">
      <c r="A118" s="156" t="str">
        <f t="shared" si="0"/>
        <v/>
      </c>
      <c r="B118" s="165"/>
      <c r="C118" s="159" t="str">
        <f t="shared" si="6"/>
        <v>-</v>
      </c>
      <c r="D118" s="160"/>
      <c r="E118" s="169"/>
      <c r="F118" s="170"/>
      <c r="G118" s="171"/>
      <c r="H118" s="168">
        <v>0</v>
      </c>
      <c r="I118" s="171">
        <v>0</v>
      </c>
      <c r="J118" s="161">
        <f t="shared" si="1"/>
        <v>0</v>
      </c>
      <c r="K118" s="161">
        <f t="shared" si="2"/>
        <v>0</v>
      </c>
      <c r="L118" s="161" t="str">
        <f t="shared" si="3"/>
        <v>-x-</v>
      </c>
      <c r="M118" s="162">
        <f>SUMIF($E$2:E118,E118,$F$2:F118)</f>
        <v>0</v>
      </c>
      <c r="N118" s="163" t="str">
        <f>IFERROR(IF(A118=CONCATENATE("1","-",E118),L118,
IF(O118="Venda",VLOOKUP(CONCATENATE((COUNTIF($E$2:E118,E118)-1),"-",E118),$A$2:$N$313,14,FALSE),(VLOOKUP(CONCATENATE((COUNTIF($E$2:E118,E118)-1),"-",E118),$A$2:$N$313,14,FALSE)*VLOOKUP(CONCATENATE((COUNTIF($E$2:E118,E118)-1),"-",E118),$A$2:$N$313,13,FALSE)+K118)/M118)),"-x-")</f>
        <v>-x-</v>
      </c>
      <c r="O118" s="164" t="str">
        <f t="shared" si="7"/>
        <v>-</v>
      </c>
      <c r="P118" s="126"/>
      <c r="Q118" s="128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customHeight="1">
      <c r="A119" s="156" t="str">
        <f t="shared" si="0"/>
        <v/>
      </c>
      <c r="B119" s="165"/>
      <c r="C119" s="159" t="str">
        <f t="shared" si="6"/>
        <v>-</v>
      </c>
      <c r="D119" s="160"/>
      <c r="E119" s="169"/>
      <c r="F119" s="170"/>
      <c r="G119" s="171"/>
      <c r="H119" s="168">
        <v>0</v>
      </c>
      <c r="I119" s="171">
        <v>0</v>
      </c>
      <c r="J119" s="161">
        <f t="shared" si="1"/>
        <v>0</v>
      </c>
      <c r="K119" s="161">
        <f t="shared" si="2"/>
        <v>0</v>
      </c>
      <c r="L119" s="161" t="str">
        <f t="shared" si="3"/>
        <v>-x-</v>
      </c>
      <c r="M119" s="162">
        <f>SUMIF($E$2:E119,E119,$F$2:F119)</f>
        <v>0</v>
      </c>
      <c r="N119" s="163" t="str">
        <f>IFERROR(IF(A119=CONCATENATE("1","-",E119),L119,
IF(O119="Venda",VLOOKUP(CONCATENATE((COUNTIF($E$2:E119,E119)-1),"-",E119),$A$2:$N$313,14,FALSE),(VLOOKUP(CONCATENATE((COUNTIF($E$2:E119,E119)-1),"-",E119),$A$2:$N$313,14,FALSE)*VLOOKUP(CONCATENATE((COUNTIF($E$2:E119,E119)-1),"-",E119),$A$2:$N$313,13,FALSE)+K119)/M119)),"-x-")</f>
        <v>-x-</v>
      </c>
      <c r="O119" s="164" t="str">
        <f t="shared" si="7"/>
        <v>-</v>
      </c>
      <c r="P119" s="126"/>
      <c r="Q119" s="128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customHeight="1">
      <c r="A120" s="156" t="str">
        <f t="shared" si="0"/>
        <v/>
      </c>
      <c r="B120" s="165"/>
      <c r="C120" s="159" t="str">
        <f t="shared" si="6"/>
        <v>-</v>
      </c>
      <c r="D120" s="160"/>
      <c r="E120" s="169"/>
      <c r="F120" s="170"/>
      <c r="G120" s="171"/>
      <c r="H120" s="168">
        <v>0</v>
      </c>
      <c r="I120" s="171">
        <v>0</v>
      </c>
      <c r="J120" s="161">
        <f t="shared" si="1"/>
        <v>0</v>
      </c>
      <c r="K120" s="161">
        <f t="shared" si="2"/>
        <v>0</v>
      </c>
      <c r="L120" s="161" t="str">
        <f t="shared" si="3"/>
        <v>-x-</v>
      </c>
      <c r="M120" s="162">
        <f>SUMIF($E$2:E120,E120,$F$2:F120)</f>
        <v>0</v>
      </c>
      <c r="N120" s="163" t="str">
        <f>IFERROR(IF(A120=CONCATENATE("1","-",E120),L120,
IF(O120="Venda",VLOOKUP(CONCATENATE((COUNTIF($E$2:E120,E120)-1),"-",E120),$A$2:$N$313,14,FALSE),(VLOOKUP(CONCATENATE((COUNTIF($E$2:E120,E120)-1),"-",E120),$A$2:$N$313,14,FALSE)*VLOOKUP(CONCATENATE((COUNTIF($E$2:E120,E120)-1),"-",E120),$A$2:$N$313,13,FALSE)+K120)/M120)),"-x-")</f>
        <v>-x-</v>
      </c>
      <c r="O120" s="164" t="str">
        <f t="shared" si="7"/>
        <v>-</v>
      </c>
      <c r="P120" s="126"/>
      <c r="Q120" s="128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customHeight="1">
      <c r="A121" s="156" t="str">
        <f t="shared" si="0"/>
        <v/>
      </c>
      <c r="B121" s="165"/>
      <c r="C121" s="159" t="str">
        <f t="shared" si="6"/>
        <v>-</v>
      </c>
      <c r="D121" s="160"/>
      <c r="E121" s="169"/>
      <c r="F121" s="170"/>
      <c r="G121" s="171"/>
      <c r="H121" s="168">
        <v>0</v>
      </c>
      <c r="I121" s="171">
        <v>0</v>
      </c>
      <c r="J121" s="161">
        <f t="shared" si="1"/>
        <v>0</v>
      </c>
      <c r="K121" s="161">
        <f t="shared" si="2"/>
        <v>0</v>
      </c>
      <c r="L121" s="161" t="str">
        <f t="shared" si="3"/>
        <v>-x-</v>
      </c>
      <c r="M121" s="162">
        <f>SUMIF($E$2:E121,E121,$F$2:F121)</f>
        <v>0</v>
      </c>
      <c r="N121" s="163" t="str">
        <f>IFERROR(IF(A121=CONCATENATE("1","-",E121),L121,
IF(O121="Venda",VLOOKUP(CONCATENATE((COUNTIF($E$2:E121,E121)-1),"-",E121),$A$2:$N$313,14,FALSE),(VLOOKUP(CONCATENATE((COUNTIF($E$2:E121,E121)-1),"-",E121),$A$2:$N$313,14,FALSE)*VLOOKUP(CONCATENATE((COUNTIF($E$2:E121,E121)-1),"-",E121),$A$2:$N$313,13,FALSE)+K121)/M121)),"-x-")</f>
        <v>-x-</v>
      </c>
      <c r="O121" s="164" t="str">
        <f t="shared" si="7"/>
        <v>-</v>
      </c>
      <c r="P121" s="126"/>
      <c r="Q121" s="128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customHeight="1">
      <c r="A122" s="156" t="str">
        <f t="shared" si="0"/>
        <v/>
      </c>
      <c r="B122" s="165"/>
      <c r="C122" s="159" t="str">
        <f t="shared" si="6"/>
        <v>-</v>
      </c>
      <c r="D122" s="160"/>
      <c r="E122" s="169"/>
      <c r="F122" s="170"/>
      <c r="G122" s="171"/>
      <c r="H122" s="168">
        <v>0</v>
      </c>
      <c r="I122" s="171">
        <v>0</v>
      </c>
      <c r="J122" s="161">
        <f t="shared" si="1"/>
        <v>0</v>
      </c>
      <c r="K122" s="161">
        <f t="shared" si="2"/>
        <v>0</v>
      </c>
      <c r="L122" s="161" t="str">
        <f t="shared" si="3"/>
        <v>-x-</v>
      </c>
      <c r="M122" s="162">
        <f>SUMIF($E$2:E122,E122,$F$2:F122)</f>
        <v>0</v>
      </c>
      <c r="N122" s="163" t="str">
        <f>IFERROR(IF(A122=CONCATENATE("1","-",E122),L122,
IF(O122="Venda",VLOOKUP(CONCATENATE((COUNTIF($E$2:E122,E122)-1),"-",E122),$A$2:$N$313,14,FALSE),(VLOOKUP(CONCATENATE((COUNTIF($E$2:E122,E122)-1),"-",E122),$A$2:$N$313,14,FALSE)*VLOOKUP(CONCATENATE((COUNTIF($E$2:E122,E122)-1),"-",E122),$A$2:$N$313,13,FALSE)+K122)/M122)),"-x-")</f>
        <v>-x-</v>
      </c>
      <c r="O122" s="164" t="str">
        <f t="shared" si="7"/>
        <v>-</v>
      </c>
      <c r="P122" s="126"/>
      <c r="Q122" s="12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customHeight="1">
      <c r="A123" s="156" t="str">
        <f t="shared" si="0"/>
        <v/>
      </c>
      <c r="B123" s="165"/>
      <c r="C123" s="159" t="str">
        <f t="shared" si="6"/>
        <v>-</v>
      </c>
      <c r="D123" s="160"/>
      <c r="E123" s="169"/>
      <c r="F123" s="170"/>
      <c r="G123" s="171"/>
      <c r="H123" s="168">
        <v>0</v>
      </c>
      <c r="I123" s="171">
        <v>0</v>
      </c>
      <c r="J123" s="161">
        <f t="shared" si="1"/>
        <v>0</v>
      </c>
      <c r="K123" s="161">
        <f t="shared" si="2"/>
        <v>0</v>
      </c>
      <c r="L123" s="161" t="str">
        <f t="shared" si="3"/>
        <v>-x-</v>
      </c>
      <c r="M123" s="162">
        <f>SUMIF($E$2:E123,E123,$F$2:F123)</f>
        <v>0</v>
      </c>
      <c r="N123" s="163" t="str">
        <f>IFERROR(IF(A123=CONCATENATE("1","-",E123),L123,
IF(O123="Venda",VLOOKUP(CONCATENATE((COUNTIF($E$2:E123,E123)-1),"-",E123),$A$2:$N$313,14,FALSE),(VLOOKUP(CONCATENATE((COUNTIF($E$2:E123,E123)-1),"-",E123),$A$2:$N$313,14,FALSE)*VLOOKUP(CONCATENATE((COUNTIF($E$2:E123,E123)-1),"-",E123),$A$2:$N$313,13,FALSE)+K123)/M123)),"-x-")</f>
        <v>-x-</v>
      </c>
      <c r="O123" s="164" t="str">
        <f t="shared" si="7"/>
        <v>-</v>
      </c>
      <c r="P123" s="126"/>
      <c r="Q123" s="128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customHeight="1">
      <c r="A124" s="156" t="str">
        <f t="shared" si="0"/>
        <v/>
      </c>
      <c r="B124" s="165"/>
      <c r="C124" s="159" t="str">
        <f t="shared" si="6"/>
        <v>-</v>
      </c>
      <c r="D124" s="160"/>
      <c r="E124" s="169"/>
      <c r="F124" s="170"/>
      <c r="G124" s="171"/>
      <c r="H124" s="168">
        <v>0</v>
      </c>
      <c r="I124" s="171">
        <v>0</v>
      </c>
      <c r="J124" s="161">
        <f t="shared" si="1"/>
        <v>0</v>
      </c>
      <c r="K124" s="161">
        <f t="shared" si="2"/>
        <v>0</v>
      </c>
      <c r="L124" s="161" t="str">
        <f t="shared" si="3"/>
        <v>-x-</v>
      </c>
      <c r="M124" s="162">
        <f>SUMIF($E$2:E124,E124,$F$2:F124)</f>
        <v>0</v>
      </c>
      <c r="N124" s="163" t="str">
        <f>IFERROR(IF(A124=CONCATENATE("1","-",E124),L124,
IF(O124="Venda",VLOOKUP(CONCATENATE((COUNTIF($E$2:E124,E124)-1),"-",E124),$A$2:$N$313,14,FALSE),(VLOOKUP(CONCATENATE((COUNTIF($E$2:E124,E124)-1),"-",E124),$A$2:$N$313,14,FALSE)*VLOOKUP(CONCATENATE((COUNTIF($E$2:E124,E124)-1),"-",E124),$A$2:$N$313,13,FALSE)+K124)/M124)),"-x-")</f>
        <v>-x-</v>
      </c>
      <c r="O124" s="164" t="str">
        <f t="shared" si="7"/>
        <v>-</v>
      </c>
      <c r="P124" s="126"/>
      <c r="Q124" s="128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customHeight="1">
      <c r="A125" s="156" t="str">
        <f t="shared" si="0"/>
        <v/>
      </c>
      <c r="B125" s="165"/>
      <c r="C125" s="159" t="str">
        <f t="shared" si="6"/>
        <v>-</v>
      </c>
      <c r="D125" s="160"/>
      <c r="E125" s="169"/>
      <c r="F125" s="170"/>
      <c r="G125" s="171"/>
      <c r="H125" s="168">
        <v>0</v>
      </c>
      <c r="I125" s="171">
        <v>0</v>
      </c>
      <c r="J125" s="161">
        <f t="shared" si="1"/>
        <v>0</v>
      </c>
      <c r="K125" s="161">
        <f t="shared" si="2"/>
        <v>0</v>
      </c>
      <c r="L125" s="161" t="str">
        <f t="shared" si="3"/>
        <v>-x-</v>
      </c>
      <c r="M125" s="162">
        <f>SUMIF($E$2:E125,E125,$F$2:F125)</f>
        <v>0</v>
      </c>
      <c r="N125" s="163" t="str">
        <f>IFERROR(IF(A125=CONCATENATE("1","-",E125),L125,
IF(O125="Venda",VLOOKUP(CONCATENATE((COUNTIF($E$2:E125,E125)-1),"-",E125),$A$2:$N$313,14,FALSE),(VLOOKUP(CONCATENATE((COUNTIF($E$2:E125,E125)-1),"-",E125),$A$2:$N$313,14,FALSE)*VLOOKUP(CONCATENATE((COUNTIF($E$2:E125,E125)-1),"-",E125),$A$2:$N$313,13,FALSE)+K125)/M125)),"-x-")</f>
        <v>-x-</v>
      </c>
      <c r="O125" s="164" t="str">
        <f t="shared" si="7"/>
        <v>-</v>
      </c>
      <c r="P125" s="126"/>
      <c r="Q125" s="128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customHeight="1">
      <c r="A126" s="156" t="str">
        <f t="shared" si="0"/>
        <v/>
      </c>
      <c r="B126" s="165"/>
      <c r="C126" s="159" t="str">
        <f t="shared" si="6"/>
        <v>-</v>
      </c>
      <c r="D126" s="160"/>
      <c r="E126" s="169"/>
      <c r="F126" s="170"/>
      <c r="G126" s="171"/>
      <c r="H126" s="168">
        <v>0</v>
      </c>
      <c r="I126" s="171">
        <v>0</v>
      </c>
      <c r="J126" s="161">
        <f t="shared" si="1"/>
        <v>0</v>
      </c>
      <c r="K126" s="161">
        <f t="shared" si="2"/>
        <v>0</v>
      </c>
      <c r="L126" s="161" t="str">
        <f t="shared" si="3"/>
        <v>-x-</v>
      </c>
      <c r="M126" s="162">
        <f>SUMIF($E$2:E126,E126,$F$2:F126)</f>
        <v>0</v>
      </c>
      <c r="N126" s="163" t="str">
        <f>IFERROR(IF(A126=CONCATENATE("1","-",E126),L126,
IF(O126="Venda",VLOOKUP(CONCATENATE((COUNTIF($E$2:E126,E126)-1),"-",E126),$A$2:$N$313,14,FALSE),(VLOOKUP(CONCATENATE((COUNTIF($E$2:E126,E126)-1),"-",E126),$A$2:$N$313,14,FALSE)*VLOOKUP(CONCATENATE((COUNTIF($E$2:E126,E126)-1),"-",E126),$A$2:$N$313,13,FALSE)+K126)/M126)),"-x-")</f>
        <v>-x-</v>
      </c>
      <c r="O126" s="164" t="str">
        <f t="shared" si="7"/>
        <v>-</v>
      </c>
      <c r="P126" s="126"/>
      <c r="Q126" s="128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customHeight="1">
      <c r="A127" s="156" t="str">
        <f t="shared" si="0"/>
        <v/>
      </c>
      <c r="B127" s="165"/>
      <c r="C127" s="159" t="str">
        <f t="shared" si="6"/>
        <v>-</v>
      </c>
      <c r="D127" s="160"/>
      <c r="E127" s="169"/>
      <c r="F127" s="170"/>
      <c r="G127" s="171"/>
      <c r="H127" s="168">
        <v>0</v>
      </c>
      <c r="I127" s="171">
        <v>0</v>
      </c>
      <c r="J127" s="161">
        <f t="shared" si="1"/>
        <v>0</v>
      </c>
      <c r="K127" s="161">
        <f t="shared" si="2"/>
        <v>0</v>
      </c>
      <c r="L127" s="161" t="str">
        <f t="shared" si="3"/>
        <v>-x-</v>
      </c>
      <c r="M127" s="162">
        <f>SUMIF($E$2:E127,E127,$F$2:F127)</f>
        <v>0</v>
      </c>
      <c r="N127" s="163" t="str">
        <f>IFERROR(IF(A127=CONCATENATE("1","-",E127),L127,
IF(O127="Venda",VLOOKUP(CONCATENATE((COUNTIF($E$2:E127,E127)-1),"-",E127),$A$2:$N$313,14,FALSE),(VLOOKUP(CONCATENATE((COUNTIF($E$2:E127,E127)-1),"-",E127),$A$2:$N$313,14,FALSE)*VLOOKUP(CONCATENATE((COUNTIF($E$2:E127,E127)-1),"-",E127),$A$2:$N$313,13,FALSE)+K127)/M127)),"-x-")</f>
        <v>-x-</v>
      </c>
      <c r="O127" s="164" t="str">
        <f t="shared" si="7"/>
        <v>-</v>
      </c>
      <c r="P127" s="126"/>
      <c r="Q127" s="128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customHeight="1">
      <c r="A128" s="156" t="str">
        <f t="shared" si="0"/>
        <v/>
      </c>
      <c r="B128" s="165"/>
      <c r="C128" s="159" t="str">
        <f t="shared" si="6"/>
        <v>-</v>
      </c>
      <c r="D128" s="160"/>
      <c r="E128" s="169"/>
      <c r="F128" s="170"/>
      <c r="G128" s="171"/>
      <c r="H128" s="168">
        <v>0</v>
      </c>
      <c r="I128" s="171">
        <v>0</v>
      </c>
      <c r="J128" s="161">
        <f t="shared" si="1"/>
        <v>0</v>
      </c>
      <c r="K128" s="161">
        <f t="shared" si="2"/>
        <v>0</v>
      </c>
      <c r="L128" s="161" t="str">
        <f t="shared" si="3"/>
        <v>-x-</v>
      </c>
      <c r="M128" s="162">
        <f>SUMIF($E$2:E128,E128,$F$2:F128)</f>
        <v>0</v>
      </c>
      <c r="N128" s="163" t="str">
        <f>IFERROR(IF(A128=CONCATENATE("1","-",E128),L128,
IF(O128="Venda",VLOOKUP(CONCATENATE((COUNTIF($E$2:E128,E128)-1),"-",E128),$A$2:$N$313,14,FALSE),(VLOOKUP(CONCATENATE((COUNTIF($E$2:E128,E128)-1),"-",E128),$A$2:$N$313,14,FALSE)*VLOOKUP(CONCATENATE((COUNTIF($E$2:E128,E128)-1),"-",E128),$A$2:$N$313,13,FALSE)+K128)/M128)),"-x-")</f>
        <v>-x-</v>
      </c>
      <c r="O128" s="164" t="str">
        <f t="shared" si="7"/>
        <v>-</v>
      </c>
      <c r="P128" s="126"/>
      <c r="Q128" s="128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customHeight="1">
      <c r="A129" s="156" t="str">
        <f t="shared" si="0"/>
        <v/>
      </c>
      <c r="B129" s="165"/>
      <c r="C129" s="159" t="str">
        <f t="shared" si="6"/>
        <v>-</v>
      </c>
      <c r="D129" s="160"/>
      <c r="E129" s="169"/>
      <c r="F129" s="170"/>
      <c r="G129" s="171"/>
      <c r="H129" s="168">
        <v>0</v>
      </c>
      <c r="I129" s="171">
        <v>0</v>
      </c>
      <c r="J129" s="161">
        <f t="shared" si="1"/>
        <v>0</v>
      </c>
      <c r="K129" s="161">
        <f t="shared" si="2"/>
        <v>0</v>
      </c>
      <c r="L129" s="161" t="str">
        <f t="shared" si="3"/>
        <v>-x-</v>
      </c>
      <c r="M129" s="162">
        <f>SUMIF($E$2:E129,E129,$F$2:F129)</f>
        <v>0</v>
      </c>
      <c r="N129" s="163" t="str">
        <f>IFERROR(IF(A129=CONCATENATE("1","-",E129),L129,
IF(O129="Venda",VLOOKUP(CONCATENATE((COUNTIF($E$2:E129,E129)-1),"-",E129),$A$2:$N$313,14,FALSE),(VLOOKUP(CONCATENATE((COUNTIF($E$2:E129,E129)-1),"-",E129),$A$2:$N$313,14,FALSE)*VLOOKUP(CONCATENATE((COUNTIF($E$2:E129,E129)-1),"-",E129),$A$2:$N$313,13,FALSE)+K129)/M129)),"-x-")</f>
        <v>-x-</v>
      </c>
      <c r="O129" s="164" t="str">
        <f t="shared" si="7"/>
        <v>-</v>
      </c>
      <c r="P129" s="126"/>
      <c r="Q129" s="128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customHeight="1">
      <c r="A130" s="156" t="str">
        <f t="shared" si="0"/>
        <v/>
      </c>
      <c r="B130" s="165"/>
      <c r="C130" s="159" t="str">
        <f t="shared" si="6"/>
        <v>-</v>
      </c>
      <c r="D130" s="160"/>
      <c r="E130" s="169"/>
      <c r="F130" s="170"/>
      <c r="G130" s="171"/>
      <c r="H130" s="168">
        <v>0</v>
      </c>
      <c r="I130" s="171">
        <v>0</v>
      </c>
      <c r="J130" s="161">
        <f t="shared" si="1"/>
        <v>0</v>
      </c>
      <c r="K130" s="161">
        <f t="shared" si="2"/>
        <v>0</v>
      </c>
      <c r="L130" s="161" t="str">
        <f t="shared" si="3"/>
        <v>-x-</v>
      </c>
      <c r="M130" s="162">
        <f>SUMIF($E$2:E130,E130,$F$2:F130)</f>
        <v>0</v>
      </c>
      <c r="N130" s="163" t="str">
        <f>IFERROR(IF(A130=CONCATENATE("1","-",E130),L130,
IF(O130="Venda",VLOOKUP(CONCATENATE((COUNTIF($E$2:E130,E130)-1),"-",E130),$A$2:$N$313,14,FALSE),(VLOOKUP(CONCATENATE((COUNTIF($E$2:E130,E130)-1),"-",E130),$A$2:$N$313,14,FALSE)*VLOOKUP(CONCATENATE((COUNTIF($E$2:E130,E130)-1),"-",E130),$A$2:$N$313,13,FALSE)+K130)/M130)),"-x-")</f>
        <v>-x-</v>
      </c>
      <c r="O130" s="164" t="str">
        <f t="shared" si="7"/>
        <v>-</v>
      </c>
      <c r="P130" s="126"/>
      <c r="Q130" s="128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customHeight="1">
      <c r="A131" s="156" t="str">
        <f t="shared" si="0"/>
        <v/>
      </c>
      <c r="B131" s="165"/>
      <c r="C131" s="159" t="str">
        <f t="shared" ref="C131:C194" si="8">IF(B131&gt;0,TEXT(B131,"mmmmmmmmmmmmmmm"),"-")</f>
        <v>-</v>
      </c>
      <c r="D131" s="160"/>
      <c r="E131" s="169"/>
      <c r="F131" s="170"/>
      <c r="G131" s="171"/>
      <c r="H131" s="168">
        <v>0</v>
      </c>
      <c r="I131" s="171">
        <v>0</v>
      </c>
      <c r="J131" s="161">
        <f t="shared" si="1"/>
        <v>0</v>
      </c>
      <c r="K131" s="161">
        <f t="shared" si="2"/>
        <v>0</v>
      </c>
      <c r="L131" s="161" t="str">
        <f t="shared" si="3"/>
        <v>-x-</v>
      </c>
      <c r="M131" s="162">
        <f>SUMIF($E$2:E131,E131,$F$2:F131)</f>
        <v>0</v>
      </c>
      <c r="N131" s="163" t="str">
        <f>IFERROR(IF(A131=CONCATENATE("1","-",E131),L131,
IF(O131="Venda",VLOOKUP(CONCATENATE((COUNTIF($E$2:E131,E131)-1),"-",E131),$A$2:$N$313,14,FALSE),(VLOOKUP(CONCATENATE((COUNTIF($E$2:E131,E131)-1),"-",E131),$A$2:$N$313,14,FALSE)*VLOOKUP(CONCATENATE((COUNTIF($E$2:E131,E131)-1),"-",E131),$A$2:$N$313,13,FALSE)+K131)/M131)),"-x-")</f>
        <v>-x-</v>
      </c>
      <c r="O131" s="164" t="str">
        <f t="shared" ref="O131:O194" si="9">IF(G131=0,"-",IF(F131&gt;0,"Compra","Venda"))</f>
        <v>-</v>
      </c>
      <c r="P131" s="126"/>
      <c r="Q131" s="128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customHeight="1">
      <c r="A132" s="156" t="str">
        <f t="shared" si="0"/>
        <v/>
      </c>
      <c r="B132" s="165"/>
      <c r="C132" s="159" t="str">
        <f t="shared" si="8"/>
        <v>-</v>
      </c>
      <c r="D132" s="160"/>
      <c r="E132" s="169"/>
      <c r="F132" s="170"/>
      <c r="G132" s="171"/>
      <c r="H132" s="168">
        <v>0</v>
      </c>
      <c r="I132" s="171">
        <v>0</v>
      </c>
      <c r="J132" s="161">
        <f t="shared" si="1"/>
        <v>0</v>
      </c>
      <c r="K132" s="161">
        <f t="shared" si="2"/>
        <v>0</v>
      </c>
      <c r="L132" s="161" t="str">
        <f t="shared" si="3"/>
        <v>-x-</v>
      </c>
      <c r="M132" s="162">
        <f>SUMIF($E$2:E132,E132,$F$2:F132)</f>
        <v>0</v>
      </c>
      <c r="N132" s="163" t="str">
        <f>IFERROR(IF(A132=CONCATENATE("1","-",E132),L132,
IF(O132="Venda",VLOOKUP(CONCATENATE((COUNTIF($E$2:E132,E132)-1),"-",E132),$A$2:$N$313,14,FALSE),(VLOOKUP(CONCATENATE((COUNTIF($E$2:E132,E132)-1),"-",E132),$A$2:$N$313,14,FALSE)*VLOOKUP(CONCATENATE((COUNTIF($E$2:E132,E132)-1),"-",E132),$A$2:$N$313,13,FALSE)+K132)/M132)),"-x-")</f>
        <v>-x-</v>
      </c>
      <c r="O132" s="164" t="str">
        <f t="shared" si="9"/>
        <v>-</v>
      </c>
      <c r="P132" s="126"/>
      <c r="Q132" s="128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customHeight="1">
      <c r="A133" s="156" t="str">
        <f t="shared" si="0"/>
        <v/>
      </c>
      <c r="B133" s="165"/>
      <c r="C133" s="159" t="str">
        <f t="shared" si="8"/>
        <v>-</v>
      </c>
      <c r="D133" s="160"/>
      <c r="E133" s="169"/>
      <c r="F133" s="170"/>
      <c r="G133" s="171"/>
      <c r="H133" s="168">
        <v>0</v>
      </c>
      <c r="I133" s="171">
        <v>0</v>
      </c>
      <c r="J133" s="161">
        <f t="shared" si="1"/>
        <v>0</v>
      </c>
      <c r="K133" s="161">
        <f t="shared" si="2"/>
        <v>0</v>
      </c>
      <c r="L133" s="161" t="str">
        <f t="shared" si="3"/>
        <v>-x-</v>
      </c>
      <c r="M133" s="162">
        <f>SUMIF($E$2:E133,E133,$F$2:F133)</f>
        <v>0</v>
      </c>
      <c r="N133" s="163" t="str">
        <f>IFERROR(IF(A133=CONCATENATE("1","-",E133),L133,
IF(O133="Venda",VLOOKUP(CONCATENATE((COUNTIF($E$2:E133,E133)-1),"-",E133),$A$2:$N$313,14,FALSE),(VLOOKUP(CONCATENATE((COUNTIF($E$2:E133,E133)-1),"-",E133),$A$2:$N$313,14,FALSE)*VLOOKUP(CONCATENATE((COUNTIF($E$2:E133,E133)-1),"-",E133),$A$2:$N$313,13,FALSE)+K133)/M133)),"-x-")</f>
        <v>-x-</v>
      </c>
      <c r="O133" s="164" t="str">
        <f t="shared" si="9"/>
        <v>-</v>
      </c>
      <c r="P133" s="126"/>
      <c r="Q133" s="128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customHeight="1">
      <c r="A134" s="156" t="str">
        <f t="shared" si="0"/>
        <v/>
      </c>
      <c r="B134" s="165"/>
      <c r="C134" s="159" t="str">
        <f t="shared" si="8"/>
        <v>-</v>
      </c>
      <c r="D134" s="160"/>
      <c r="E134" s="169"/>
      <c r="F134" s="170"/>
      <c r="G134" s="171"/>
      <c r="H134" s="168">
        <v>0</v>
      </c>
      <c r="I134" s="171">
        <v>0</v>
      </c>
      <c r="J134" s="161">
        <f t="shared" si="1"/>
        <v>0</v>
      </c>
      <c r="K134" s="161">
        <f t="shared" si="2"/>
        <v>0</v>
      </c>
      <c r="L134" s="161" t="str">
        <f t="shared" si="3"/>
        <v>-x-</v>
      </c>
      <c r="M134" s="162">
        <f>SUMIF($E$2:E134,E134,$F$2:F134)</f>
        <v>0</v>
      </c>
      <c r="N134" s="163" t="str">
        <f>IFERROR(IF(A134=CONCATENATE("1","-",E134),L134,
IF(O134="Venda",VLOOKUP(CONCATENATE((COUNTIF($E$2:E134,E134)-1),"-",E134),$A$2:$N$313,14,FALSE),(VLOOKUP(CONCATENATE((COUNTIF($E$2:E134,E134)-1),"-",E134),$A$2:$N$313,14,FALSE)*VLOOKUP(CONCATENATE((COUNTIF($E$2:E134,E134)-1),"-",E134),$A$2:$N$313,13,FALSE)+K134)/M134)),"-x-")</f>
        <v>-x-</v>
      </c>
      <c r="O134" s="164" t="str">
        <f t="shared" si="9"/>
        <v>-</v>
      </c>
      <c r="P134" s="126"/>
      <c r="Q134" s="12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customHeight="1">
      <c r="A135" s="156" t="str">
        <f t="shared" si="0"/>
        <v/>
      </c>
      <c r="B135" s="165"/>
      <c r="C135" s="159" t="str">
        <f t="shared" si="8"/>
        <v>-</v>
      </c>
      <c r="D135" s="160"/>
      <c r="E135" s="169"/>
      <c r="F135" s="170"/>
      <c r="G135" s="171"/>
      <c r="H135" s="168">
        <v>0</v>
      </c>
      <c r="I135" s="171">
        <v>0</v>
      </c>
      <c r="J135" s="161">
        <f t="shared" si="1"/>
        <v>0</v>
      </c>
      <c r="K135" s="161">
        <f t="shared" si="2"/>
        <v>0</v>
      </c>
      <c r="L135" s="161" t="str">
        <f t="shared" si="3"/>
        <v>-x-</v>
      </c>
      <c r="M135" s="162">
        <f>SUMIF($E$2:E135,E135,$F$2:F135)</f>
        <v>0</v>
      </c>
      <c r="N135" s="163" t="str">
        <f>IFERROR(IF(A135=CONCATENATE("1","-",E135),L135,
IF(O135="Venda",VLOOKUP(CONCATENATE((COUNTIF($E$2:E135,E135)-1),"-",E135),$A$2:$N$313,14,FALSE),(VLOOKUP(CONCATENATE((COUNTIF($E$2:E135,E135)-1),"-",E135),$A$2:$N$313,14,FALSE)*VLOOKUP(CONCATENATE((COUNTIF($E$2:E135,E135)-1),"-",E135),$A$2:$N$313,13,FALSE)+K135)/M135)),"-x-")</f>
        <v>-x-</v>
      </c>
      <c r="O135" s="164" t="str">
        <f t="shared" si="9"/>
        <v>-</v>
      </c>
      <c r="P135" s="126"/>
      <c r="Q135" s="128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customHeight="1">
      <c r="A136" s="156" t="str">
        <f t="shared" si="0"/>
        <v/>
      </c>
      <c r="B136" s="165"/>
      <c r="C136" s="159" t="str">
        <f t="shared" si="8"/>
        <v>-</v>
      </c>
      <c r="D136" s="160"/>
      <c r="E136" s="169"/>
      <c r="F136" s="170"/>
      <c r="G136" s="171"/>
      <c r="H136" s="168">
        <v>0</v>
      </c>
      <c r="I136" s="171">
        <v>0</v>
      </c>
      <c r="J136" s="161">
        <f t="shared" si="1"/>
        <v>0</v>
      </c>
      <c r="K136" s="161">
        <f t="shared" si="2"/>
        <v>0</v>
      </c>
      <c r="L136" s="161" t="str">
        <f t="shared" si="3"/>
        <v>-x-</v>
      </c>
      <c r="M136" s="162">
        <f>SUMIF($E$2:E136,E136,$F$2:F136)</f>
        <v>0</v>
      </c>
      <c r="N136" s="163" t="str">
        <f>IFERROR(IF(A136=CONCATENATE("1","-",E136),L136,
IF(O136="Venda",VLOOKUP(CONCATENATE((COUNTIF($E$2:E136,E136)-1),"-",E136),$A$2:$N$313,14,FALSE),(VLOOKUP(CONCATENATE((COUNTIF($E$2:E136,E136)-1),"-",E136),$A$2:$N$313,14,FALSE)*VLOOKUP(CONCATENATE((COUNTIF($E$2:E136,E136)-1),"-",E136),$A$2:$N$313,13,FALSE)+K136)/M136)),"-x-")</f>
        <v>-x-</v>
      </c>
      <c r="O136" s="164" t="str">
        <f t="shared" si="9"/>
        <v>-</v>
      </c>
      <c r="P136" s="126"/>
      <c r="Q136" s="128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customHeight="1">
      <c r="A137" s="156" t="str">
        <f t="shared" si="0"/>
        <v/>
      </c>
      <c r="B137" s="165"/>
      <c r="C137" s="159" t="str">
        <f t="shared" si="8"/>
        <v>-</v>
      </c>
      <c r="D137" s="160"/>
      <c r="E137" s="169"/>
      <c r="F137" s="170"/>
      <c r="G137" s="171"/>
      <c r="H137" s="168">
        <v>0</v>
      </c>
      <c r="I137" s="171">
        <v>0</v>
      </c>
      <c r="J137" s="161">
        <f t="shared" si="1"/>
        <v>0</v>
      </c>
      <c r="K137" s="161">
        <f t="shared" si="2"/>
        <v>0</v>
      </c>
      <c r="L137" s="161" t="str">
        <f t="shared" si="3"/>
        <v>-x-</v>
      </c>
      <c r="M137" s="162">
        <f>SUMIF($E$2:E137,E137,$F$2:F137)</f>
        <v>0</v>
      </c>
      <c r="N137" s="163" t="str">
        <f>IFERROR(IF(A137=CONCATENATE("1","-",E137),L137,
IF(O137="Venda",VLOOKUP(CONCATENATE((COUNTIF($E$2:E137,E137)-1),"-",E137),$A$2:$N$313,14,FALSE),(VLOOKUP(CONCATENATE((COUNTIF($E$2:E137,E137)-1),"-",E137),$A$2:$N$313,14,FALSE)*VLOOKUP(CONCATENATE((COUNTIF($E$2:E137,E137)-1),"-",E137),$A$2:$N$313,13,FALSE)+K137)/M137)),"-x-")</f>
        <v>-x-</v>
      </c>
      <c r="O137" s="164" t="str">
        <f t="shared" si="9"/>
        <v>-</v>
      </c>
      <c r="P137" s="126"/>
      <c r="Q137" s="128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customHeight="1">
      <c r="A138" s="156" t="str">
        <f t="shared" si="0"/>
        <v/>
      </c>
      <c r="B138" s="165"/>
      <c r="C138" s="159" t="str">
        <f t="shared" si="8"/>
        <v>-</v>
      </c>
      <c r="D138" s="160"/>
      <c r="E138" s="169"/>
      <c r="F138" s="170"/>
      <c r="G138" s="171"/>
      <c r="H138" s="168">
        <v>0</v>
      </c>
      <c r="I138" s="171">
        <v>0</v>
      </c>
      <c r="J138" s="161">
        <f t="shared" si="1"/>
        <v>0</v>
      </c>
      <c r="K138" s="161">
        <f t="shared" si="2"/>
        <v>0</v>
      </c>
      <c r="L138" s="161" t="str">
        <f t="shared" si="3"/>
        <v>-x-</v>
      </c>
      <c r="M138" s="162">
        <f>SUMIF($E$2:E138,E138,$F$2:F138)</f>
        <v>0</v>
      </c>
      <c r="N138" s="163" t="str">
        <f>IFERROR(IF(A138=CONCATENATE("1","-",E138),L138,
IF(O138="Venda",VLOOKUP(CONCATENATE((COUNTIF($E$2:E138,E138)-1),"-",E138),$A$2:$N$313,14,FALSE),(VLOOKUP(CONCATENATE((COUNTIF($E$2:E138,E138)-1),"-",E138),$A$2:$N$313,14,FALSE)*VLOOKUP(CONCATENATE((COUNTIF($E$2:E138,E138)-1),"-",E138),$A$2:$N$313,13,FALSE)+K138)/M138)),"-x-")</f>
        <v>-x-</v>
      </c>
      <c r="O138" s="164" t="str">
        <f t="shared" si="9"/>
        <v>-</v>
      </c>
      <c r="P138" s="126"/>
      <c r="Q138" s="128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customHeight="1">
      <c r="A139" s="156" t="str">
        <f t="shared" si="0"/>
        <v/>
      </c>
      <c r="B139" s="165"/>
      <c r="C139" s="159" t="str">
        <f t="shared" si="8"/>
        <v>-</v>
      </c>
      <c r="D139" s="160"/>
      <c r="E139" s="169"/>
      <c r="F139" s="170"/>
      <c r="G139" s="171"/>
      <c r="H139" s="168">
        <v>0</v>
      </c>
      <c r="I139" s="171">
        <v>0</v>
      </c>
      <c r="J139" s="161">
        <f t="shared" si="1"/>
        <v>0</v>
      </c>
      <c r="K139" s="161">
        <f t="shared" si="2"/>
        <v>0</v>
      </c>
      <c r="L139" s="161" t="str">
        <f t="shared" si="3"/>
        <v>-x-</v>
      </c>
      <c r="M139" s="162">
        <f>SUMIF($E$2:E139,E139,$F$2:F139)</f>
        <v>0</v>
      </c>
      <c r="N139" s="163" t="str">
        <f>IFERROR(IF(A139=CONCATENATE("1","-",E139),L139,
IF(O139="Venda",VLOOKUP(CONCATENATE((COUNTIF($E$2:E139,E139)-1),"-",E139),$A$2:$N$313,14,FALSE),(VLOOKUP(CONCATENATE((COUNTIF($E$2:E139,E139)-1),"-",E139),$A$2:$N$313,14,FALSE)*VLOOKUP(CONCATENATE((COUNTIF($E$2:E139,E139)-1),"-",E139),$A$2:$N$313,13,FALSE)+K139)/M139)),"-x-")</f>
        <v>-x-</v>
      </c>
      <c r="O139" s="164" t="str">
        <f t="shared" si="9"/>
        <v>-</v>
      </c>
      <c r="P139" s="126"/>
      <c r="Q139" s="128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customHeight="1">
      <c r="A140" s="156" t="str">
        <f t="shared" si="0"/>
        <v/>
      </c>
      <c r="B140" s="165"/>
      <c r="C140" s="159" t="str">
        <f t="shared" si="8"/>
        <v>-</v>
      </c>
      <c r="D140" s="160"/>
      <c r="E140" s="169"/>
      <c r="F140" s="170"/>
      <c r="G140" s="171"/>
      <c r="H140" s="168">
        <v>0</v>
      </c>
      <c r="I140" s="171">
        <v>0</v>
      </c>
      <c r="J140" s="161">
        <f t="shared" si="1"/>
        <v>0</v>
      </c>
      <c r="K140" s="161">
        <f t="shared" si="2"/>
        <v>0</v>
      </c>
      <c r="L140" s="161" t="str">
        <f t="shared" si="3"/>
        <v>-x-</v>
      </c>
      <c r="M140" s="162">
        <f>SUMIF($E$2:E140,E140,$F$2:F140)</f>
        <v>0</v>
      </c>
      <c r="N140" s="163" t="str">
        <f>IFERROR(IF(A140=CONCATENATE("1","-",E140),L140,
IF(O140="Venda",VLOOKUP(CONCATENATE((COUNTIF($E$2:E140,E140)-1),"-",E140),$A$2:$N$313,14,FALSE),(VLOOKUP(CONCATENATE((COUNTIF($E$2:E140,E140)-1),"-",E140),$A$2:$N$313,14,FALSE)*VLOOKUP(CONCATENATE((COUNTIF($E$2:E140,E140)-1),"-",E140),$A$2:$N$313,13,FALSE)+K140)/M140)),"-x-")</f>
        <v>-x-</v>
      </c>
      <c r="O140" s="164" t="str">
        <f t="shared" si="9"/>
        <v>-</v>
      </c>
      <c r="P140" s="126"/>
      <c r="Q140" s="128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customHeight="1">
      <c r="A141" s="156" t="str">
        <f t="shared" si="0"/>
        <v/>
      </c>
      <c r="B141" s="165"/>
      <c r="C141" s="159" t="str">
        <f t="shared" si="8"/>
        <v>-</v>
      </c>
      <c r="D141" s="160"/>
      <c r="E141" s="169"/>
      <c r="F141" s="170"/>
      <c r="G141" s="171"/>
      <c r="H141" s="168">
        <v>0</v>
      </c>
      <c r="I141" s="171">
        <v>0</v>
      </c>
      <c r="J141" s="161">
        <f t="shared" si="1"/>
        <v>0</v>
      </c>
      <c r="K141" s="161">
        <f t="shared" si="2"/>
        <v>0</v>
      </c>
      <c r="L141" s="161" t="str">
        <f t="shared" si="3"/>
        <v>-x-</v>
      </c>
      <c r="M141" s="162">
        <f>SUMIF($E$2:E141,E141,$F$2:F141)</f>
        <v>0</v>
      </c>
      <c r="N141" s="163" t="str">
        <f>IFERROR(IF(A141=CONCATENATE("1","-",E141),L141,
IF(O141="Venda",VLOOKUP(CONCATENATE((COUNTIF($E$2:E141,E141)-1),"-",E141),$A$2:$N$313,14,FALSE),(VLOOKUP(CONCATENATE((COUNTIF($E$2:E141,E141)-1),"-",E141),$A$2:$N$313,14,FALSE)*VLOOKUP(CONCATENATE((COUNTIF($E$2:E141,E141)-1),"-",E141),$A$2:$N$313,13,FALSE)+K141)/M141)),"-x-")</f>
        <v>-x-</v>
      </c>
      <c r="O141" s="164" t="str">
        <f t="shared" si="9"/>
        <v>-</v>
      </c>
      <c r="P141" s="126"/>
      <c r="Q141" s="128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customHeight="1">
      <c r="A142" s="156" t="str">
        <f t="shared" si="0"/>
        <v/>
      </c>
      <c r="B142" s="165"/>
      <c r="C142" s="159" t="str">
        <f t="shared" si="8"/>
        <v>-</v>
      </c>
      <c r="D142" s="160"/>
      <c r="E142" s="169"/>
      <c r="F142" s="170"/>
      <c r="G142" s="171"/>
      <c r="H142" s="168">
        <v>0</v>
      </c>
      <c r="I142" s="171">
        <v>0</v>
      </c>
      <c r="J142" s="161">
        <f t="shared" si="1"/>
        <v>0</v>
      </c>
      <c r="K142" s="161">
        <f t="shared" si="2"/>
        <v>0</v>
      </c>
      <c r="L142" s="161" t="str">
        <f t="shared" si="3"/>
        <v>-x-</v>
      </c>
      <c r="M142" s="162">
        <f>SUMIF($E$2:E142,E142,$F$2:F142)</f>
        <v>0</v>
      </c>
      <c r="N142" s="163" t="str">
        <f>IFERROR(IF(A142=CONCATENATE("1","-",E142),L142,
IF(O142="Venda",VLOOKUP(CONCATENATE((COUNTIF($E$2:E142,E142)-1),"-",E142),$A$2:$N$313,14,FALSE),(VLOOKUP(CONCATENATE((COUNTIF($E$2:E142,E142)-1),"-",E142),$A$2:$N$313,14,FALSE)*VLOOKUP(CONCATENATE((COUNTIF($E$2:E142,E142)-1),"-",E142),$A$2:$N$313,13,FALSE)+K142)/M142)),"-x-")</f>
        <v>-x-</v>
      </c>
      <c r="O142" s="164" t="str">
        <f t="shared" si="9"/>
        <v>-</v>
      </c>
      <c r="P142" s="126"/>
      <c r="Q142" s="128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customHeight="1">
      <c r="A143" s="156" t="str">
        <f t="shared" si="0"/>
        <v/>
      </c>
      <c r="B143" s="165"/>
      <c r="C143" s="159" t="str">
        <f t="shared" si="8"/>
        <v>-</v>
      </c>
      <c r="D143" s="160"/>
      <c r="E143" s="169"/>
      <c r="F143" s="170"/>
      <c r="G143" s="171"/>
      <c r="H143" s="168">
        <v>0</v>
      </c>
      <c r="I143" s="171">
        <v>0</v>
      </c>
      <c r="J143" s="161">
        <f t="shared" si="1"/>
        <v>0</v>
      </c>
      <c r="K143" s="161">
        <f t="shared" si="2"/>
        <v>0</v>
      </c>
      <c r="L143" s="161" t="str">
        <f t="shared" si="3"/>
        <v>-x-</v>
      </c>
      <c r="M143" s="162">
        <f>SUMIF($E$2:E143,E143,$F$2:F143)</f>
        <v>0</v>
      </c>
      <c r="N143" s="163" t="str">
        <f>IFERROR(IF(A143=CONCATENATE("1","-",E143),L143,
IF(O143="Venda",VLOOKUP(CONCATENATE((COUNTIF($E$2:E143,E143)-1),"-",E143),$A$2:$N$313,14,FALSE),(VLOOKUP(CONCATENATE((COUNTIF($E$2:E143,E143)-1),"-",E143),$A$2:$N$313,14,FALSE)*VLOOKUP(CONCATENATE((COUNTIF($E$2:E143,E143)-1),"-",E143),$A$2:$N$313,13,FALSE)+K143)/M143)),"-x-")</f>
        <v>-x-</v>
      </c>
      <c r="O143" s="164" t="str">
        <f t="shared" si="9"/>
        <v>-</v>
      </c>
      <c r="P143" s="126"/>
      <c r="Q143" s="128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customHeight="1">
      <c r="A144" s="156" t="str">
        <f t="shared" si="0"/>
        <v/>
      </c>
      <c r="B144" s="165"/>
      <c r="C144" s="159" t="str">
        <f t="shared" si="8"/>
        <v>-</v>
      </c>
      <c r="D144" s="160"/>
      <c r="E144" s="169"/>
      <c r="F144" s="170"/>
      <c r="G144" s="171"/>
      <c r="H144" s="168">
        <v>0</v>
      </c>
      <c r="I144" s="171">
        <v>0</v>
      </c>
      <c r="J144" s="161">
        <f t="shared" si="1"/>
        <v>0</v>
      </c>
      <c r="K144" s="161">
        <f t="shared" si="2"/>
        <v>0</v>
      </c>
      <c r="L144" s="161" t="str">
        <f t="shared" si="3"/>
        <v>-x-</v>
      </c>
      <c r="M144" s="162">
        <f>SUMIF($E$2:E144,E144,$F$2:F144)</f>
        <v>0</v>
      </c>
      <c r="N144" s="163" t="str">
        <f>IFERROR(IF(A144=CONCATENATE("1","-",E144),L144,
IF(O144="Venda",VLOOKUP(CONCATENATE((COUNTIF($E$2:E144,E144)-1),"-",E144),$A$2:$N$313,14,FALSE),(VLOOKUP(CONCATENATE((COUNTIF($E$2:E144,E144)-1),"-",E144),$A$2:$N$313,14,FALSE)*VLOOKUP(CONCATENATE((COUNTIF($E$2:E144,E144)-1),"-",E144),$A$2:$N$313,13,FALSE)+K144)/M144)),"-x-")</f>
        <v>-x-</v>
      </c>
      <c r="O144" s="164" t="str">
        <f t="shared" si="9"/>
        <v>-</v>
      </c>
      <c r="P144" s="126"/>
      <c r="Q144" s="128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customHeight="1">
      <c r="A145" s="156" t="str">
        <f t="shared" si="0"/>
        <v/>
      </c>
      <c r="B145" s="165"/>
      <c r="C145" s="159" t="str">
        <f t="shared" si="8"/>
        <v>-</v>
      </c>
      <c r="D145" s="160"/>
      <c r="E145" s="169"/>
      <c r="F145" s="170"/>
      <c r="G145" s="171"/>
      <c r="H145" s="168">
        <v>0</v>
      </c>
      <c r="I145" s="171">
        <v>0</v>
      </c>
      <c r="J145" s="161">
        <f t="shared" si="1"/>
        <v>0</v>
      </c>
      <c r="K145" s="161">
        <f t="shared" si="2"/>
        <v>0</v>
      </c>
      <c r="L145" s="161" t="str">
        <f t="shared" si="3"/>
        <v>-x-</v>
      </c>
      <c r="M145" s="162">
        <f>SUMIF($E$2:E145,E145,$F$2:F145)</f>
        <v>0</v>
      </c>
      <c r="N145" s="163" t="str">
        <f>IFERROR(IF(A145=CONCATENATE("1","-",E145),L145,
IF(O145="Venda",VLOOKUP(CONCATENATE((COUNTIF($E$2:E145,E145)-1),"-",E145),$A$2:$N$313,14,FALSE),(VLOOKUP(CONCATENATE((COUNTIF($E$2:E145,E145)-1),"-",E145),$A$2:$N$313,14,FALSE)*VLOOKUP(CONCATENATE((COUNTIF($E$2:E145,E145)-1),"-",E145),$A$2:$N$313,13,FALSE)+K145)/M145)),"-x-")</f>
        <v>-x-</v>
      </c>
      <c r="O145" s="164" t="str">
        <f t="shared" si="9"/>
        <v>-</v>
      </c>
      <c r="P145" s="126"/>
      <c r="Q145" s="12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customHeight="1">
      <c r="A146" s="156" t="str">
        <f t="shared" si="0"/>
        <v/>
      </c>
      <c r="B146" s="165"/>
      <c r="C146" s="159" t="str">
        <f t="shared" si="8"/>
        <v>-</v>
      </c>
      <c r="D146" s="160"/>
      <c r="E146" s="169"/>
      <c r="F146" s="170"/>
      <c r="G146" s="171"/>
      <c r="H146" s="168">
        <v>0</v>
      </c>
      <c r="I146" s="171">
        <v>0</v>
      </c>
      <c r="J146" s="161">
        <f t="shared" si="1"/>
        <v>0</v>
      </c>
      <c r="K146" s="161">
        <f t="shared" si="2"/>
        <v>0</v>
      </c>
      <c r="L146" s="161" t="str">
        <f t="shared" si="3"/>
        <v>-x-</v>
      </c>
      <c r="M146" s="162">
        <f>SUMIF($E$2:E146,E146,$F$2:F146)</f>
        <v>0</v>
      </c>
      <c r="N146" s="163" t="str">
        <f>IFERROR(IF(A146=CONCATENATE("1","-",E146),L146,
IF(O146="Venda",VLOOKUP(CONCATENATE((COUNTIF($E$2:E146,E146)-1),"-",E146),$A$2:$N$313,14,FALSE),(VLOOKUP(CONCATENATE((COUNTIF($E$2:E146,E146)-1),"-",E146),$A$2:$N$313,14,FALSE)*VLOOKUP(CONCATENATE((COUNTIF($E$2:E146,E146)-1),"-",E146),$A$2:$N$313,13,FALSE)+K146)/M146)),"-x-")</f>
        <v>-x-</v>
      </c>
      <c r="O146" s="164" t="str">
        <f t="shared" si="9"/>
        <v>-</v>
      </c>
      <c r="P146" s="126"/>
      <c r="Q146" s="128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customHeight="1">
      <c r="A147" s="156" t="str">
        <f t="shared" si="0"/>
        <v/>
      </c>
      <c r="B147" s="165"/>
      <c r="C147" s="159" t="str">
        <f t="shared" si="8"/>
        <v>-</v>
      </c>
      <c r="D147" s="160"/>
      <c r="E147" s="169"/>
      <c r="F147" s="170"/>
      <c r="G147" s="171"/>
      <c r="H147" s="168">
        <v>0</v>
      </c>
      <c r="I147" s="171">
        <v>0</v>
      </c>
      <c r="J147" s="161">
        <f t="shared" si="1"/>
        <v>0</v>
      </c>
      <c r="K147" s="161">
        <f t="shared" si="2"/>
        <v>0</v>
      </c>
      <c r="L147" s="161" t="str">
        <f t="shared" si="3"/>
        <v>-x-</v>
      </c>
      <c r="M147" s="162">
        <f>SUMIF($E$2:E147,E147,$F$2:F147)</f>
        <v>0</v>
      </c>
      <c r="N147" s="163" t="str">
        <f>IFERROR(IF(A147=CONCATENATE("1","-",E147),L147,
IF(O147="Venda",VLOOKUP(CONCATENATE((COUNTIF($E$2:E147,E147)-1),"-",E147),$A$2:$N$313,14,FALSE),(VLOOKUP(CONCATENATE((COUNTIF($E$2:E147,E147)-1),"-",E147),$A$2:$N$313,14,FALSE)*VLOOKUP(CONCATENATE((COUNTIF($E$2:E147,E147)-1),"-",E147),$A$2:$N$313,13,FALSE)+K147)/M147)),"-x-")</f>
        <v>-x-</v>
      </c>
      <c r="O147" s="164" t="str">
        <f t="shared" si="9"/>
        <v>-</v>
      </c>
      <c r="P147" s="126"/>
      <c r="Q147" s="128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customHeight="1">
      <c r="A148" s="156" t="str">
        <f t="shared" si="0"/>
        <v/>
      </c>
      <c r="B148" s="165"/>
      <c r="C148" s="159" t="str">
        <f t="shared" si="8"/>
        <v>-</v>
      </c>
      <c r="D148" s="160"/>
      <c r="E148" s="169"/>
      <c r="F148" s="170"/>
      <c r="G148" s="171"/>
      <c r="H148" s="168">
        <v>0</v>
      </c>
      <c r="I148" s="171">
        <v>0</v>
      </c>
      <c r="J148" s="161">
        <f t="shared" si="1"/>
        <v>0</v>
      </c>
      <c r="K148" s="161">
        <f t="shared" si="2"/>
        <v>0</v>
      </c>
      <c r="L148" s="161" t="str">
        <f t="shared" si="3"/>
        <v>-x-</v>
      </c>
      <c r="M148" s="162">
        <f>SUMIF($E$2:E148,E148,$F$2:F148)</f>
        <v>0</v>
      </c>
      <c r="N148" s="163" t="str">
        <f>IFERROR(IF(A148=CONCATENATE("1","-",E148),L148,
IF(O148="Venda",VLOOKUP(CONCATENATE((COUNTIF($E$2:E148,E148)-1),"-",E148),$A$2:$N$313,14,FALSE),(VLOOKUP(CONCATENATE((COUNTIF($E$2:E148,E148)-1),"-",E148),$A$2:$N$313,14,FALSE)*VLOOKUP(CONCATENATE((COUNTIF($E$2:E148,E148)-1),"-",E148),$A$2:$N$313,13,FALSE)+K148)/M148)),"-x-")</f>
        <v>-x-</v>
      </c>
      <c r="O148" s="164" t="str">
        <f t="shared" si="9"/>
        <v>-</v>
      </c>
      <c r="P148" s="126"/>
      <c r="Q148" s="128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customHeight="1">
      <c r="A149" s="156" t="str">
        <f t="shared" si="0"/>
        <v/>
      </c>
      <c r="B149" s="165"/>
      <c r="C149" s="159" t="str">
        <f t="shared" si="8"/>
        <v>-</v>
      </c>
      <c r="D149" s="160"/>
      <c r="E149" s="169"/>
      <c r="F149" s="170"/>
      <c r="G149" s="171"/>
      <c r="H149" s="168">
        <v>0</v>
      </c>
      <c r="I149" s="171">
        <v>0</v>
      </c>
      <c r="J149" s="161">
        <f t="shared" si="1"/>
        <v>0</v>
      </c>
      <c r="K149" s="161">
        <f t="shared" si="2"/>
        <v>0</v>
      </c>
      <c r="L149" s="161" t="str">
        <f t="shared" si="3"/>
        <v>-x-</v>
      </c>
      <c r="M149" s="162">
        <f>SUMIF($E$2:E149,E149,$F$2:F149)</f>
        <v>0</v>
      </c>
      <c r="N149" s="163" t="str">
        <f>IFERROR(IF(A149=CONCATENATE("1","-",E149),L149,
IF(O149="Venda",VLOOKUP(CONCATENATE((COUNTIF($E$2:E149,E149)-1),"-",E149),$A$2:$N$313,14,FALSE),(VLOOKUP(CONCATENATE((COUNTIF($E$2:E149,E149)-1),"-",E149),$A$2:$N$313,14,FALSE)*VLOOKUP(CONCATENATE((COUNTIF($E$2:E149,E149)-1),"-",E149),$A$2:$N$313,13,FALSE)+K149)/M149)),"-x-")</f>
        <v>-x-</v>
      </c>
      <c r="O149" s="164" t="str">
        <f t="shared" si="9"/>
        <v>-</v>
      </c>
      <c r="P149" s="126"/>
      <c r="Q149" s="128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customHeight="1">
      <c r="A150" s="156" t="str">
        <f t="shared" si="0"/>
        <v/>
      </c>
      <c r="B150" s="165"/>
      <c r="C150" s="159" t="str">
        <f t="shared" si="8"/>
        <v>-</v>
      </c>
      <c r="D150" s="160"/>
      <c r="E150" s="169"/>
      <c r="F150" s="170"/>
      <c r="G150" s="171"/>
      <c r="H150" s="168">
        <v>0</v>
      </c>
      <c r="I150" s="171">
        <v>0</v>
      </c>
      <c r="J150" s="161">
        <f t="shared" si="1"/>
        <v>0</v>
      </c>
      <c r="K150" s="161">
        <f t="shared" si="2"/>
        <v>0</v>
      </c>
      <c r="L150" s="161" t="str">
        <f t="shared" si="3"/>
        <v>-x-</v>
      </c>
      <c r="M150" s="162">
        <f>SUMIF($E$2:E150,E150,$F$2:F150)</f>
        <v>0</v>
      </c>
      <c r="N150" s="163" t="str">
        <f>IFERROR(IF(A150=CONCATENATE("1","-",E150),L150,
IF(O150="Venda",VLOOKUP(CONCATENATE((COUNTIF($E$2:E150,E150)-1),"-",E150),$A$2:$N$313,14,FALSE),(VLOOKUP(CONCATENATE((COUNTIF($E$2:E150,E150)-1),"-",E150),$A$2:$N$313,14,FALSE)*VLOOKUP(CONCATENATE((COUNTIF($E$2:E150,E150)-1),"-",E150),$A$2:$N$313,13,FALSE)+K150)/M150)),"-x-")</f>
        <v>-x-</v>
      </c>
      <c r="O150" s="164" t="str">
        <f t="shared" si="9"/>
        <v>-</v>
      </c>
      <c r="P150" s="126"/>
      <c r="Q150" s="128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customHeight="1">
      <c r="A151" s="156" t="str">
        <f t="shared" si="0"/>
        <v/>
      </c>
      <c r="B151" s="165"/>
      <c r="C151" s="159" t="str">
        <f t="shared" si="8"/>
        <v>-</v>
      </c>
      <c r="D151" s="160"/>
      <c r="E151" s="169"/>
      <c r="F151" s="170"/>
      <c r="G151" s="171"/>
      <c r="H151" s="168">
        <v>0</v>
      </c>
      <c r="I151" s="171">
        <v>0</v>
      </c>
      <c r="J151" s="161">
        <f t="shared" si="1"/>
        <v>0</v>
      </c>
      <c r="K151" s="161">
        <f t="shared" si="2"/>
        <v>0</v>
      </c>
      <c r="L151" s="161" t="str">
        <f t="shared" si="3"/>
        <v>-x-</v>
      </c>
      <c r="M151" s="162">
        <f>SUMIF($E$2:E151,E151,$F$2:F151)</f>
        <v>0</v>
      </c>
      <c r="N151" s="163" t="str">
        <f>IFERROR(IF(A151=CONCATENATE("1","-",E151),L151,
IF(O151="Venda",VLOOKUP(CONCATENATE((COUNTIF($E$2:E151,E151)-1),"-",E151),$A$2:$N$313,14,FALSE),(VLOOKUP(CONCATENATE((COUNTIF($E$2:E151,E151)-1),"-",E151),$A$2:$N$313,14,FALSE)*VLOOKUP(CONCATENATE((COUNTIF($E$2:E151,E151)-1),"-",E151),$A$2:$N$313,13,FALSE)+K151)/M151)),"-x-")</f>
        <v>-x-</v>
      </c>
      <c r="O151" s="164" t="str">
        <f t="shared" si="9"/>
        <v>-</v>
      </c>
      <c r="P151" s="126"/>
      <c r="Q151" s="128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customHeight="1">
      <c r="A152" s="156" t="str">
        <f t="shared" si="0"/>
        <v/>
      </c>
      <c r="B152" s="165"/>
      <c r="C152" s="159" t="str">
        <f t="shared" si="8"/>
        <v>-</v>
      </c>
      <c r="D152" s="160"/>
      <c r="E152" s="169"/>
      <c r="F152" s="170"/>
      <c r="G152" s="171"/>
      <c r="H152" s="168">
        <v>0</v>
      </c>
      <c r="I152" s="171">
        <v>0</v>
      </c>
      <c r="J152" s="161">
        <f t="shared" si="1"/>
        <v>0</v>
      </c>
      <c r="K152" s="161">
        <f t="shared" si="2"/>
        <v>0</v>
      </c>
      <c r="L152" s="161" t="str">
        <f t="shared" si="3"/>
        <v>-x-</v>
      </c>
      <c r="M152" s="162">
        <f>SUMIF($E$2:E152,E152,$F$2:F152)</f>
        <v>0</v>
      </c>
      <c r="N152" s="163" t="str">
        <f>IFERROR(IF(A152=CONCATENATE("1","-",E152),L152,
IF(O152="Venda",VLOOKUP(CONCATENATE((COUNTIF($E$2:E152,E152)-1),"-",E152),$A$2:$N$313,14,FALSE),(VLOOKUP(CONCATENATE((COUNTIF($E$2:E152,E152)-1),"-",E152),$A$2:$N$313,14,FALSE)*VLOOKUP(CONCATENATE((COUNTIF($E$2:E152,E152)-1),"-",E152),$A$2:$N$313,13,FALSE)+K152)/M152)),"-x-")</f>
        <v>-x-</v>
      </c>
      <c r="O152" s="164" t="str">
        <f t="shared" si="9"/>
        <v>-</v>
      </c>
      <c r="P152" s="126"/>
      <c r="Q152" s="12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customHeight="1">
      <c r="A153" s="156" t="str">
        <f t="shared" si="0"/>
        <v/>
      </c>
      <c r="B153" s="165"/>
      <c r="C153" s="159" t="str">
        <f t="shared" si="8"/>
        <v>-</v>
      </c>
      <c r="D153" s="160"/>
      <c r="E153" s="169"/>
      <c r="F153" s="170"/>
      <c r="G153" s="171"/>
      <c r="H153" s="168">
        <v>0</v>
      </c>
      <c r="I153" s="171">
        <v>0</v>
      </c>
      <c r="J153" s="161">
        <f t="shared" si="1"/>
        <v>0</v>
      </c>
      <c r="K153" s="161">
        <f t="shared" si="2"/>
        <v>0</v>
      </c>
      <c r="L153" s="161" t="str">
        <f t="shared" si="3"/>
        <v>-x-</v>
      </c>
      <c r="M153" s="162">
        <f>SUMIF($E$2:E153,E153,$F$2:F153)</f>
        <v>0</v>
      </c>
      <c r="N153" s="163" t="str">
        <f>IFERROR(IF(A153=CONCATENATE("1","-",E153),L153,
IF(O153="Venda",VLOOKUP(CONCATENATE((COUNTIF($E$2:E153,E153)-1),"-",E153),$A$2:$N$313,14,FALSE),(VLOOKUP(CONCATENATE((COUNTIF($E$2:E153,E153)-1),"-",E153),$A$2:$N$313,14,FALSE)*VLOOKUP(CONCATENATE((COUNTIF($E$2:E153,E153)-1),"-",E153),$A$2:$N$313,13,FALSE)+K153)/M153)),"-x-")</f>
        <v>-x-</v>
      </c>
      <c r="O153" s="164" t="str">
        <f t="shared" si="9"/>
        <v>-</v>
      </c>
      <c r="P153" s="126"/>
      <c r="Q153" s="128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customHeight="1">
      <c r="A154" s="156" t="str">
        <f t="shared" si="0"/>
        <v/>
      </c>
      <c r="B154" s="165"/>
      <c r="C154" s="159" t="str">
        <f t="shared" si="8"/>
        <v>-</v>
      </c>
      <c r="D154" s="160"/>
      <c r="E154" s="169"/>
      <c r="F154" s="170"/>
      <c r="G154" s="171"/>
      <c r="H154" s="168">
        <v>0</v>
      </c>
      <c r="I154" s="171">
        <v>0</v>
      </c>
      <c r="J154" s="161">
        <f t="shared" si="1"/>
        <v>0</v>
      </c>
      <c r="K154" s="161">
        <f t="shared" si="2"/>
        <v>0</v>
      </c>
      <c r="L154" s="161" t="str">
        <f t="shared" si="3"/>
        <v>-x-</v>
      </c>
      <c r="M154" s="162">
        <f>SUMIF($E$2:E154,E154,$F$2:F154)</f>
        <v>0</v>
      </c>
      <c r="N154" s="163" t="str">
        <f>IFERROR(IF(A154=CONCATENATE("1","-",E154),L154,
IF(O154="Venda",VLOOKUP(CONCATENATE((COUNTIF($E$2:E154,E154)-1),"-",E154),$A$2:$N$313,14,FALSE),(VLOOKUP(CONCATENATE((COUNTIF($E$2:E154,E154)-1),"-",E154),$A$2:$N$313,14,FALSE)*VLOOKUP(CONCATENATE((COUNTIF($E$2:E154,E154)-1),"-",E154),$A$2:$N$313,13,FALSE)+K154)/M154)),"-x-")</f>
        <v>-x-</v>
      </c>
      <c r="O154" s="164" t="str">
        <f t="shared" si="9"/>
        <v>-</v>
      </c>
      <c r="P154" s="126"/>
      <c r="Q154" s="128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customHeight="1">
      <c r="A155" s="156" t="str">
        <f t="shared" si="0"/>
        <v/>
      </c>
      <c r="B155" s="165"/>
      <c r="C155" s="159" t="str">
        <f t="shared" si="8"/>
        <v>-</v>
      </c>
      <c r="D155" s="160"/>
      <c r="E155" s="169"/>
      <c r="F155" s="170"/>
      <c r="G155" s="171"/>
      <c r="H155" s="168">
        <v>0</v>
      </c>
      <c r="I155" s="171">
        <v>0</v>
      </c>
      <c r="J155" s="161">
        <f t="shared" si="1"/>
        <v>0</v>
      </c>
      <c r="K155" s="161">
        <f t="shared" si="2"/>
        <v>0</v>
      </c>
      <c r="L155" s="161" t="str">
        <f t="shared" si="3"/>
        <v>-x-</v>
      </c>
      <c r="M155" s="162">
        <f>SUMIF($E$2:E155,E155,$F$2:F155)</f>
        <v>0</v>
      </c>
      <c r="N155" s="163" t="str">
        <f>IFERROR(IF(A155=CONCATENATE("1","-",E155),L155,
IF(O155="Venda",VLOOKUP(CONCATENATE((COUNTIF($E$2:E155,E155)-1),"-",E155),$A$2:$N$313,14,FALSE),(VLOOKUP(CONCATENATE((COUNTIF($E$2:E155,E155)-1),"-",E155),$A$2:$N$313,14,FALSE)*VLOOKUP(CONCATENATE((COUNTIF($E$2:E155,E155)-1),"-",E155),$A$2:$N$313,13,FALSE)+K155)/M155)),"-x-")</f>
        <v>-x-</v>
      </c>
      <c r="O155" s="164" t="str">
        <f t="shared" si="9"/>
        <v>-</v>
      </c>
      <c r="P155" s="126"/>
      <c r="Q155" s="128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customHeight="1">
      <c r="A156" s="156" t="str">
        <f t="shared" si="0"/>
        <v/>
      </c>
      <c r="B156" s="165"/>
      <c r="C156" s="159" t="str">
        <f t="shared" si="8"/>
        <v>-</v>
      </c>
      <c r="D156" s="160"/>
      <c r="E156" s="169"/>
      <c r="F156" s="170"/>
      <c r="G156" s="171"/>
      <c r="H156" s="168">
        <v>0</v>
      </c>
      <c r="I156" s="171">
        <v>0</v>
      </c>
      <c r="J156" s="161">
        <f t="shared" si="1"/>
        <v>0</v>
      </c>
      <c r="K156" s="161">
        <f t="shared" si="2"/>
        <v>0</v>
      </c>
      <c r="L156" s="161" t="str">
        <f t="shared" si="3"/>
        <v>-x-</v>
      </c>
      <c r="M156" s="162">
        <f>SUMIF($E$2:E156,E156,$F$2:F156)</f>
        <v>0</v>
      </c>
      <c r="N156" s="163" t="str">
        <f>IFERROR(IF(A156=CONCATENATE("1","-",E156),L156,
IF(O156="Venda",VLOOKUP(CONCATENATE((COUNTIF($E$2:E156,E156)-1),"-",E156),$A$2:$N$313,14,FALSE),(VLOOKUP(CONCATENATE((COUNTIF($E$2:E156,E156)-1),"-",E156),$A$2:$N$313,14,FALSE)*VLOOKUP(CONCATENATE((COUNTIF($E$2:E156,E156)-1),"-",E156),$A$2:$N$313,13,FALSE)+K156)/M156)),"-x-")</f>
        <v>-x-</v>
      </c>
      <c r="O156" s="164" t="str">
        <f t="shared" si="9"/>
        <v>-</v>
      </c>
      <c r="P156" s="126"/>
      <c r="Q156" s="128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customHeight="1">
      <c r="A157" s="156" t="str">
        <f t="shared" si="0"/>
        <v/>
      </c>
      <c r="B157" s="165"/>
      <c r="C157" s="159" t="str">
        <f t="shared" si="8"/>
        <v>-</v>
      </c>
      <c r="D157" s="160"/>
      <c r="E157" s="169"/>
      <c r="F157" s="170"/>
      <c r="G157" s="171"/>
      <c r="H157" s="168">
        <v>0</v>
      </c>
      <c r="I157" s="171">
        <v>0</v>
      </c>
      <c r="J157" s="161">
        <f t="shared" si="1"/>
        <v>0</v>
      </c>
      <c r="K157" s="161">
        <f t="shared" si="2"/>
        <v>0</v>
      </c>
      <c r="L157" s="161" t="str">
        <f t="shared" si="3"/>
        <v>-x-</v>
      </c>
      <c r="M157" s="162">
        <f>SUMIF($E$2:E157,E157,$F$2:F157)</f>
        <v>0</v>
      </c>
      <c r="N157" s="163" t="str">
        <f>IFERROR(IF(A157=CONCATENATE("1","-",E157),L157,
IF(O157="Venda",VLOOKUP(CONCATENATE((COUNTIF($E$2:E157,E157)-1),"-",E157),$A$2:$N$313,14,FALSE),(VLOOKUP(CONCATENATE((COUNTIF($E$2:E157,E157)-1),"-",E157),$A$2:$N$313,14,FALSE)*VLOOKUP(CONCATENATE((COUNTIF($E$2:E157,E157)-1),"-",E157),$A$2:$N$313,13,FALSE)+K157)/M157)),"-x-")</f>
        <v>-x-</v>
      </c>
      <c r="O157" s="164" t="str">
        <f t="shared" si="9"/>
        <v>-</v>
      </c>
      <c r="P157" s="126"/>
      <c r="Q157" s="128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customHeight="1">
      <c r="A158" s="156" t="str">
        <f t="shared" si="0"/>
        <v/>
      </c>
      <c r="B158" s="165"/>
      <c r="C158" s="159" t="str">
        <f t="shared" si="8"/>
        <v>-</v>
      </c>
      <c r="D158" s="160"/>
      <c r="E158" s="169"/>
      <c r="F158" s="170"/>
      <c r="G158" s="171"/>
      <c r="H158" s="168">
        <v>0</v>
      </c>
      <c r="I158" s="171">
        <v>0</v>
      </c>
      <c r="J158" s="161">
        <f t="shared" si="1"/>
        <v>0</v>
      </c>
      <c r="K158" s="161">
        <f t="shared" si="2"/>
        <v>0</v>
      </c>
      <c r="L158" s="161" t="str">
        <f t="shared" si="3"/>
        <v>-x-</v>
      </c>
      <c r="M158" s="162">
        <f>SUMIF($E$2:E158,E158,$F$2:F158)</f>
        <v>0</v>
      </c>
      <c r="N158" s="163" t="str">
        <f>IFERROR(IF(A158=CONCATENATE("1","-",E158),L158,
IF(O158="Venda",VLOOKUP(CONCATENATE((COUNTIF($E$2:E158,E158)-1),"-",E158),$A$2:$N$313,14,FALSE),(VLOOKUP(CONCATENATE((COUNTIF($E$2:E158,E158)-1),"-",E158),$A$2:$N$313,14,FALSE)*VLOOKUP(CONCATENATE((COUNTIF($E$2:E158,E158)-1),"-",E158),$A$2:$N$313,13,FALSE)+K158)/M158)),"-x-")</f>
        <v>-x-</v>
      </c>
      <c r="O158" s="164" t="str">
        <f t="shared" si="9"/>
        <v>-</v>
      </c>
      <c r="P158" s="126"/>
      <c r="Q158" s="128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customHeight="1">
      <c r="A159" s="156" t="str">
        <f t="shared" si="0"/>
        <v/>
      </c>
      <c r="B159" s="165"/>
      <c r="C159" s="159" t="str">
        <f t="shared" si="8"/>
        <v>-</v>
      </c>
      <c r="D159" s="160"/>
      <c r="E159" s="169"/>
      <c r="F159" s="170"/>
      <c r="G159" s="171"/>
      <c r="H159" s="168">
        <v>0</v>
      </c>
      <c r="I159" s="171">
        <v>0</v>
      </c>
      <c r="J159" s="161">
        <f t="shared" si="1"/>
        <v>0</v>
      </c>
      <c r="K159" s="161">
        <f t="shared" si="2"/>
        <v>0</v>
      </c>
      <c r="L159" s="161" t="str">
        <f t="shared" si="3"/>
        <v>-x-</v>
      </c>
      <c r="M159" s="162">
        <f>SUMIF($E$2:E159,E159,$F$2:F159)</f>
        <v>0</v>
      </c>
      <c r="N159" s="163" t="str">
        <f>IFERROR(IF(A159=CONCATENATE("1","-",E159),L159,
IF(O159="Venda",VLOOKUP(CONCATENATE((COUNTIF($E$2:E159,E159)-1),"-",E159),$A$2:$N$313,14,FALSE),(VLOOKUP(CONCATENATE((COUNTIF($E$2:E159,E159)-1),"-",E159),$A$2:$N$313,14,FALSE)*VLOOKUP(CONCATENATE((COUNTIF($E$2:E159,E159)-1),"-",E159),$A$2:$N$313,13,FALSE)+K159)/M159)),"-x-")</f>
        <v>-x-</v>
      </c>
      <c r="O159" s="164" t="str">
        <f t="shared" si="9"/>
        <v>-</v>
      </c>
      <c r="P159" s="126"/>
      <c r="Q159" s="128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customHeight="1">
      <c r="A160" s="156" t="str">
        <f t="shared" si="0"/>
        <v/>
      </c>
      <c r="B160" s="165"/>
      <c r="C160" s="159" t="str">
        <f t="shared" si="8"/>
        <v>-</v>
      </c>
      <c r="D160" s="160"/>
      <c r="E160" s="169"/>
      <c r="F160" s="170"/>
      <c r="G160" s="171"/>
      <c r="H160" s="168">
        <v>0</v>
      </c>
      <c r="I160" s="171">
        <v>0</v>
      </c>
      <c r="J160" s="161">
        <f t="shared" si="1"/>
        <v>0</v>
      </c>
      <c r="K160" s="161">
        <f t="shared" si="2"/>
        <v>0</v>
      </c>
      <c r="L160" s="161" t="str">
        <f t="shared" si="3"/>
        <v>-x-</v>
      </c>
      <c r="M160" s="162">
        <f>SUMIF($E$2:E160,E160,$F$2:F160)</f>
        <v>0</v>
      </c>
      <c r="N160" s="163" t="str">
        <f>IFERROR(IF(A160=CONCATENATE("1","-",E160),L160,
IF(O160="Venda",VLOOKUP(CONCATENATE((COUNTIF($E$2:E160,E160)-1),"-",E160),$A$2:$N$313,14,FALSE),(VLOOKUP(CONCATENATE((COUNTIF($E$2:E160,E160)-1),"-",E160),$A$2:$N$313,14,FALSE)*VLOOKUP(CONCATENATE((COUNTIF($E$2:E160,E160)-1),"-",E160),$A$2:$N$313,13,FALSE)+K160)/M160)),"-x-")</f>
        <v>-x-</v>
      </c>
      <c r="O160" s="164" t="str">
        <f t="shared" si="9"/>
        <v>-</v>
      </c>
      <c r="P160" s="126"/>
      <c r="Q160" s="128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customHeight="1">
      <c r="A161" s="156" t="str">
        <f t="shared" si="0"/>
        <v/>
      </c>
      <c r="B161" s="165"/>
      <c r="C161" s="159" t="str">
        <f t="shared" si="8"/>
        <v>-</v>
      </c>
      <c r="D161" s="160"/>
      <c r="E161" s="169"/>
      <c r="F161" s="170"/>
      <c r="G161" s="171"/>
      <c r="H161" s="168">
        <v>0</v>
      </c>
      <c r="I161" s="171">
        <v>0</v>
      </c>
      <c r="J161" s="161">
        <f t="shared" si="1"/>
        <v>0</v>
      </c>
      <c r="K161" s="161">
        <f t="shared" si="2"/>
        <v>0</v>
      </c>
      <c r="L161" s="161" t="str">
        <f t="shared" si="3"/>
        <v>-x-</v>
      </c>
      <c r="M161" s="162">
        <f>SUMIF($E$2:E161,E161,$F$2:F161)</f>
        <v>0</v>
      </c>
      <c r="N161" s="163" t="str">
        <f>IFERROR(IF(A161=CONCATENATE("1","-",E161),L161,
IF(O161="Venda",VLOOKUP(CONCATENATE((COUNTIF($E$2:E161,E161)-1),"-",E161),$A$2:$N$313,14,FALSE),(VLOOKUP(CONCATENATE((COUNTIF($E$2:E161,E161)-1),"-",E161),$A$2:$N$313,14,FALSE)*VLOOKUP(CONCATENATE((COUNTIF($E$2:E161,E161)-1),"-",E161),$A$2:$N$313,13,FALSE)+K161)/M161)),"-x-")</f>
        <v>-x-</v>
      </c>
      <c r="O161" s="164" t="str">
        <f t="shared" si="9"/>
        <v>-</v>
      </c>
      <c r="P161" s="126"/>
      <c r="Q161" s="128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customHeight="1">
      <c r="A162" s="156" t="str">
        <f t="shared" si="0"/>
        <v/>
      </c>
      <c r="B162" s="165"/>
      <c r="C162" s="159" t="str">
        <f t="shared" si="8"/>
        <v>-</v>
      </c>
      <c r="D162" s="160"/>
      <c r="E162" s="169"/>
      <c r="F162" s="170"/>
      <c r="G162" s="171"/>
      <c r="H162" s="168">
        <v>0</v>
      </c>
      <c r="I162" s="171">
        <v>0</v>
      </c>
      <c r="J162" s="161">
        <f t="shared" si="1"/>
        <v>0</v>
      </c>
      <c r="K162" s="161">
        <f t="shared" si="2"/>
        <v>0</v>
      </c>
      <c r="L162" s="161" t="str">
        <f t="shared" si="3"/>
        <v>-x-</v>
      </c>
      <c r="M162" s="162">
        <f>SUMIF($E$2:E162,E162,$F$2:F162)</f>
        <v>0</v>
      </c>
      <c r="N162" s="163" t="str">
        <f>IFERROR(IF(A162=CONCATENATE("1","-",E162),L162,
IF(O162="Venda",VLOOKUP(CONCATENATE((COUNTIF($E$2:E162,E162)-1),"-",E162),$A$2:$N$313,14,FALSE),(VLOOKUP(CONCATENATE((COUNTIF($E$2:E162,E162)-1),"-",E162),$A$2:$N$313,14,FALSE)*VLOOKUP(CONCATENATE((COUNTIF($E$2:E162,E162)-1),"-",E162),$A$2:$N$313,13,FALSE)+K162)/M162)),"-x-")</f>
        <v>-x-</v>
      </c>
      <c r="O162" s="164" t="str">
        <f t="shared" si="9"/>
        <v>-</v>
      </c>
      <c r="P162" s="126"/>
      <c r="Q162" s="128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customHeight="1">
      <c r="A163" s="156" t="str">
        <f t="shared" si="0"/>
        <v/>
      </c>
      <c r="B163" s="165"/>
      <c r="C163" s="159" t="str">
        <f t="shared" si="8"/>
        <v>-</v>
      </c>
      <c r="D163" s="160"/>
      <c r="E163" s="169"/>
      <c r="F163" s="170"/>
      <c r="G163" s="171"/>
      <c r="H163" s="168">
        <v>0</v>
      </c>
      <c r="I163" s="171">
        <v>0</v>
      </c>
      <c r="J163" s="161">
        <f t="shared" si="1"/>
        <v>0</v>
      </c>
      <c r="K163" s="161">
        <f t="shared" si="2"/>
        <v>0</v>
      </c>
      <c r="L163" s="161" t="str">
        <f t="shared" si="3"/>
        <v>-x-</v>
      </c>
      <c r="M163" s="162">
        <f>SUMIF($E$2:E163,E163,$F$2:F163)</f>
        <v>0</v>
      </c>
      <c r="N163" s="163" t="str">
        <f>IFERROR(IF(A163=CONCATENATE("1","-",E163),L163,
IF(O163="Venda",VLOOKUP(CONCATENATE((COUNTIF($E$2:E163,E163)-1),"-",E163),$A$2:$N$313,14,FALSE),(VLOOKUP(CONCATENATE((COUNTIF($E$2:E163,E163)-1),"-",E163),$A$2:$N$313,14,FALSE)*VLOOKUP(CONCATENATE((COUNTIF($E$2:E163,E163)-1),"-",E163),$A$2:$N$313,13,FALSE)+K163)/M163)),"-x-")</f>
        <v>-x-</v>
      </c>
      <c r="O163" s="164" t="str">
        <f t="shared" si="9"/>
        <v>-</v>
      </c>
      <c r="P163" s="126"/>
      <c r="Q163" s="128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customHeight="1">
      <c r="A164" s="156" t="str">
        <f t="shared" si="0"/>
        <v/>
      </c>
      <c r="B164" s="165"/>
      <c r="C164" s="159" t="str">
        <f t="shared" si="8"/>
        <v>-</v>
      </c>
      <c r="D164" s="160"/>
      <c r="E164" s="169"/>
      <c r="F164" s="170"/>
      <c r="G164" s="171"/>
      <c r="H164" s="168">
        <v>0</v>
      </c>
      <c r="I164" s="171">
        <v>0</v>
      </c>
      <c r="J164" s="161">
        <f t="shared" si="1"/>
        <v>0</v>
      </c>
      <c r="K164" s="161">
        <f t="shared" si="2"/>
        <v>0</v>
      </c>
      <c r="L164" s="161" t="str">
        <f t="shared" si="3"/>
        <v>-x-</v>
      </c>
      <c r="M164" s="162">
        <f>SUMIF($E$2:E164,E164,$F$2:F164)</f>
        <v>0</v>
      </c>
      <c r="N164" s="163" t="str">
        <f>IFERROR(IF(A164=CONCATENATE("1","-",E164),L164,
IF(O164="Venda",VLOOKUP(CONCATENATE((COUNTIF($E$2:E164,E164)-1),"-",E164),$A$2:$N$313,14,FALSE),(VLOOKUP(CONCATENATE((COUNTIF($E$2:E164,E164)-1),"-",E164),$A$2:$N$313,14,FALSE)*VLOOKUP(CONCATENATE((COUNTIF($E$2:E164,E164)-1),"-",E164),$A$2:$N$313,13,FALSE)+K164)/M164)),"-x-")</f>
        <v>-x-</v>
      </c>
      <c r="O164" s="164" t="str">
        <f t="shared" si="9"/>
        <v>-</v>
      </c>
      <c r="P164" s="126"/>
      <c r="Q164" s="128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>
      <c r="A165" s="156" t="str">
        <f t="shared" si="0"/>
        <v/>
      </c>
      <c r="B165" s="165"/>
      <c r="C165" s="159" t="str">
        <f t="shared" si="8"/>
        <v>-</v>
      </c>
      <c r="D165" s="160"/>
      <c r="E165" s="169"/>
      <c r="F165" s="170"/>
      <c r="G165" s="171"/>
      <c r="H165" s="168">
        <v>0</v>
      </c>
      <c r="I165" s="171">
        <v>0</v>
      </c>
      <c r="J165" s="161">
        <f t="shared" si="1"/>
        <v>0</v>
      </c>
      <c r="K165" s="161">
        <f t="shared" si="2"/>
        <v>0</v>
      </c>
      <c r="L165" s="161" t="str">
        <f t="shared" si="3"/>
        <v>-x-</v>
      </c>
      <c r="M165" s="162">
        <f>SUMIF($E$2:E165,E165,$F$2:F165)</f>
        <v>0</v>
      </c>
      <c r="N165" s="163" t="str">
        <f>IFERROR(IF(A165=CONCATENATE("1","-",E165),L165,
IF(O165="Venda",VLOOKUP(CONCATENATE((COUNTIF($E$2:E165,E165)-1),"-",E165),$A$2:$N$313,14,FALSE),(VLOOKUP(CONCATENATE((COUNTIF($E$2:E165,E165)-1),"-",E165),$A$2:$N$313,14,FALSE)*VLOOKUP(CONCATENATE((COUNTIF($E$2:E165,E165)-1),"-",E165),$A$2:$N$313,13,FALSE)+K165)/M165)),"-x-")</f>
        <v>-x-</v>
      </c>
      <c r="O165" s="164" t="str">
        <f t="shared" si="9"/>
        <v>-</v>
      </c>
      <c r="P165" s="126"/>
      <c r="Q165" s="128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customHeight="1">
      <c r="A166" s="156" t="str">
        <f t="shared" si="0"/>
        <v/>
      </c>
      <c r="B166" s="165"/>
      <c r="C166" s="159" t="str">
        <f t="shared" si="8"/>
        <v>-</v>
      </c>
      <c r="D166" s="160"/>
      <c r="E166" s="169"/>
      <c r="F166" s="170"/>
      <c r="G166" s="171"/>
      <c r="H166" s="168">
        <v>0</v>
      </c>
      <c r="I166" s="171">
        <v>0</v>
      </c>
      <c r="J166" s="161">
        <f t="shared" si="1"/>
        <v>0</v>
      </c>
      <c r="K166" s="161">
        <f t="shared" si="2"/>
        <v>0</v>
      </c>
      <c r="L166" s="161" t="str">
        <f t="shared" si="3"/>
        <v>-x-</v>
      </c>
      <c r="M166" s="162">
        <f>SUMIF($E$2:E166,E166,$F$2:F166)</f>
        <v>0</v>
      </c>
      <c r="N166" s="163" t="str">
        <f>IFERROR(IF(A166=CONCATENATE("1","-",E166),L166,
IF(O166="Venda",VLOOKUP(CONCATENATE((COUNTIF($E$2:E166,E166)-1),"-",E166),$A$2:$N$313,14,FALSE),(VLOOKUP(CONCATENATE((COUNTIF($E$2:E166,E166)-1),"-",E166),$A$2:$N$313,14,FALSE)*VLOOKUP(CONCATENATE((COUNTIF($E$2:E166,E166)-1),"-",E166),$A$2:$N$313,13,FALSE)+K166)/M166)),"-x-")</f>
        <v>-x-</v>
      </c>
      <c r="O166" s="164" t="str">
        <f t="shared" si="9"/>
        <v>-</v>
      </c>
      <c r="P166" s="126"/>
      <c r="Q166" s="128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customHeight="1">
      <c r="A167" s="156" t="str">
        <f t="shared" si="0"/>
        <v/>
      </c>
      <c r="B167" s="165"/>
      <c r="C167" s="159" t="str">
        <f t="shared" si="8"/>
        <v>-</v>
      </c>
      <c r="D167" s="160"/>
      <c r="E167" s="169"/>
      <c r="F167" s="170"/>
      <c r="G167" s="171"/>
      <c r="H167" s="168">
        <v>0</v>
      </c>
      <c r="I167" s="171">
        <v>0</v>
      </c>
      <c r="J167" s="161">
        <f t="shared" si="1"/>
        <v>0</v>
      </c>
      <c r="K167" s="161">
        <f t="shared" si="2"/>
        <v>0</v>
      </c>
      <c r="L167" s="161" t="str">
        <f t="shared" si="3"/>
        <v>-x-</v>
      </c>
      <c r="M167" s="162">
        <f>SUMIF($E$2:E167,E167,$F$2:F167)</f>
        <v>0</v>
      </c>
      <c r="N167" s="163" t="str">
        <f>IFERROR(IF(A167=CONCATENATE("1","-",E167),L167,
IF(O167="Venda",VLOOKUP(CONCATENATE((COUNTIF($E$2:E167,E167)-1),"-",E167),$A$2:$N$313,14,FALSE),(VLOOKUP(CONCATENATE((COUNTIF($E$2:E167,E167)-1),"-",E167),$A$2:$N$313,14,FALSE)*VLOOKUP(CONCATENATE((COUNTIF($E$2:E167,E167)-1),"-",E167),$A$2:$N$313,13,FALSE)+K167)/M167)),"-x-")</f>
        <v>-x-</v>
      </c>
      <c r="O167" s="164" t="str">
        <f t="shared" si="9"/>
        <v>-</v>
      </c>
      <c r="P167" s="126"/>
      <c r="Q167" s="128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customHeight="1">
      <c r="A168" s="156" t="str">
        <f t="shared" si="0"/>
        <v/>
      </c>
      <c r="B168" s="165"/>
      <c r="C168" s="159" t="str">
        <f t="shared" si="8"/>
        <v>-</v>
      </c>
      <c r="D168" s="160"/>
      <c r="E168" s="169"/>
      <c r="F168" s="170"/>
      <c r="G168" s="171"/>
      <c r="H168" s="168">
        <v>0</v>
      </c>
      <c r="I168" s="171">
        <v>0</v>
      </c>
      <c r="J168" s="161">
        <f t="shared" si="1"/>
        <v>0</v>
      </c>
      <c r="K168" s="161">
        <f t="shared" si="2"/>
        <v>0</v>
      </c>
      <c r="L168" s="161" t="str">
        <f t="shared" si="3"/>
        <v>-x-</v>
      </c>
      <c r="M168" s="162">
        <f>SUMIF($E$2:E168,E168,$F$2:F168)</f>
        <v>0</v>
      </c>
      <c r="N168" s="163" t="str">
        <f>IFERROR(IF(A168=CONCATENATE("1","-",E168),L168,
IF(O168="Venda",VLOOKUP(CONCATENATE((COUNTIF($E$2:E168,E168)-1),"-",E168),$A$2:$N$313,14,FALSE),(VLOOKUP(CONCATENATE((COUNTIF($E$2:E168,E168)-1),"-",E168),$A$2:$N$313,14,FALSE)*VLOOKUP(CONCATENATE((COUNTIF($E$2:E168,E168)-1),"-",E168),$A$2:$N$313,13,FALSE)+K168)/M168)),"-x-")</f>
        <v>-x-</v>
      </c>
      <c r="O168" s="164" t="str">
        <f t="shared" si="9"/>
        <v>-</v>
      </c>
      <c r="P168" s="126"/>
      <c r="Q168" s="128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customHeight="1">
      <c r="A169" s="156" t="str">
        <f t="shared" si="0"/>
        <v/>
      </c>
      <c r="B169" s="165"/>
      <c r="C169" s="159" t="str">
        <f t="shared" si="8"/>
        <v>-</v>
      </c>
      <c r="D169" s="160"/>
      <c r="E169" s="169"/>
      <c r="F169" s="170"/>
      <c r="G169" s="171"/>
      <c r="H169" s="168">
        <v>0</v>
      </c>
      <c r="I169" s="171">
        <v>0</v>
      </c>
      <c r="J169" s="161">
        <f t="shared" si="1"/>
        <v>0</v>
      </c>
      <c r="K169" s="161">
        <f t="shared" si="2"/>
        <v>0</v>
      </c>
      <c r="L169" s="161" t="str">
        <f t="shared" si="3"/>
        <v>-x-</v>
      </c>
      <c r="M169" s="162">
        <f>SUMIF($E$2:E169,E169,$F$2:F169)</f>
        <v>0</v>
      </c>
      <c r="N169" s="163" t="str">
        <f>IFERROR(IF(A169=CONCATENATE("1","-",E169),L169,
IF(O169="Venda",VLOOKUP(CONCATENATE((COUNTIF($E$2:E169,E169)-1),"-",E169),$A$2:$N$313,14,FALSE),(VLOOKUP(CONCATENATE((COUNTIF($E$2:E169,E169)-1),"-",E169),$A$2:$N$313,14,FALSE)*VLOOKUP(CONCATENATE((COUNTIF($E$2:E169,E169)-1),"-",E169),$A$2:$N$313,13,FALSE)+K169)/M169)),"-x-")</f>
        <v>-x-</v>
      </c>
      <c r="O169" s="164" t="str">
        <f t="shared" si="9"/>
        <v>-</v>
      </c>
      <c r="P169" s="126"/>
      <c r="Q169" s="128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customHeight="1">
      <c r="A170" s="156" t="str">
        <f t="shared" si="0"/>
        <v/>
      </c>
      <c r="B170" s="165"/>
      <c r="C170" s="159" t="str">
        <f t="shared" si="8"/>
        <v>-</v>
      </c>
      <c r="D170" s="160"/>
      <c r="E170" s="169"/>
      <c r="F170" s="170"/>
      <c r="G170" s="171"/>
      <c r="H170" s="168">
        <v>0</v>
      </c>
      <c r="I170" s="171">
        <v>0</v>
      </c>
      <c r="J170" s="161">
        <f t="shared" si="1"/>
        <v>0</v>
      </c>
      <c r="K170" s="161">
        <f t="shared" si="2"/>
        <v>0</v>
      </c>
      <c r="L170" s="161" t="str">
        <f t="shared" si="3"/>
        <v>-x-</v>
      </c>
      <c r="M170" s="162">
        <f>SUMIF($E$2:E170,E170,$F$2:F170)</f>
        <v>0</v>
      </c>
      <c r="N170" s="163" t="str">
        <f>IFERROR(IF(A170=CONCATENATE("1","-",E170),L170,
IF(O170="Venda",VLOOKUP(CONCATENATE((COUNTIF($E$2:E170,E170)-1),"-",E170),$A$2:$N$313,14,FALSE),(VLOOKUP(CONCATENATE((COUNTIF($E$2:E170,E170)-1),"-",E170),$A$2:$N$313,14,FALSE)*VLOOKUP(CONCATENATE((COUNTIF($E$2:E170,E170)-1),"-",E170),$A$2:$N$313,13,FALSE)+K170)/M170)),"-x-")</f>
        <v>-x-</v>
      </c>
      <c r="O170" s="164" t="str">
        <f t="shared" si="9"/>
        <v>-</v>
      </c>
      <c r="P170" s="126"/>
      <c r="Q170" s="128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customHeight="1">
      <c r="A171" s="156" t="str">
        <f t="shared" si="0"/>
        <v/>
      </c>
      <c r="B171" s="165"/>
      <c r="C171" s="159" t="str">
        <f t="shared" si="8"/>
        <v>-</v>
      </c>
      <c r="D171" s="160"/>
      <c r="E171" s="169"/>
      <c r="F171" s="170"/>
      <c r="G171" s="171"/>
      <c r="H171" s="168">
        <v>0</v>
      </c>
      <c r="I171" s="171">
        <v>0</v>
      </c>
      <c r="J171" s="161">
        <f t="shared" si="1"/>
        <v>0</v>
      </c>
      <c r="K171" s="161">
        <f t="shared" si="2"/>
        <v>0</v>
      </c>
      <c r="L171" s="161" t="str">
        <f t="shared" si="3"/>
        <v>-x-</v>
      </c>
      <c r="M171" s="162">
        <f>SUMIF($E$2:E171,E171,$F$2:F171)</f>
        <v>0</v>
      </c>
      <c r="N171" s="163" t="str">
        <f>IFERROR(IF(A171=CONCATENATE("1","-",E171),L171,
IF(O171="Venda",VLOOKUP(CONCATENATE((COUNTIF($E$2:E171,E171)-1),"-",E171),$A$2:$N$313,14,FALSE),(VLOOKUP(CONCATENATE((COUNTIF($E$2:E171,E171)-1),"-",E171),$A$2:$N$313,14,FALSE)*VLOOKUP(CONCATENATE((COUNTIF($E$2:E171,E171)-1),"-",E171),$A$2:$N$313,13,FALSE)+K171)/M171)),"-x-")</f>
        <v>-x-</v>
      </c>
      <c r="O171" s="164" t="str">
        <f t="shared" si="9"/>
        <v>-</v>
      </c>
      <c r="P171" s="126"/>
      <c r="Q171" s="128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customHeight="1">
      <c r="A172" s="156" t="str">
        <f t="shared" si="0"/>
        <v/>
      </c>
      <c r="B172" s="165"/>
      <c r="C172" s="159" t="str">
        <f t="shared" si="8"/>
        <v>-</v>
      </c>
      <c r="D172" s="160"/>
      <c r="E172" s="169"/>
      <c r="F172" s="170"/>
      <c r="G172" s="171"/>
      <c r="H172" s="168">
        <v>0</v>
      </c>
      <c r="I172" s="171">
        <v>0</v>
      </c>
      <c r="J172" s="161">
        <f t="shared" si="1"/>
        <v>0</v>
      </c>
      <c r="K172" s="161">
        <f t="shared" si="2"/>
        <v>0</v>
      </c>
      <c r="L172" s="161" t="str">
        <f t="shared" si="3"/>
        <v>-x-</v>
      </c>
      <c r="M172" s="162">
        <f>SUMIF($E$2:E172,E172,$F$2:F172)</f>
        <v>0</v>
      </c>
      <c r="N172" s="163" t="str">
        <f>IFERROR(IF(A172=CONCATENATE("1","-",E172),L172,
IF(O172="Venda",VLOOKUP(CONCATENATE((COUNTIF($E$2:E172,E172)-1),"-",E172),$A$2:$N$313,14,FALSE),(VLOOKUP(CONCATENATE((COUNTIF($E$2:E172,E172)-1),"-",E172),$A$2:$N$313,14,FALSE)*VLOOKUP(CONCATENATE((COUNTIF($E$2:E172,E172)-1),"-",E172),$A$2:$N$313,13,FALSE)+K172)/M172)),"-x-")</f>
        <v>-x-</v>
      </c>
      <c r="O172" s="164" t="str">
        <f t="shared" si="9"/>
        <v>-</v>
      </c>
      <c r="P172" s="126"/>
      <c r="Q172" s="128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customHeight="1">
      <c r="A173" s="156" t="str">
        <f t="shared" si="0"/>
        <v/>
      </c>
      <c r="B173" s="165"/>
      <c r="C173" s="159" t="str">
        <f t="shared" si="8"/>
        <v>-</v>
      </c>
      <c r="D173" s="160"/>
      <c r="E173" s="169"/>
      <c r="F173" s="170"/>
      <c r="G173" s="171"/>
      <c r="H173" s="168">
        <v>0</v>
      </c>
      <c r="I173" s="171">
        <v>0</v>
      </c>
      <c r="J173" s="161">
        <f t="shared" si="1"/>
        <v>0</v>
      </c>
      <c r="K173" s="161">
        <f t="shared" si="2"/>
        <v>0</v>
      </c>
      <c r="L173" s="161" t="str">
        <f t="shared" si="3"/>
        <v>-x-</v>
      </c>
      <c r="M173" s="162">
        <f>SUMIF($E$2:E173,E173,$F$2:F173)</f>
        <v>0</v>
      </c>
      <c r="N173" s="163" t="str">
        <f>IFERROR(IF(A173=CONCATENATE("1","-",E173),L173,
IF(O173="Venda",VLOOKUP(CONCATENATE((COUNTIF($E$2:E173,E173)-1),"-",E173),$A$2:$N$313,14,FALSE),(VLOOKUP(CONCATENATE((COUNTIF($E$2:E173,E173)-1),"-",E173),$A$2:$N$313,14,FALSE)*VLOOKUP(CONCATENATE((COUNTIF($E$2:E173,E173)-1),"-",E173),$A$2:$N$313,13,FALSE)+K173)/M173)),"-x-")</f>
        <v>-x-</v>
      </c>
      <c r="O173" s="164" t="str">
        <f t="shared" si="9"/>
        <v>-</v>
      </c>
      <c r="P173" s="126"/>
      <c r="Q173" s="128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customHeight="1">
      <c r="A174" s="156" t="str">
        <f t="shared" si="0"/>
        <v/>
      </c>
      <c r="B174" s="165"/>
      <c r="C174" s="159" t="str">
        <f t="shared" si="8"/>
        <v>-</v>
      </c>
      <c r="D174" s="160"/>
      <c r="E174" s="169"/>
      <c r="F174" s="170"/>
      <c r="G174" s="171"/>
      <c r="H174" s="168">
        <v>0</v>
      </c>
      <c r="I174" s="171">
        <v>0</v>
      </c>
      <c r="J174" s="161">
        <f t="shared" si="1"/>
        <v>0</v>
      </c>
      <c r="K174" s="161">
        <f t="shared" si="2"/>
        <v>0</v>
      </c>
      <c r="L174" s="161" t="str">
        <f t="shared" si="3"/>
        <v>-x-</v>
      </c>
      <c r="M174" s="162">
        <f>SUMIF($E$2:E174,E174,$F$2:F174)</f>
        <v>0</v>
      </c>
      <c r="N174" s="163" t="str">
        <f>IFERROR(IF(A174=CONCATENATE("1","-",E174),L174,
IF(O174="Venda",VLOOKUP(CONCATENATE((COUNTIF($E$2:E174,E174)-1),"-",E174),$A$2:$N$313,14,FALSE),(VLOOKUP(CONCATENATE((COUNTIF($E$2:E174,E174)-1),"-",E174),$A$2:$N$313,14,FALSE)*VLOOKUP(CONCATENATE((COUNTIF($E$2:E174,E174)-1),"-",E174),$A$2:$N$313,13,FALSE)+K174)/M174)),"-x-")</f>
        <v>-x-</v>
      </c>
      <c r="O174" s="164" t="str">
        <f t="shared" si="9"/>
        <v>-</v>
      </c>
      <c r="P174" s="126"/>
      <c r="Q174" s="128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customHeight="1">
      <c r="A175" s="156" t="str">
        <f t="shared" si="0"/>
        <v/>
      </c>
      <c r="B175" s="165"/>
      <c r="C175" s="159" t="str">
        <f t="shared" si="8"/>
        <v>-</v>
      </c>
      <c r="D175" s="160"/>
      <c r="E175" s="169"/>
      <c r="F175" s="170"/>
      <c r="G175" s="171"/>
      <c r="H175" s="168">
        <v>0</v>
      </c>
      <c r="I175" s="171">
        <v>0</v>
      </c>
      <c r="J175" s="161">
        <f t="shared" si="1"/>
        <v>0</v>
      </c>
      <c r="K175" s="161">
        <f t="shared" si="2"/>
        <v>0</v>
      </c>
      <c r="L175" s="161" t="str">
        <f t="shared" si="3"/>
        <v>-x-</v>
      </c>
      <c r="M175" s="162">
        <f>SUMIF($E$2:E175,E175,$F$2:F175)</f>
        <v>0</v>
      </c>
      <c r="N175" s="163" t="str">
        <f>IFERROR(IF(A175=CONCATENATE("1","-",E175),L175,
IF(O175="Venda",VLOOKUP(CONCATENATE((COUNTIF($E$2:E175,E175)-1),"-",E175),$A$2:$N$313,14,FALSE),(VLOOKUP(CONCATENATE((COUNTIF($E$2:E175,E175)-1),"-",E175),$A$2:$N$313,14,FALSE)*VLOOKUP(CONCATENATE((COUNTIF($E$2:E175,E175)-1),"-",E175),$A$2:$N$313,13,FALSE)+K175)/M175)),"-x-")</f>
        <v>-x-</v>
      </c>
      <c r="O175" s="164" t="str">
        <f t="shared" si="9"/>
        <v>-</v>
      </c>
      <c r="P175" s="126"/>
      <c r="Q175" s="128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customHeight="1">
      <c r="A176" s="156" t="str">
        <f t="shared" si="0"/>
        <v/>
      </c>
      <c r="B176" s="165"/>
      <c r="C176" s="159" t="str">
        <f t="shared" si="8"/>
        <v>-</v>
      </c>
      <c r="D176" s="160"/>
      <c r="E176" s="169"/>
      <c r="F176" s="170"/>
      <c r="G176" s="171"/>
      <c r="H176" s="168">
        <v>0</v>
      </c>
      <c r="I176" s="171">
        <v>0</v>
      </c>
      <c r="J176" s="161">
        <f t="shared" si="1"/>
        <v>0</v>
      </c>
      <c r="K176" s="161">
        <f t="shared" si="2"/>
        <v>0</v>
      </c>
      <c r="L176" s="161" t="str">
        <f t="shared" si="3"/>
        <v>-x-</v>
      </c>
      <c r="M176" s="162">
        <f>SUMIF($E$2:E176,E176,$F$2:F176)</f>
        <v>0</v>
      </c>
      <c r="N176" s="163" t="str">
        <f>IFERROR(IF(A176=CONCATENATE("1","-",E176),L176,
IF(O176="Venda",VLOOKUP(CONCATENATE((COUNTIF($E$2:E176,E176)-1),"-",E176),$A$2:$N$313,14,FALSE),(VLOOKUP(CONCATENATE((COUNTIF($E$2:E176,E176)-1),"-",E176),$A$2:$N$313,14,FALSE)*VLOOKUP(CONCATENATE((COUNTIF($E$2:E176,E176)-1),"-",E176),$A$2:$N$313,13,FALSE)+K176)/M176)),"-x-")</f>
        <v>-x-</v>
      </c>
      <c r="O176" s="164" t="str">
        <f t="shared" si="9"/>
        <v>-</v>
      </c>
      <c r="P176" s="126"/>
      <c r="Q176" s="128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customHeight="1">
      <c r="A177" s="156" t="str">
        <f t="shared" si="0"/>
        <v/>
      </c>
      <c r="B177" s="165"/>
      <c r="C177" s="159" t="str">
        <f t="shared" si="8"/>
        <v>-</v>
      </c>
      <c r="D177" s="160"/>
      <c r="E177" s="169"/>
      <c r="F177" s="170"/>
      <c r="G177" s="171"/>
      <c r="H177" s="168">
        <v>0</v>
      </c>
      <c r="I177" s="171">
        <v>0</v>
      </c>
      <c r="J177" s="161">
        <f t="shared" si="1"/>
        <v>0</v>
      </c>
      <c r="K177" s="161">
        <f t="shared" si="2"/>
        <v>0</v>
      </c>
      <c r="L177" s="161" t="str">
        <f t="shared" si="3"/>
        <v>-x-</v>
      </c>
      <c r="M177" s="162">
        <f>SUMIF($E$2:E177,E177,$F$2:F177)</f>
        <v>0</v>
      </c>
      <c r="N177" s="163" t="str">
        <f>IFERROR(IF(A177=CONCATENATE("1","-",E177),L177,
IF(O177="Venda",VLOOKUP(CONCATENATE((COUNTIF($E$2:E177,E177)-1),"-",E177),$A$2:$N$313,14,FALSE),(VLOOKUP(CONCATENATE((COUNTIF($E$2:E177,E177)-1),"-",E177),$A$2:$N$313,14,FALSE)*VLOOKUP(CONCATENATE((COUNTIF($E$2:E177,E177)-1),"-",E177),$A$2:$N$313,13,FALSE)+K177)/M177)),"-x-")</f>
        <v>-x-</v>
      </c>
      <c r="O177" s="164" t="str">
        <f t="shared" si="9"/>
        <v>-</v>
      </c>
      <c r="P177" s="126"/>
      <c r="Q177" s="128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customHeight="1">
      <c r="A178" s="156" t="str">
        <f t="shared" si="0"/>
        <v/>
      </c>
      <c r="B178" s="165"/>
      <c r="C178" s="159" t="str">
        <f t="shared" si="8"/>
        <v>-</v>
      </c>
      <c r="D178" s="160"/>
      <c r="E178" s="169"/>
      <c r="F178" s="170"/>
      <c r="G178" s="171"/>
      <c r="H178" s="168">
        <v>0</v>
      </c>
      <c r="I178" s="171">
        <v>0</v>
      </c>
      <c r="J178" s="161">
        <f t="shared" si="1"/>
        <v>0</v>
      </c>
      <c r="K178" s="161">
        <f t="shared" si="2"/>
        <v>0</v>
      </c>
      <c r="L178" s="161" t="str">
        <f t="shared" si="3"/>
        <v>-x-</v>
      </c>
      <c r="M178" s="162">
        <f>SUMIF($E$2:E178,E178,$F$2:F178)</f>
        <v>0</v>
      </c>
      <c r="N178" s="163" t="str">
        <f>IFERROR(IF(A178=CONCATENATE("1","-",E178),L178,
IF(O178="Venda",VLOOKUP(CONCATENATE((COUNTIF($E$2:E178,E178)-1),"-",E178),$A$2:$N$313,14,FALSE),(VLOOKUP(CONCATENATE((COUNTIF($E$2:E178,E178)-1),"-",E178),$A$2:$N$313,14,FALSE)*VLOOKUP(CONCATENATE((COUNTIF($E$2:E178,E178)-1),"-",E178),$A$2:$N$313,13,FALSE)+K178)/M178)),"-x-")</f>
        <v>-x-</v>
      </c>
      <c r="O178" s="164" t="str">
        <f t="shared" si="9"/>
        <v>-</v>
      </c>
      <c r="P178" s="126"/>
      <c r="Q178" s="128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customHeight="1">
      <c r="A179" s="156" t="str">
        <f t="shared" si="0"/>
        <v/>
      </c>
      <c r="B179" s="165"/>
      <c r="C179" s="159" t="str">
        <f t="shared" si="8"/>
        <v>-</v>
      </c>
      <c r="D179" s="160"/>
      <c r="E179" s="169"/>
      <c r="F179" s="170"/>
      <c r="G179" s="171"/>
      <c r="H179" s="168">
        <v>0</v>
      </c>
      <c r="I179" s="171">
        <v>0</v>
      </c>
      <c r="J179" s="161">
        <f t="shared" si="1"/>
        <v>0</v>
      </c>
      <c r="K179" s="161">
        <f t="shared" si="2"/>
        <v>0</v>
      </c>
      <c r="L179" s="161" t="str">
        <f t="shared" si="3"/>
        <v>-x-</v>
      </c>
      <c r="M179" s="162">
        <f>SUMIF($E$2:E179,E179,$F$2:F179)</f>
        <v>0</v>
      </c>
      <c r="N179" s="163" t="str">
        <f>IFERROR(IF(A179=CONCATENATE("1","-",E179),L179,
IF(O179="Venda",VLOOKUP(CONCATENATE((COUNTIF($E$2:E179,E179)-1),"-",E179),$A$2:$N$313,14,FALSE),(VLOOKUP(CONCATENATE((COUNTIF($E$2:E179,E179)-1),"-",E179),$A$2:$N$313,14,FALSE)*VLOOKUP(CONCATENATE((COUNTIF($E$2:E179,E179)-1),"-",E179),$A$2:$N$313,13,FALSE)+K179)/M179)),"-x-")</f>
        <v>-x-</v>
      </c>
      <c r="O179" s="164" t="str">
        <f t="shared" si="9"/>
        <v>-</v>
      </c>
      <c r="P179" s="126"/>
      <c r="Q179" s="128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customHeight="1">
      <c r="A180" s="156" t="str">
        <f t="shared" si="0"/>
        <v/>
      </c>
      <c r="B180" s="165"/>
      <c r="C180" s="159" t="str">
        <f t="shared" si="8"/>
        <v>-</v>
      </c>
      <c r="D180" s="160"/>
      <c r="E180" s="169"/>
      <c r="F180" s="170"/>
      <c r="G180" s="171"/>
      <c r="H180" s="168">
        <v>0</v>
      </c>
      <c r="I180" s="171">
        <v>0</v>
      </c>
      <c r="J180" s="161">
        <f t="shared" si="1"/>
        <v>0</v>
      </c>
      <c r="K180" s="161">
        <f t="shared" si="2"/>
        <v>0</v>
      </c>
      <c r="L180" s="161" t="str">
        <f t="shared" si="3"/>
        <v>-x-</v>
      </c>
      <c r="M180" s="162">
        <f>SUMIF($E$2:E180,E180,$F$2:F180)</f>
        <v>0</v>
      </c>
      <c r="N180" s="163" t="str">
        <f>IFERROR(IF(A180=CONCATENATE("1","-",E180),L180,
IF(O180="Venda",VLOOKUP(CONCATENATE((COUNTIF($E$2:E180,E180)-1),"-",E180),$A$2:$N$313,14,FALSE),(VLOOKUP(CONCATENATE((COUNTIF($E$2:E180,E180)-1),"-",E180),$A$2:$N$313,14,FALSE)*VLOOKUP(CONCATENATE((COUNTIF($E$2:E180,E180)-1),"-",E180),$A$2:$N$313,13,FALSE)+K180)/M180)),"-x-")</f>
        <v>-x-</v>
      </c>
      <c r="O180" s="164" t="str">
        <f t="shared" si="9"/>
        <v>-</v>
      </c>
      <c r="P180" s="126"/>
      <c r="Q180" s="128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customHeight="1">
      <c r="A181" s="156" t="str">
        <f t="shared" si="0"/>
        <v/>
      </c>
      <c r="B181" s="165"/>
      <c r="C181" s="159" t="str">
        <f t="shared" si="8"/>
        <v>-</v>
      </c>
      <c r="D181" s="160"/>
      <c r="E181" s="169"/>
      <c r="F181" s="170"/>
      <c r="G181" s="171"/>
      <c r="H181" s="168">
        <v>0</v>
      </c>
      <c r="I181" s="171">
        <v>0</v>
      </c>
      <c r="J181" s="161">
        <f t="shared" si="1"/>
        <v>0</v>
      </c>
      <c r="K181" s="161">
        <f t="shared" si="2"/>
        <v>0</v>
      </c>
      <c r="L181" s="161" t="str">
        <f t="shared" si="3"/>
        <v>-x-</v>
      </c>
      <c r="M181" s="162">
        <f>SUMIF($E$2:E181,E181,$F$2:F181)</f>
        <v>0</v>
      </c>
      <c r="N181" s="163" t="str">
        <f>IFERROR(IF(A181=CONCATENATE("1","-",E181),L181,
IF(O181="Venda",VLOOKUP(CONCATENATE((COUNTIF($E$2:E181,E181)-1),"-",E181),$A$2:$N$313,14,FALSE),(VLOOKUP(CONCATENATE((COUNTIF($E$2:E181,E181)-1),"-",E181),$A$2:$N$313,14,FALSE)*VLOOKUP(CONCATENATE((COUNTIF($E$2:E181,E181)-1),"-",E181),$A$2:$N$313,13,FALSE)+K181)/M181)),"-x-")</f>
        <v>-x-</v>
      </c>
      <c r="O181" s="164" t="str">
        <f t="shared" si="9"/>
        <v>-</v>
      </c>
      <c r="P181" s="126"/>
      <c r="Q181" s="128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customHeight="1">
      <c r="A182" s="156" t="str">
        <f t="shared" si="0"/>
        <v/>
      </c>
      <c r="B182" s="165"/>
      <c r="C182" s="159" t="str">
        <f t="shared" si="8"/>
        <v>-</v>
      </c>
      <c r="D182" s="160"/>
      <c r="E182" s="169"/>
      <c r="F182" s="170"/>
      <c r="G182" s="171"/>
      <c r="H182" s="168">
        <v>0</v>
      </c>
      <c r="I182" s="171">
        <v>0</v>
      </c>
      <c r="J182" s="161">
        <f t="shared" si="1"/>
        <v>0</v>
      </c>
      <c r="K182" s="161">
        <f t="shared" si="2"/>
        <v>0</v>
      </c>
      <c r="L182" s="161" t="str">
        <f t="shared" si="3"/>
        <v>-x-</v>
      </c>
      <c r="M182" s="162">
        <f>SUMIF($E$2:E182,E182,$F$2:F182)</f>
        <v>0</v>
      </c>
      <c r="N182" s="163" t="str">
        <f>IFERROR(IF(A182=CONCATENATE("1","-",E182),L182,
IF(O182="Venda",VLOOKUP(CONCATENATE((COUNTIF($E$2:E182,E182)-1),"-",E182),$A$2:$N$313,14,FALSE),(VLOOKUP(CONCATENATE((COUNTIF($E$2:E182,E182)-1),"-",E182),$A$2:$N$313,14,FALSE)*VLOOKUP(CONCATENATE((COUNTIF($E$2:E182,E182)-1),"-",E182),$A$2:$N$313,13,FALSE)+K182)/M182)),"-x-")</f>
        <v>-x-</v>
      </c>
      <c r="O182" s="164" t="str">
        <f t="shared" si="9"/>
        <v>-</v>
      </c>
      <c r="P182" s="126"/>
      <c r="Q182" s="128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customHeight="1">
      <c r="A183" s="156" t="str">
        <f t="shared" si="0"/>
        <v/>
      </c>
      <c r="B183" s="165"/>
      <c r="C183" s="159" t="str">
        <f t="shared" si="8"/>
        <v>-</v>
      </c>
      <c r="D183" s="160"/>
      <c r="E183" s="169"/>
      <c r="F183" s="170"/>
      <c r="G183" s="171"/>
      <c r="H183" s="168">
        <v>0</v>
      </c>
      <c r="I183" s="171">
        <v>0</v>
      </c>
      <c r="J183" s="161">
        <f t="shared" si="1"/>
        <v>0</v>
      </c>
      <c r="K183" s="161">
        <f t="shared" si="2"/>
        <v>0</v>
      </c>
      <c r="L183" s="161" t="str">
        <f t="shared" si="3"/>
        <v>-x-</v>
      </c>
      <c r="M183" s="162">
        <f>SUMIF($E$2:E183,E183,$F$2:F183)</f>
        <v>0</v>
      </c>
      <c r="N183" s="163" t="str">
        <f>IFERROR(IF(A183=CONCATENATE("1","-",E183),L183,
IF(O183="Venda",VLOOKUP(CONCATENATE((COUNTIF($E$2:E183,E183)-1),"-",E183),$A$2:$N$313,14,FALSE),(VLOOKUP(CONCATENATE((COUNTIF($E$2:E183,E183)-1),"-",E183),$A$2:$N$313,14,FALSE)*VLOOKUP(CONCATENATE((COUNTIF($E$2:E183,E183)-1),"-",E183),$A$2:$N$313,13,FALSE)+K183)/M183)),"-x-")</f>
        <v>-x-</v>
      </c>
      <c r="O183" s="164" t="str">
        <f t="shared" si="9"/>
        <v>-</v>
      </c>
      <c r="P183" s="126"/>
      <c r="Q183" s="128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customHeight="1">
      <c r="A184" s="156" t="str">
        <f t="shared" si="0"/>
        <v/>
      </c>
      <c r="B184" s="165"/>
      <c r="C184" s="159" t="str">
        <f t="shared" si="8"/>
        <v>-</v>
      </c>
      <c r="D184" s="160"/>
      <c r="E184" s="169"/>
      <c r="F184" s="170"/>
      <c r="G184" s="171"/>
      <c r="H184" s="168">
        <v>0</v>
      </c>
      <c r="I184" s="171">
        <v>0</v>
      </c>
      <c r="J184" s="161">
        <f t="shared" si="1"/>
        <v>0</v>
      </c>
      <c r="K184" s="161">
        <f t="shared" si="2"/>
        <v>0</v>
      </c>
      <c r="L184" s="161" t="str">
        <f t="shared" si="3"/>
        <v>-x-</v>
      </c>
      <c r="M184" s="162">
        <f>SUMIF($E$2:E184,E184,$F$2:F184)</f>
        <v>0</v>
      </c>
      <c r="N184" s="163" t="str">
        <f>IFERROR(IF(A184=CONCATENATE("1","-",E184),L184,
IF(O184="Venda",VLOOKUP(CONCATENATE((COUNTIF($E$2:E184,E184)-1),"-",E184),$A$2:$N$313,14,FALSE),(VLOOKUP(CONCATENATE((COUNTIF($E$2:E184,E184)-1),"-",E184),$A$2:$N$313,14,FALSE)*VLOOKUP(CONCATENATE((COUNTIF($E$2:E184,E184)-1),"-",E184),$A$2:$N$313,13,FALSE)+K184)/M184)),"-x-")</f>
        <v>-x-</v>
      </c>
      <c r="O184" s="164" t="str">
        <f t="shared" si="9"/>
        <v>-</v>
      </c>
      <c r="P184" s="126"/>
      <c r="Q184" s="128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customHeight="1">
      <c r="A185" s="156" t="str">
        <f t="shared" si="0"/>
        <v/>
      </c>
      <c r="B185" s="165"/>
      <c r="C185" s="159" t="str">
        <f t="shared" si="8"/>
        <v>-</v>
      </c>
      <c r="D185" s="160"/>
      <c r="E185" s="169"/>
      <c r="F185" s="170"/>
      <c r="G185" s="171"/>
      <c r="H185" s="168">
        <v>0</v>
      </c>
      <c r="I185" s="171">
        <v>0</v>
      </c>
      <c r="J185" s="161">
        <f t="shared" si="1"/>
        <v>0</v>
      </c>
      <c r="K185" s="161">
        <f t="shared" si="2"/>
        <v>0</v>
      </c>
      <c r="L185" s="161" t="str">
        <f t="shared" si="3"/>
        <v>-x-</v>
      </c>
      <c r="M185" s="162">
        <f>SUMIF($E$2:E185,E185,$F$2:F185)</f>
        <v>0</v>
      </c>
      <c r="N185" s="163" t="str">
        <f>IFERROR(IF(A185=CONCATENATE("1","-",E185),L185,
IF(O185="Venda",VLOOKUP(CONCATENATE((COUNTIF($E$2:E185,E185)-1),"-",E185),$A$2:$N$313,14,FALSE),(VLOOKUP(CONCATENATE((COUNTIF($E$2:E185,E185)-1),"-",E185),$A$2:$N$313,14,FALSE)*VLOOKUP(CONCATENATE((COUNTIF($E$2:E185,E185)-1),"-",E185),$A$2:$N$313,13,FALSE)+K185)/M185)),"-x-")</f>
        <v>-x-</v>
      </c>
      <c r="O185" s="164" t="str">
        <f t="shared" si="9"/>
        <v>-</v>
      </c>
      <c r="P185" s="126"/>
      <c r="Q185" s="128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customHeight="1">
      <c r="A186" s="156" t="str">
        <f t="shared" si="0"/>
        <v/>
      </c>
      <c r="B186" s="165"/>
      <c r="C186" s="159" t="str">
        <f t="shared" si="8"/>
        <v>-</v>
      </c>
      <c r="D186" s="160"/>
      <c r="E186" s="169"/>
      <c r="F186" s="170"/>
      <c r="G186" s="171"/>
      <c r="H186" s="168">
        <v>0</v>
      </c>
      <c r="I186" s="171">
        <v>0</v>
      </c>
      <c r="J186" s="161">
        <f t="shared" si="1"/>
        <v>0</v>
      </c>
      <c r="K186" s="161">
        <f t="shared" si="2"/>
        <v>0</v>
      </c>
      <c r="L186" s="161" t="str">
        <f t="shared" si="3"/>
        <v>-x-</v>
      </c>
      <c r="M186" s="162">
        <f>SUMIF($E$2:E186,E186,$F$2:F186)</f>
        <v>0</v>
      </c>
      <c r="N186" s="163" t="str">
        <f>IFERROR(IF(A186=CONCATENATE("1","-",E186),L186,
IF(O186="Venda",VLOOKUP(CONCATENATE((COUNTIF($E$2:E186,E186)-1),"-",E186),$A$2:$N$313,14,FALSE),(VLOOKUP(CONCATENATE((COUNTIF($E$2:E186,E186)-1),"-",E186),$A$2:$N$313,14,FALSE)*VLOOKUP(CONCATENATE((COUNTIF($E$2:E186,E186)-1),"-",E186),$A$2:$N$313,13,FALSE)+K186)/M186)),"-x-")</f>
        <v>-x-</v>
      </c>
      <c r="O186" s="164" t="str">
        <f t="shared" si="9"/>
        <v>-</v>
      </c>
      <c r="P186" s="126"/>
      <c r="Q186" s="128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customHeight="1">
      <c r="A187" s="156" t="str">
        <f t="shared" si="0"/>
        <v/>
      </c>
      <c r="B187" s="165"/>
      <c r="C187" s="159" t="str">
        <f t="shared" si="8"/>
        <v>-</v>
      </c>
      <c r="D187" s="160"/>
      <c r="E187" s="169"/>
      <c r="F187" s="170"/>
      <c r="G187" s="171"/>
      <c r="H187" s="168">
        <v>0</v>
      </c>
      <c r="I187" s="171">
        <v>0</v>
      </c>
      <c r="J187" s="161">
        <f t="shared" si="1"/>
        <v>0</v>
      </c>
      <c r="K187" s="161">
        <f t="shared" si="2"/>
        <v>0</v>
      </c>
      <c r="L187" s="161" t="str">
        <f t="shared" si="3"/>
        <v>-x-</v>
      </c>
      <c r="M187" s="162">
        <f>SUMIF($E$2:E187,E187,$F$2:F187)</f>
        <v>0</v>
      </c>
      <c r="N187" s="163" t="str">
        <f>IFERROR(IF(A187=CONCATENATE("1","-",E187),L187,
IF(O187="Venda",VLOOKUP(CONCATENATE((COUNTIF($E$2:E187,E187)-1),"-",E187),$A$2:$N$313,14,FALSE),(VLOOKUP(CONCATENATE((COUNTIF($E$2:E187,E187)-1),"-",E187),$A$2:$N$313,14,FALSE)*VLOOKUP(CONCATENATE((COUNTIF($E$2:E187,E187)-1),"-",E187),$A$2:$N$313,13,FALSE)+K187)/M187)),"-x-")</f>
        <v>-x-</v>
      </c>
      <c r="O187" s="164" t="str">
        <f t="shared" si="9"/>
        <v>-</v>
      </c>
      <c r="P187" s="126"/>
      <c r="Q187" s="128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customHeight="1">
      <c r="A188" s="156" t="str">
        <f t="shared" si="0"/>
        <v/>
      </c>
      <c r="B188" s="165"/>
      <c r="C188" s="159" t="str">
        <f t="shared" si="8"/>
        <v>-</v>
      </c>
      <c r="D188" s="160"/>
      <c r="E188" s="169"/>
      <c r="F188" s="170"/>
      <c r="G188" s="171"/>
      <c r="H188" s="168">
        <v>0</v>
      </c>
      <c r="I188" s="171">
        <v>0</v>
      </c>
      <c r="J188" s="161">
        <f t="shared" si="1"/>
        <v>0</v>
      </c>
      <c r="K188" s="161">
        <f t="shared" si="2"/>
        <v>0</v>
      </c>
      <c r="L188" s="161" t="str">
        <f t="shared" si="3"/>
        <v>-x-</v>
      </c>
      <c r="M188" s="162">
        <f>SUMIF($E$2:E188,E188,$F$2:F188)</f>
        <v>0</v>
      </c>
      <c r="N188" s="163" t="str">
        <f>IFERROR(IF(A188=CONCATENATE("1","-",E188),L188,
IF(O188="Venda",VLOOKUP(CONCATENATE((COUNTIF($E$2:E188,E188)-1),"-",E188),$A$2:$N$313,14,FALSE),(VLOOKUP(CONCATENATE((COUNTIF($E$2:E188,E188)-1),"-",E188),$A$2:$N$313,14,FALSE)*VLOOKUP(CONCATENATE((COUNTIF($E$2:E188,E188)-1),"-",E188),$A$2:$N$313,13,FALSE)+K188)/M188)),"-x-")</f>
        <v>-x-</v>
      </c>
      <c r="O188" s="164" t="str">
        <f t="shared" si="9"/>
        <v>-</v>
      </c>
      <c r="P188" s="126"/>
      <c r="Q188" s="128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customHeight="1">
      <c r="A189" s="156" t="str">
        <f t="shared" si="0"/>
        <v/>
      </c>
      <c r="B189" s="165"/>
      <c r="C189" s="159" t="str">
        <f t="shared" si="8"/>
        <v>-</v>
      </c>
      <c r="D189" s="160"/>
      <c r="E189" s="169"/>
      <c r="F189" s="170"/>
      <c r="G189" s="171"/>
      <c r="H189" s="168">
        <v>0</v>
      </c>
      <c r="I189" s="171">
        <v>0</v>
      </c>
      <c r="J189" s="161">
        <f t="shared" si="1"/>
        <v>0</v>
      </c>
      <c r="K189" s="161">
        <f t="shared" si="2"/>
        <v>0</v>
      </c>
      <c r="L189" s="161" t="str">
        <f t="shared" si="3"/>
        <v>-x-</v>
      </c>
      <c r="M189" s="162">
        <f>SUMIF($E$2:E189,E189,$F$2:F189)</f>
        <v>0</v>
      </c>
      <c r="N189" s="163" t="str">
        <f>IFERROR(IF(A189=CONCATENATE("1","-",E189),L189,
IF(O189="Venda",VLOOKUP(CONCATENATE((COUNTIF($E$2:E189,E189)-1),"-",E189),$A$2:$N$313,14,FALSE),(VLOOKUP(CONCATENATE((COUNTIF($E$2:E189,E189)-1),"-",E189),$A$2:$N$313,14,FALSE)*VLOOKUP(CONCATENATE((COUNTIF($E$2:E189,E189)-1),"-",E189),$A$2:$N$313,13,FALSE)+K189)/M189)),"-x-")</f>
        <v>-x-</v>
      </c>
      <c r="O189" s="164" t="str">
        <f t="shared" si="9"/>
        <v>-</v>
      </c>
      <c r="P189" s="126"/>
      <c r="Q189" s="128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customHeight="1">
      <c r="A190" s="156" t="str">
        <f t="shared" si="0"/>
        <v/>
      </c>
      <c r="B190" s="165"/>
      <c r="C190" s="159" t="str">
        <f t="shared" si="8"/>
        <v>-</v>
      </c>
      <c r="D190" s="160"/>
      <c r="E190" s="169"/>
      <c r="F190" s="170"/>
      <c r="G190" s="171"/>
      <c r="H190" s="168">
        <v>0</v>
      </c>
      <c r="I190" s="171">
        <v>0</v>
      </c>
      <c r="J190" s="161">
        <f t="shared" si="1"/>
        <v>0</v>
      </c>
      <c r="K190" s="161">
        <f t="shared" si="2"/>
        <v>0</v>
      </c>
      <c r="L190" s="161" t="str">
        <f t="shared" si="3"/>
        <v>-x-</v>
      </c>
      <c r="M190" s="162">
        <f>SUMIF($E$2:E190,E190,$F$2:F190)</f>
        <v>0</v>
      </c>
      <c r="N190" s="163" t="str">
        <f>IFERROR(IF(A190=CONCATENATE("1","-",E190),L190,
IF(O190="Venda",VLOOKUP(CONCATENATE((COUNTIF($E$2:E190,E190)-1),"-",E190),$A$2:$N$313,14,FALSE),(VLOOKUP(CONCATENATE((COUNTIF($E$2:E190,E190)-1),"-",E190),$A$2:$N$313,14,FALSE)*VLOOKUP(CONCATENATE((COUNTIF($E$2:E190,E190)-1),"-",E190),$A$2:$N$313,13,FALSE)+K190)/M190)),"-x-")</f>
        <v>-x-</v>
      </c>
      <c r="O190" s="164" t="str">
        <f t="shared" si="9"/>
        <v>-</v>
      </c>
      <c r="P190" s="126"/>
      <c r="Q190" s="128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customHeight="1">
      <c r="A191" s="156" t="str">
        <f t="shared" si="0"/>
        <v/>
      </c>
      <c r="B191" s="165"/>
      <c r="C191" s="159" t="str">
        <f t="shared" si="8"/>
        <v>-</v>
      </c>
      <c r="D191" s="160"/>
      <c r="E191" s="169"/>
      <c r="F191" s="170"/>
      <c r="G191" s="171"/>
      <c r="H191" s="168">
        <v>0</v>
      </c>
      <c r="I191" s="171">
        <v>0</v>
      </c>
      <c r="J191" s="161">
        <f t="shared" si="1"/>
        <v>0</v>
      </c>
      <c r="K191" s="161">
        <f t="shared" si="2"/>
        <v>0</v>
      </c>
      <c r="L191" s="161" t="str">
        <f t="shared" si="3"/>
        <v>-x-</v>
      </c>
      <c r="M191" s="162">
        <f>SUMIF($E$2:E191,E191,$F$2:F191)</f>
        <v>0</v>
      </c>
      <c r="N191" s="163" t="str">
        <f>IFERROR(IF(A191=CONCATENATE("1","-",E191),L191,
IF(O191="Venda",VLOOKUP(CONCATENATE((COUNTIF($E$2:E191,E191)-1),"-",E191),$A$2:$N$313,14,FALSE),(VLOOKUP(CONCATENATE((COUNTIF($E$2:E191,E191)-1),"-",E191),$A$2:$N$313,14,FALSE)*VLOOKUP(CONCATENATE((COUNTIF($E$2:E191,E191)-1),"-",E191),$A$2:$N$313,13,FALSE)+K191)/M191)),"-x-")</f>
        <v>-x-</v>
      </c>
      <c r="O191" s="164" t="str">
        <f t="shared" si="9"/>
        <v>-</v>
      </c>
      <c r="P191" s="126"/>
      <c r="Q191" s="128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customHeight="1">
      <c r="A192" s="156" t="str">
        <f t="shared" si="0"/>
        <v/>
      </c>
      <c r="B192" s="165"/>
      <c r="C192" s="159" t="str">
        <f t="shared" si="8"/>
        <v>-</v>
      </c>
      <c r="D192" s="160"/>
      <c r="E192" s="169"/>
      <c r="F192" s="170"/>
      <c r="G192" s="171"/>
      <c r="H192" s="168">
        <v>0</v>
      </c>
      <c r="I192" s="171">
        <v>0</v>
      </c>
      <c r="J192" s="161">
        <f t="shared" si="1"/>
        <v>0</v>
      </c>
      <c r="K192" s="161">
        <f t="shared" si="2"/>
        <v>0</v>
      </c>
      <c r="L192" s="161" t="str">
        <f t="shared" si="3"/>
        <v>-x-</v>
      </c>
      <c r="M192" s="162">
        <f>SUMIF($E$2:E192,E192,$F$2:F192)</f>
        <v>0</v>
      </c>
      <c r="N192" s="163" t="str">
        <f>IFERROR(IF(A192=CONCATENATE("1","-",E192),L192,
IF(O192="Venda",VLOOKUP(CONCATENATE((COUNTIF($E$2:E192,E192)-1),"-",E192),$A$2:$N$313,14,FALSE),(VLOOKUP(CONCATENATE((COUNTIF($E$2:E192,E192)-1),"-",E192),$A$2:$N$313,14,FALSE)*VLOOKUP(CONCATENATE((COUNTIF($E$2:E192,E192)-1),"-",E192),$A$2:$N$313,13,FALSE)+K192)/M192)),"-x-")</f>
        <v>-x-</v>
      </c>
      <c r="O192" s="164" t="str">
        <f t="shared" si="9"/>
        <v>-</v>
      </c>
      <c r="P192" s="126"/>
      <c r="Q192" s="128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customHeight="1">
      <c r="A193" s="156" t="str">
        <f t="shared" si="0"/>
        <v/>
      </c>
      <c r="B193" s="165"/>
      <c r="C193" s="159" t="str">
        <f t="shared" si="8"/>
        <v>-</v>
      </c>
      <c r="D193" s="160"/>
      <c r="E193" s="169"/>
      <c r="F193" s="170"/>
      <c r="G193" s="171"/>
      <c r="H193" s="168">
        <v>0</v>
      </c>
      <c r="I193" s="171">
        <v>0</v>
      </c>
      <c r="J193" s="161">
        <f t="shared" si="1"/>
        <v>0</v>
      </c>
      <c r="K193" s="161">
        <f t="shared" si="2"/>
        <v>0</v>
      </c>
      <c r="L193" s="161" t="str">
        <f t="shared" si="3"/>
        <v>-x-</v>
      </c>
      <c r="M193" s="162">
        <f>SUMIF($E$2:E193,E193,$F$2:F193)</f>
        <v>0</v>
      </c>
      <c r="N193" s="163" t="str">
        <f>IFERROR(IF(A193=CONCATENATE("1","-",E193),L193,
IF(O193="Venda",VLOOKUP(CONCATENATE((COUNTIF($E$2:E193,E193)-1),"-",E193),$A$2:$N$313,14,FALSE),(VLOOKUP(CONCATENATE((COUNTIF($E$2:E193,E193)-1),"-",E193),$A$2:$N$313,14,FALSE)*VLOOKUP(CONCATENATE((COUNTIF($E$2:E193,E193)-1),"-",E193),$A$2:$N$313,13,FALSE)+K193)/M193)),"-x-")</f>
        <v>-x-</v>
      </c>
      <c r="O193" s="164" t="str">
        <f t="shared" si="9"/>
        <v>-</v>
      </c>
      <c r="P193" s="126"/>
      <c r="Q193" s="128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customHeight="1">
      <c r="A194" s="156" t="str">
        <f t="shared" si="0"/>
        <v/>
      </c>
      <c r="B194" s="165"/>
      <c r="C194" s="159" t="str">
        <f t="shared" si="8"/>
        <v>-</v>
      </c>
      <c r="D194" s="160"/>
      <c r="E194" s="169"/>
      <c r="F194" s="170"/>
      <c r="G194" s="171"/>
      <c r="H194" s="168">
        <v>0</v>
      </c>
      <c r="I194" s="171">
        <v>0</v>
      </c>
      <c r="J194" s="161">
        <f t="shared" si="1"/>
        <v>0</v>
      </c>
      <c r="K194" s="161">
        <f t="shared" si="2"/>
        <v>0</v>
      </c>
      <c r="L194" s="161" t="str">
        <f t="shared" si="3"/>
        <v>-x-</v>
      </c>
      <c r="M194" s="162">
        <f>SUMIF($E$2:E194,E194,$F$2:F194)</f>
        <v>0</v>
      </c>
      <c r="N194" s="163" t="str">
        <f>IFERROR(IF(A194=CONCATENATE("1","-",E194),L194,
IF(O194="Venda",VLOOKUP(CONCATENATE((COUNTIF($E$2:E194,E194)-1),"-",E194),$A$2:$N$313,14,FALSE),(VLOOKUP(CONCATENATE((COUNTIF($E$2:E194,E194)-1),"-",E194),$A$2:$N$313,14,FALSE)*VLOOKUP(CONCATENATE((COUNTIF($E$2:E194,E194)-1),"-",E194),$A$2:$N$313,13,FALSE)+K194)/M194)),"-x-")</f>
        <v>-x-</v>
      </c>
      <c r="O194" s="164" t="str">
        <f t="shared" si="9"/>
        <v>-</v>
      </c>
      <c r="P194" s="126"/>
      <c r="Q194" s="128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customHeight="1">
      <c r="A195" s="156" t="str">
        <f t="shared" si="0"/>
        <v/>
      </c>
      <c r="B195" s="165"/>
      <c r="C195" s="159" t="str">
        <f t="shared" ref="C195:C258" si="10">IF(B195&gt;0,TEXT(B195,"mmmmmmmmmmmmmmm"),"-")</f>
        <v>-</v>
      </c>
      <c r="D195" s="160"/>
      <c r="E195" s="169"/>
      <c r="F195" s="170"/>
      <c r="G195" s="171"/>
      <c r="H195" s="168">
        <v>0</v>
      </c>
      <c r="I195" s="171">
        <v>0</v>
      </c>
      <c r="J195" s="161">
        <f t="shared" si="1"/>
        <v>0</v>
      </c>
      <c r="K195" s="161">
        <f t="shared" si="2"/>
        <v>0</v>
      </c>
      <c r="L195" s="161" t="str">
        <f t="shared" si="3"/>
        <v>-x-</v>
      </c>
      <c r="M195" s="162">
        <f>SUMIF($E$2:E195,E195,$F$2:F195)</f>
        <v>0</v>
      </c>
      <c r="N195" s="163" t="str">
        <f>IFERROR(IF(A195=CONCATENATE("1","-",E195),L195,
IF(O195="Venda",VLOOKUP(CONCATENATE((COUNTIF($E$2:E195,E195)-1),"-",E195),$A$2:$N$313,14,FALSE),(VLOOKUP(CONCATENATE((COUNTIF($E$2:E195,E195)-1),"-",E195),$A$2:$N$313,14,FALSE)*VLOOKUP(CONCATENATE((COUNTIF($E$2:E195,E195)-1),"-",E195),$A$2:$N$313,13,FALSE)+K195)/M195)),"-x-")</f>
        <v>-x-</v>
      </c>
      <c r="O195" s="164" t="str">
        <f t="shared" ref="O195:O258" si="11">IF(G195=0,"-",IF(F195&gt;0,"Compra","Venda"))</f>
        <v>-</v>
      </c>
      <c r="P195" s="126"/>
      <c r="Q195" s="128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customHeight="1">
      <c r="A196" s="156" t="str">
        <f t="shared" si="0"/>
        <v/>
      </c>
      <c r="B196" s="165"/>
      <c r="C196" s="159" t="str">
        <f t="shared" si="10"/>
        <v>-</v>
      </c>
      <c r="D196" s="160"/>
      <c r="E196" s="169"/>
      <c r="F196" s="170"/>
      <c r="G196" s="171"/>
      <c r="H196" s="168">
        <v>0</v>
      </c>
      <c r="I196" s="171">
        <v>0</v>
      </c>
      <c r="J196" s="161">
        <f t="shared" si="1"/>
        <v>0</v>
      </c>
      <c r="K196" s="161">
        <f t="shared" si="2"/>
        <v>0</v>
      </c>
      <c r="L196" s="161" t="str">
        <f t="shared" si="3"/>
        <v>-x-</v>
      </c>
      <c r="M196" s="162">
        <f>SUMIF($E$2:E196,E196,$F$2:F196)</f>
        <v>0</v>
      </c>
      <c r="N196" s="163" t="str">
        <f>IFERROR(IF(A196=CONCATENATE("1","-",E196),L196,
IF(O196="Venda",VLOOKUP(CONCATENATE((COUNTIF($E$2:E196,E196)-1),"-",E196),$A$2:$N$313,14,FALSE),(VLOOKUP(CONCATENATE((COUNTIF($E$2:E196,E196)-1),"-",E196),$A$2:$N$313,14,FALSE)*VLOOKUP(CONCATENATE((COUNTIF($E$2:E196,E196)-1),"-",E196),$A$2:$N$313,13,FALSE)+K196)/M196)),"-x-")</f>
        <v>-x-</v>
      </c>
      <c r="O196" s="164" t="str">
        <f t="shared" si="11"/>
        <v>-</v>
      </c>
      <c r="P196" s="126"/>
      <c r="Q196" s="128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customHeight="1">
      <c r="A197" s="156" t="str">
        <f t="shared" si="0"/>
        <v/>
      </c>
      <c r="B197" s="165"/>
      <c r="C197" s="159" t="str">
        <f t="shared" si="10"/>
        <v>-</v>
      </c>
      <c r="D197" s="160"/>
      <c r="E197" s="169"/>
      <c r="F197" s="170"/>
      <c r="G197" s="171"/>
      <c r="H197" s="168">
        <v>0</v>
      </c>
      <c r="I197" s="171">
        <v>0</v>
      </c>
      <c r="J197" s="161">
        <f t="shared" si="1"/>
        <v>0</v>
      </c>
      <c r="K197" s="161">
        <f t="shared" si="2"/>
        <v>0</v>
      </c>
      <c r="L197" s="161" t="str">
        <f t="shared" si="3"/>
        <v>-x-</v>
      </c>
      <c r="M197" s="162">
        <f>SUMIF($E$2:E197,E197,$F$2:F197)</f>
        <v>0</v>
      </c>
      <c r="N197" s="163" t="str">
        <f>IFERROR(IF(A197=CONCATENATE("1","-",E197),L197,
IF(O197="Venda",VLOOKUP(CONCATENATE((COUNTIF($E$2:E197,E197)-1),"-",E197),$A$2:$N$313,14,FALSE),(VLOOKUP(CONCATENATE((COUNTIF($E$2:E197,E197)-1),"-",E197),$A$2:$N$313,14,FALSE)*VLOOKUP(CONCATENATE((COUNTIF($E$2:E197,E197)-1),"-",E197),$A$2:$N$313,13,FALSE)+K197)/M197)),"-x-")</f>
        <v>-x-</v>
      </c>
      <c r="O197" s="164" t="str">
        <f t="shared" si="11"/>
        <v>-</v>
      </c>
      <c r="P197" s="126"/>
      <c r="Q197" s="128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customHeight="1">
      <c r="A198" s="156" t="str">
        <f t="shared" si="0"/>
        <v/>
      </c>
      <c r="B198" s="165"/>
      <c r="C198" s="159" t="str">
        <f t="shared" si="10"/>
        <v>-</v>
      </c>
      <c r="D198" s="160"/>
      <c r="E198" s="169"/>
      <c r="F198" s="170"/>
      <c r="G198" s="171"/>
      <c r="H198" s="168">
        <v>0</v>
      </c>
      <c r="I198" s="171">
        <v>0</v>
      </c>
      <c r="J198" s="161">
        <f t="shared" si="1"/>
        <v>0</v>
      </c>
      <c r="K198" s="161">
        <f t="shared" si="2"/>
        <v>0</v>
      </c>
      <c r="L198" s="161" t="str">
        <f t="shared" si="3"/>
        <v>-x-</v>
      </c>
      <c r="M198" s="162">
        <f>SUMIF($E$2:E198,E198,$F$2:F198)</f>
        <v>0</v>
      </c>
      <c r="N198" s="163" t="str">
        <f>IFERROR(IF(A198=CONCATENATE("1","-",E198),L198,
IF(O198="Venda",VLOOKUP(CONCATENATE((COUNTIF($E$2:E198,E198)-1),"-",E198),$A$2:$N$313,14,FALSE),(VLOOKUP(CONCATENATE((COUNTIF($E$2:E198,E198)-1),"-",E198),$A$2:$N$313,14,FALSE)*VLOOKUP(CONCATENATE((COUNTIF($E$2:E198,E198)-1),"-",E198),$A$2:$N$313,13,FALSE)+K198)/M198)),"-x-")</f>
        <v>-x-</v>
      </c>
      <c r="O198" s="164" t="str">
        <f t="shared" si="11"/>
        <v>-</v>
      </c>
      <c r="P198" s="126"/>
      <c r="Q198" s="128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customHeight="1">
      <c r="A199" s="156" t="str">
        <f t="shared" si="0"/>
        <v/>
      </c>
      <c r="B199" s="165"/>
      <c r="C199" s="159" t="str">
        <f t="shared" si="10"/>
        <v>-</v>
      </c>
      <c r="D199" s="160"/>
      <c r="E199" s="169"/>
      <c r="F199" s="170"/>
      <c r="G199" s="171"/>
      <c r="H199" s="168">
        <v>0</v>
      </c>
      <c r="I199" s="171">
        <v>0</v>
      </c>
      <c r="J199" s="161">
        <f t="shared" si="1"/>
        <v>0</v>
      </c>
      <c r="K199" s="161">
        <f t="shared" si="2"/>
        <v>0</v>
      </c>
      <c r="L199" s="161" t="str">
        <f t="shared" si="3"/>
        <v>-x-</v>
      </c>
      <c r="M199" s="162">
        <f>SUMIF($E$2:E199,E199,$F$2:F199)</f>
        <v>0</v>
      </c>
      <c r="N199" s="163" t="str">
        <f>IFERROR(IF(A199=CONCATENATE("1","-",E199),L199,
IF(O199="Venda",VLOOKUP(CONCATENATE((COUNTIF($E$2:E199,E199)-1),"-",E199),$A$2:$N$313,14,FALSE),(VLOOKUP(CONCATENATE((COUNTIF($E$2:E199,E199)-1),"-",E199),$A$2:$N$313,14,FALSE)*VLOOKUP(CONCATENATE((COUNTIF($E$2:E199,E199)-1),"-",E199),$A$2:$N$313,13,FALSE)+K199)/M199)),"-x-")</f>
        <v>-x-</v>
      </c>
      <c r="O199" s="164" t="str">
        <f t="shared" si="11"/>
        <v>-</v>
      </c>
      <c r="P199" s="126"/>
      <c r="Q199" s="128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customHeight="1">
      <c r="A200" s="156" t="str">
        <f t="shared" si="0"/>
        <v/>
      </c>
      <c r="B200" s="165"/>
      <c r="C200" s="159" t="str">
        <f t="shared" si="10"/>
        <v>-</v>
      </c>
      <c r="D200" s="160"/>
      <c r="E200" s="169"/>
      <c r="F200" s="170"/>
      <c r="G200" s="171"/>
      <c r="H200" s="168">
        <v>0</v>
      </c>
      <c r="I200" s="171">
        <v>0</v>
      </c>
      <c r="J200" s="161">
        <f t="shared" si="1"/>
        <v>0</v>
      </c>
      <c r="K200" s="161">
        <f t="shared" si="2"/>
        <v>0</v>
      </c>
      <c r="L200" s="161" t="str">
        <f t="shared" si="3"/>
        <v>-x-</v>
      </c>
      <c r="M200" s="162">
        <f>SUMIF($E$2:E200,E200,$F$2:F200)</f>
        <v>0</v>
      </c>
      <c r="N200" s="163" t="str">
        <f>IFERROR(IF(A200=CONCATENATE("1","-",E200),L200,
IF(O200="Venda",VLOOKUP(CONCATENATE((COUNTIF($E$2:E200,E200)-1),"-",E200),$A$2:$N$313,14,FALSE),(VLOOKUP(CONCATENATE((COUNTIF($E$2:E200,E200)-1),"-",E200),$A$2:$N$313,14,FALSE)*VLOOKUP(CONCATENATE((COUNTIF($E$2:E200,E200)-1),"-",E200),$A$2:$N$313,13,FALSE)+K200)/M200)),"-x-")</f>
        <v>-x-</v>
      </c>
      <c r="O200" s="164" t="str">
        <f t="shared" si="11"/>
        <v>-</v>
      </c>
      <c r="P200" s="126"/>
      <c r="Q200" s="128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customHeight="1">
      <c r="A201" s="156" t="str">
        <f t="shared" si="0"/>
        <v/>
      </c>
      <c r="B201" s="165"/>
      <c r="C201" s="159" t="str">
        <f t="shared" si="10"/>
        <v>-</v>
      </c>
      <c r="D201" s="160"/>
      <c r="E201" s="169"/>
      <c r="F201" s="170"/>
      <c r="G201" s="171"/>
      <c r="H201" s="168">
        <v>0</v>
      </c>
      <c r="I201" s="171">
        <v>0</v>
      </c>
      <c r="J201" s="161">
        <f t="shared" si="1"/>
        <v>0</v>
      </c>
      <c r="K201" s="161">
        <f t="shared" si="2"/>
        <v>0</v>
      </c>
      <c r="L201" s="161" t="str">
        <f t="shared" si="3"/>
        <v>-x-</v>
      </c>
      <c r="M201" s="162">
        <f>SUMIF($E$2:E201,E201,$F$2:F201)</f>
        <v>0</v>
      </c>
      <c r="N201" s="163" t="str">
        <f>IFERROR(IF(A201=CONCATENATE("1","-",E201),L201,
IF(O201="Venda",VLOOKUP(CONCATENATE((COUNTIF($E$2:E201,E201)-1),"-",E201),$A$2:$N$313,14,FALSE),(VLOOKUP(CONCATENATE((COUNTIF($E$2:E201,E201)-1),"-",E201),$A$2:$N$313,14,FALSE)*VLOOKUP(CONCATENATE((COUNTIF($E$2:E201,E201)-1),"-",E201),$A$2:$N$313,13,FALSE)+K201)/M201)),"-x-")</f>
        <v>-x-</v>
      </c>
      <c r="O201" s="164" t="str">
        <f t="shared" si="11"/>
        <v>-</v>
      </c>
      <c r="P201" s="126"/>
      <c r="Q201" s="128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customHeight="1">
      <c r="A202" s="156" t="str">
        <f t="shared" si="0"/>
        <v/>
      </c>
      <c r="B202" s="165"/>
      <c r="C202" s="159" t="str">
        <f t="shared" si="10"/>
        <v>-</v>
      </c>
      <c r="D202" s="160"/>
      <c r="E202" s="169"/>
      <c r="F202" s="170"/>
      <c r="G202" s="171"/>
      <c r="H202" s="168">
        <v>0</v>
      </c>
      <c r="I202" s="171">
        <v>0</v>
      </c>
      <c r="J202" s="161">
        <f t="shared" si="1"/>
        <v>0</v>
      </c>
      <c r="K202" s="161">
        <f t="shared" si="2"/>
        <v>0</v>
      </c>
      <c r="L202" s="161" t="str">
        <f t="shared" si="3"/>
        <v>-x-</v>
      </c>
      <c r="M202" s="162">
        <f>SUMIF($E$2:E202,E202,$F$2:F202)</f>
        <v>0</v>
      </c>
      <c r="N202" s="163" t="str">
        <f>IFERROR(IF(A202=CONCATENATE("1","-",E202),L202,
IF(O202="Venda",VLOOKUP(CONCATENATE((COUNTIF($E$2:E202,E202)-1),"-",E202),$A$2:$N$313,14,FALSE),(VLOOKUP(CONCATENATE((COUNTIF($E$2:E202,E202)-1),"-",E202),$A$2:$N$313,14,FALSE)*VLOOKUP(CONCATENATE((COUNTIF($E$2:E202,E202)-1),"-",E202),$A$2:$N$313,13,FALSE)+K202)/M202)),"-x-")</f>
        <v>-x-</v>
      </c>
      <c r="O202" s="164" t="str">
        <f t="shared" si="11"/>
        <v>-</v>
      </c>
      <c r="P202" s="126"/>
      <c r="Q202" s="12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customHeight="1">
      <c r="A203" s="156" t="str">
        <f t="shared" si="0"/>
        <v/>
      </c>
      <c r="B203" s="165"/>
      <c r="C203" s="159" t="str">
        <f t="shared" si="10"/>
        <v>-</v>
      </c>
      <c r="D203" s="160"/>
      <c r="E203" s="169"/>
      <c r="F203" s="170"/>
      <c r="G203" s="171"/>
      <c r="H203" s="168">
        <v>0</v>
      </c>
      <c r="I203" s="171">
        <v>0</v>
      </c>
      <c r="J203" s="161">
        <f t="shared" si="1"/>
        <v>0</v>
      </c>
      <c r="K203" s="161">
        <f t="shared" si="2"/>
        <v>0</v>
      </c>
      <c r="L203" s="161" t="str">
        <f t="shared" si="3"/>
        <v>-x-</v>
      </c>
      <c r="M203" s="162">
        <f>SUMIF($E$2:E203,E203,$F$2:F203)</f>
        <v>0</v>
      </c>
      <c r="N203" s="163" t="str">
        <f>IFERROR(IF(A203=CONCATENATE("1","-",E203),L203,
IF(O203="Venda",VLOOKUP(CONCATENATE((COUNTIF($E$2:E203,E203)-1),"-",E203),$A$2:$N$313,14,FALSE),(VLOOKUP(CONCATENATE((COUNTIF($E$2:E203,E203)-1),"-",E203),$A$2:$N$313,14,FALSE)*VLOOKUP(CONCATENATE((COUNTIF($E$2:E203,E203)-1),"-",E203),$A$2:$N$313,13,FALSE)+K203)/M203)),"-x-")</f>
        <v>-x-</v>
      </c>
      <c r="O203" s="164" t="str">
        <f t="shared" si="11"/>
        <v>-</v>
      </c>
      <c r="P203" s="126"/>
      <c r="Q203" s="128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customHeight="1">
      <c r="A204" s="156" t="str">
        <f t="shared" si="0"/>
        <v/>
      </c>
      <c r="B204" s="165"/>
      <c r="C204" s="159" t="str">
        <f t="shared" si="10"/>
        <v>-</v>
      </c>
      <c r="D204" s="160"/>
      <c r="E204" s="169"/>
      <c r="F204" s="170"/>
      <c r="G204" s="171"/>
      <c r="H204" s="168">
        <v>0</v>
      </c>
      <c r="I204" s="171">
        <v>0</v>
      </c>
      <c r="J204" s="161">
        <f t="shared" si="1"/>
        <v>0</v>
      </c>
      <c r="K204" s="161">
        <f t="shared" si="2"/>
        <v>0</v>
      </c>
      <c r="L204" s="161" t="str">
        <f t="shared" si="3"/>
        <v>-x-</v>
      </c>
      <c r="M204" s="162">
        <f>SUMIF($E$2:E204,E204,$F$2:F204)</f>
        <v>0</v>
      </c>
      <c r="N204" s="163" t="str">
        <f>IFERROR(IF(A204=CONCATENATE("1","-",E204),L204,
IF(O204="Venda",VLOOKUP(CONCATENATE((COUNTIF($E$2:E204,E204)-1),"-",E204),$A$2:$N$313,14,FALSE),(VLOOKUP(CONCATENATE((COUNTIF($E$2:E204,E204)-1),"-",E204),$A$2:$N$313,14,FALSE)*VLOOKUP(CONCATENATE((COUNTIF($E$2:E204,E204)-1),"-",E204),$A$2:$N$313,13,FALSE)+K204)/M204)),"-x-")</f>
        <v>-x-</v>
      </c>
      <c r="O204" s="164" t="str">
        <f t="shared" si="11"/>
        <v>-</v>
      </c>
      <c r="P204" s="126"/>
      <c r="Q204" s="128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customHeight="1">
      <c r="A205" s="156" t="str">
        <f t="shared" si="0"/>
        <v/>
      </c>
      <c r="B205" s="165"/>
      <c r="C205" s="159" t="str">
        <f t="shared" si="10"/>
        <v>-</v>
      </c>
      <c r="D205" s="160"/>
      <c r="E205" s="169"/>
      <c r="F205" s="170"/>
      <c r="G205" s="171"/>
      <c r="H205" s="168">
        <v>0</v>
      </c>
      <c r="I205" s="171">
        <v>0</v>
      </c>
      <c r="J205" s="161">
        <f t="shared" si="1"/>
        <v>0</v>
      </c>
      <c r="K205" s="161">
        <f t="shared" si="2"/>
        <v>0</v>
      </c>
      <c r="L205" s="161" t="str">
        <f t="shared" si="3"/>
        <v>-x-</v>
      </c>
      <c r="M205" s="162">
        <f>SUMIF($E$2:E205,E205,$F$2:F205)</f>
        <v>0</v>
      </c>
      <c r="N205" s="163" t="str">
        <f>IFERROR(IF(A205=CONCATENATE("1","-",E205),L205,
IF(O205="Venda",VLOOKUP(CONCATENATE((COUNTIF($E$2:E205,E205)-1),"-",E205),$A$2:$N$313,14,FALSE),(VLOOKUP(CONCATENATE((COUNTIF($E$2:E205,E205)-1),"-",E205),$A$2:$N$313,14,FALSE)*VLOOKUP(CONCATENATE((COUNTIF($E$2:E205,E205)-1),"-",E205),$A$2:$N$313,13,FALSE)+K205)/M205)),"-x-")</f>
        <v>-x-</v>
      </c>
      <c r="O205" s="164" t="str">
        <f t="shared" si="11"/>
        <v>-</v>
      </c>
      <c r="P205" s="126"/>
      <c r="Q205" s="128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customHeight="1">
      <c r="A206" s="156" t="str">
        <f t="shared" si="0"/>
        <v/>
      </c>
      <c r="B206" s="165"/>
      <c r="C206" s="159" t="str">
        <f t="shared" si="10"/>
        <v>-</v>
      </c>
      <c r="D206" s="160"/>
      <c r="E206" s="169"/>
      <c r="F206" s="170"/>
      <c r="G206" s="171"/>
      <c r="H206" s="168">
        <v>0</v>
      </c>
      <c r="I206" s="171">
        <v>0</v>
      </c>
      <c r="J206" s="161">
        <f t="shared" si="1"/>
        <v>0</v>
      </c>
      <c r="K206" s="161">
        <f t="shared" si="2"/>
        <v>0</v>
      </c>
      <c r="L206" s="161" t="str">
        <f t="shared" si="3"/>
        <v>-x-</v>
      </c>
      <c r="M206" s="162">
        <f>SUMIF($E$2:E206,E206,$F$2:F206)</f>
        <v>0</v>
      </c>
      <c r="N206" s="163" t="str">
        <f>IFERROR(IF(A206=CONCATENATE("1","-",E206),L206,
IF(O206="Venda",VLOOKUP(CONCATENATE((COUNTIF($E$2:E206,E206)-1),"-",E206),$A$2:$N$313,14,FALSE),(VLOOKUP(CONCATENATE((COUNTIF($E$2:E206,E206)-1),"-",E206),$A$2:$N$313,14,FALSE)*VLOOKUP(CONCATENATE((COUNTIF($E$2:E206,E206)-1),"-",E206),$A$2:$N$313,13,FALSE)+K206)/M206)),"-x-")</f>
        <v>-x-</v>
      </c>
      <c r="O206" s="164" t="str">
        <f t="shared" si="11"/>
        <v>-</v>
      </c>
      <c r="P206" s="126"/>
      <c r="Q206" s="128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customHeight="1">
      <c r="A207" s="156" t="str">
        <f t="shared" si="0"/>
        <v/>
      </c>
      <c r="B207" s="165"/>
      <c r="C207" s="159" t="str">
        <f t="shared" si="10"/>
        <v>-</v>
      </c>
      <c r="D207" s="160"/>
      <c r="E207" s="169"/>
      <c r="F207" s="170"/>
      <c r="G207" s="171"/>
      <c r="H207" s="168">
        <v>0</v>
      </c>
      <c r="I207" s="171">
        <v>0</v>
      </c>
      <c r="J207" s="161">
        <f t="shared" si="1"/>
        <v>0</v>
      </c>
      <c r="K207" s="161">
        <f t="shared" si="2"/>
        <v>0</v>
      </c>
      <c r="L207" s="161" t="str">
        <f t="shared" si="3"/>
        <v>-x-</v>
      </c>
      <c r="M207" s="162">
        <f>SUMIF($E$2:E207,E207,$F$2:F207)</f>
        <v>0</v>
      </c>
      <c r="N207" s="163" t="str">
        <f>IFERROR(IF(A207=CONCATENATE("1","-",E207),L207,
IF(O207="Venda",VLOOKUP(CONCATENATE((COUNTIF($E$2:E207,E207)-1),"-",E207),$A$2:$N$313,14,FALSE),(VLOOKUP(CONCATENATE((COUNTIF($E$2:E207,E207)-1),"-",E207),$A$2:$N$313,14,FALSE)*VLOOKUP(CONCATENATE((COUNTIF($E$2:E207,E207)-1),"-",E207),$A$2:$N$313,13,FALSE)+K207)/M207)),"-x-")</f>
        <v>-x-</v>
      </c>
      <c r="O207" s="164" t="str">
        <f t="shared" si="11"/>
        <v>-</v>
      </c>
      <c r="P207" s="126"/>
      <c r="Q207" s="128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customHeight="1">
      <c r="A208" s="156" t="str">
        <f t="shared" si="0"/>
        <v/>
      </c>
      <c r="B208" s="165"/>
      <c r="C208" s="159" t="str">
        <f t="shared" si="10"/>
        <v>-</v>
      </c>
      <c r="D208" s="160"/>
      <c r="E208" s="169"/>
      <c r="F208" s="170"/>
      <c r="G208" s="171"/>
      <c r="H208" s="168">
        <v>0</v>
      </c>
      <c r="I208" s="171">
        <v>0</v>
      </c>
      <c r="J208" s="161">
        <f t="shared" si="1"/>
        <v>0</v>
      </c>
      <c r="K208" s="161">
        <f t="shared" si="2"/>
        <v>0</v>
      </c>
      <c r="L208" s="161" t="str">
        <f t="shared" si="3"/>
        <v>-x-</v>
      </c>
      <c r="M208" s="162">
        <f>SUMIF($E$2:E208,E208,$F$2:F208)</f>
        <v>0</v>
      </c>
      <c r="N208" s="163" t="str">
        <f>IFERROR(IF(A208=CONCATENATE("1","-",E208),L208,
IF(O208="Venda",VLOOKUP(CONCATENATE((COUNTIF($E$2:E208,E208)-1),"-",E208),$A$2:$N$313,14,FALSE),(VLOOKUP(CONCATENATE((COUNTIF($E$2:E208,E208)-1),"-",E208),$A$2:$N$313,14,FALSE)*VLOOKUP(CONCATENATE((COUNTIF($E$2:E208,E208)-1),"-",E208),$A$2:$N$313,13,FALSE)+K208)/M208)),"-x-")</f>
        <v>-x-</v>
      </c>
      <c r="O208" s="164" t="str">
        <f t="shared" si="11"/>
        <v>-</v>
      </c>
      <c r="P208" s="126"/>
      <c r="Q208" s="128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customHeight="1">
      <c r="A209" s="156" t="str">
        <f t="shared" si="0"/>
        <v/>
      </c>
      <c r="B209" s="165"/>
      <c r="C209" s="159" t="str">
        <f t="shared" si="10"/>
        <v>-</v>
      </c>
      <c r="D209" s="160"/>
      <c r="E209" s="169"/>
      <c r="F209" s="170"/>
      <c r="G209" s="171"/>
      <c r="H209" s="168">
        <v>0</v>
      </c>
      <c r="I209" s="171">
        <v>0</v>
      </c>
      <c r="J209" s="161">
        <f t="shared" si="1"/>
        <v>0</v>
      </c>
      <c r="K209" s="161">
        <f t="shared" si="2"/>
        <v>0</v>
      </c>
      <c r="L209" s="161" t="str">
        <f t="shared" si="3"/>
        <v>-x-</v>
      </c>
      <c r="M209" s="162">
        <f>SUMIF($E$2:E209,E209,$F$2:F209)</f>
        <v>0</v>
      </c>
      <c r="N209" s="163" t="str">
        <f>IFERROR(IF(A209=CONCATENATE("1","-",E209),L209,
IF(O209="Venda",VLOOKUP(CONCATENATE((COUNTIF($E$2:E209,E209)-1),"-",E209),$A$2:$N$313,14,FALSE),(VLOOKUP(CONCATENATE((COUNTIF($E$2:E209,E209)-1),"-",E209),$A$2:$N$313,14,FALSE)*VLOOKUP(CONCATENATE((COUNTIF($E$2:E209,E209)-1),"-",E209),$A$2:$N$313,13,FALSE)+K209)/M209)),"-x-")</f>
        <v>-x-</v>
      </c>
      <c r="O209" s="164" t="str">
        <f t="shared" si="11"/>
        <v>-</v>
      </c>
      <c r="P209" s="126"/>
      <c r="Q209" s="128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customHeight="1">
      <c r="A210" s="156" t="str">
        <f t="shared" si="0"/>
        <v/>
      </c>
      <c r="B210" s="165"/>
      <c r="C210" s="159" t="str">
        <f t="shared" si="10"/>
        <v>-</v>
      </c>
      <c r="D210" s="160"/>
      <c r="E210" s="169"/>
      <c r="F210" s="170"/>
      <c r="G210" s="171"/>
      <c r="H210" s="168">
        <v>0</v>
      </c>
      <c r="I210" s="171">
        <v>0</v>
      </c>
      <c r="J210" s="161">
        <f t="shared" si="1"/>
        <v>0</v>
      </c>
      <c r="K210" s="161">
        <f t="shared" si="2"/>
        <v>0</v>
      </c>
      <c r="L210" s="161" t="str">
        <f t="shared" si="3"/>
        <v>-x-</v>
      </c>
      <c r="M210" s="162">
        <f>SUMIF($E$2:E210,E210,$F$2:F210)</f>
        <v>0</v>
      </c>
      <c r="N210" s="163" t="str">
        <f>IFERROR(IF(A210=CONCATENATE("1","-",E210),L210,
IF(O210="Venda",VLOOKUP(CONCATENATE((COUNTIF($E$2:E210,E210)-1),"-",E210),$A$2:$N$313,14,FALSE),(VLOOKUP(CONCATENATE((COUNTIF($E$2:E210,E210)-1),"-",E210),$A$2:$N$313,14,FALSE)*VLOOKUP(CONCATENATE((COUNTIF($E$2:E210,E210)-1),"-",E210),$A$2:$N$313,13,FALSE)+K210)/M210)),"-x-")</f>
        <v>-x-</v>
      </c>
      <c r="O210" s="164" t="str">
        <f t="shared" si="11"/>
        <v>-</v>
      </c>
      <c r="P210" s="126"/>
      <c r="Q210" s="128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customHeight="1">
      <c r="A211" s="156" t="str">
        <f t="shared" si="0"/>
        <v/>
      </c>
      <c r="B211" s="165"/>
      <c r="C211" s="159" t="str">
        <f t="shared" si="10"/>
        <v>-</v>
      </c>
      <c r="D211" s="160"/>
      <c r="E211" s="169"/>
      <c r="F211" s="170"/>
      <c r="G211" s="171"/>
      <c r="H211" s="168">
        <v>0</v>
      </c>
      <c r="I211" s="171">
        <v>0</v>
      </c>
      <c r="J211" s="161">
        <f t="shared" si="1"/>
        <v>0</v>
      </c>
      <c r="K211" s="161">
        <f t="shared" si="2"/>
        <v>0</v>
      </c>
      <c r="L211" s="161" t="str">
        <f t="shared" si="3"/>
        <v>-x-</v>
      </c>
      <c r="M211" s="162">
        <f>SUMIF($E$2:E211,E211,$F$2:F211)</f>
        <v>0</v>
      </c>
      <c r="N211" s="163" t="str">
        <f>IFERROR(IF(A211=CONCATENATE("1","-",E211),L211,
IF(O211="Venda",VLOOKUP(CONCATENATE((COUNTIF($E$2:E211,E211)-1),"-",E211),$A$2:$N$313,14,FALSE),(VLOOKUP(CONCATENATE((COUNTIF($E$2:E211,E211)-1),"-",E211),$A$2:$N$313,14,FALSE)*VLOOKUP(CONCATENATE((COUNTIF($E$2:E211,E211)-1),"-",E211),$A$2:$N$313,13,FALSE)+K211)/M211)),"-x-")</f>
        <v>-x-</v>
      </c>
      <c r="O211" s="164" t="str">
        <f t="shared" si="11"/>
        <v>-</v>
      </c>
      <c r="P211" s="126"/>
      <c r="Q211" s="128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customHeight="1">
      <c r="A212" s="156" t="str">
        <f t="shared" si="0"/>
        <v/>
      </c>
      <c r="B212" s="165"/>
      <c r="C212" s="159" t="str">
        <f t="shared" si="10"/>
        <v>-</v>
      </c>
      <c r="D212" s="160"/>
      <c r="E212" s="169"/>
      <c r="F212" s="170"/>
      <c r="G212" s="171"/>
      <c r="H212" s="168">
        <v>0</v>
      </c>
      <c r="I212" s="171">
        <v>0</v>
      </c>
      <c r="J212" s="161">
        <f t="shared" si="1"/>
        <v>0</v>
      </c>
      <c r="K212" s="161">
        <f t="shared" si="2"/>
        <v>0</v>
      </c>
      <c r="L212" s="161" t="str">
        <f t="shared" si="3"/>
        <v>-x-</v>
      </c>
      <c r="M212" s="162">
        <f>SUMIF($E$2:E212,E212,$F$2:F212)</f>
        <v>0</v>
      </c>
      <c r="N212" s="163" t="str">
        <f>IFERROR(IF(A212=CONCATENATE("1","-",E212),L212,
IF(O212="Venda",VLOOKUP(CONCATENATE((COUNTIF($E$2:E212,E212)-1),"-",E212),$A$2:$N$313,14,FALSE),(VLOOKUP(CONCATENATE((COUNTIF($E$2:E212,E212)-1),"-",E212),$A$2:$N$313,14,FALSE)*VLOOKUP(CONCATENATE((COUNTIF($E$2:E212,E212)-1),"-",E212),$A$2:$N$313,13,FALSE)+K212)/M212)),"-x-")</f>
        <v>-x-</v>
      </c>
      <c r="O212" s="164" t="str">
        <f t="shared" si="11"/>
        <v>-</v>
      </c>
      <c r="P212" s="126"/>
      <c r="Q212" s="128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customHeight="1">
      <c r="A213" s="156" t="str">
        <f t="shared" si="0"/>
        <v/>
      </c>
      <c r="B213" s="165"/>
      <c r="C213" s="159" t="str">
        <f t="shared" si="10"/>
        <v>-</v>
      </c>
      <c r="D213" s="160"/>
      <c r="E213" s="169"/>
      <c r="F213" s="170"/>
      <c r="G213" s="171"/>
      <c r="H213" s="168">
        <v>0</v>
      </c>
      <c r="I213" s="171">
        <v>0</v>
      </c>
      <c r="J213" s="161">
        <f t="shared" si="1"/>
        <v>0</v>
      </c>
      <c r="K213" s="161">
        <f t="shared" si="2"/>
        <v>0</v>
      </c>
      <c r="L213" s="161" t="str">
        <f t="shared" si="3"/>
        <v>-x-</v>
      </c>
      <c r="M213" s="162">
        <f>SUMIF($E$2:E213,E213,$F$2:F213)</f>
        <v>0</v>
      </c>
      <c r="N213" s="163" t="str">
        <f>IFERROR(IF(A213=CONCATENATE("1","-",E213),L213,
IF(O213="Venda",VLOOKUP(CONCATENATE((COUNTIF($E$2:E213,E213)-1),"-",E213),$A$2:$N$313,14,FALSE),(VLOOKUP(CONCATENATE((COUNTIF($E$2:E213,E213)-1),"-",E213),$A$2:$N$313,14,FALSE)*VLOOKUP(CONCATENATE((COUNTIF($E$2:E213,E213)-1),"-",E213),$A$2:$N$313,13,FALSE)+K213)/M213)),"-x-")</f>
        <v>-x-</v>
      </c>
      <c r="O213" s="164" t="str">
        <f t="shared" si="11"/>
        <v>-</v>
      </c>
      <c r="P213" s="126"/>
      <c r="Q213" s="128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customHeight="1">
      <c r="A214" s="156" t="str">
        <f t="shared" si="0"/>
        <v/>
      </c>
      <c r="B214" s="165"/>
      <c r="C214" s="159" t="str">
        <f t="shared" si="10"/>
        <v>-</v>
      </c>
      <c r="D214" s="160"/>
      <c r="E214" s="169"/>
      <c r="F214" s="170"/>
      <c r="G214" s="171"/>
      <c r="H214" s="168">
        <v>0</v>
      </c>
      <c r="I214" s="171">
        <v>0</v>
      </c>
      <c r="J214" s="161">
        <f t="shared" si="1"/>
        <v>0</v>
      </c>
      <c r="K214" s="161">
        <f t="shared" si="2"/>
        <v>0</v>
      </c>
      <c r="L214" s="161" t="str">
        <f t="shared" si="3"/>
        <v>-x-</v>
      </c>
      <c r="M214" s="162">
        <f>SUMIF($E$2:E214,E214,$F$2:F214)</f>
        <v>0</v>
      </c>
      <c r="N214" s="163" t="str">
        <f>IFERROR(IF(A214=CONCATENATE("1","-",E214),L214,
IF(O214="Venda",VLOOKUP(CONCATENATE((COUNTIF($E$2:E214,E214)-1),"-",E214),$A$2:$N$313,14,FALSE),(VLOOKUP(CONCATENATE((COUNTIF($E$2:E214,E214)-1),"-",E214),$A$2:$N$313,14,FALSE)*VLOOKUP(CONCATENATE((COUNTIF($E$2:E214,E214)-1),"-",E214),$A$2:$N$313,13,FALSE)+K214)/M214)),"-x-")</f>
        <v>-x-</v>
      </c>
      <c r="O214" s="164" t="str">
        <f t="shared" si="11"/>
        <v>-</v>
      </c>
      <c r="P214" s="126"/>
      <c r="Q214" s="128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customHeight="1">
      <c r="A215" s="156" t="str">
        <f t="shared" si="0"/>
        <v/>
      </c>
      <c r="B215" s="165"/>
      <c r="C215" s="159" t="str">
        <f t="shared" si="10"/>
        <v>-</v>
      </c>
      <c r="D215" s="160"/>
      <c r="E215" s="169"/>
      <c r="F215" s="170"/>
      <c r="G215" s="171"/>
      <c r="H215" s="168">
        <v>0</v>
      </c>
      <c r="I215" s="171">
        <v>0</v>
      </c>
      <c r="J215" s="161">
        <f t="shared" si="1"/>
        <v>0</v>
      </c>
      <c r="K215" s="161">
        <f t="shared" si="2"/>
        <v>0</v>
      </c>
      <c r="L215" s="161" t="str">
        <f t="shared" si="3"/>
        <v>-x-</v>
      </c>
      <c r="M215" s="162">
        <f>SUMIF($E$2:E215,E215,$F$2:F215)</f>
        <v>0</v>
      </c>
      <c r="N215" s="163" t="str">
        <f>IFERROR(IF(A215=CONCATENATE("1","-",E215),L215,
IF(O215="Venda",VLOOKUP(CONCATENATE((COUNTIF($E$2:E215,E215)-1),"-",E215),$A$2:$N$313,14,FALSE),(VLOOKUP(CONCATENATE((COUNTIF($E$2:E215,E215)-1),"-",E215),$A$2:$N$313,14,FALSE)*VLOOKUP(CONCATENATE((COUNTIF($E$2:E215,E215)-1),"-",E215),$A$2:$N$313,13,FALSE)+K215)/M215)),"-x-")</f>
        <v>-x-</v>
      </c>
      <c r="O215" s="164" t="str">
        <f t="shared" si="11"/>
        <v>-</v>
      </c>
      <c r="P215" s="126"/>
      <c r="Q215" s="128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customHeight="1">
      <c r="A216" s="156" t="str">
        <f t="shared" si="0"/>
        <v/>
      </c>
      <c r="B216" s="165"/>
      <c r="C216" s="159" t="str">
        <f t="shared" si="10"/>
        <v>-</v>
      </c>
      <c r="D216" s="160"/>
      <c r="E216" s="169"/>
      <c r="F216" s="170"/>
      <c r="G216" s="171"/>
      <c r="H216" s="168">
        <v>0</v>
      </c>
      <c r="I216" s="171">
        <v>0</v>
      </c>
      <c r="J216" s="161">
        <f t="shared" si="1"/>
        <v>0</v>
      </c>
      <c r="K216" s="161">
        <f t="shared" si="2"/>
        <v>0</v>
      </c>
      <c r="L216" s="161" t="str">
        <f t="shared" si="3"/>
        <v>-x-</v>
      </c>
      <c r="M216" s="162">
        <f>SUMIF($E$2:E216,E216,$F$2:F216)</f>
        <v>0</v>
      </c>
      <c r="N216" s="163" t="str">
        <f>IFERROR(IF(A216=CONCATENATE("1","-",E216),L216,
IF(O216="Venda",VLOOKUP(CONCATENATE((COUNTIF($E$2:E216,E216)-1),"-",E216),$A$2:$N$313,14,FALSE),(VLOOKUP(CONCATENATE((COUNTIF($E$2:E216,E216)-1),"-",E216),$A$2:$N$313,14,FALSE)*VLOOKUP(CONCATENATE((COUNTIF($E$2:E216,E216)-1),"-",E216),$A$2:$N$313,13,FALSE)+K216)/M216)),"-x-")</f>
        <v>-x-</v>
      </c>
      <c r="O216" s="164" t="str">
        <f t="shared" si="11"/>
        <v>-</v>
      </c>
      <c r="P216" s="126"/>
      <c r="Q216" s="128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customHeight="1">
      <c r="A217" s="156" t="str">
        <f t="shared" si="0"/>
        <v/>
      </c>
      <c r="B217" s="165"/>
      <c r="C217" s="159" t="str">
        <f t="shared" si="10"/>
        <v>-</v>
      </c>
      <c r="D217" s="160"/>
      <c r="E217" s="169"/>
      <c r="F217" s="170"/>
      <c r="G217" s="171"/>
      <c r="H217" s="168">
        <v>0</v>
      </c>
      <c r="I217" s="171">
        <v>0</v>
      </c>
      <c r="J217" s="161">
        <f t="shared" si="1"/>
        <v>0</v>
      </c>
      <c r="K217" s="161">
        <f t="shared" si="2"/>
        <v>0</v>
      </c>
      <c r="L217" s="161" t="str">
        <f t="shared" si="3"/>
        <v>-x-</v>
      </c>
      <c r="M217" s="162">
        <f>SUMIF($E$2:E217,E217,$F$2:F217)</f>
        <v>0</v>
      </c>
      <c r="N217" s="163" t="str">
        <f>IFERROR(IF(A217=CONCATENATE("1","-",E217),L217,
IF(O217="Venda",VLOOKUP(CONCATENATE((COUNTIF($E$2:E217,E217)-1),"-",E217),$A$2:$N$313,14,FALSE),(VLOOKUP(CONCATENATE((COUNTIF($E$2:E217,E217)-1),"-",E217),$A$2:$N$313,14,FALSE)*VLOOKUP(CONCATENATE((COUNTIF($E$2:E217,E217)-1),"-",E217),$A$2:$N$313,13,FALSE)+K217)/M217)),"-x-")</f>
        <v>-x-</v>
      </c>
      <c r="O217" s="164" t="str">
        <f t="shared" si="11"/>
        <v>-</v>
      </c>
      <c r="P217" s="126"/>
      <c r="Q217" s="128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customHeight="1">
      <c r="A218" s="156" t="str">
        <f t="shared" si="0"/>
        <v/>
      </c>
      <c r="B218" s="165"/>
      <c r="C218" s="159" t="str">
        <f t="shared" si="10"/>
        <v>-</v>
      </c>
      <c r="D218" s="160"/>
      <c r="E218" s="169"/>
      <c r="F218" s="170"/>
      <c r="G218" s="171"/>
      <c r="H218" s="168">
        <v>0</v>
      </c>
      <c r="I218" s="171">
        <v>0</v>
      </c>
      <c r="J218" s="161">
        <f t="shared" si="1"/>
        <v>0</v>
      </c>
      <c r="K218" s="161">
        <f t="shared" si="2"/>
        <v>0</v>
      </c>
      <c r="L218" s="161" t="str">
        <f t="shared" si="3"/>
        <v>-x-</v>
      </c>
      <c r="M218" s="162">
        <f>SUMIF($E$2:E218,E218,$F$2:F218)</f>
        <v>0</v>
      </c>
      <c r="N218" s="163" t="str">
        <f>IFERROR(IF(A218=CONCATENATE("1","-",E218),L218,
IF(O218="Venda",VLOOKUP(CONCATENATE((COUNTIF($E$2:E218,E218)-1),"-",E218),$A$2:$N$313,14,FALSE),(VLOOKUP(CONCATENATE((COUNTIF($E$2:E218,E218)-1),"-",E218),$A$2:$N$313,14,FALSE)*VLOOKUP(CONCATENATE((COUNTIF($E$2:E218,E218)-1),"-",E218),$A$2:$N$313,13,FALSE)+K218)/M218)),"-x-")</f>
        <v>-x-</v>
      </c>
      <c r="O218" s="164" t="str">
        <f t="shared" si="11"/>
        <v>-</v>
      </c>
      <c r="P218" s="126"/>
      <c r="Q218" s="128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customHeight="1">
      <c r="A219" s="156" t="str">
        <f t="shared" si="0"/>
        <v/>
      </c>
      <c r="B219" s="165"/>
      <c r="C219" s="159" t="str">
        <f t="shared" si="10"/>
        <v>-</v>
      </c>
      <c r="D219" s="160"/>
      <c r="E219" s="169"/>
      <c r="F219" s="170"/>
      <c r="G219" s="171"/>
      <c r="H219" s="168">
        <v>0</v>
      </c>
      <c r="I219" s="171">
        <v>0</v>
      </c>
      <c r="J219" s="161">
        <f t="shared" si="1"/>
        <v>0</v>
      </c>
      <c r="K219" s="161">
        <f t="shared" si="2"/>
        <v>0</v>
      </c>
      <c r="L219" s="161" t="str">
        <f t="shared" si="3"/>
        <v>-x-</v>
      </c>
      <c r="M219" s="162">
        <f>SUMIF($E$2:E219,E219,$F$2:F219)</f>
        <v>0</v>
      </c>
      <c r="N219" s="163" t="str">
        <f>IFERROR(IF(A219=CONCATENATE("1","-",E219),L219,
IF(O219="Venda",VLOOKUP(CONCATENATE((COUNTIF($E$2:E219,E219)-1),"-",E219),$A$2:$N$313,14,FALSE),(VLOOKUP(CONCATENATE((COUNTIF($E$2:E219,E219)-1),"-",E219),$A$2:$N$313,14,FALSE)*VLOOKUP(CONCATENATE((COUNTIF($E$2:E219,E219)-1),"-",E219),$A$2:$N$313,13,FALSE)+K219)/M219)),"-x-")</f>
        <v>-x-</v>
      </c>
      <c r="O219" s="164" t="str">
        <f t="shared" si="11"/>
        <v>-</v>
      </c>
      <c r="P219" s="126"/>
      <c r="Q219" s="128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customHeight="1">
      <c r="A220" s="156" t="str">
        <f t="shared" si="0"/>
        <v/>
      </c>
      <c r="B220" s="165"/>
      <c r="C220" s="159" t="str">
        <f t="shared" si="10"/>
        <v>-</v>
      </c>
      <c r="D220" s="160"/>
      <c r="E220" s="169"/>
      <c r="F220" s="170"/>
      <c r="G220" s="171"/>
      <c r="H220" s="168">
        <v>0</v>
      </c>
      <c r="I220" s="171">
        <v>0</v>
      </c>
      <c r="J220" s="161">
        <f t="shared" si="1"/>
        <v>0</v>
      </c>
      <c r="K220" s="161">
        <f t="shared" si="2"/>
        <v>0</v>
      </c>
      <c r="L220" s="161" t="str">
        <f t="shared" si="3"/>
        <v>-x-</v>
      </c>
      <c r="M220" s="162">
        <f>SUMIF($E$2:E220,E220,$F$2:F220)</f>
        <v>0</v>
      </c>
      <c r="N220" s="163" t="str">
        <f>IFERROR(IF(A220=CONCATENATE("1","-",E220),L220,
IF(O220="Venda",VLOOKUP(CONCATENATE((COUNTIF($E$2:E220,E220)-1),"-",E220),$A$2:$N$313,14,FALSE),(VLOOKUP(CONCATENATE((COUNTIF($E$2:E220,E220)-1),"-",E220),$A$2:$N$313,14,FALSE)*VLOOKUP(CONCATENATE((COUNTIF($E$2:E220,E220)-1),"-",E220),$A$2:$N$313,13,FALSE)+K220)/M220)),"-x-")</f>
        <v>-x-</v>
      </c>
      <c r="O220" s="164" t="str">
        <f t="shared" si="11"/>
        <v>-</v>
      </c>
      <c r="P220" s="126"/>
      <c r="Q220" s="128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customHeight="1">
      <c r="A221" s="156" t="str">
        <f t="shared" si="0"/>
        <v/>
      </c>
      <c r="B221" s="165"/>
      <c r="C221" s="159" t="str">
        <f t="shared" si="10"/>
        <v>-</v>
      </c>
      <c r="D221" s="160"/>
      <c r="E221" s="169"/>
      <c r="F221" s="170"/>
      <c r="G221" s="171"/>
      <c r="H221" s="168">
        <v>0</v>
      </c>
      <c r="I221" s="171">
        <v>0</v>
      </c>
      <c r="J221" s="161">
        <f t="shared" si="1"/>
        <v>0</v>
      </c>
      <c r="K221" s="161">
        <f t="shared" si="2"/>
        <v>0</v>
      </c>
      <c r="L221" s="161" t="str">
        <f t="shared" si="3"/>
        <v>-x-</v>
      </c>
      <c r="M221" s="162">
        <f>SUMIF($E$2:E221,E221,$F$2:F221)</f>
        <v>0</v>
      </c>
      <c r="N221" s="163" t="str">
        <f>IFERROR(IF(A221=CONCATENATE("1","-",E221),L221,
IF(O221="Venda",VLOOKUP(CONCATENATE((COUNTIF($E$2:E221,E221)-1),"-",E221),$A$2:$N$313,14,FALSE),(VLOOKUP(CONCATENATE((COUNTIF($E$2:E221,E221)-1),"-",E221),$A$2:$N$313,14,FALSE)*VLOOKUP(CONCATENATE((COUNTIF($E$2:E221,E221)-1),"-",E221),$A$2:$N$313,13,FALSE)+K221)/M221)),"-x-")</f>
        <v>-x-</v>
      </c>
      <c r="O221" s="164" t="str">
        <f t="shared" si="11"/>
        <v>-</v>
      </c>
      <c r="P221" s="126"/>
      <c r="Q221" s="128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customHeight="1">
      <c r="A222" s="156" t="str">
        <f t="shared" si="0"/>
        <v/>
      </c>
      <c r="B222" s="165"/>
      <c r="C222" s="159" t="str">
        <f t="shared" si="10"/>
        <v>-</v>
      </c>
      <c r="D222" s="160"/>
      <c r="E222" s="169"/>
      <c r="F222" s="170"/>
      <c r="G222" s="171"/>
      <c r="H222" s="168">
        <v>0</v>
      </c>
      <c r="I222" s="171">
        <v>0</v>
      </c>
      <c r="J222" s="161">
        <f t="shared" si="1"/>
        <v>0</v>
      </c>
      <c r="K222" s="161">
        <f t="shared" si="2"/>
        <v>0</v>
      </c>
      <c r="L222" s="161" t="str">
        <f t="shared" si="3"/>
        <v>-x-</v>
      </c>
      <c r="M222" s="162">
        <f>SUMIF($E$2:E222,E222,$F$2:F222)</f>
        <v>0</v>
      </c>
      <c r="N222" s="163" t="str">
        <f>IFERROR(IF(A222=CONCATENATE("1","-",E222),L222,
IF(O222="Venda",VLOOKUP(CONCATENATE((COUNTIF($E$2:E222,E222)-1),"-",E222),$A$2:$N$313,14,FALSE),(VLOOKUP(CONCATENATE((COUNTIF($E$2:E222,E222)-1),"-",E222),$A$2:$N$313,14,FALSE)*VLOOKUP(CONCATENATE((COUNTIF($E$2:E222,E222)-1),"-",E222),$A$2:$N$313,13,FALSE)+K222)/M222)),"-x-")</f>
        <v>-x-</v>
      </c>
      <c r="O222" s="164" t="str">
        <f t="shared" si="11"/>
        <v>-</v>
      </c>
      <c r="P222" s="126"/>
      <c r="Q222" s="128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customHeight="1">
      <c r="A223" s="156" t="str">
        <f t="shared" si="0"/>
        <v/>
      </c>
      <c r="B223" s="165"/>
      <c r="C223" s="159" t="str">
        <f t="shared" si="10"/>
        <v>-</v>
      </c>
      <c r="D223" s="160"/>
      <c r="E223" s="169"/>
      <c r="F223" s="170"/>
      <c r="G223" s="171"/>
      <c r="H223" s="168">
        <v>0</v>
      </c>
      <c r="I223" s="171">
        <v>0</v>
      </c>
      <c r="J223" s="161">
        <f t="shared" si="1"/>
        <v>0</v>
      </c>
      <c r="K223" s="161">
        <f t="shared" si="2"/>
        <v>0</v>
      </c>
      <c r="L223" s="161" t="str">
        <f t="shared" si="3"/>
        <v>-x-</v>
      </c>
      <c r="M223" s="162">
        <f>SUMIF($E$2:E223,E223,$F$2:F223)</f>
        <v>0</v>
      </c>
      <c r="N223" s="163" t="str">
        <f>IFERROR(IF(A223=CONCATENATE("1","-",E223),L223,
IF(O223="Venda",VLOOKUP(CONCATENATE((COUNTIF($E$2:E223,E223)-1),"-",E223),$A$2:$N$313,14,FALSE),(VLOOKUP(CONCATENATE((COUNTIF($E$2:E223,E223)-1),"-",E223),$A$2:$N$313,14,FALSE)*VLOOKUP(CONCATENATE((COUNTIF($E$2:E223,E223)-1),"-",E223),$A$2:$N$313,13,FALSE)+K223)/M223)),"-x-")</f>
        <v>-x-</v>
      </c>
      <c r="O223" s="164" t="str">
        <f t="shared" si="11"/>
        <v>-</v>
      </c>
      <c r="P223" s="126"/>
      <c r="Q223" s="128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customHeight="1">
      <c r="A224" s="156" t="str">
        <f t="shared" si="0"/>
        <v/>
      </c>
      <c r="B224" s="165"/>
      <c r="C224" s="159" t="str">
        <f t="shared" si="10"/>
        <v>-</v>
      </c>
      <c r="D224" s="160"/>
      <c r="E224" s="169"/>
      <c r="F224" s="170"/>
      <c r="G224" s="171"/>
      <c r="H224" s="168">
        <v>0</v>
      </c>
      <c r="I224" s="171">
        <v>0</v>
      </c>
      <c r="J224" s="161">
        <f t="shared" si="1"/>
        <v>0</v>
      </c>
      <c r="K224" s="161">
        <f t="shared" si="2"/>
        <v>0</v>
      </c>
      <c r="L224" s="161" t="str">
        <f t="shared" si="3"/>
        <v>-x-</v>
      </c>
      <c r="M224" s="162">
        <f>SUMIF($E$2:E224,E224,$F$2:F224)</f>
        <v>0</v>
      </c>
      <c r="N224" s="163" t="str">
        <f>IFERROR(IF(A224=CONCATENATE("1","-",E224),L224,
IF(O224="Venda",VLOOKUP(CONCATENATE((COUNTIF($E$2:E224,E224)-1),"-",E224),$A$2:$N$313,14,FALSE),(VLOOKUP(CONCATENATE((COUNTIF($E$2:E224,E224)-1),"-",E224),$A$2:$N$313,14,FALSE)*VLOOKUP(CONCATENATE((COUNTIF($E$2:E224,E224)-1),"-",E224),$A$2:$N$313,13,FALSE)+K224)/M224)),"-x-")</f>
        <v>-x-</v>
      </c>
      <c r="O224" s="164" t="str">
        <f t="shared" si="11"/>
        <v>-</v>
      </c>
      <c r="P224" s="126"/>
      <c r="Q224" s="128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.75" customHeight="1">
      <c r="A225" s="156" t="str">
        <f t="shared" si="0"/>
        <v/>
      </c>
      <c r="B225" s="165"/>
      <c r="C225" s="159" t="str">
        <f t="shared" si="10"/>
        <v>-</v>
      </c>
      <c r="D225" s="160"/>
      <c r="E225" s="169"/>
      <c r="F225" s="170"/>
      <c r="G225" s="171"/>
      <c r="H225" s="168">
        <v>0</v>
      </c>
      <c r="I225" s="171">
        <v>0</v>
      </c>
      <c r="J225" s="161">
        <f t="shared" si="1"/>
        <v>0</v>
      </c>
      <c r="K225" s="161">
        <f t="shared" si="2"/>
        <v>0</v>
      </c>
      <c r="L225" s="161" t="str">
        <f t="shared" si="3"/>
        <v>-x-</v>
      </c>
      <c r="M225" s="162">
        <f>SUMIF($E$2:E225,E225,$F$2:F225)</f>
        <v>0</v>
      </c>
      <c r="N225" s="163" t="str">
        <f>IFERROR(IF(A225=CONCATENATE("1","-",E225),L225,
IF(O225="Venda",VLOOKUP(CONCATENATE((COUNTIF($E$2:E225,E225)-1),"-",E225),$A$2:$N$313,14,FALSE),(VLOOKUP(CONCATENATE((COUNTIF($E$2:E225,E225)-1),"-",E225),$A$2:$N$313,14,FALSE)*VLOOKUP(CONCATENATE((COUNTIF($E$2:E225,E225)-1),"-",E225),$A$2:$N$313,13,FALSE)+K225)/M225)),"-x-")</f>
        <v>-x-</v>
      </c>
      <c r="O225" s="164" t="str">
        <f t="shared" si="11"/>
        <v>-</v>
      </c>
      <c r="P225" s="126"/>
      <c r="Q225" s="128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.75" customHeight="1">
      <c r="A226" s="156" t="str">
        <f t="shared" si="0"/>
        <v/>
      </c>
      <c r="B226" s="165"/>
      <c r="C226" s="159" t="str">
        <f t="shared" si="10"/>
        <v>-</v>
      </c>
      <c r="D226" s="160"/>
      <c r="E226" s="169"/>
      <c r="F226" s="170"/>
      <c r="G226" s="171"/>
      <c r="H226" s="168">
        <v>0</v>
      </c>
      <c r="I226" s="171">
        <v>0</v>
      </c>
      <c r="J226" s="161">
        <f t="shared" si="1"/>
        <v>0</v>
      </c>
      <c r="K226" s="161">
        <f t="shared" si="2"/>
        <v>0</v>
      </c>
      <c r="L226" s="161" t="str">
        <f t="shared" si="3"/>
        <v>-x-</v>
      </c>
      <c r="M226" s="162">
        <f>SUMIF($E$2:E226,E226,$F$2:F226)</f>
        <v>0</v>
      </c>
      <c r="N226" s="163" t="str">
        <f>IFERROR(IF(A226=CONCATENATE("1","-",E226),L226,
IF(O226="Venda",VLOOKUP(CONCATENATE((COUNTIF($E$2:E226,E226)-1),"-",E226),$A$2:$N$313,14,FALSE),(VLOOKUP(CONCATENATE((COUNTIF($E$2:E226,E226)-1),"-",E226),$A$2:$N$313,14,FALSE)*VLOOKUP(CONCATENATE((COUNTIF($E$2:E226,E226)-1),"-",E226),$A$2:$N$313,13,FALSE)+K226)/M226)),"-x-")</f>
        <v>-x-</v>
      </c>
      <c r="O226" s="164" t="str">
        <f t="shared" si="11"/>
        <v>-</v>
      </c>
      <c r="P226" s="126"/>
      <c r="Q226" s="128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.75" customHeight="1">
      <c r="A227" s="156" t="str">
        <f t="shared" si="0"/>
        <v/>
      </c>
      <c r="B227" s="165"/>
      <c r="C227" s="159" t="str">
        <f t="shared" si="10"/>
        <v>-</v>
      </c>
      <c r="D227" s="160"/>
      <c r="E227" s="169"/>
      <c r="F227" s="170"/>
      <c r="G227" s="171"/>
      <c r="H227" s="168">
        <v>0</v>
      </c>
      <c r="I227" s="171">
        <v>0</v>
      </c>
      <c r="J227" s="161">
        <f t="shared" si="1"/>
        <v>0</v>
      </c>
      <c r="K227" s="161">
        <f t="shared" si="2"/>
        <v>0</v>
      </c>
      <c r="L227" s="161" t="str">
        <f t="shared" si="3"/>
        <v>-x-</v>
      </c>
      <c r="M227" s="162">
        <f>SUMIF($E$2:E227,E227,$F$2:F227)</f>
        <v>0</v>
      </c>
      <c r="N227" s="163" t="str">
        <f>IFERROR(IF(A227=CONCATENATE("1","-",E227),L227,
IF(O227="Venda",VLOOKUP(CONCATENATE((COUNTIF($E$2:E227,E227)-1),"-",E227),$A$2:$N$313,14,FALSE),(VLOOKUP(CONCATENATE((COUNTIF($E$2:E227,E227)-1),"-",E227),$A$2:$N$313,14,FALSE)*VLOOKUP(CONCATENATE((COUNTIF($E$2:E227,E227)-1),"-",E227),$A$2:$N$313,13,FALSE)+K227)/M227)),"-x-")</f>
        <v>-x-</v>
      </c>
      <c r="O227" s="164" t="str">
        <f t="shared" si="11"/>
        <v>-</v>
      </c>
      <c r="P227" s="126"/>
      <c r="Q227" s="128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.75" customHeight="1">
      <c r="A228" s="156" t="str">
        <f t="shared" si="0"/>
        <v/>
      </c>
      <c r="B228" s="165"/>
      <c r="C228" s="159" t="str">
        <f t="shared" si="10"/>
        <v>-</v>
      </c>
      <c r="D228" s="160"/>
      <c r="E228" s="169"/>
      <c r="F228" s="170"/>
      <c r="G228" s="171"/>
      <c r="H228" s="168">
        <v>0</v>
      </c>
      <c r="I228" s="171">
        <v>0</v>
      </c>
      <c r="J228" s="161">
        <f t="shared" si="1"/>
        <v>0</v>
      </c>
      <c r="K228" s="161">
        <f t="shared" si="2"/>
        <v>0</v>
      </c>
      <c r="L228" s="161" t="str">
        <f t="shared" si="3"/>
        <v>-x-</v>
      </c>
      <c r="M228" s="162">
        <f>SUMIF($E$2:E228,E228,$F$2:F228)</f>
        <v>0</v>
      </c>
      <c r="N228" s="163" t="str">
        <f>IFERROR(IF(A228=CONCATENATE("1","-",E228),L228,
IF(O228="Venda",VLOOKUP(CONCATENATE((COUNTIF($E$2:E228,E228)-1),"-",E228),$A$2:$N$313,14,FALSE),(VLOOKUP(CONCATENATE((COUNTIF($E$2:E228,E228)-1),"-",E228),$A$2:$N$313,14,FALSE)*VLOOKUP(CONCATENATE((COUNTIF($E$2:E228,E228)-1),"-",E228),$A$2:$N$313,13,FALSE)+K228)/M228)),"-x-")</f>
        <v>-x-</v>
      </c>
      <c r="O228" s="164" t="str">
        <f t="shared" si="11"/>
        <v>-</v>
      </c>
      <c r="P228" s="126"/>
      <c r="Q228" s="128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.75" customHeight="1">
      <c r="A229" s="156" t="str">
        <f t="shared" si="0"/>
        <v/>
      </c>
      <c r="B229" s="165"/>
      <c r="C229" s="159" t="str">
        <f t="shared" si="10"/>
        <v>-</v>
      </c>
      <c r="D229" s="160"/>
      <c r="E229" s="169"/>
      <c r="F229" s="170"/>
      <c r="G229" s="171"/>
      <c r="H229" s="168">
        <v>0</v>
      </c>
      <c r="I229" s="171">
        <v>0</v>
      </c>
      <c r="J229" s="161">
        <f t="shared" si="1"/>
        <v>0</v>
      </c>
      <c r="K229" s="161">
        <f t="shared" si="2"/>
        <v>0</v>
      </c>
      <c r="L229" s="161" t="str">
        <f t="shared" si="3"/>
        <v>-x-</v>
      </c>
      <c r="M229" s="162">
        <f>SUMIF($E$2:E229,E229,$F$2:F229)</f>
        <v>0</v>
      </c>
      <c r="N229" s="163" t="str">
        <f>IFERROR(IF(A229=CONCATENATE("1","-",E229),L229,
IF(O229="Venda",VLOOKUP(CONCATENATE((COUNTIF($E$2:E229,E229)-1),"-",E229),$A$2:$N$313,14,FALSE),(VLOOKUP(CONCATENATE((COUNTIF($E$2:E229,E229)-1),"-",E229),$A$2:$N$313,14,FALSE)*VLOOKUP(CONCATENATE((COUNTIF($E$2:E229,E229)-1),"-",E229),$A$2:$N$313,13,FALSE)+K229)/M229)),"-x-")</f>
        <v>-x-</v>
      </c>
      <c r="O229" s="164" t="str">
        <f t="shared" si="11"/>
        <v>-</v>
      </c>
      <c r="P229" s="126"/>
      <c r="Q229" s="128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.75" customHeight="1">
      <c r="A230" s="156" t="str">
        <f t="shared" si="0"/>
        <v/>
      </c>
      <c r="B230" s="165"/>
      <c r="C230" s="159" t="str">
        <f t="shared" si="10"/>
        <v>-</v>
      </c>
      <c r="D230" s="160"/>
      <c r="E230" s="169"/>
      <c r="F230" s="170"/>
      <c r="G230" s="171"/>
      <c r="H230" s="168">
        <v>0</v>
      </c>
      <c r="I230" s="171">
        <v>0</v>
      </c>
      <c r="J230" s="161">
        <f t="shared" si="1"/>
        <v>0</v>
      </c>
      <c r="K230" s="161">
        <f t="shared" si="2"/>
        <v>0</v>
      </c>
      <c r="L230" s="161" t="str">
        <f t="shared" si="3"/>
        <v>-x-</v>
      </c>
      <c r="M230" s="162">
        <f>SUMIF($E$2:E230,E230,$F$2:F230)</f>
        <v>0</v>
      </c>
      <c r="N230" s="163" t="str">
        <f>IFERROR(IF(A230=CONCATENATE("1","-",E230),L230,
IF(O230="Venda",VLOOKUP(CONCATENATE((COUNTIF($E$2:E230,E230)-1),"-",E230),$A$2:$N$313,14,FALSE),(VLOOKUP(CONCATENATE((COUNTIF($E$2:E230,E230)-1),"-",E230),$A$2:$N$313,14,FALSE)*VLOOKUP(CONCATENATE((COUNTIF($E$2:E230,E230)-1),"-",E230),$A$2:$N$313,13,FALSE)+K230)/M230)),"-x-")</f>
        <v>-x-</v>
      </c>
      <c r="O230" s="164" t="str">
        <f t="shared" si="11"/>
        <v>-</v>
      </c>
      <c r="P230" s="126"/>
      <c r="Q230" s="128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5.75" customHeight="1">
      <c r="A231" s="156" t="str">
        <f t="shared" si="0"/>
        <v/>
      </c>
      <c r="B231" s="165"/>
      <c r="C231" s="159" t="str">
        <f t="shared" si="10"/>
        <v>-</v>
      </c>
      <c r="D231" s="160"/>
      <c r="E231" s="169"/>
      <c r="F231" s="170"/>
      <c r="G231" s="171"/>
      <c r="H231" s="168">
        <v>0</v>
      </c>
      <c r="I231" s="171">
        <v>0</v>
      </c>
      <c r="J231" s="161">
        <f t="shared" si="1"/>
        <v>0</v>
      </c>
      <c r="K231" s="161">
        <f t="shared" si="2"/>
        <v>0</v>
      </c>
      <c r="L231" s="161" t="str">
        <f t="shared" si="3"/>
        <v>-x-</v>
      </c>
      <c r="M231" s="162">
        <f>SUMIF($E$2:E231,E231,$F$2:F231)</f>
        <v>0</v>
      </c>
      <c r="N231" s="163" t="str">
        <f>IFERROR(IF(A231=CONCATENATE("1","-",E231),L231,
IF(O231="Venda",VLOOKUP(CONCATENATE((COUNTIF($E$2:E231,E231)-1),"-",E231),$A$2:$N$313,14,FALSE),(VLOOKUP(CONCATENATE((COUNTIF($E$2:E231,E231)-1),"-",E231),$A$2:$N$313,14,FALSE)*VLOOKUP(CONCATENATE((COUNTIF($E$2:E231,E231)-1),"-",E231),$A$2:$N$313,13,FALSE)+K231)/M231)),"-x-")</f>
        <v>-x-</v>
      </c>
      <c r="O231" s="164" t="str">
        <f t="shared" si="11"/>
        <v>-</v>
      </c>
      <c r="P231" s="126"/>
      <c r="Q231" s="128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5.75" customHeight="1">
      <c r="A232" s="156" t="str">
        <f t="shared" si="0"/>
        <v/>
      </c>
      <c r="B232" s="165"/>
      <c r="C232" s="159" t="str">
        <f t="shared" si="10"/>
        <v>-</v>
      </c>
      <c r="D232" s="160"/>
      <c r="E232" s="169"/>
      <c r="F232" s="170"/>
      <c r="G232" s="171"/>
      <c r="H232" s="168">
        <v>0</v>
      </c>
      <c r="I232" s="171">
        <v>0</v>
      </c>
      <c r="J232" s="161">
        <f t="shared" si="1"/>
        <v>0</v>
      </c>
      <c r="K232" s="161">
        <f t="shared" si="2"/>
        <v>0</v>
      </c>
      <c r="L232" s="161" t="str">
        <f t="shared" si="3"/>
        <v>-x-</v>
      </c>
      <c r="M232" s="162">
        <f>SUMIF($E$2:E232,E232,$F$2:F232)</f>
        <v>0</v>
      </c>
      <c r="N232" s="163" t="str">
        <f>IFERROR(IF(A232=CONCATENATE("1","-",E232),L232,
IF(O232="Venda",VLOOKUP(CONCATENATE((COUNTIF($E$2:E232,E232)-1),"-",E232),$A$2:$N$313,14,FALSE),(VLOOKUP(CONCATENATE((COUNTIF($E$2:E232,E232)-1),"-",E232),$A$2:$N$313,14,FALSE)*VLOOKUP(CONCATENATE((COUNTIF($E$2:E232,E232)-1),"-",E232),$A$2:$N$313,13,FALSE)+K232)/M232)),"-x-")</f>
        <v>-x-</v>
      </c>
      <c r="O232" s="164" t="str">
        <f t="shared" si="11"/>
        <v>-</v>
      </c>
      <c r="P232" s="126"/>
      <c r="Q232" s="128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5.75" customHeight="1">
      <c r="A233" s="156" t="str">
        <f t="shared" si="0"/>
        <v/>
      </c>
      <c r="B233" s="165"/>
      <c r="C233" s="159" t="str">
        <f t="shared" si="10"/>
        <v>-</v>
      </c>
      <c r="D233" s="160"/>
      <c r="E233" s="169"/>
      <c r="F233" s="170"/>
      <c r="G233" s="171"/>
      <c r="H233" s="168">
        <v>0</v>
      </c>
      <c r="I233" s="171">
        <v>0</v>
      </c>
      <c r="J233" s="161">
        <f t="shared" si="1"/>
        <v>0</v>
      </c>
      <c r="K233" s="161">
        <f t="shared" si="2"/>
        <v>0</v>
      </c>
      <c r="L233" s="161" t="str">
        <f t="shared" si="3"/>
        <v>-x-</v>
      </c>
      <c r="M233" s="162">
        <f>SUMIF($E$2:E233,E233,$F$2:F233)</f>
        <v>0</v>
      </c>
      <c r="N233" s="163" t="str">
        <f>IFERROR(IF(A233=CONCATENATE("1","-",E233),L233,
IF(O233="Venda",VLOOKUP(CONCATENATE((COUNTIF($E$2:E233,E233)-1),"-",E233),$A$2:$N$313,14,FALSE),(VLOOKUP(CONCATENATE((COUNTIF($E$2:E233,E233)-1),"-",E233),$A$2:$N$313,14,FALSE)*VLOOKUP(CONCATENATE((COUNTIF($E$2:E233,E233)-1),"-",E233),$A$2:$N$313,13,FALSE)+K233)/M233)),"-x-")</f>
        <v>-x-</v>
      </c>
      <c r="O233" s="164" t="str">
        <f t="shared" si="11"/>
        <v>-</v>
      </c>
      <c r="P233" s="126"/>
      <c r="Q233" s="128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5.75" customHeight="1">
      <c r="A234" s="156" t="str">
        <f t="shared" si="0"/>
        <v/>
      </c>
      <c r="B234" s="165"/>
      <c r="C234" s="159" t="str">
        <f t="shared" si="10"/>
        <v>-</v>
      </c>
      <c r="D234" s="160"/>
      <c r="E234" s="169"/>
      <c r="F234" s="170"/>
      <c r="G234" s="171"/>
      <c r="H234" s="168">
        <v>0</v>
      </c>
      <c r="I234" s="171">
        <v>0</v>
      </c>
      <c r="J234" s="161">
        <f t="shared" si="1"/>
        <v>0</v>
      </c>
      <c r="K234" s="161">
        <f t="shared" si="2"/>
        <v>0</v>
      </c>
      <c r="L234" s="161" t="str">
        <f t="shared" si="3"/>
        <v>-x-</v>
      </c>
      <c r="M234" s="162">
        <f>SUMIF($E$2:E234,E234,$F$2:F234)</f>
        <v>0</v>
      </c>
      <c r="N234" s="163" t="str">
        <f>IFERROR(IF(A234=CONCATENATE("1","-",E234),L234,
IF(O234="Venda",VLOOKUP(CONCATENATE((COUNTIF($E$2:E234,E234)-1),"-",E234),$A$2:$N$313,14,FALSE),(VLOOKUP(CONCATENATE((COUNTIF($E$2:E234,E234)-1),"-",E234),$A$2:$N$313,14,FALSE)*VLOOKUP(CONCATENATE((COUNTIF($E$2:E234,E234)-1),"-",E234),$A$2:$N$313,13,FALSE)+K234)/M234)),"-x-")</f>
        <v>-x-</v>
      </c>
      <c r="O234" s="164" t="str">
        <f t="shared" si="11"/>
        <v>-</v>
      </c>
      <c r="P234" s="126"/>
      <c r="Q234" s="128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5.75" customHeight="1">
      <c r="A235" s="156" t="str">
        <f t="shared" si="0"/>
        <v/>
      </c>
      <c r="B235" s="165"/>
      <c r="C235" s="159" t="str">
        <f t="shared" si="10"/>
        <v>-</v>
      </c>
      <c r="D235" s="160"/>
      <c r="E235" s="169"/>
      <c r="F235" s="170"/>
      <c r="G235" s="171"/>
      <c r="H235" s="168">
        <v>0</v>
      </c>
      <c r="I235" s="171">
        <v>0</v>
      </c>
      <c r="J235" s="161">
        <f t="shared" si="1"/>
        <v>0</v>
      </c>
      <c r="K235" s="161">
        <f t="shared" si="2"/>
        <v>0</v>
      </c>
      <c r="L235" s="161" t="str">
        <f t="shared" si="3"/>
        <v>-x-</v>
      </c>
      <c r="M235" s="162">
        <f>SUMIF($E$2:E235,E235,$F$2:F235)</f>
        <v>0</v>
      </c>
      <c r="N235" s="163" t="str">
        <f>IFERROR(IF(A235=CONCATENATE("1","-",E235),L235,
IF(O235="Venda",VLOOKUP(CONCATENATE((COUNTIF($E$2:E235,E235)-1),"-",E235),$A$2:$N$313,14,FALSE),(VLOOKUP(CONCATENATE((COUNTIF($E$2:E235,E235)-1),"-",E235),$A$2:$N$313,14,FALSE)*VLOOKUP(CONCATENATE((COUNTIF($E$2:E235,E235)-1),"-",E235),$A$2:$N$313,13,FALSE)+K235)/M235)),"-x-")</f>
        <v>-x-</v>
      </c>
      <c r="O235" s="164" t="str">
        <f t="shared" si="11"/>
        <v>-</v>
      </c>
      <c r="P235" s="126"/>
      <c r="Q235" s="128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5.75" customHeight="1">
      <c r="A236" s="156" t="str">
        <f t="shared" si="0"/>
        <v/>
      </c>
      <c r="B236" s="165"/>
      <c r="C236" s="159" t="str">
        <f t="shared" si="10"/>
        <v>-</v>
      </c>
      <c r="D236" s="160"/>
      <c r="E236" s="169"/>
      <c r="F236" s="170"/>
      <c r="G236" s="171"/>
      <c r="H236" s="168">
        <v>0</v>
      </c>
      <c r="I236" s="171">
        <v>0</v>
      </c>
      <c r="J236" s="161">
        <f t="shared" si="1"/>
        <v>0</v>
      </c>
      <c r="K236" s="161">
        <f t="shared" si="2"/>
        <v>0</v>
      </c>
      <c r="L236" s="161" t="str">
        <f t="shared" si="3"/>
        <v>-x-</v>
      </c>
      <c r="M236" s="162">
        <f>SUMIF($E$2:E236,E236,$F$2:F236)</f>
        <v>0</v>
      </c>
      <c r="N236" s="163" t="str">
        <f>IFERROR(IF(A236=CONCATENATE("1","-",E236),L236,
IF(O236="Venda",VLOOKUP(CONCATENATE((COUNTIF($E$2:E236,E236)-1),"-",E236),$A$2:$N$313,14,FALSE),(VLOOKUP(CONCATENATE((COUNTIF($E$2:E236,E236)-1),"-",E236),$A$2:$N$313,14,FALSE)*VLOOKUP(CONCATENATE((COUNTIF($E$2:E236,E236)-1),"-",E236),$A$2:$N$313,13,FALSE)+K236)/M236)),"-x-")</f>
        <v>-x-</v>
      </c>
      <c r="O236" s="164" t="str">
        <f t="shared" si="11"/>
        <v>-</v>
      </c>
      <c r="P236" s="126"/>
      <c r="Q236" s="128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5.75" customHeight="1">
      <c r="A237" s="156" t="str">
        <f t="shared" si="0"/>
        <v/>
      </c>
      <c r="B237" s="165"/>
      <c r="C237" s="159" t="str">
        <f t="shared" si="10"/>
        <v>-</v>
      </c>
      <c r="D237" s="160"/>
      <c r="E237" s="169"/>
      <c r="F237" s="170"/>
      <c r="G237" s="171"/>
      <c r="H237" s="168">
        <v>0</v>
      </c>
      <c r="I237" s="171">
        <v>0</v>
      </c>
      <c r="J237" s="161">
        <f t="shared" si="1"/>
        <v>0</v>
      </c>
      <c r="K237" s="161">
        <f t="shared" si="2"/>
        <v>0</v>
      </c>
      <c r="L237" s="161" t="str">
        <f t="shared" si="3"/>
        <v>-x-</v>
      </c>
      <c r="M237" s="162">
        <f>SUMIF($E$2:E237,E237,$F$2:F237)</f>
        <v>0</v>
      </c>
      <c r="N237" s="163" t="str">
        <f>IFERROR(IF(A237=CONCATENATE("1","-",E237),L237,
IF(O237="Venda",VLOOKUP(CONCATENATE((COUNTIF($E$2:E237,E237)-1),"-",E237),$A$2:$N$313,14,FALSE),(VLOOKUP(CONCATENATE((COUNTIF($E$2:E237,E237)-1),"-",E237),$A$2:$N$313,14,FALSE)*VLOOKUP(CONCATENATE((COUNTIF($E$2:E237,E237)-1),"-",E237),$A$2:$N$313,13,FALSE)+K237)/M237)),"-x-")</f>
        <v>-x-</v>
      </c>
      <c r="O237" s="164" t="str">
        <f t="shared" si="11"/>
        <v>-</v>
      </c>
      <c r="P237" s="126"/>
      <c r="Q237" s="128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5.75" customHeight="1">
      <c r="A238" s="156" t="str">
        <f t="shared" si="0"/>
        <v/>
      </c>
      <c r="B238" s="165"/>
      <c r="C238" s="159" t="str">
        <f t="shared" si="10"/>
        <v>-</v>
      </c>
      <c r="D238" s="160"/>
      <c r="E238" s="169"/>
      <c r="F238" s="170"/>
      <c r="G238" s="171"/>
      <c r="H238" s="168">
        <v>0</v>
      </c>
      <c r="I238" s="171">
        <v>0</v>
      </c>
      <c r="J238" s="161">
        <f t="shared" si="1"/>
        <v>0</v>
      </c>
      <c r="K238" s="161">
        <f t="shared" si="2"/>
        <v>0</v>
      </c>
      <c r="L238" s="161" t="str">
        <f t="shared" si="3"/>
        <v>-x-</v>
      </c>
      <c r="M238" s="162">
        <f>SUMIF($E$2:E238,E238,$F$2:F238)</f>
        <v>0</v>
      </c>
      <c r="N238" s="163" t="str">
        <f>IFERROR(IF(A238=CONCATENATE("1","-",E238),L238,
IF(O238="Venda",VLOOKUP(CONCATENATE((COUNTIF($E$2:E238,E238)-1),"-",E238),$A$2:$N$313,14,FALSE),(VLOOKUP(CONCATENATE((COUNTIF($E$2:E238,E238)-1),"-",E238),$A$2:$N$313,14,FALSE)*VLOOKUP(CONCATENATE((COUNTIF($E$2:E238,E238)-1),"-",E238),$A$2:$N$313,13,FALSE)+K238)/M238)),"-x-")</f>
        <v>-x-</v>
      </c>
      <c r="O238" s="164" t="str">
        <f t="shared" si="11"/>
        <v>-</v>
      </c>
      <c r="P238" s="126"/>
      <c r="Q238" s="128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5.75" customHeight="1">
      <c r="A239" s="156" t="str">
        <f t="shared" si="0"/>
        <v/>
      </c>
      <c r="B239" s="165"/>
      <c r="C239" s="159" t="str">
        <f t="shared" si="10"/>
        <v>-</v>
      </c>
      <c r="D239" s="160"/>
      <c r="E239" s="169"/>
      <c r="F239" s="170"/>
      <c r="G239" s="171"/>
      <c r="H239" s="168">
        <v>0</v>
      </c>
      <c r="I239" s="171">
        <v>0</v>
      </c>
      <c r="J239" s="161">
        <f t="shared" si="1"/>
        <v>0</v>
      </c>
      <c r="K239" s="161">
        <f t="shared" si="2"/>
        <v>0</v>
      </c>
      <c r="L239" s="161" t="str">
        <f t="shared" si="3"/>
        <v>-x-</v>
      </c>
      <c r="M239" s="162">
        <f>SUMIF($E$2:E239,E239,$F$2:F239)</f>
        <v>0</v>
      </c>
      <c r="N239" s="163" t="str">
        <f>IFERROR(IF(A239=CONCATENATE("1","-",E239),L239,
IF(O239="Venda",VLOOKUP(CONCATENATE((COUNTIF($E$2:E239,E239)-1),"-",E239),$A$2:$N$313,14,FALSE),(VLOOKUP(CONCATENATE((COUNTIF($E$2:E239,E239)-1),"-",E239),$A$2:$N$313,14,FALSE)*VLOOKUP(CONCATENATE((COUNTIF($E$2:E239,E239)-1),"-",E239),$A$2:$N$313,13,FALSE)+K239)/M239)),"-x-")</f>
        <v>-x-</v>
      </c>
      <c r="O239" s="164" t="str">
        <f t="shared" si="11"/>
        <v>-</v>
      </c>
      <c r="P239" s="126"/>
      <c r="Q239" s="128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5.75" customHeight="1">
      <c r="A240" s="156" t="str">
        <f t="shared" si="0"/>
        <v/>
      </c>
      <c r="B240" s="165"/>
      <c r="C240" s="159" t="str">
        <f t="shared" si="10"/>
        <v>-</v>
      </c>
      <c r="D240" s="160"/>
      <c r="E240" s="169"/>
      <c r="F240" s="170"/>
      <c r="G240" s="171"/>
      <c r="H240" s="168">
        <v>0</v>
      </c>
      <c r="I240" s="171">
        <v>0</v>
      </c>
      <c r="J240" s="161">
        <f t="shared" si="1"/>
        <v>0</v>
      </c>
      <c r="K240" s="161">
        <f t="shared" si="2"/>
        <v>0</v>
      </c>
      <c r="L240" s="161" t="str">
        <f t="shared" si="3"/>
        <v>-x-</v>
      </c>
      <c r="M240" s="162">
        <f>SUMIF($E$2:E240,E240,$F$2:F240)</f>
        <v>0</v>
      </c>
      <c r="N240" s="163" t="str">
        <f>IFERROR(IF(A240=CONCATENATE("1","-",E240),L240,
IF(O240="Venda",VLOOKUP(CONCATENATE((COUNTIF($E$2:E240,E240)-1),"-",E240),$A$2:$N$313,14,FALSE),(VLOOKUP(CONCATENATE((COUNTIF($E$2:E240,E240)-1),"-",E240),$A$2:$N$313,14,FALSE)*VLOOKUP(CONCATENATE((COUNTIF($E$2:E240,E240)-1),"-",E240),$A$2:$N$313,13,FALSE)+K240)/M240)),"-x-")</f>
        <v>-x-</v>
      </c>
      <c r="O240" s="164" t="str">
        <f t="shared" si="11"/>
        <v>-</v>
      </c>
      <c r="P240" s="126"/>
      <c r="Q240" s="128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5.75" customHeight="1">
      <c r="A241" s="156" t="str">
        <f t="shared" si="0"/>
        <v/>
      </c>
      <c r="B241" s="165"/>
      <c r="C241" s="159" t="str">
        <f t="shared" si="10"/>
        <v>-</v>
      </c>
      <c r="D241" s="160"/>
      <c r="E241" s="169"/>
      <c r="F241" s="170"/>
      <c r="G241" s="171"/>
      <c r="H241" s="168">
        <v>0</v>
      </c>
      <c r="I241" s="171">
        <v>0</v>
      </c>
      <c r="J241" s="161">
        <f t="shared" si="1"/>
        <v>0</v>
      </c>
      <c r="K241" s="161">
        <f t="shared" si="2"/>
        <v>0</v>
      </c>
      <c r="L241" s="161" t="str">
        <f t="shared" si="3"/>
        <v>-x-</v>
      </c>
      <c r="M241" s="162">
        <f>SUMIF($E$2:E241,E241,$F$2:F241)</f>
        <v>0</v>
      </c>
      <c r="N241" s="163" t="str">
        <f>IFERROR(IF(A241=CONCATENATE("1","-",E241),L241,
IF(O241="Venda",VLOOKUP(CONCATENATE((COUNTIF($E$2:E241,E241)-1),"-",E241),$A$2:$N$313,14,FALSE),(VLOOKUP(CONCATENATE((COUNTIF($E$2:E241,E241)-1),"-",E241),$A$2:$N$313,14,FALSE)*VLOOKUP(CONCATENATE((COUNTIF($E$2:E241,E241)-1),"-",E241),$A$2:$N$313,13,FALSE)+K241)/M241)),"-x-")</f>
        <v>-x-</v>
      </c>
      <c r="O241" s="164" t="str">
        <f t="shared" si="11"/>
        <v>-</v>
      </c>
      <c r="P241" s="126"/>
      <c r="Q241" s="128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5.75" customHeight="1">
      <c r="A242" s="156" t="str">
        <f t="shared" si="0"/>
        <v/>
      </c>
      <c r="B242" s="165"/>
      <c r="C242" s="159" t="str">
        <f t="shared" si="10"/>
        <v>-</v>
      </c>
      <c r="D242" s="160"/>
      <c r="E242" s="169"/>
      <c r="F242" s="170"/>
      <c r="G242" s="171"/>
      <c r="H242" s="168">
        <v>0</v>
      </c>
      <c r="I242" s="171">
        <v>0</v>
      </c>
      <c r="J242" s="161">
        <f t="shared" si="1"/>
        <v>0</v>
      </c>
      <c r="K242" s="161">
        <f t="shared" si="2"/>
        <v>0</v>
      </c>
      <c r="L242" s="161" t="str">
        <f t="shared" si="3"/>
        <v>-x-</v>
      </c>
      <c r="M242" s="162">
        <f>SUMIF($E$2:E242,E242,$F$2:F242)</f>
        <v>0</v>
      </c>
      <c r="N242" s="163" t="str">
        <f>IFERROR(IF(A242=CONCATENATE("1","-",E242),L242,
IF(O242="Venda",VLOOKUP(CONCATENATE((COUNTIF($E$2:E242,E242)-1),"-",E242),$A$2:$N$313,14,FALSE),(VLOOKUP(CONCATENATE((COUNTIF($E$2:E242,E242)-1),"-",E242),$A$2:$N$313,14,FALSE)*VLOOKUP(CONCATENATE((COUNTIF($E$2:E242,E242)-1),"-",E242),$A$2:$N$313,13,FALSE)+K242)/M242)),"-x-")</f>
        <v>-x-</v>
      </c>
      <c r="O242" s="164" t="str">
        <f t="shared" si="11"/>
        <v>-</v>
      </c>
      <c r="P242" s="126"/>
      <c r="Q242" s="128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5.75" customHeight="1">
      <c r="A243" s="156" t="str">
        <f t="shared" si="0"/>
        <v/>
      </c>
      <c r="B243" s="165"/>
      <c r="C243" s="159" t="str">
        <f t="shared" si="10"/>
        <v>-</v>
      </c>
      <c r="D243" s="160"/>
      <c r="E243" s="169"/>
      <c r="F243" s="170"/>
      <c r="G243" s="171"/>
      <c r="H243" s="168">
        <v>0</v>
      </c>
      <c r="I243" s="171">
        <v>0</v>
      </c>
      <c r="J243" s="161">
        <f t="shared" si="1"/>
        <v>0</v>
      </c>
      <c r="K243" s="161">
        <f t="shared" si="2"/>
        <v>0</v>
      </c>
      <c r="L243" s="161" t="str">
        <f t="shared" si="3"/>
        <v>-x-</v>
      </c>
      <c r="M243" s="162">
        <f>SUMIF($E$2:E243,E243,$F$2:F243)</f>
        <v>0</v>
      </c>
      <c r="N243" s="163" t="str">
        <f>IFERROR(IF(A243=CONCATENATE("1","-",E243),L243,
IF(O243="Venda",VLOOKUP(CONCATENATE((COUNTIF($E$2:E243,E243)-1),"-",E243),$A$2:$N$313,14,FALSE),(VLOOKUP(CONCATENATE((COUNTIF($E$2:E243,E243)-1),"-",E243),$A$2:$N$313,14,FALSE)*VLOOKUP(CONCATENATE((COUNTIF($E$2:E243,E243)-1),"-",E243),$A$2:$N$313,13,FALSE)+K243)/M243)),"-x-")</f>
        <v>-x-</v>
      </c>
      <c r="O243" s="164" t="str">
        <f t="shared" si="11"/>
        <v>-</v>
      </c>
      <c r="P243" s="126"/>
      <c r="Q243" s="128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5.75" customHeight="1">
      <c r="A244" s="156" t="str">
        <f t="shared" si="0"/>
        <v/>
      </c>
      <c r="B244" s="165"/>
      <c r="C244" s="159" t="str">
        <f t="shared" si="10"/>
        <v>-</v>
      </c>
      <c r="D244" s="160"/>
      <c r="E244" s="169"/>
      <c r="F244" s="170"/>
      <c r="G244" s="171"/>
      <c r="H244" s="168">
        <v>0</v>
      </c>
      <c r="I244" s="171">
        <v>0</v>
      </c>
      <c r="J244" s="161">
        <f t="shared" si="1"/>
        <v>0</v>
      </c>
      <c r="K244" s="161">
        <f t="shared" si="2"/>
        <v>0</v>
      </c>
      <c r="L244" s="161" t="str">
        <f t="shared" si="3"/>
        <v>-x-</v>
      </c>
      <c r="M244" s="162">
        <f>SUMIF($E$2:E244,E244,$F$2:F244)</f>
        <v>0</v>
      </c>
      <c r="N244" s="163" t="str">
        <f>IFERROR(IF(A244=CONCATENATE("1","-",E244),L244,
IF(O244="Venda",VLOOKUP(CONCATENATE((COUNTIF($E$2:E244,E244)-1),"-",E244),$A$2:$N$313,14,FALSE),(VLOOKUP(CONCATENATE((COUNTIF($E$2:E244,E244)-1),"-",E244),$A$2:$N$313,14,FALSE)*VLOOKUP(CONCATENATE((COUNTIF($E$2:E244,E244)-1),"-",E244),$A$2:$N$313,13,FALSE)+K244)/M244)),"-x-")</f>
        <v>-x-</v>
      </c>
      <c r="O244" s="164" t="str">
        <f t="shared" si="11"/>
        <v>-</v>
      </c>
      <c r="P244" s="126"/>
      <c r="Q244" s="128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5.75" customHeight="1">
      <c r="A245" s="156" t="str">
        <f t="shared" si="0"/>
        <v/>
      </c>
      <c r="B245" s="165"/>
      <c r="C245" s="159" t="str">
        <f t="shared" si="10"/>
        <v>-</v>
      </c>
      <c r="D245" s="160"/>
      <c r="E245" s="169"/>
      <c r="F245" s="170"/>
      <c r="G245" s="171"/>
      <c r="H245" s="168">
        <v>0</v>
      </c>
      <c r="I245" s="171">
        <v>0</v>
      </c>
      <c r="J245" s="161">
        <f t="shared" si="1"/>
        <v>0</v>
      </c>
      <c r="K245" s="161">
        <f t="shared" si="2"/>
        <v>0</v>
      </c>
      <c r="L245" s="161" t="str">
        <f t="shared" si="3"/>
        <v>-x-</v>
      </c>
      <c r="M245" s="162">
        <f>SUMIF($E$2:E245,E245,$F$2:F245)</f>
        <v>0</v>
      </c>
      <c r="N245" s="163" t="str">
        <f>IFERROR(IF(A245=CONCATENATE("1","-",E245),L245,
IF(O245="Venda",VLOOKUP(CONCATENATE((COUNTIF($E$2:E245,E245)-1),"-",E245),$A$2:$N$313,14,FALSE),(VLOOKUP(CONCATENATE((COUNTIF($E$2:E245,E245)-1),"-",E245),$A$2:$N$313,14,FALSE)*VLOOKUP(CONCATENATE((COUNTIF($E$2:E245,E245)-1),"-",E245),$A$2:$N$313,13,FALSE)+K245)/M245)),"-x-")</f>
        <v>-x-</v>
      </c>
      <c r="O245" s="164" t="str">
        <f t="shared" si="11"/>
        <v>-</v>
      </c>
      <c r="P245" s="126"/>
      <c r="Q245" s="128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5.75" customHeight="1">
      <c r="A246" s="156" t="str">
        <f t="shared" si="0"/>
        <v/>
      </c>
      <c r="B246" s="165"/>
      <c r="C246" s="159" t="str">
        <f t="shared" si="10"/>
        <v>-</v>
      </c>
      <c r="D246" s="160"/>
      <c r="E246" s="169"/>
      <c r="F246" s="170"/>
      <c r="G246" s="171"/>
      <c r="H246" s="168">
        <v>0</v>
      </c>
      <c r="I246" s="171">
        <v>0</v>
      </c>
      <c r="J246" s="161">
        <f t="shared" si="1"/>
        <v>0</v>
      </c>
      <c r="K246" s="161">
        <f t="shared" si="2"/>
        <v>0</v>
      </c>
      <c r="L246" s="161" t="str">
        <f t="shared" si="3"/>
        <v>-x-</v>
      </c>
      <c r="M246" s="162">
        <f>SUMIF($E$2:E246,E246,$F$2:F246)</f>
        <v>0</v>
      </c>
      <c r="N246" s="163" t="str">
        <f>IFERROR(IF(A246=CONCATENATE("1","-",E246),L246,
IF(O246="Venda",VLOOKUP(CONCATENATE((COUNTIF($E$2:E246,E246)-1),"-",E246),$A$2:$N$313,14,FALSE),(VLOOKUP(CONCATENATE((COUNTIF($E$2:E246,E246)-1),"-",E246),$A$2:$N$313,14,FALSE)*VLOOKUP(CONCATENATE((COUNTIF($E$2:E246,E246)-1),"-",E246),$A$2:$N$313,13,FALSE)+K246)/M246)),"-x-")</f>
        <v>-x-</v>
      </c>
      <c r="O246" s="164" t="str">
        <f t="shared" si="11"/>
        <v>-</v>
      </c>
      <c r="P246" s="126"/>
      <c r="Q246" s="128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5.75" customHeight="1">
      <c r="A247" s="156" t="str">
        <f t="shared" si="0"/>
        <v/>
      </c>
      <c r="B247" s="165"/>
      <c r="C247" s="159" t="str">
        <f t="shared" si="10"/>
        <v>-</v>
      </c>
      <c r="D247" s="160"/>
      <c r="E247" s="169"/>
      <c r="F247" s="170"/>
      <c r="G247" s="171"/>
      <c r="H247" s="168">
        <v>0</v>
      </c>
      <c r="I247" s="171">
        <v>0</v>
      </c>
      <c r="J247" s="161">
        <f t="shared" si="1"/>
        <v>0</v>
      </c>
      <c r="K247" s="161">
        <f t="shared" si="2"/>
        <v>0</v>
      </c>
      <c r="L247" s="161" t="str">
        <f t="shared" si="3"/>
        <v>-x-</v>
      </c>
      <c r="M247" s="162">
        <f>SUMIF($E$2:E247,E247,$F$2:F247)</f>
        <v>0</v>
      </c>
      <c r="N247" s="163" t="str">
        <f>IFERROR(IF(A247=CONCATENATE("1","-",E247),L247,
IF(O247="Venda",VLOOKUP(CONCATENATE((COUNTIF($E$2:E247,E247)-1),"-",E247),$A$2:$N$313,14,FALSE),(VLOOKUP(CONCATENATE((COUNTIF($E$2:E247,E247)-1),"-",E247),$A$2:$N$313,14,FALSE)*VLOOKUP(CONCATENATE((COUNTIF($E$2:E247,E247)-1),"-",E247),$A$2:$N$313,13,FALSE)+K247)/M247)),"-x-")</f>
        <v>-x-</v>
      </c>
      <c r="O247" s="164" t="str">
        <f t="shared" si="11"/>
        <v>-</v>
      </c>
      <c r="P247" s="126"/>
      <c r="Q247" s="128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5.75" customHeight="1">
      <c r="A248" s="156" t="str">
        <f t="shared" si="0"/>
        <v/>
      </c>
      <c r="B248" s="165"/>
      <c r="C248" s="159" t="str">
        <f t="shared" si="10"/>
        <v>-</v>
      </c>
      <c r="D248" s="160"/>
      <c r="E248" s="169"/>
      <c r="F248" s="170"/>
      <c r="G248" s="171"/>
      <c r="H248" s="168">
        <v>0</v>
      </c>
      <c r="I248" s="171">
        <v>0</v>
      </c>
      <c r="J248" s="161">
        <f t="shared" si="1"/>
        <v>0</v>
      </c>
      <c r="K248" s="161">
        <f t="shared" si="2"/>
        <v>0</v>
      </c>
      <c r="L248" s="161" t="str">
        <f t="shared" si="3"/>
        <v>-x-</v>
      </c>
      <c r="M248" s="162">
        <f>SUMIF($E$2:E248,E248,$F$2:F248)</f>
        <v>0</v>
      </c>
      <c r="N248" s="163" t="str">
        <f>IFERROR(IF(A248=CONCATENATE("1","-",E248),L248,
IF(O248="Venda",VLOOKUP(CONCATENATE((COUNTIF($E$2:E248,E248)-1),"-",E248),$A$2:$N$313,14,FALSE),(VLOOKUP(CONCATENATE((COUNTIF($E$2:E248,E248)-1),"-",E248),$A$2:$N$313,14,FALSE)*VLOOKUP(CONCATENATE((COUNTIF($E$2:E248,E248)-1),"-",E248),$A$2:$N$313,13,FALSE)+K248)/M248)),"-x-")</f>
        <v>-x-</v>
      </c>
      <c r="O248" s="164" t="str">
        <f t="shared" si="11"/>
        <v>-</v>
      </c>
      <c r="P248" s="126"/>
      <c r="Q248" s="128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5.75" customHeight="1">
      <c r="A249" s="156" t="str">
        <f t="shared" si="0"/>
        <v/>
      </c>
      <c r="B249" s="165"/>
      <c r="C249" s="159" t="str">
        <f t="shared" si="10"/>
        <v>-</v>
      </c>
      <c r="D249" s="160"/>
      <c r="E249" s="169"/>
      <c r="F249" s="170"/>
      <c r="G249" s="171"/>
      <c r="H249" s="168">
        <v>0</v>
      </c>
      <c r="I249" s="171">
        <v>0</v>
      </c>
      <c r="J249" s="161">
        <f t="shared" si="1"/>
        <v>0</v>
      </c>
      <c r="K249" s="161">
        <f t="shared" si="2"/>
        <v>0</v>
      </c>
      <c r="L249" s="161" t="str">
        <f t="shared" si="3"/>
        <v>-x-</v>
      </c>
      <c r="M249" s="162">
        <f>SUMIF($E$2:E249,E249,$F$2:F249)</f>
        <v>0</v>
      </c>
      <c r="N249" s="163" t="str">
        <f>IFERROR(IF(A249=CONCATENATE("1","-",E249),L249,
IF(O249="Venda",VLOOKUP(CONCATENATE((COUNTIF($E$2:E249,E249)-1),"-",E249),$A$2:$N$313,14,FALSE),(VLOOKUP(CONCATENATE((COUNTIF($E$2:E249,E249)-1),"-",E249),$A$2:$N$313,14,FALSE)*VLOOKUP(CONCATENATE((COUNTIF($E$2:E249,E249)-1),"-",E249),$A$2:$N$313,13,FALSE)+K249)/M249)),"-x-")</f>
        <v>-x-</v>
      </c>
      <c r="O249" s="164" t="str">
        <f t="shared" si="11"/>
        <v>-</v>
      </c>
      <c r="P249" s="126"/>
      <c r="Q249" s="128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5.75" customHeight="1">
      <c r="A250" s="156" t="str">
        <f t="shared" si="0"/>
        <v/>
      </c>
      <c r="B250" s="165"/>
      <c r="C250" s="159" t="str">
        <f t="shared" si="10"/>
        <v>-</v>
      </c>
      <c r="D250" s="160"/>
      <c r="E250" s="169"/>
      <c r="F250" s="170"/>
      <c r="G250" s="171"/>
      <c r="H250" s="168">
        <v>0</v>
      </c>
      <c r="I250" s="171">
        <v>0</v>
      </c>
      <c r="J250" s="161">
        <f t="shared" si="1"/>
        <v>0</v>
      </c>
      <c r="K250" s="161">
        <f t="shared" si="2"/>
        <v>0</v>
      </c>
      <c r="L250" s="161" t="str">
        <f t="shared" si="3"/>
        <v>-x-</v>
      </c>
      <c r="M250" s="162">
        <f>SUMIF($E$2:E250,E250,$F$2:F250)</f>
        <v>0</v>
      </c>
      <c r="N250" s="163" t="str">
        <f>IFERROR(IF(A250=CONCATENATE("1","-",E250),L250,
IF(O250="Venda",VLOOKUP(CONCATENATE((COUNTIF($E$2:E250,E250)-1),"-",E250),$A$2:$N$313,14,FALSE),(VLOOKUP(CONCATENATE((COUNTIF($E$2:E250,E250)-1),"-",E250),$A$2:$N$313,14,FALSE)*VLOOKUP(CONCATENATE((COUNTIF($E$2:E250,E250)-1),"-",E250),$A$2:$N$313,13,FALSE)+K250)/M250)),"-x-")</f>
        <v>-x-</v>
      </c>
      <c r="O250" s="164" t="str">
        <f t="shared" si="11"/>
        <v>-</v>
      </c>
      <c r="P250" s="126"/>
      <c r="Q250" s="12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5.75" customHeight="1">
      <c r="A251" s="156" t="str">
        <f t="shared" si="0"/>
        <v/>
      </c>
      <c r="B251" s="165"/>
      <c r="C251" s="159" t="str">
        <f t="shared" si="10"/>
        <v>-</v>
      </c>
      <c r="D251" s="160"/>
      <c r="E251" s="169"/>
      <c r="F251" s="170"/>
      <c r="G251" s="171"/>
      <c r="H251" s="168">
        <v>0</v>
      </c>
      <c r="I251" s="171">
        <v>0</v>
      </c>
      <c r="J251" s="161">
        <f t="shared" si="1"/>
        <v>0</v>
      </c>
      <c r="K251" s="161">
        <f t="shared" si="2"/>
        <v>0</v>
      </c>
      <c r="L251" s="161" t="str">
        <f t="shared" si="3"/>
        <v>-x-</v>
      </c>
      <c r="M251" s="162">
        <f>SUMIF($E$2:E251,E251,$F$2:F251)</f>
        <v>0</v>
      </c>
      <c r="N251" s="163" t="str">
        <f>IFERROR(IF(A251=CONCATENATE("1","-",E251),L251,
IF(O251="Venda",VLOOKUP(CONCATENATE((COUNTIF($E$2:E251,E251)-1),"-",E251),$A$2:$N$313,14,FALSE),(VLOOKUP(CONCATENATE((COUNTIF($E$2:E251,E251)-1),"-",E251),$A$2:$N$313,14,FALSE)*VLOOKUP(CONCATENATE((COUNTIF($E$2:E251,E251)-1),"-",E251),$A$2:$N$313,13,FALSE)+K251)/M251)),"-x-")</f>
        <v>-x-</v>
      </c>
      <c r="O251" s="164" t="str">
        <f t="shared" si="11"/>
        <v>-</v>
      </c>
      <c r="P251" s="126"/>
      <c r="Q251" s="128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5.75" customHeight="1">
      <c r="A252" s="156" t="str">
        <f t="shared" si="0"/>
        <v/>
      </c>
      <c r="B252" s="165"/>
      <c r="C252" s="159" t="str">
        <f t="shared" si="10"/>
        <v>-</v>
      </c>
      <c r="D252" s="160"/>
      <c r="E252" s="169"/>
      <c r="F252" s="170"/>
      <c r="G252" s="171"/>
      <c r="H252" s="168">
        <v>0</v>
      </c>
      <c r="I252" s="171">
        <v>0</v>
      </c>
      <c r="J252" s="161">
        <f t="shared" si="1"/>
        <v>0</v>
      </c>
      <c r="K252" s="161">
        <f t="shared" si="2"/>
        <v>0</v>
      </c>
      <c r="L252" s="161" t="str">
        <f t="shared" si="3"/>
        <v>-x-</v>
      </c>
      <c r="M252" s="162">
        <f>SUMIF($E$2:E252,E252,$F$2:F252)</f>
        <v>0</v>
      </c>
      <c r="N252" s="163" t="str">
        <f>IFERROR(IF(A252=CONCATENATE("1","-",E252),L252,
IF(O252="Venda",VLOOKUP(CONCATENATE((COUNTIF($E$2:E252,E252)-1),"-",E252),$A$2:$N$313,14,FALSE),(VLOOKUP(CONCATENATE((COUNTIF($E$2:E252,E252)-1),"-",E252),$A$2:$N$313,14,FALSE)*VLOOKUP(CONCATENATE((COUNTIF($E$2:E252,E252)-1),"-",E252),$A$2:$N$313,13,FALSE)+K252)/M252)),"-x-")</f>
        <v>-x-</v>
      </c>
      <c r="O252" s="164" t="str">
        <f t="shared" si="11"/>
        <v>-</v>
      </c>
      <c r="P252" s="126"/>
      <c r="Q252" s="128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5.75" customHeight="1">
      <c r="A253" s="156" t="str">
        <f t="shared" si="0"/>
        <v/>
      </c>
      <c r="B253" s="165"/>
      <c r="C253" s="159" t="str">
        <f t="shared" si="10"/>
        <v>-</v>
      </c>
      <c r="D253" s="160"/>
      <c r="E253" s="169"/>
      <c r="F253" s="170"/>
      <c r="G253" s="171"/>
      <c r="H253" s="168">
        <v>0</v>
      </c>
      <c r="I253" s="171">
        <v>0</v>
      </c>
      <c r="J253" s="161">
        <f t="shared" si="1"/>
        <v>0</v>
      </c>
      <c r="K253" s="161">
        <f t="shared" si="2"/>
        <v>0</v>
      </c>
      <c r="L253" s="161" t="str">
        <f t="shared" si="3"/>
        <v>-x-</v>
      </c>
      <c r="M253" s="162">
        <f>SUMIF($E$2:E253,E253,$F$2:F253)</f>
        <v>0</v>
      </c>
      <c r="N253" s="163" t="str">
        <f>IFERROR(IF(A253=CONCATENATE("1","-",E253),L253,
IF(O253="Venda",VLOOKUP(CONCATENATE((COUNTIF($E$2:E253,E253)-1),"-",E253),$A$2:$N$313,14,FALSE),(VLOOKUP(CONCATENATE((COUNTIF($E$2:E253,E253)-1),"-",E253),$A$2:$N$313,14,FALSE)*VLOOKUP(CONCATENATE((COUNTIF($E$2:E253,E253)-1),"-",E253),$A$2:$N$313,13,FALSE)+K253)/M253)),"-x-")</f>
        <v>-x-</v>
      </c>
      <c r="O253" s="164" t="str">
        <f t="shared" si="11"/>
        <v>-</v>
      </c>
      <c r="P253" s="126"/>
      <c r="Q253" s="128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5.75" customHeight="1">
      <c r="A254" s="156" t="str">
        <f t="shared" si="0"/>
        <v/>
      </c>
      <c r="B254" s="165"/>
      <c r="C254" s="159" t="str">
        <f t="shared" si="10"/>
        <v>-</v>
      </c>
      <c r="D254" s="160"/>
      <c r="E254" s="169"/>
      <c r="F254" s="170"/>
      <c r="G254" s="171"/>
      <c r="H254" s="168">
        <v>0</v>
      </c>
      <c r="I254" s="171">
        <v>0</v>
      </c>
      <c r="J254" s="161">
        <f t="shared" si="1"/>
        <v>0</v>
      </c>
      <c r="K254" s="161">
        <f t="shared" si="2"/>
        <v>0</v>
      </c>
      <c r="L254" s="161" t="str">
        <f t="shared" si="3"/>
        <v>-x-</v>
      </c>
      <c r="M254" s="162">
        <f>SUMIF($E$2:E254,E254,$F$2:F254)</f>
        <v>0</v>
      </c>
      <c r="N254" s="163" t="str">
        <f>IFERROR(IF(A254=CONCATENATE("1","-",E254),L254,
IF(O254="Venda",VLOOKUP(CONCATENATE((COUNTIF($E$2:E254,E254)-1),"-",E254),$A$2:$N$313,14,FALSE),(VLOOKUP(CONCATENATE((COUNTIF($E$2:E254,E254)-1),"-",E254),$A$2:$N$313,14,FALSE)*VLOOKUP(CONCATENATE((COUNTIF($E$2:E254,E254)-1),"-",E254),$A$2:$N$313,13,FALSE)+K254)/M254)),"-x-")</f>
        <v>-x-</v>
      </c>
      <c r="O254" s="164" t="str">
        <f t="shared" si="11"/>
        <v>-</v>
      </c>
      <c r="P254" s="126"/>
      <c r="Q254" s="128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5.75" customHeight="1">
      <c r="A255" s="156" t="str">
        <f t="shared" si="0"/>
        <v/>
      </c>
      <c r="B255" s="165"/>
      <c r="C255" s="159" t="str">
        <f t="shared" si="10"/>
        <v>-</v>
      </c>
      <c r="D255" s="160"/>
      <c r="E255" s="169"/>
      <c r="F255" s="170"/>
      <c r="G255" s="171"/>
      <c r="H255" s="168">
        <v>0</v>
      </c>
      <c r="I255" s="171">
        <v>0</v>
      </c>
      <c r="J255" s="161">
        <f t="shared" si="1"/>
        <v>0</v>
      </c>
      <c r="K255" s="161">
        <f t="shared" si="2"/>
        <v>0</v>
      </c>
      <c r="L255" s="161" t="str">
        <f t="shared" si="3"/>
        <v>-x-</v>
      </c>
      <c r="M255" s="162">
        <f>SUMIF($E$2:E255,E255,$F$2:F255)</f>
        <v>0</v>
      </c>
      <c r="N255" s="163" t="str">
        <f>IFERROR(IF(A255=CONCATENATE("1","-",E255),L255,
IF(O255="Venda",VLOOKUP(CONCATENATE((COUNTIF($E$2:E255,E255)-1),"-",E255),$A$2:$N$313,14,FALSE),(VLOOKUP(CONCATENATE((COUNTIF($E$2:E255,E255)-1),"-",E255),$A$2:$N$313,14,FALSE)*VLOOKUP(CONCATENATE((COUNTIF($E$2:E255,E255)-1),"-",E255),$A$2:$N$313,13,FALSE)+K255)/M255)),"-x-")</f>
        <v>-x-</v>
      </c>
      <c r="O255" s="164" t="str">
        <f t="shared" si="11"/>
        <v>-</v>
      </c>
      <c r="P255" s="126"/>
      <c r="Q255" s="128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5.75" customHeight="1">
      <c r="A256" s="156" t="str">
        <f t="shared" si="0"/>
        <v/>
      </c>
      <c r="B256" s="165"/>
      <c r="C256" s="159" t="str">
        <f t="shared" si="10"/>
        <v>-</v>
      </c>
      <c r="D256" s="160"/>
      <c r="E256" s="169"/>
      <c r="F256" s="170"/>
      <c r="G256" s="171"/>
      <c r="H256" s="168">
        <v>0</v>
      </c>
      <c r="I256" s="171">
        <v>0</v>
      </c>
      <c r="J256" s="161">
        <f t="shared" si="1"/>
        <v>0</v>
      </c>
      <c r="K256" s="161">
        <f t="shared" si="2"/>
        <v>0</v>
      </c>
      <c r="L256" s="161" t="str">
        <f t="shared" si="3"/>
        <v>-x-</v>
      </c>
      <c r="M256" s="162">
        <f>SUMIF($E$2:E256,E256,$F$2:F256)</f>
        <v>0</v>
      </c>
      <c r="N256" s="163" t="str">
        <f>IFERROR(IF(A256=CONCATENATE("1","-",E256),L256,
IF(O256="Venda",VLOOKUP(CONCATENATE((COUNTIF($E$2:E256,E256)-1),"-",E256),$A$2:$N$313,14,FALSE),(VLOOKUP(CONCATENATE((COUNTIF($E$2:E256,E256)-1),"-",E256),$A$2:$N$313,14,FALSE)*VLOOKUP(CONCATENATE((COUNTIF($E$2:E256,E256)-1),"-",E256),$A$2:$N$313,13,FALSE)+K256)/M256)),"-x-")</f>
        <v>-x-</v>
      </c>
      <c r="O256" s="164" t="str">
        <f t="shared" si="11"/>
        <v>-</v>
      </c>
      <c r="P256" s="126"/>
      <c r="Q256" s="128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5.75" customHeight="1">
      <c r="A257" s="156" t="str">
        <f t="shared" ref="A257:A318" si="12">IF(E257="","",COUNTIF(E$2:E257,E257)&amp;"-"&amp;E257)</f>
        <v/>
      </c>
      <c r="B257" s="165"/>
      <c r="C257" s="159" t="str">
        <f t="shared" si="10"/>
        <v>-</v>
      </c>
      <c r="D257" s="160"/>
      <c r="E257" s="169"/>
      <c r="F257" s="170"/>
      <c r="G257" s="171"/>
      <c r="H257" s="168">
        <v>0</v>
      </c>
      <c r="I257" s="171">
        <v>0</v>
      </c>
      <c r="J257" s="161">
        <f t="shared" ref="J257:J318" si="13">F257*G257</f>
        <v>0</v>
      </c>
      <c r="K257" s="161">
        <f t="shared" ref="K257:K318" si="14">G257*F257+H257</f>
        <v>0</v>
      </c>
      <c r="L257" s="161" t="str">
        <f t="shared" ref="L257:L318" si="15">IFERROR(K257/ABS(F257),"-x-")</f>
        <v>-x-</v>
      </c>
      <c r="M257" s="162">
        <f t="shared" ref="M257:M318" si="16">SUMIF($D$2:E257,E257,$E$2:F257)</f>
        <v>0</v>
      </c>
      <c r="N257" s="163" t="str">
        <f>IFERROR(IF(A257=CONCATENATE("1","-",E257),L257,
IF(O257="Venda",VLOOKUP(CONCATENATE((COUNTIF($E$2:E257,E257)-1),"-",E257),$A$2:$N$313,14,FALSE),(VLOOKUP(CONCATENATE((COUNTIF($E$2:E257,E257)-1),"-",E257),$A$2:$N$313,14,FALSE)*VLOOKUP(CONCATENATE((COUNTIF($E$2:E257,E257)-1),"-",E257),$A$2:$N$313,13,FALSE)+K257)/M257)),"-x-")</f>
        <v>-x-</v>
      </c>
      <c r="O257" s="164" t="str">
        <f t="shared" si="11"/>
        <v>-</v>
      </c>
      <c r="P257" s="126"/>
      <c r="Q257" s="128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5.75" customHeight="1">
      <c r="A258" s="156" t="str">
        <f t="shared" si="12"/>
        <v/>
      </c>
      <c r="B258" s="165"/>
      <c r="C258" s="159" t="str">
        <f t="shared" si="10"/>
        <v>-</v>
      </c>
      <c r="D258" s="160"/>
      <c r="E258" s="169"/>
      <c r="F258" s="170"/>
      <c r="G258" s="171"/>
      <c r="H258" s="168">
        <v>0</v>
      </c>
      <c r="I258" s="171">
        <v>0</v>
      </c>
      <c r="J258" s="161">
        <f t="shared" si="13"/>
        <v>0</v>
      </c>
      <c r="K258" s="161">
        <f t="shared" si="14"/>
        <v>0</v>
      </c>
      <c r="L258" s="161" t="str">
        <f t="shared" si="15"/>
        <v>-x-</v>
      </c>
      <c r="M258" s="162">
        <f t="shared" si="16"/>
        <v>0</v>
      </c>
      <c r="N258" s="163" t="str">
        <f>IFERROR(IF(A258=CONCATENATE("1","-",E258),L258,
IF(O258="Venda",VLOOKUP(CONCATENATE((COUNTIF($E$2:E258,E258)-1),"-",E258),$A$2:$N$313,14,FALSE),(VLOOKUP(CONCATENATE((COUNTIF($E$2:E258,E258)-1),"-",E258),$A$2:$N$313,14,FALSE)*VLOOKUP(CONCATENATE((COUNTIF($E$2:E258,E258)-1),"-",E258),$A$2:$N$313,13,FALSE)+K258)/M258)),"-x-")</f>
        <v>-x-</v>
      </c>
      <c r="O258" s="164" t="str">
        <f t="shared" si="11"/>
        <v>-</v>
      </c>
      <c r="P258" s="126"/>
      <c r="Q258" s="128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5.75" customHeight="1">
      <c r="A259" s="156" t="str">
        <f t="shared" si="12"/>
        <v/>
      </c>
      <c r="B259" s="165"/>
      <c r="C259" s="159" t="str">
        <f t="shared" ref="C259:C318" si="17">IF(B259&gt;0,TEXT(B259,"mmmmmmmmmmmmmmm"),"-")</f>
        <v>-</v>
      </c>
      <c r="D259" s="160"/>
      <c r="E259" s="169"/>
      <c r="F259" s="170"/>
      <c r="G259" s="171"/>
      <c r="H259" s="168">
        <v>0</v>
      </c>
      <c r="I259" s="171">
        <v>0</v>
      </c>
      <c r="J259" s="161">
        <f t="shared" si="13"/>
        <v>0</v>
      </c>
      <c r="K259" s="161">
        <f t="shared" si="14"/>
        <v>0</v>
      </c>
      <c r="L259" s="161" t="str">
        <f t="shared" si="15"/>
        <v>-x-</v>
      </c>
      <c r="M259" s="162">
        <f t="shared" si="16"/>
        <v>0</v>
      </c>
      <c r="N259" s="163" t="str">
        <f>IFERROR(IF(A259=CONCATENATE("1","-",E259),L259,
IF(O259="Venda",VLOOKUP(CONCATENATE((COUNTIF($E$2:E259,E259)-1),"-",E259),$A$2:$N$313,14,FALSE),(VLOOKUP(CONCATENATE((COUNTIF($E$2:E259,E259)-1),"-",E259),$A$2:$N$313,14,FALSE)*VLOOKUP(CONCATENATE((COUNTIF($E$2:E259,E259)-1),"-",E259),$A$2:$N$313,13,FALSE)+K259)/M259)),"-x-")</f>
        <v>-x-</v>
      </c>
      <c r="O259" s="164" t="str">
        <f t="shared" ref="O259:O318" si="18">IF(G259=0,"-",IF(F259&gt;0,"Compra","Venda"))</f>
        <v>-</v>
      </c>
      <c r="P259" s="126"/>
      <c r="Q259" s="128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5.75" customHeight="1">
      <c r="A260" s="156" t="str">
        <f t="shared" si="12"/>
        <v/>
      </c>
      <c r="B260" s="165"/>
      <c r="C260" s="159" t="str">
        <f t="shared" si="17"/>
        <v>-</v>
      </c>
      <c r="D260" s="160"/>
      <c r="E260" s="169"/>
      <c r="F260" s="170"/>
      <c r="G260" s="171"/>
      <c r="H260" s="168">
        <v>0</v>
      </c>
      <c r="I260" s="171">
        <v>0</v>
      </c>
      <c r="J260" s="161">
        <f t="shared" si="13"/>
        <v>0</v>
      </c>
      <c r="K260" s="161">
        <f t="shared" si="14"/>
        <v>0</v>
      </c>
      <c r="L260" s="161" t="str">
        <f t="shared" si="15"/>
        <v>-x-</v>
      </c>
      <c r="M260" s="162">
        <f t="shared" si="16"/>
        <v>0</v>
      </c>
      <c r="N260" s="163" t="str">
        <f>IFERROR(IF(A260=CONCATENATE("1","-",E260),L260,
IF(O260="Venda",VLOOKUP(CONCATENATE((COUNTIF($E$2:E260,E260)-1),"-",E260),$A$2:$N$313,14,FALSE),(VLOOKUP(CONCATENATE((COUNTIF($E$2:E260,E260)-1),"-",E260),$A$2:$N$313,14,FALSE)*VLOOKUP(CONCATENATE((COUNTIF($E$2:E260,E260)-1),"-",E260),$A$2:$N$313,13,FALSE)+K260)/M260)),"-x-")</f>
        <v>-x-</v>
      </c>
      <c r="O260" s="164" t="str">
        <f t="shared" si="18"/>
        <v>-</v>
      </c>
      <c r="P260" s="126"/>
      <c r="Q260" s="128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5.75" customHeight="1">
      <c r="A261" s="156" t="str">
        <f t="shared" si="12"/>
        <v/>
      </c>
      <c r="B261" s="165"/>
      <c r="C261" s="159" t="str">
        <f t="shared" si="17"/>
        <v>-</v>
      </c>
      <c r="D261" s="160"/>
      <c r="E261" s="169"/>
      <c r="F261" s="170"/>
      <c r="G261" s="171"/>
      <c r="H261" s="168">
        <v>0</v>
      </c>
      <c r="I261" s="171">
        <v>0</v>
      </c>
      <c r="J261" s="161">
        <f t="shared" si="13"/>
        <v>0</v>
      </c>
      <c r="K261" s="161">
        <f t="shared" si="14"/>
        <v>0</v>
      </c>
      <c r="L261" s="161" t="str">
        <f t="shared" si="15"/>
        <v>-x-</v>
      </c>
      <c r="M261" s="162">
        <f t="shared" si="16"/>
        <v>0</v>
      </c>
      <c r="N261" s="163" t="str">
        <f>IFERROR(IF(A261=CONCATENATE("1","-",E261),L261,
IF(O261="Venda",VLOOKUP(CONCATENATE((COUNTIF($E$2:E261,E261)-1),"-",E261),$A$2:$N$313,14,FALSE),(VLOOKUP(CONCATENATE((COUNTIF($E$2:E261,E261)-1),"-",E261),$A$2:$N$313,14,FALSE)*VLOOKUP(CONCATENATE((COUNTIF($E$2:E261,E261)-1),"-",E261),$A$2:$N$313,13,FALSE)+K261)/M261)),"-x-")</f>
        <v>-x-</v>
      </c>
      <c r="O261" s="164" t="str">
        <f t="shared" si="18"/>
        <v>-</v>
      </c>
      <c r="P261" s="126"/>
      <c r="Q261" s="128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5.75" customHeight="1">
      <c r="A262" s="156" t="str">
        <f t="shared" si="12"/>
        <v/>
      </c>
      <c r="B262" s="165"/>
      <c r="C262" s="159" t="str">
        <f t="shared" si="17"/>
        <v>-</v>
      </c>
      <c r="D262" s="160"/>
      <c r="E262" s="169"/>
      <c r="F262" s="170"/>
      <c r="G262" s="171"/>
      <c r="H262" s="168">
        <v>0</v>
      </c>
      <c r="I262" s="171">
        <v>0</v>
      </c>
      <c r="J262" s="161">
        <f t="shared" si="13"/>
        <v>0</v>
      </c>
      <c r="K262" s="161">
        <f t="shared" si="14"/>
        <v>0</v>
      </c>
      <c r="L262" s="161" t="str">
        <f t="shared" si="15"/>
        <v>-x-</v>
      </c>
      <c r="M262" s="162">
        <f t="shared" si="16"/>
        <v>0</v>
      </c>
      <c r="N262" s="163" t="str">
        <f>IFERROR(IF(A262=CONCATENATE("1","-",E262),L262,
IF(O262="Venda",VLOOKUP(CONCATENATE((COUNTIF($E$2:E262,E262)-1),"-",E262),$A$2:$N$313,14,FALSE),(VLOOKUP(CONCATENATE((COUNTIF($E$2:E262,E262)-1),"-",E262),$A$2:$N$313,14,FALSE)*VLOOKUP(CONCATENATE((COUNTIF($E$2:E262,E262)-1),"-",E262),$A$2:$N$313,13,FALSE)+K262)/M262)),"-x-")</f>
        <v>-x-</v>
      </c>
      <c r="O262" s="164" t="str">
        <f t="shared" si="18"/>
        <v>-</v>
      </c>
      <c r="P262" s="126"/>
      <c r="Q262" s="128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5.75" customHeight="1">
      <c r="A263" s="156" t="str">
        <f t="shared" si="12"/>
        <v/>
      </c>
      <c r="B263" s="165"/>
      <c r="C263" s="159" t="str">
        <f t="shared" si="17"/>
        <v>-</v>
      </c>
      <c r="D263" s="160"/>
      <c r="E263" s="169"/>
      <c r="F263" s="170"/>
      <c r="G263" s="171"/>
      <c r="H263" s="168">
        <v>0</v>
      </c>
      <c r="I263" s="171">
        <v>0</v>
      </c>
      <c r="J263" s="161">
        <f t="shared" si="13"/>
        <v>0</v>
      </c>
      <c r="K263" s="161">
        <f t="shared" si="14"/>
        <v>0</v>
      </c>
      <c r="L263" s="161" t="str">
        <f t="shared" si="15"/>
        <v>-x-</v>
      </c>
      <c r="M263" s="162">
        <f t="shared" si="16"/>
        <v>0</v>
      </c>
      <c r="N263" s="163" t="str">
        <f>IFERROR(IF(A263=CONCATENATE("1","-",E263),L263,
IF(O263="Venda",VLOOKUP(CONCATENATE((COUNTIF($E$2:E263,E263)-1),"-",E263),$A$2:$N$313,14,FALSE),(VLOOKUP(CONCATENATE((COUNTIF($E$2:E263,E263)-1),"-",E263),$A$2:$N$313,14,FALSE)*VLOOKUP(CONCATENATE((COUNTIF($E$2:E263,E263)-1),"-",E263),$A$2:$N$313,13,FALSE)+K263)/M263)),"-x-")</f>
        <v>-x-</v>
      </c>
      <c r="O263" s="164" t="str">
        <f t="shared" si="18"/>
        <v>-</v>
      </c>
      <c r="P263" s="126"/>
      <c r="Q263" s="128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5.75" customHeight="1">
      <c r="A264" s="156" t="str">
        <f t="shared" si="12"/>
        <v/>
      </c>
      <c r="B264" s="165"/>
      <c r="C264" s="159" t="str">
        <f t="shared" si="17"/>
        <v>-</v>
      </c>
      <c r="D264" s="160"/>
      <c r="E264" s="169"/>
      <c r="F264" s="170"/>
      <c r="G264" s="171"/>
      <c r="H264" s="168">
        <v>0</v>
      </c>
      <c r="I264" s="171">
        <v>0</v>
      </c>
      <c r="J264" s="161">
        <f t="shared" si="13"/>
        <v>0</v>
      </c>
      <c r="K264" s="161">
        <f t="shared" si="14"/>
        <v>0</v>
      </c>
      <c r="L264" s="161" t="str">
        <f t="shared" si="15"/>
        <v>-x-</v>
      </c>
      <c r="M264" s="162">
        <f t="shared" si="16"/>
        <v>0</v>
      </c>
      <c r="N264" s="163" t="str">
        <f>IFERROR(IF(A264=CONCATENATE("1","-",E264),L264,
IF(O264="Venda",VLOOKUP(CONCATENATE((COUNTIF($E$2:E264,E264)-1),"-",E264),$A$2:$N$313,14,FALSE),(VLOOKUP(CONCATENATE((COUNTIF($E$2:E264,E264)-1),"-",E264),$A$2:$N$313,14,FALSE)*VLOOKUP(CONCATENATE((COUNTIF($E$2:E264,E264)-1),"-",E264),$A$2:$N$313,13,FALSE)+K264)/M264)),"-x-")</f>
        <v>-x-</v>
      </c>
      <c r="O264" s="164" t="str">
        <f t="shared" si="18"/>
        <v>-</v>
      </c>
      <c r="P264" s="126"/>
      <c r="Q264" s="128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5.75" customHeight="1">
      <c r="A265" s="156" t="str">
        <f t="shared" si="12"/>
        <v/>
      </c>
      <c r="B265" s="165"/>
      <c r="C265" s="159" t="str">
        <f t="shared" si="17"/>
        <v>-</v>
      </c>
      <c r="D265" s="160"/>
      <c r="E265" s="169"/>
      <c r="F265" s="170"/>
      <c r="G265" s="171"/>
      <c r="H265" s="168">
        <v>0</v>
      </c>
      <c r="I265" s="171">
        <v>0</v>
      </c>
      <c r="J265" s="161">
        <f t="shared" si="13"/>
        <v>0</v>
      </c>
      <c r="K265" s="161">
        <f t="shared" si="14"/>
        <v>0</v>
      </c>
      <c r="L265" s="161" t="str">
        <f t="shared" si="15"/>
        <v>-x-</v>
      </c>
      <c r="M265" s="162">
        <f t="shared" si="16"/>
        <v>0</v>
      </c>
      <c r="N265" s="163" t="str">
        <f>IFERROR(IF(A265=CONCATENATE("1","-",E265),L265,
IF(O265="Venda",VLOOKUP(CONCATENATE((COUNTIF($E$2:E265,E265)-1),"-",E265),$A$2:$N$313,14,FALSE),(VLOOKUP(CONCATENATE((COUNTIF($E$2:E265,E265)-1),"-",E265),$A$2:$N$313,14,FALSE)*VLOOKUP(CONCATENATE((COUNTIF($E$2:E265,E265)-1),"-",E265),$A$2:$N$313,13,FALSE)+K265)/M265)),"-x-")</f>
        <v>-x-</v>
      </c>
      <c r="O265" s="164" t="str">
        <f t="shared" si="18"/>
        <v>-</v>
      </c>
      <c r="P265" s="126"/>
      <c r="Q265" s="128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5.75" customHeight="1">
      <c r="A266" s="156" t="str">
        <f t="shared" si="12"/>
        <v/>
      </c>
      <c r="B266" s="165"/>
      <c r="C266" s="159" t="str">
        <f t="shared" si="17"/>
        <v>-</v>
      </c>
      <c r="D266" s="160"/>
      <c r="E266" s="169"/>
      <c r="F266" s="170"/>
      <c r="G266" s="171"/>
      <c r="H266" s="168">
        <v>0</v>
      </c>
      <c r="I266" s="171">
        <v>0</v>
      </c>
      <c r="J266" s="161">
        <f t="shared" si="13"/>
        <v>0</v>
      </c>
      <c r="K266" s="161">
        <f t="shared" si="14"/>
        <v>0</v>
      </c>
      <c r="L266" s="161" t="str">
        <f t="shared" si="15"/>
        <v>-x-</v>
      </c>
      <c r="M266" s="162">
        <f t="shared" si="16"/>
        <v>0</v>
      </c>
      <c r="N266" s="163" t="str">
        <f>IFERROR(IF(A266=CONCATENATE("1","-",E266),L266,
IF(O266="Venda",VLOOKUP(CONCATENATE((COUNTIF($E$2:E266,E266)-1),"-",E266),$A$2:$N$313,14,FALSE),(VLOOKUP(CONCATENATE((COUNTIF($E$2:E266,E266)-1),"-",E266),$A$2:$N$313,14,FALSE)*VLOOKUP(CONCATENATE((COUNTIF($E$2:E266,E266)-1),"-",E266),$A$2:$N$313,13,FALSE)+K266)/M266)),"-x-")</f>
        <v>-x-</v>
      </c>
      <c r="O266" s="164" t="str">
        <f t="shared" si="18"/>
        <v>-</v>
      </c>
      <c r="P266" s="126"/>
      <c r="Q266" s="128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5.75" customHeight="1">
      <c r="A267" s="156" t="str">
        <f t="shared" si="12"/>
        <v/>
      </c>
      <c r="B267" s="165"/>
      <c r="C267" s="159" t="str">
        <f t="shared" si="17"/>
        <v>-</v>
      </c>
      <c r="D267" s="160"/>
      <c r="E267" s="169"/>
      <c r="F267" s="170"/>
      <c r="G267" s="171"/>
      <c r="H267" s="168">
        <v>0</v>
      </c>
      <c r="I267" s="171">
        <v>0</v>
      </c>
      <c r="J267" s="161">
        <f t="shared" si="13"/>
        <v>0</v>
      </c>
      <c r="K267" s="161">
        <f t="shared" si="14"/>
        <v>0</v>
      </c>
      <c r="L267" s="161" t="str">
        <f t="shared" si="15"/>
        <v>-x-</v>
      </c>
      <c r="M267" s="162">
        <f t="shared" si="16"/>
        <v>0</v>
      </c>
      <c r="N267" s="163" t="str">
        <f>IFERROR(IF(A267=CONCATENATE("1","-",E267),L267,
IF(O267="Venda",VLOOKUP(CONCATENATE((COUNTIF($E$2:E267,E267)-1),"-",E267),$A$2:$N$313,14,FALSE),(VLOOKUP(CONCATENATE((COUNTIF($E$2:E267,E267)-1),"-",E267),$A$2:$N$313,14,FALSE)*VLOOKUP(CONCATENATE((COUNTIF($E$2:E267,E267)-1),"-",E267),$A$2:$N$313,13,FALSE)+K267)/M267)),"-x-")</f>
        <v>-x-</v>
      </c>
      <c r="O267" s="164" t="str">
        <f t="shared" si="18"/>
        <v>-</v>
      </c>
      <c r="P267" s="126"/>
      <c r="Q267" s="128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5.75" customHeight="1">
      <c r="A268" s="156" t="str">
        <f t="shared" si="12"/>
        <v/>
      </c>
      <c r="B268" s="165"/>
      <c r="C268" s="159" t="str">
        <f t="shared" si="17"/>
        <v>-</v>
      </c>
      <c r="D268" s="160"/>
      <c r="E268" s="169"/>
      <c r="F268" s="170"/>
      <c r="G268" s="171"/>
      <c r="H268" s="168">
        <v>0</v>
      </c>
      <c r="I268" s="171">
        <v>0</v>
      </c>
      <c r="J268" s="161">
        <f t="shared" si="13"/>
        <v>0</v>
      </c>
      <c r="K268" s="161">
        <f t="shared" si="14"/>
        <v>0</v>
      </c>
      <c r="L268" s="161" t="str">
        <f t="shared" si="15"/>
        <v>-x-</v>
      </c>
      <c r="M268" s="162">
        <f t="shared" si="16"/>
        <v>0</v>
      </c>
      <c r="N268" s="163" t="str">
        <f>IFERROR(IF(A268=CONCATENATE("1","-",E268),L268,
IF(O268="Venda",VLOOKUP(CONCATENATE((COUNTIF($E$2:E268,E268)-1),"-",E268),$A$2:$N$313,14,FALSE),(VLOOKUP(CONCATENATE((COUNTIF($E$2:E268,E268)-1),"-",E268),$A$2:$N$313,14,FALSE)*VLOOKUP(CONCATENATE((COUNTIF($E$2:E268,E268)-1),"-",E268),$A$2:$N$313,13,FALSE)+K268)/M268)),"-x-")</f>
        <v>-x-</v>
      </c>
      <c r="O268" s="164" t="str">
        <f t="shared" si="18"/>
        <v>-</v>
      </c>
      <c r="P268" s="126"/>
      <c r="Q268" s="128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5.75" customHeight="1">
      <c r="A269" s="156" t="str">
        <f t="shared" si="12"/>
        <v/>
      </c>
      <c r="B269" s="165"/>
      <c r="C269" s="159" t="str">
        <f t="shared" si="17"/>
        <v>-</v>
      </c>
      <c r="D269" s="160"/>
      <c r="E269" s="169"/>
      <c r="F269" s="170"/>
      <c r="G269" s="171"/>
      <c r="H269" s="168">
        <v>0</v>
      </c>
      <c r="I269" s="171">
        <v>0</v>
      </c>
      <c r="J269" s="161">
        <f t="shared" si="13"/>
        <v>0</v>
      </c>
      <c r="K269" s="161">
        <f t="shared" si="14"/>
        <v>0</v>
      </c>
      <c r="L269" s="161" t="str">
        <f t="shared" si="15"/>
        <v>-x-</v>
      </c>
      <c r="M269" s="162">
        <f t="shared" si="16"/>
        <v>0</v>
      </c>
      <c r="N269" s="163" t="str">
        <f>IFERROR(IF(A269=CONCATENATE("1","-",E269),L269,
IF(O269="Venda",VLOOKUP(CONCATENATE((COUNTIF($E$2:E269,E269)-1),"-",E269),$A$2:$N$313,14,FALSE),(VLOOKUP(CONCATENATE((COUNTIF($E$2:E269,E269)-1),"-",E269),$A$2:$N$313,14,FALSE)*VLOOKUP(CONCATENATE((COUNTIF($E$2:E269,E269)-1),"-",E269),$A$2:$N$313,13,FALSE)+K269)/M269)),"-x-")</f>
        <v>-x-</v>
      </c>
      <c r="O269" s="164" t="str">
        <f t="shared" si="18"/>
        <v>-</v>
      </c>
      <c r="P269" s="126"/>
      <c r="Q269" s="128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5.75" customHeight="1">
      <c r="A270" s="156" t="str">
        <f t="shared" si="12"/>
        <v/>
      </c>
      <c r="B270" s="165"/>
      <c r="C270" s="159" t="str">
        <f t="shared" si="17"/>
        <v>-</v>
      </c>
      <c r="D270" s="160"/>
      <c r="E270" s="169"/>
      <c r="F270" s="170"/>
      <c r="G270" s="171"/>
      <c r="H270" s="168">
        <v>0</v>
      </c>
      <c r="I270" s="171">
        <v>0</v>
      </c>
      <c r="J270" s="161">
        <f t="shared" si="13"/>
        <v>0</v>
      </c>
      <c r="K270" s="161">
        <f t="shared" si="14"/>
        <v>0</v>
      </c>
      <c r="L270" s="161" t="str">
        <f t="shared" si="15"/>
        <v>-x-</v>
      </c>
      <c r="M270" s="162">
        <f t="shared" si="16"/>
        <v>0</v>
      </c>
      <c r="N270" s="163" t="str">
        <f>IFERROR(IF(A270=CONCATENATE("1","-",E270),L270,
IF(O270="Venda",VLOOKUP(CONCATENATE((COUNTIF($E$2:E270,E270)-1),"-",E270),$A$2:$N$313,14,FALSE),(VLOOKUP(CONCATENATE((COUNTIF($E$2:E270,E270)-1),"-",E270),$A$2:$N$313,14,FALSE)*VLOOKUP(CONCATENATE((COUNTIF($E$2:E270,E270)-1),"-",E270),$A$2:$N$313,13,FALSE)+K270)/M270)),"-x-")</f>
        <v>-x-</v>
      </c>
      <c r="O270" s="164" t="str">
        <f t="shared" si="18"/>
        <v>-</v>
      </c>
      <c r="P270" s="126"/>
      <c r="Q270" s="128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5.75" customHeight="1">
      <c r="A271" s="156" t="str">
        <f t="shared" si="12"/>
        <v/>
      </c>
      <c r="B271" s="165"/>
      <c r="C271" s="159" t="str">
        <f t="shared" si="17"/>
        <v>-</v>
      </c>
      <c r="D271" s="160"/>
      <c r="E271" s="169"/>
      <c r="F271" s="170"/>
      <c r="G271" s="171"/>
      <c r="H271" s="168">
        <v>0</v>
      </c>
      <c r="I271" s="171">
        <v>0</v>
      </c>
      <c r="J271" s="161">
        <f t="shared" si="13"/>
        <v>0</v>
      </c>
      <c r="K271" s="161">
        <f t="shared" si="14"/>
        <v>0</v>
      </c>
      <c r="L271" s="161" t="str">
        <f t="shared" si="15"/>
        <v>-x-</v>
      </c>
      <c r="M271" s="162">
        <f t="shared" si="16"/>
        <v>0</v>
      </c>
      <c r="N271" s="163" t="str">
        <f>IFERROR(IF(A271=CONCATENATE("1","-",E271),L271,
IF(O271="Venda",VLOOKUP(CONCATENATE((COUNTIF($E$2:E271,E271)-1),"-",E271),$A$2:$N$313,14,FALSE),(VLOOKUP(CONCATENATE((COUNTIF($E$2:E271,E271)-1),"-",E271),$A$2:$N$313,14,FALSE)*VLOOKUP(CONCATENATE((COUNTIF($E$2:E271,E271)-1),"-",E271),$A$2:$N$313,13,FALSE)+K271)/M271)),"-x-")</f>
        <v>-x-</v>
      </c>
      <c r="O271" s="164" t="str">
        <f t="shared" si="18"/>
        <v>-</v>
      </c>
      <c r="P271" s="126"/>
      <c r="Q271" s="128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5.75" customHeight="1">
      <c r="A272" s="156" t="str">
        <f t="shared" si="12"/>
        <v/>
      </c>
      <c r="B272" s="165"/>
      <c r="C272" s="159" t="str">
        <f t="shared" si="17"/>
        <v>-</v>
      </c>
      <c r="D272" s="160"/>
      <c r="E272" s="169"/>
      <c r="F272" s="170"/>
      <c r="G272" s="171"/>
      <c r="H272" s="168">
        <v>0</v>
      </c>
      <c r="I272" s="171">
        <v>0</v>
      </c>
      <c r="J272" s="161">
        <f t="shared" si="13"/>
        <v>0</v>
      </c>
      <c r="K272" s="161">
        <f t="shared" si="14"/>
        <v>0</v>
      </c>
      <c r="L272" s="161" t="str">
        <f t="shared" si="15"/>
        <v>-x-</v>
      </c>
      <c r="M272" s="162">
        <f t="shared" si="16"/>
        <v>0</v>
      </c>
      <c r="N272" s="163" t="str">
        <f>IFERROR(IF(A272=CONCATENATE("1","-",E272),L272,
IF(O272="Venda",VLOOKUP(CONCATENATE((COUNTIF($E$2:E272,E272)-1),"-",E272),$A$2:$N$313,14,FALSE),(VLOOKUP(CONCATENATE((COUNTIF($E$2:E272,E272)-1),"-",E272),$A$2:$N$313,14,FALSE)*VLOOKUP(CONCATENATE((COUNTIF($E$2:E272,E272)-1),"-",E272),$A$2:$N$313,13,FALSE)+K272)/M272)),"-x-")</f>
        <v>-x-</v>
      </c>
      <c r="O272" s="164" t="str">
        <f t="shared" si="18"/>
        <v>-</v>
      </c>
      <c r="P272" s="126"/>
      <c r="Q272" s="128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5.75" customHeight="1">
      <c r="A273" s="156" t="str">
        <f t="shared" si="12"/>
        <v/>
      </c>
      <c r="B273" s="165"/>
      <c r="C273" s="159" t="str">
        <f t="shared" si="17"/>
        <v>-</v>
      </c>
      <c r="D273" s="160"/>
      <c r="E273" s="169"/>
      <c r="F273" s="170"/>
      <c r="G273" s="171"/>
      <c r="H273" s="168">
        <v>0</v>
      </c>
      <c r="I273" s="171">
        <v>0</v>
      </c>
      <c r="J273" s="161">
        <f t="shared" si="13"/>
        <v>0</v>
      </c>
      <c r="K273" s="161">
        <f t="shared" si="14"/>
        <v>0</v>
      </c>
      <c r="L273" s="161" t="str">
        <f t="shared" si="15"/>
        <v>-x-</v>
      </c>
      <c r="M273" s="162">
        <f t="shared" si="16"/>
        <v>0</v>
      </c>
      <c r="N273" s="163" t="str">
        <f>IFERROR(IF(A273=CONCATENATE("1","-",E273),L273,
IF(O273="Venda",VLOOKUP(CONCATENATE((COUNTIF($E$2:E273,E273)-1),"-",E273),$A$2:$N$313,14,FALSE),(VLOOKUP(CONCATENATE((COUNTIF($E$2:E273,E273)-1),"-",E273),$A$2:$N$313,14,FALSE)*VLOOKUP(CONCATENATE((COUNTIF($E$2:E273,E273)-1),"-",E273),$A$2:$N$313,13,FALSE)+K273)/M273)),"-x-")</f>
        <v>-x-</v>
      </c>
      <c r="O273" s="164" t="str">
        <f t="shared" si="18"/>
        <v>-</v>
      </c>
      <c r="P273" s="126"/>
      <c r="Q273" s="128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5.75" customHeight="1">
      <c r="A274" s="156" t="str">
        <f t="shared" si="12"/>
        <v/>
      </c>
      <c r="B274" s="165"/>
      <c r="C274" s="159" t="str">
        <f t="shared" si="17"/>
        <v>-</v>
      </c>
      <c r="D274" s="160"/>
      <c r="E274" s="169"/>
      <c r="F274" s="170"/>
      <c r="G274" s="171"/>
      <c r="H274" s="168">
        <v>0</v>
      </c>
      <c r="I274" s="171">
        <v>0</v>
      </c>
      <c r="J274" s="161">
        <f t="shared" si="13"/>
        <v>0</v>
      </c>
      <c r="K274" s="161">
        <f t="shared" si="14"/>
        <v>0</v>
      </c>
      <c r="L274" s="161" t="str">
        <f t="shared" si="15"/>
        <v>-x-</v>
      </c>
      <c r="M274" s="162">
        <f t="shared" si="16"/>
        <v>0</v>
      </c>
      <c r="N274" s="163" t="str">
        <f>IFERROR(IF(A274=CONCATENATE("1","-",E274),L274,
IF(O274="Venda",VLOOKUP(CONCATENATE((COUNTIF($E$2:E274,E274)-1),"-",E274),$A$2:$N$313,14,FALSE),(VLOOKUP(CONCATENATE((COUNTIF($E$2:E274,E274)-1),"-",E274),$A$2:$N$313,14,FALSE)*VLOOKUP(CONCATENATE((COUNTIF($E$2:E274,E274)-1),"-",E274),$A$2:$N$313,13,FALSE)+K274)/M274)),"-x-")</f>
        <v>-x-</v>
      </c>
      <c r="O274" s="164" t="str">
        <f t="shared" si="18"/>
        <v>-</v>
      </c>
      <c r="P274" s="126"/>
      <c r="Q274" s="128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5.75" customHeight="1">
      <c r="A275" s="156" t="str">
        <f t="shared" si="12"/>
        <v/>
      </c>
      <c r="B275" s="165"/>
      <c r="C275" s="159" t="str">
        <f t="shared" si="17"/>
        <v>-</v>
      </c>
      <c r="D275" s="160"/>
      <c r="E275" s="169"/>
      <c r="F275" s="170"/>
      <c r="G275" s="171"/>
      <c r="H275" s="168">
        <v>0</v>
      </c>
      <c r="I275" s="171">
        <v>0</v>
      </c>
      <c r="J275" s="161">
        <f t="shared" si="13"/>
        <v>0</v>
      </c>
      <c r="K275" s="161">
        <f t="shared" si="14"/>
        <v>0</v>
      </c>
      <c r="L275" s="161" t="str">
        <f t="shared" si="15"/>
        <v>-x-</v>
      </c>
      <c r="M275" s="162">
        <f t="shared" si="16"/>
        <v>0</v>
      </c>
      <c r="N275" s="163" t="str">
        <f>IFERROR(IF(A275=CONCATENATE("1","-",E275),L275,
IF(O275="Venda",VLOOKUP(CONCATENATE((COUNTIF($E$2:E275,E275)-1),"-",E275),$A$2:$N$313,14,FALSE),(VLOOKUP(CONCATENATE((COUNTIF($E$2:E275,E275)-1),"-",E275),$A$2:$N$313,14,FALSE)*VLOOKUP(CONCATENATE((COUNTIF($E$2:E275,E275)-1),"-",E275),$A$2:$N$313,13,FALSE)+K275)/M275)),"-x-")</f>
        <v>-x-</v>
      </c>
      <c r="O275" s="164" t="str">
        <f t="shared" si="18"/>
        <v>-</v>
      </c>
      <c r="P275" s="126"/>
      <c r="Q275" s="128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5.75" customHeight="1">
      <c r="A276" s="156" t="str">
        <f t="shared" si="12"/>
        <v/>
      </c>
      <c r="B276" s="165"/>
      <c r="C276" s="159" t="str">
        <f t="shared" si="17"/>
        <v>-</v>
      </c>
      <c r="D276" s="160"/>
      <c r="E276" s="169"/>
      <c r="F276" s="170"/>
      <c r="G276" s="171"/>
      <c r="H276" s="168">
        <v>0</v>
      </c>
      <c r="I276" s="171">
        <v>0</v>
      </c>
      <c r="J276" s="161">
        <f t="shared" si="13"/>
        <v>0</v>
      </c>
      <c r="K276" s="161">
        <f t="shared" si="14"/>
        <v>0</v>
      </c>
      <c r="L276" s="161" t="str">
        <f t="shared" si="15"/>
        <v>-x-</v>
      </c>
      <c r="M276" s="162">
        <f t="shared" si="16"/>
        <v>0</v>
      </c>
      <c r="N276" s="163" t="str">
        <f>IFERROR(IF(A276=CONCATENATE("1","-",E276),L276,
IF(O276="Venda",VLOOKUP(CONCATENATE((COUNTIF($E$2:E276,E276)-1),"-",E276),$A$2:$N$313,14,FALSE),(VLOOKUP(CONCATENATE((COUNTIF($E$2:E276,E276)-1),"-",E276),$A$2:$N$313,14,FALSE)*VLOOKUP(CONCATENATE((COUNTIF($E$2:E276,E276)-1),"-",E276),$A$2:$N$313,13,FALSE)+K276)/M276)),"-x-")</f>
        <v>-x-</v>
      </c>
      <c r="O276" s="164" t="str">
        <f t="shared" si="18"/>
        <v>-</v>
      </c>
      <c r="P276" s="126"/>
      <c r="Q276" s="128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5.75" customHeight="1">
      <c r="A277" s="156" t="str">
        <f t="shared" si="12"/>
        <v/>
      </c>
      <c r="B277" s="165"/>
      <c r="C277" s="159" t="str">
        <f t="shared" si="17"/>
        <v>-</v>
      </c>
      <c r="D277" s="160"/>
      <c r="E277" s="169"/>
      <c r="F277" s="170"/>
      <c r="G277" s="171"/>
      <c r="H277" s="168">
        <v>0</v>
      </c>
      <c r="I277" s="171">
        <v>0</v>
      </c>
      <c r="J277" s="161">
        <f t="shared" si="13"/>
        <v>0</v>
      </c>
      <c r="K277" s="161">
        <f t="shared" si="14"/>
        <v>0</v>
      </c>
      <c r="L277" s="161" t="str">
        <f t="shared" si="15"/>
        <v>-x-</v>
      </c>
      <c r="M277" s="162">
        <f t="shared" si="16"/>
        <v>0</v>
      </c>
      <c r="N277" s="163" t="str">
        <f>IFERROR(IF(A277=CONCATENATE("1","-",E277),L277,
IF(O277="Venda",VLOOKUP(CONCATENATE((COUNTIF($E$2:E277,E277)-1),"-",E277),$A$2:$N$313,14,FALSE),(VLOOKUP(CONCATENATE((COUNTIF($E$2:E277,E277)-1),"-",E277),$A$2:$N$313,14,FALSE)*VLOOKUP(CONCATENATE((COUNTIF($E$2:E277,E277)-1),"-",E277),$A$2:$N$313,13,FALSE)+K277)/M277)),"-x-")</f>
        <v>-x-</v>
      </c>
      <c r="O277" s="164" t="str">
        <f t="shared" si="18"/>
        <v>-</v>
      </c>
      <c r="P277" s="126"/>
      <c r="Q277" s="128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5.75" customHeight="1">
      <c r="A278" s="156" t="str">
        <f t="shared" si="12"/>
        <v/>
      </c>
      <c r="B278" s="165"/>
      <c r="C278" s="159" t="str">
        <f t="shared" si="17"/>
        <v>-</v>
      </c>
      <c r="D278" s="160"/>
      <c r="E278" s="169"/>
      <c r="F278" s="170"/>
      <c r="G278" s="171"/>
      <c r="H278" s="168">
        <v>0</v>
      </c>
      <c r="I278" s="171">
        <v>0</v>
      </c>
      <c r="J278" s="161">
        <f t="shared" si="13"/>
        <v>0</v>
      </c>
      <c r="K278" s="161">
        <f t="shared" si="14"/>
        <v>0</v>
      </c>
      <c r="L278" s="161" t="str">
        <f t="shared" si="15"/>
        <v>-x-</v>
      </c>
      <c r="M278" s="162">
        <f t="shared" si="16"/>
        <v>0</v>
      </c>
      <c r="N278" s="163" t="str">
        <f>IFERROR(IF(A278=CONCATENATE("1","-",E278),L278,
IF(O278="Venda",VLOOKUP(CONCATENATE((COUNTIF($E$2:E278,E278)-1),"-",E278),$A$2:$N$313,14,FALSE),(VLOOKUP(CONCATENATE((COUNTIF($E$2:E278,E278)-1),"-",E278),$A$2:$N$313,14,FALSE)*VLOOKUP(CONCATENATE((COUNTIF($E$2:E278,E278)-1),"-",E278),$A$2:$N$313,13,FALSE)+K278)/M278)),"-x-")</f>
        <v>-x-</v>
      </c>
      <c r="O278" s="164" t="str">
        <f t="shared" si="18"/>
        <v>-</v>
      </c>
      <c r="P278" s="126"/>
      <c r="Q278" s="128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5.75" customHeight="1">
      <c r="A279" s="156" t="str">
        <f t="shared" si="12"/>
        <v/>
      </c>
      <c r="B279" s="165"/>
      <c r="C279" s="159" t="str">
        <f t="shared" si="17"/>
        <v>-</v>
      </c>
      <c r="D279" s="160"/>
      <c r="E279" s="169"/>
      <c r="F279" s="170"/>
      <c r="G279" s="171"/>
      <c r="H279" s="168">
        <v>0</v>
      </c>
      <c r="I279" s="171">
        <v>0</v>
      </c>
      <c r="J279" s="161">
        <f t="shared" si="13"/>
        <v>0</v>
      </c>
      <c r="K279" s="161">
        <f t="shared" si="14"/>
        <v>0</v>
      </c>
      <c r="L279" s="161" t="str">
        <f t="shared" si="15"/>
        <v>-x-</v>
      </c>
      <c r="M279" s="162">
        <f t="shared" si="16"/>
        <v>0</v>
      </c>
      <c r="N279" s="163" t="str">
        <f>IFERROR(IF(A279=CONCATENATE("1","-",E279),L279,
IF(O279="Venda",VLOOKUP(CONCATENATE((COUNTIF($E$2:E279,E279)-1),"-",E279),$A$2:$N$313,14,FALSE),(VLOOKUP(CONCATENATE((COUNTIF($E$2:E279,E279)-1),"-",E279),$A$2:$N$313,14,FALSE)*VLOOKUP(CONCATENATE((COUNTIF($E$2:E279,E279)-1),"-",E279),$A$2:$N$313,13,FALSE)+K279)/M279)),"-x-")</f>
        <v>-x-</v>
      </c>
      <c r="O279" s="164" t="str">
        <f t="shared" si="18"/>
        <v>-</v>
      </c>
      <c r="P279" s="126"/>
      <c r="Q279" s="128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5.75" customHeight="1">
      <c r="A280" s="156" t="str">
        <f t="shared" si="12"/>
        <v/>
      </c>
      <c r="B280" s="165"/>
      <c r="C280" s="159" t="str">
        <f t="shared" si="17"/>
        <v>-</v>
      </c>
      <c r="D280" s="160"/>
      <c r="E280" s="169"/>
      <c r="F280" s="170"/>
      <c r="G280" s="171"/>
      <c r="H280" s="168">
        <v>0</v>
      </c>
      <c r="I280" s="171">
        <v>0</v>
      </c>
      <c r="J280" s="161">
        <f t="shared" si="13"/>
        <v>0</v>
      </c>
      <c r="K280" s="161">
        <f t="shared" si="14"/>
        <v>0</v>
      </c>
      <c r="L280" s="161" t="str">
        <f t="shared" si="15"/>
        <v>-x-</v>
      </c>
      <c r="M280" s="162">
        <f t="shared" si="16"/>
        <v>0</v>
      </c>
      <c r="N280" s="163" t="str">
        <f>IFERROR(IF(A280=CONCATENATE("1","-",E280),L280,
IF(O280="Venda",VLOOKUP(CONCATENATE((COUNTIF($E$2:E280,E280)-1),"-",E280),$A$2:$N$313,14,FALSE),(VLOOKUP(CONCATENATE((COUNTIF($E$2:E280,E280)-1),"-",E280),$A$2:$N$313,14,FALSE)*VLOOKUP(CONCATENATE((COUNTIF($E$2:E280,E280)-1),"-",E280),$A$2:$N$313,13,FALSE)+K280)/M280)),"-x-")</f>
        <v>-x-</v>
      </c>
      <c r="O280" s="164" t="str">
        <f t="shared" si="18"/>
        <v>-</v>
      </c>
      <c r="P280" s="126"/>
      <c r="Q280" s="128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5.75" customHeight="1">
      <c r="A281" s="156" t="str">
        <f t="shared" si="12"/>
        <v/>
      </c>
      <c r="B281" s="165"/>
      <c r="C281" s="159" t="str">
        <f t="shared" si="17"/>
        <v>-</v>
      </c>
      <c r="D281" s="160"/>
      <c r="E281" s="169"/>
      <c r="F281" s="170"/>
      <c r="G281" s="171"/>
      <c r="H281" s="168">
        <v>0</v>
      </c>
      <c r="I281" s="171">
        <v>0</v>
      </c>
      <c r="J281" s="161">
        <f t="shared" si="13"/>
        <v>0</v>
      </c>
      <c r="K281" s="161">
        <f t="shared" si="14"/>
        <v>0</v>
      </c>
      <c r="L281" s="161" t="str">
        <f t="shared" si="15"/>
        <v>-x-</v>
      </c>
      <c r="M281" s="162">
        <f t="shared" si="16"/>
        <v>0</v>
      </c>
      <c r="N281" s="163" t="str">
        <f>IFERROR(IF(A281=CONCATENATE("1","-",E281),L281,
IF(O281="Venda",VLOOKUP(CONCATENATE((COUNTIF($E$2:E281,E281)-1),"-",E281),$A$2:$N$313,14,FALSE),(VLOOKUP(CONCATENATE((COUNTIF($E$2:E281,E281)-1),"-",E281),$A$2:$N$313,14,FALSE)*VLOOKUP(CONCATENATE((COUNTIF($E$2:E281,E281)-1),"-",E281),$A$2:$N$313,13,FALSE)+K281)/M281)),"-x-")</f>
        <v>-x-</v>
      </c>
      <c r="O281" s="164" t="str">
        <f t="shared" si="18"/>
        <v>-</v>
      </c>
      <c r="P281" s="126"/>
      <c r="Q281" s="128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5.75" customHeight="1">
      <c r="A282" s="156" t="str">
        <f t="shared" si="12"/>
        <v/>
      </c>
      <c r="B282" s="165"/>
      <c r="C282" s="159" t="str">
        <f t="shared" si="17"/>
        <v>-</v>
      </c>
      <c r="D282" s="160"/>
      <c r="E282" s="169"/>
      <c r="F282" s="170"/>
      <c r="G282" s="171"/>
      <c r="H282" s="168">
        <v>0</v>
      </c>
      <c r="I282" s="171">
        <v>0</v>
      </c>
      <c r="J282" s="161">
        <f t="shared" si="13"/>
        <v>0</v>
      </c>
      <c r="K282" s="161">
        <f t="shared" si="14"/>
        <v>0</v>
      </c>
      <c r="L282" s="161" t="str">
        <f t="shared" si="15"/>
        <v>-x-</v>
      </c>
      <c r="M282" s="162">
        <f t="shared" si="16"/>
        <v>0</v>
      </c>
      <c r="N282" s="163" t="str">
        <f>IFERROR(IF(A282=CONCATENATE("1","-",E282),L282,
IF(O282="Venda",VLOOKUP(CONCATENATE((COUNTIF($E$2:E282,E282)-1),"-",E282),$A$2:$N$313,14,FALSE),(VLOOKUP(CONCATENATE((COUNTIF($E$2:E282,E282)-1),"-",E282),$A$2:$N$313,14,FALSE)*VLOOKUP(CONCATENATE((COUNTIF($E$2:E282,E282)-1),"-",E282),$A$2:$N$313,13,FALSE)+K282)/M282)),"-x-")</f>
        <v>-x-</v>
      </c>
      <c r="O282" s="164" t="str">
        <f t="shared" si="18"/>
        <v>-</v>
      </c>
      <c r="P282" s="126"/>
      <c r="Q282" s="128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5.75" customHeight="1">
      <c r="A283" s="156" t="str">
        <f t="shared" si="12"/>
        <v/>
      </c>
      <c r="B283" s="165"/>
      <c r="C283" s="159" t="str">
        <f t="shared" si="17"/>
        <v>-</v>
      </c>
      <c r="D283" s="160"/>
      <c r="E283" s="169"/>
      <c r="F283" s="170"/>
      <c r="G283" s="171"/>
      <c r="H283" s="168">
        <v>0</v>
      </c>
      <c r="I283" s="171">
        <v>0</v>
      </c>
      <c r="J283" s="161">
        <f t="shared" si="13"/>
        <v>0</v>
      </c>
      <c r="K283" s="161">
        <f t="shared" si="14"/>
        <v>0</v>
      </c>
      <c r="L283" s="161" t="str">
        <f t="shared" si="15"/>
        <v>-x-</v>
      </c>
      <c r="M283" s="162">
        <f t="shared" si="16"/>
        <v>0</v>
      </c>
      <c r="N283" s="163" t="str">
        <f>IFERROR(IF(A283=CONCATENATE("1","-",E283),L283,
IF(O283="Venda",VLOOKUP(CONCATENATE((COUNTIF($E$2:E283,E283)-1),"-",E283),$A$2:$N$313,14,FALSE),(VLOOKUP(CONCATENATE((COUNTIF($E$2:E283,E283)-1),"-",E283),$A$2:$N$313,14,FALSE)*VLOOKUP(CONCATENATE((COUNTIF($E$2:E283,E283)-1),"-",E283),$A$2:$N$313,13,FALSE)+K283)/M283)),"-x-")</f>
        <v>-x-</v>
      </c>
      <c r="O283" s="164" t="str">
        <f t="shared" si="18"/>
        <v>-</v>
      </c>
      <c r="P283" s="126"/>
      <c r="Q283" s="128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5.75" customHeight="1">
      <c r="A284" s="156" t="str">
        <f t="shared" si="12"/>
        <v/>
      </c>
      <c r="B284" s="165"/>
      <c r="C284" s="159" t="str">
        <f t="shared" si="17"/>
        <v>-</v>
      </c>
      <c r="D284" s="160"/>
      <c r="E284" s="169"/>
      <c r="F284" s="170"/>
      <c r="G284" s="171"/>
      <c r="H284" s="168">
        <v>0</v>
      </c>
      <c r="I284" s="171">
        <v>0</v>
      </c>
      <c r="J284" s="161">
        <f t="shared" si="13"/>
        <v>0</v>
      </c>
      <c r="K284" s="161">
        <f t="shared" si="14"/>
        <v>0</v>
      </c>
      <c r="L284" s="161" t="str">
        <f t="shared" si="15"/>
        <v>-x-</v>
      </c>
      <c r="M284" s="162">
        <f t="shared" si="16"/>
        <v>0</v>
      </c>
      <c r="N284" s="163" t="str">
        <f>IFERROR(IF(A284=CONCATENATE("1","-",E284),L284,
IF(O284="Venda",VLOOKUP(CONCATENATE((COUNTIF($E$2:E284,E284)-1),"-",E284),$A$2:$N$313,14,FALSE),(VLOOKUP(CONCATENATE((COUNTIF($E$2:E284,E284)-1),"-",E284),$A$2:$N$313,14,FALSE)*VLOOKUP(CONCATENATE((COUNTIF($E$2:E284,E284)-1),"-",E284),$A$2:$N$313,13,FALSE)+K284)/M284)),"-x-")</f>
        <v>-x-</v>
      </c>
      <c r="O284" s="164" t="str">
        <f t="shared" si="18"/>
        <v>-</v>
      </c>
      <c r="P284" s="126"/>
      <c r="Q284" s="128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5.75" customHeight="1">
      <c r="A285" s="156" t="str">
        <f t="shared" si="12"/>
        <v/>
      </c>
      <c r="B285" s="165"/>
      <c r="C285" s="159" t="str">
        <f t="shared" si="17"/>
        <v>-</v>
      </c>
      <c r="D285" s="160"/>
      <c r="E285" s="169"/>
      <c r="F285" s="170"/>
      <c r="G285" s="171"/>
      <c r="H285" s="168">
        <v>0</v>
      </c>
      <c r="I285" s="171">
        <v>0</v>
      </c>
      <c r="J285" s="161">
        <f t="shared" si="13"/>
        <v>0</v>
      </c>
      <c r="K285" s="161">
        <f t="shared" si="14"/>
        <v>0</v>
      </c>
      <c r="L285" s="161" t="str">
        <f t="shared" si="15"/>
        <v>-x-</v>
      </c>
      <c r="M285" s="162">
        <f t="shared" si="16"/>
        <v>0</v>
      </c>
      <c r="N285" s="163" t="str">
        <f>IFERROR(IF(A285=CONCATENATE("1","-",E285),L285,
IF(O285="Venda",VLOOKUP(CONCATENATE((COUNTIF($E$2:E285,E285)-1),"-",E285),$A$2:$N$313,14,FALSE),(VLOOKUP(CONCATENATE((COUNTIF($E$2:E285,E285)-1),"-",E285),$A$2:$N$313,14,FALSE)*VLOOKUP(CONCATENATE((COUNTIF($E$2:E285,E285)-1),"-",E285),$A$2:$N$313,13,FALSE)+K285)/M285)),"-x-")</f>
        <v>-x-</v>
      </c>
      <c r="O285" s="164" t="str">
        <f t="shared" si="18"/>
        <v>-</v>
      </c>
      <c r="P285" s="126"/>
      <c r="Q285" s="128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5.75" customHeight="1">
      <c r="A286" s="156" t="str">
        <f t="shared" si="12"/>
        <v/>
      </c>
      <c r="B286" s="165"/>
      <c r="C286" s="159" t="str">
        <f t="shared" si="17"/>
        <v>-</v>
      </c>
      <c r="D286" s="160"/>
      <c r="E286" s="169"/>
      <c r="F286" s="170"/>
      <c r="G286" s="171"/>
      <c r="H286" s="168">
        <v>0</v>
      </c>
      <c r="I286" s="171">
        <v>0</v>
      </c>
      <c r="J286" s="161">
        <f t="shared" si="13"/>
        <v>0</v>
      </c>
      <c r="K286" s="161">
        <f t="shared" si="14"/>
        <v>0</v>
      </c>
      <c r="L286" s="161" t="str">
        <f t="shared" si="15"/>
        <v>-x-</v>
      </c>
      <c r="M286" s="162">
        <f t="shared" si="16"/>
        <v>0</v>
      </c>
      <c r="N286" s="163" t="str">
        <f>IFERROR(IF(A286=CONCATENATE("1","-",E286),L286,
IF(O286="Venda",VLOOKUP(CONCATENATE((COUNTIF($E$2:E286,E286)-1),"-",E286),$A$2:$N$313,14,FALSE),(VLOOKUP(CONCATENATE((COUNTIF($E$2:E286,E286)-1),"-",E286),$A$2:$N$313,14,FALSE)*VLOOKUP(CONCATENATE((COUNTIF($E$2:E286,E286)-1),"-",E286),$A$2:$N$313,13,FALSE)+K286)/M286)),"-x-")</f>
        <v>-x-</v>
      </c>
      <c r="O286" s="164" t="str">
        <f t="shared" si="18"/>
        <v>-</v>
      </c>
      <c r="P286" s="126"/>
      <c r="Q286" s="128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5.75" customHeight="1">
      <c r="A287" s="156" t="str">
        <f t="shared" si="12"/>
        <v/>
      </c>
      <c r="B287" s="165"/>
      <c r="C287" s="159" t="str">
        <f t="shared" si="17"/>
        <v>-</v>
      </c>
      <c r="D287" s="160"/>
      <c r="E287" s="169"/>
      <c r="F287" s="170"/>
      <c r="G287" s="171"/>
      <c r="H287" s="168">
        <v>0</v>
      </c>
      <c r="I287" s="171">
        <v>0</v>
      </c>
      <c r="J287" s="161">
        <f t="shared" si="13"/>
        <v>0</v>
      </c>
      <c r="K287" s="161">
        <f t="shared" si="14"/>
        <v>0</v>
      </c>
      <c r="L287" s="161" t="str">
        <f t="shared" si="15"/>
        <v>-x-</v>
      </c>
      <c r="M287" s="162">
        <f t="shared" si="16"/>
        <v>0</v>
      </c>
      <c r="N287" s="163" t="str">
        <f>IFERROR(IF(A287=CONCATENATE("1","-",E287),L287,
IF(O287="Venda",VLOOKUP(CONCATENATE((COUNTIF($E$2:E287,E287)-1),"-",E287),$A$2:$N$313,14,FALSE),(VLOOKUP(CONCATENATE((COUNTIF($E$2:E287,E287)-1),"-",E287),$A$2:$N$313,14,FALSE)*VLOOKUP(CONCATENATE((COUNTIF($E$2:E287,E287)-1),"-",E287),$A$2:$N$313,13,FALSE)+K287)/M287)),"-x-")</f>
        <v>-x-</v>
      </c>
      <c r="O287" s="164" t="str">
        <f t="shared" si="18"/>
        <v>-</v>
      </c>
      <c r="P287" s="126"/>
      <c r="Q287" s="128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5.75" customHeight="1">
      <c r="A288" s="156" t="str">
        <f t="shared" si="12"/>
        <v/>
      </c>
      <c r="B288" s="165"/>
      <c r="C288" s="159" t="str">
        <f t="shared" si="17"/>
        <v>-</v>
      </c>
      <c r="D288" s="160"/>
      <c r="E288" s="169"/>
      <c r="F288" s="170"/>
      <c r="G288" s="171"/>
      <c r="H288" s="168">
        <v>0</v>
      </c>
      <c r="I288" s="171">
        <v>0</v>
      </c>
      <c r="J288" s="161">
        <f t="shared" si="13"/>
        <v>0</v>
      </c>
      <c r="K288" s="161">
        <f t="shared" si="14"/>
        <v>0</v>
      </c>
      <c r="L288" s="161" t="str">
        <f t="shared" si="15"/>
        <v>-x-</v>
      </c>
      <c r="M288" s="162">
        <f t="shared" si="16"/>
        <v>0</v>
      </c>
      <c r="N288" s="163" t="str">
        <f>IFERROR(IF(A288=CONCATENATE("1","-",E288),L288,
IF(O288="Venda",VLOOKUP(CONCATENATE((COUNTIF($E$2:E288,E288)-1),"-",E288),$A$2:$N$313,14,FALSE),(VLOOKUP(CONCATENATE((COUNTIF($E$2:E288,E288)-1),"-",E288),$A$2:$N$313,14,FALSE)*VLOOKUP(CONCATENATE((COUNTIF($E$2:E288,E288)-1),"-",E288),$A$2:$N$313,13,FALSE)+K288)/M288)),"-x-")</f>
        <v>-x-</v>
      </c>
      <c r="O288" s="164" t="str">
        <f t="shared" si="18"/>
        <v>-</v>
      </c>
      <c r="P288" s="126"/>
      <c r="Q288" s="128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5.75" customHeight="1">
      <c r="A289" s="156" t="str">
        <f t="shared" si="12"/>
        <v/>
      </c>
      <c r="B289" s="165"/>
      <c r="C289" s="159" t="str">
        <f t="shared" si="17"/>
        <v>-</v>
      </c>
      <c r="D289" s="160"/>
      <c r="E289" s="169"/>
      <c r="F289" s="170"/>
      <c r="G289" s="171"/>
      <c r="H289" s="168">
        <v>0</v>
      </c>
      <c r="I289" s="171">
        <v>0</v>
      </c>
      <c r="J289" s="161">
        <f t="shared" si="13"/>
        <v>0</v>
      </c>
      <c r="K289" s="161">
        <f t="shared" si="14"/>
        <v>0</v>
      </c>
      <c r="L289" s="161" t="str">
        <f t="shared" si="15"/>
        <v>-x-</v>
      </c>
      <c r="M289" s="162">
        <f t="shared" si="16"/>
        <v>0</v>
      </c>
      <c r="N289" s="163" t="str">
        <f>IFERROR(IF(A289=CONCATENATE("1","-",E289),L289,
IF(O289="Venda",VLOOKUP(CONCATENATE((COUNTIF($E$2:E289,E289)-1),"-",E289),$A$2:$N$313,14,FALSE),(VLOOKUP(CONCATENATE((COUNTIF($E$2:E289,E289)-1),"-",E289),$A$2:$N$313,14,FALSE)*VLOOKUP(CONCATENATE((COUNTIF($E$2:E289,E289)-1),"-",E289),$A$2:$N$313,13,FALSE)+K289)/M289)),"-x-")</f>
        <v>-x-</v>
      </c>
      <c r="O289" s="164" t="str">
        <f t="shared" si="18"/>
        <v>-</v>
      </c>
      <c r="P289" s="126"/>
      <c r="Q289" s="128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5.75" customHeight="1">
      <c r="A290" s="156" t="str">
        <f t="shared" si="12"/>
        <v/>
      </c>
      <c r="B290" s="165"/>
      <c r="C290" s="159" t="str">
        <f t="shared" si="17"/>
        <v>-</v>
      </c>
      <c r="D290" s="160"/>
      <c r="E290" s="169"/>
      <c r="F290" s="170"/>
      <c r="G290" s="171"/>
      <c r="H290" s="168">
        <v>0</v>
      </c>
      <c r="I290" s="171">
        <v>0</v>
      </c>
      <c r="J290" s="161">
        <f t="shared" si="13"/>
        <v>0</v>
      </c>
      <c r="K290" s="161">
        <f t="shared" si="14"/>
        <v>0</v>
      </c>
      <c r="L290" s="161" t="str">
        <f t="shared" si="15"/>
        <v>-x-</v>
      </c>
      <c r="M290" s="162">
        <f t="shared" si="16"/>
        <v>0</v>
      </c>
      <c r="N290" s="163" t="str">
        <f>IFERROR(IF(A290=CONCATENATE("1","-",E290),L290,
IF(O290="Venda",VLOOKUP(CONCATENATE((COUNTIF($E$2:E290,E290)-1),"-",E290),$A$2:$N$313,14,FALSE),(VLOOKUP(CONCATENATE((COUNTIF($E$2:E290,E290)-1),"-",E290),$A$2:$N$313,14,FALSE)*VLOOKUP(CONCATENATE((COUNTIF($E$2:E290,E290)-1),"-",E290),$A$2:$N$313,13,FALSE)+K290)/M290)),"-x-")</f>
        <v>-x-</v>
      </c>
      <c r="O290" s="164" t="str">
        <f t="shared" si="18"/>
        <v>-</v>
      </c>
      <c r="P290" s="126"/>
      <c r="Q290" s="128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5.75" customHeight="1">
      <c r="A291" s="156" t="str">
        <f t="shared" si="12"/>
        <v/>
      </c>
      <c r="B291" s="165"/>
      <c r="C291" s="159" t="str">
        <f t="shared" si="17"/>
        <v>-</v>
      </c>
      <c r="D291" s="160"/>
      <c r="E291" s="169"/>
      <c r="F291" s="170"/>
      <c r="G291" s="171"/>
      <c r="H291" s="168">
        <v>0</v>
      </c>
      <c r="I291" s="171">
        <v>0</v>
      </c>
      <c r="J291" s="161">
        <f t="shared" si="13"/>
        <v>0</v>
      </c>
      <c r="K291" s="161">
        <f t="shared" si="14"/>
        <v>0</v>
      </c>
      <c r="L291" s="161" t="str">
        <f t="shared" si="15"/>
        <v>-x-</v>
      </c>
      <c r="M291" s="162">
        <f t="shared" si="16"/>
        <v>0</v>
      </c>
      <c r="N291" s="163" t="str">
        <f>IFERROR(IF(A291=CONCATENATE("1","-",E291),L291,
IF(O291="Venda",VLOOKUP(CONCATENATE((COUNTIF($E$2:E291,E291)-1),"-",E291),$A$2:$N$313,14,FALSE),(VLOOKUP(CONCATENATE((COUNTIF($E$2:E291,E291)-1),"-",E291),$A$2:$N$313,14,FALSE)*VLOOKUP(CONCATENATE((COUNTIF($E$2:E291,E291)-1),"-",E291),$A$2:$N$313,13,FALSE)+K291)/M291)),"-x-")</f>
        <v>-x-</v>
      </c>
      <c r="O291" s="164" t="str">
        <f t="shared" si="18"/>
        <v>-</v>
      </c>
      <c r="P291" s="126"/>
      <c r="Q291" s="128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5.75" customHeight="1">
      <c r="A292" s="156" t="str">
        <f t="shared" si="12"/>
        <v/>
      </c>
      <c r="B292" s="165"/>
      <c r="C292" s="159" t="str">
        <f t="shared" si="17"/>
        <v>-</v>
      </c>
      <c r="D292" s="160"/>
      <c r="E292" s="169"/>
      <c r="F292" s="170"/>
      <c r="G292" s="171"/>
      <c r="H292" s="168">
        <v>0</v>
      </c>
      <c r="I292" s="171">
        <v>0</v>
      </c>
      <c r="J292" s="161">
        <f t="shared" si="13"/>
        <v>0</v>
      </c>
      <c r="K292" s="161">
        <f t="shared" si="14"/>
        <v>0</v>
      </c>
      <c r="L292" s="161" t="str">
        <f t="shared" si="15"/>
        <v>-x-</v>
      </c>
      <c r="M292" s="162">
        <f t="shared" si="16"/>
        <v>0</v>
      </c>
      <c r="N292" s="163" t="str">
        <f>IFERROR(IF(A292=CONCATENATE("1","-",E292),L292,
IF(O292="Venda",VLOOKUP(CONCATENATE((COUNTIF($E$2:E292,E292)-1),"-",E292),$A$2:$N$313,14,FALSE),(VLOOKUP(CONCATENATE((COUNTIF($E$2:E292,E292)-1),"-",E292),$A$2:$N$313,14,FALSE)*VLOOKUP(CONCATENATE((COUNTIF($E$2:E292,E292)-1),"-",E292),$A$2:$N$313,13,FALSE)+K292)/M292)),"-x-")</f>
        <v>-x-</v>
      </c>
      <c r="O292" s="164" t="str">
        <f t="shared" si="18"/>
        <v>-</v>
      </c>
      <c r="P292" s="126"/>
      <c r="Q292" s="128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5.75" customHeight="1">
      <c r="A293" s="156" t="str">
        <f t="shared" si="12"/>
        <v/>
      </c>
      <c r="B293" s="165"/>
      <c r="C293" s="159" t="str">
        <f t="shared" si="17"/>
        <v>-</v>
      </c>
      <c r="D293" s="160"/>
      <c r="E293" s="169"/>
      <c r="F293" s="170"/>
      <c r="G293" s="171"/>
      <c r="H293" s="168">
        <v>0</v>
      </c>
      <c r="I293" s="171">
        <v>0</v>
      </c>
      <c r="J293" s="161">
        <f t="shared" si="13"/>
        <v>0</v>
      </c>
      <c r="K293" s="161">
        <f t="shared" si="14"/>
        <v>0</v>
      </c>
      <c r="L293" s="161" t="str">
        <f t="shared" si="15"/>
        <v>-x-</v>
      </c>
      <c r="M293" s="162">
        <f t="shared" si="16"/>
        <v>0</v>
      </c>
      <c r="N293" s="163" t="str">
        <f>IFERROR(IF(A293=CONCATENATE("1","-",E293),L293,
IF(O293="Venda",VLOOKUP(CONCATENATE((COUNTIF($E$2:E293,E293)-1),"-",E293),$A$2:$N$313,14,FALSE),(VLOOKUP(CONCATENATE((COUNTIF($E$2:E293,E293)-1),"-",E293),$A$2:$N$313,14,FALSE)*VLOOKUP(CONCATENATE((COUNTIF($E$2:E293,E293)-1),"-",E293),$A$2:$N$313,13,FALSE)+K293)/M293)),"-x-")</f>
        <v>-x-</v>
      </c>
      <c r="O293" s="164" t="str">
        <f t="shared" si="18"/>
        <v>-</v>
      </c>
      <c r="P293" s="126"/>
      <c r="Q293" s="128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5.75" customHeight="1">
      <c r="A294" s="156" t="str">
        <f t="shared" si="12"/>
        <v/>
      </c>
      <c r="B294" s="165"/>
      <c r="C294" s="159" t="str">
        <f t="shared" si="17"/>
        <v>-</v>
      </c>
      <c r="D294" s="160"/>
      <c r="E294" s="169"/>
      <c r="F294" s="170"/>
      <c r="G294" s="171"/>
      <c r="H294" s="168">
        <v>0</v>
      </c>
      <c r="I294" s="171">
        <v>0</v>
      </c>
      <c r="J294" s="161">
        <f t="shared" si="13"/>
        <v>0</v>
      </c>
      <c r="K294" s="161">
        <f t="shared" si="14"/>
        <v>0</v>
      </c>
      <c r="L294" s="161" t="str">
        <f t="shared" si="15"/>
        <v>-x-</v>
      </c>
      <c r="M294" s="162">
        <f t="shared" si="16"/>
        <v>0</v>
      </c>
      <c r="N294" s="163" t="str">
        <f>IFERROR(IF(A294=CONCATENATE("1","-",E294),L294,
IF(O294="Venda",VLOOKUP(CONCATENATE((COUNTIF($E$2:E294,E294)-1),"-",E294),$A$2:$N$313,14,FALSE),(VLOOKUP(CONCATENATE((COUNTIF($E$2:E294,E294)-1),"-",E294),$A$2:$N$313,14,FALSE)*VLOOKUP(CONCATENATE((COUNTIF($E$2:E294,E294)-1),"-",E294),$A$2:$N$313,13,FALSE)+K294)/M294)),"-x-")</f>
        <v>-x-</v>
      </c>
      <c r="O294" s="164" t="str">
        <f t="shared" si="18"/>
        <v>-</v>
      </c>
      <c r="P294" s="126"/>
      <c r="Q294" s="128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5.75" customHeight="1">
      <c r="A295" s="156" t="str">
        <f t="shared" si="12"/>
        <v/>
      </c>
      <c r="B295" s="165"/>
      <c r="C295" s="159" t="str">
        <f t="shared" si="17"/>
        <v>-</v>
      </c>
      <c r="D295" s="160"/>
      <c r="E295" s="169"/>
      <c r="F295" s="170"/>
      <c r="G295" s="171"/>
      <c r="H295" s="168">
        <v>0</v>
      </c>
      <c r="I295" s="171">
        <v>0</v>
      </c>
      <c r="J295" s="161">
        <f t="shared" si="13"/>
        <v>0</v>
      </c>
      <c r="K295" s="161">
        <f t="shared" si="14"/>
        <v>0</v>
      </c>
      <c r="L295" s="161" t="str">
        <f t="shared" si="15"/>
        <v>-x-</v>
      </c>
      <c r="M295" s="162">
        <f t="shared" si="16"/>
        <v>0</v>
      </c>
      <c r="N295" s="163" t="str">
        <f>IFERROR(IF(A295=CONCATENATE("1","-",E295),L295,
IF(O295="Venda",VLOOKUP(CONCATENATE((COUNTIF($E$2:E295,E295)-1),"-",E295),$A$2:$N$313,14,FALSE),(VLOOKUP(CONCATENATE((COUNTIF($E$2:E295,E295)-1),"-",E295),$A$2:$N$313,14,FALSE)*VLOOKUP(CONCATENATE((COUNTIF($E$2:E295,E295)-1),"-",E295),$A$2:$N$313,13,FALSE)+K295)/M295)),"-x-")</f>
        <v>-x-</v>
      </c>
      <c r="O295" s="164" t="str">
        <f t="shared" si="18"/>
        <v>-</v>
      </c>
      <c r="P295" s="126"/>
      <c r="Q295" s="128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5.75" customHeight="1">
      <c r="A296" s="156" t="str">
        <f t="shared" si="12"/>
        <v/>
      </c>
      <c r="B296" s="165"/>
      <c r="C296" s="159" t="str">
        <f t="shared" si="17"/>
        <v>-</v>
      </c>
      <c r="D296" s="160"/>
      <c r="E296" s="169"/>
      <c r="F296" s="170"/>
      <c r="G296" s="171"/>
      <c r="H296" s="168">
        <v>0</v>
      </c>
      <c r="I296" s="171">
        <v>0</v>
      </c>
      <c r="J296" s="161">
        <f t="shared" si="13"/>
        <v>0</v>
      </c>
      <c r="K296" s="161">
        <f t="shared" si="14"/>
        <v>0</v>
      </c>
      <c r="L296" s="161" t="str">
        <f t="shared" si="15"/>
        <v>-x-</v>
      </c>
      <c r="M296" s="162">
        <f t="shared" si="16"/>
        <v>0</v>
      </c>
      <c r="N296" s="163" t="str">
        <f>IFERROR(IF(A296=CONCATENATE("1","-",E296),L296,
IF(O296="Venda",VLOOKUP(CONCATENATE((COUNTIF($E$2:E296,E296)-1),"-",E296),$A$2:$N$313,14,FALSE),(VLOOKUP(CONCATENATE((COUNTIF($E$2:E296,E296)-1),"-",E296),$A$2:$N$313,14,FALSE)*VLOOKUP(CONCATENATE((COUNTIF($E$2:E296,E296)-1),"-",E296),$A$2:$N$313,13,FALSE)+K296)/M296)),"-x-")</f>
        <v>-x-</v>
      </c>
      <c r="O296" s="164" t="str">
        <f t="shared" si="18"/>
        <v>-</v>
      </c>
      <c r="P296" s="126"/>
      <c r="Q296" s="128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5.75" customHeight="1">
      <c r="A297" s="156" t="str">
        <f t="shared" si="12"/>
        <v/>
      </c>
      <c r="B297" s="165"/>
      <c r="C297" s="159" t="str">
        <f t="shared" si="17"/>
        <v>-</v>
      </c>
      <c r="D297" s="160"/>
      <c r="E297" s="169"/>
      <c r="F297" s="170"/>
      <c r="G297" s="171"/>
      <c r="H297" s="168">
        <v>0</v>
      </c>
      <c r="I297" s="171">
        <v>0</v>
      </c>
      <c r="J297" s="161">
        <f t="shared" si="13"/>
        <v>0</v>
      </c>
      <c r="K297" s="161">
        <f t="shared" si="14"/>
        <v>0</v>
      </c>
      <c r="L297" s="161" t="str">
        <f t="shared" si="15"/>
        <v>-x-</v>
      </c>
      <c r="M297" s="162">
        <f t="shared" si="16"/>
        <v>0</v>
      </c>
      <c r="N297" s="163" t="str">
        <f>IFERROR(IF(A297=CONCATENATE("1","-",E297),L297,
IF(O297="Venda",VLOOKUP(CONCATENATE((COUNTIF($E$2:E297,E297)-1),"-",E297),$A$2:$N$313,14,FALSE),(VLOOKUP(CONCATENATE((COUNTIF($E$2:E297,E297)-1),"-",E297),$A$2:$N$313,14,FALSE)*VLOOKUP(CONCATENATE((COUNTIF($E$2:E297,E297)-1),"-",E297),$A$2:$N$313,13,FALSE)+K297)/M297)),"-x-")</f>
        <v>-x-</v>
      </c>
      <c r="O297" s="164" t="str">
        <f t="shared" si="18"/>
        <v>-</v>
      </c>
      <c r="P297" s="126"/>
      <c r="Q297" s="128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5.75" customHeight="1">
      <c r="A298" s="156" t="str">
        <f t="shared" si="12"/>
        <v/>
      </c>
      <c r="B298" s="165"/>
      <c r="C298" s="159" t="str">
        <f t="shared" si="17"/>
        <v>-</v>
      </c>
      <c r="D298" s="160"/>
      <c r="E298" s="169"/>
      <c r="F298" s="170"/>
      <c r="G298" s="171"/>
      <c r="H298" s="168">
        <v>0</v>
      </c>
      <c r="I298" s="171">
        <v>0</v>
      </c>
      <c r="J298" s="161">
        <f t="shared" si="13"/>
        <v>0</v>
      </c>
      <c r="K298" s="161">
        <f t="shared" si="14"/>
        <v>0</v>
      </c>
      <c r="L298" s="161" t="str">
        <f t="shared" si="15"/>
        <v>-x-</v>
      </c>
      <c r="M298" s="162">
        <f t="shared" si="16"/>
        <v>0</v>
      </c>
      <c r="N298" s="163" t="str">
        <f>IFERROR(IF(A298=CONCATENATE("1","-",E298),L298,
IF(O298="Venda",VLOOKUP(CONCATENATE((COUNTIF($E$2:E298,E298)-1),"-",E298),$A$2:$N$313,14,FALSE),(VLOOKUP(CONCATENATE((COUNTIF($E$2:E298,E298)-1),"-",E298),$A$2:$N$313,14,FALSE)*VLOOKUP(CONCATENATE((COUNTIF($E$2:E298,E298)-1),"-",E298),$A$2:$N$313,13,FALSE)+K298)/M298)),"-x-")</f>
        <v>-x-</v>
      </c>
      <c r="O298" s="164" t="str">
        <f t="shared" si="18"/>
        <v>-</v>
      </c>
      <c r="P298" s="126"/>
      <c r="Q298" s="128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5.75" customHeight="1">
      <c r="A299" s="156" t="str">
        <f t="shared" si="12"/>
        <v/>
      </c>
      <c r="B299" s="165"/>
      <c r="C299" s="159" t="str">
        <f t="shared" si="17"/>
        <v>-</v>
      </c>
      <c r="D299" s="160"/>
      <c r="E299" s="169"/>
      <c r="F299" s="170"/>
      <c r="G299" s="171"/>
      <c r="H299" s="168">
        <v>0</v>
      </c>
      <c r="I299" s="171">
        <v>0</v>
      </c>
      <c r="J299" s="161">
        <f t="shared" si="13"/>
        <v>0</v>
      </c>
      <c r="K299" s="161">
        <f t="shared" si="14"/>
        <v>0</v>
      </c>
      <c r="L299" s="161" t="str">
        <f t="shared" si="15"/>
        <v>-x-</v>
      </c>
      <c r="M299" s="162">
        <f t="shared" si="16"/>
        <v>0</v>
      </c>
      <c r="N299" s="163" t="str">
        <f>IFERROR(IF(A299=CONCATENATE("1","-",E299),L299,
IF(O299="Venda",VLOOKUP(CONCATENATE((COUNTIF($E$2:E299,E299)-1),"-",E299),$A$2:$N$313,14,FALSE),(VLOOKUP(CONCATENATE((COUNTIF($E$2:E299,E299)-1),"-",E299),$A$2:$N$313,14,FALSE)*VLOOKUP(CONCATENATE((COUNTIF($E$2:E299,E299)-1),"-",E299),$A$2:$N$313,13,FALSE)+K299)/M299)),"-x-")</f>
        <v>-x-</v>
      </c>
      <c r="O299" s="164" t="str">
        <f t="shared" si="18"/>
        <v>-</v>
      </c>
      <c r="P299" s="126"/>
      <c r="Q299" s="128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5.75" customHeight="1">
      <c r="A300" s="156" t="str">
        <f t="shared" si="12"/>
        <v/>
      </c>
      <c r="B300" s="165"/>
      <c r="C300" s="159" t="str">
        <f t="shared" si="17"/>
        <v>-</v>
      </c>
      <c r="D300" s="160"/>
      <c r="E300" s="169"/>
      <c r="F300" s="170"/>
      <c r="G300" s="171"/>
      <c r="H300" s="168">
        <v>0</v>
      </c>
      <c r="I300" s="171">
        <v>0</v>
      </c>
      <c r="J300" s="161">
        <f t="shared" si="13"/>
        <v>0</v>
      </c>
      <c r="K300" s="161">
        <f t="shared" si="14"/>
        <v>0</v>
      </c>
      <c r="L300" s="161" t="str">
        <f t="shared" si="15"/>
        <v>-x-</v>
      </c>
      <c r="M300" s="162">
        <f t="shared" si="16"/>
        <v>0</v>
      </c>
      <c r="N300" s="163" t="str">
        <f>IFERROR(IF(A300=CONCATENATE("1","-",E300),L300,
IF(O300="Venda",VLOOKUP(CONCATENATE((COUNTIF($E$2:E300,E300)-1),"-",E300),$A$2:$N$313,14,FALSE),(VLOOKUP(CONCATENATE((COUNTIF($E$2:E300,E300)-1),"-",E300),$A$2:$N$313,14,FALSE)*VLOOKUP(CONCATENATE((COUNTIF($E$2:E300,E300)-1),"-",E300),$A$2:$N$313,13,FALSE)+K300)/M300)),"-x-")</f>
        <v>-x-</v>
      </c>
      <c r="O300" s="164" t="str">
        <f t="shared" si="18"/>
        <v>-</v>
      </c>
      <c r="P300" s="126"/>
      <c r="Q300" s="128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5.75" customHeight="1">
      <c r="A301" s="156" t="str">
        <f t="shared" si="12"/>
        <v/>
      </c>
      <c r="B301" s="165"/>
      <c r="C301" s="159" t="str">
        <f t="shared" si="17"/>
        <v>-</v>
      </c>
      <c r="D301" s="160"/>
      <c r="E301" s="169"/>
      <c r="F301" s="170"/>
      <c r="G301" s="171"/>
      <c r="H301" s="168">
        <v>0</v>
      </c>
      <c r="I301" s="171">
        <v>0</v>
      </c>
      <c r="J301" s="161">
        <f t="shared" si="13"/>
        <v>0</v>
      </c>
      <c r="K301" s="161">
        <f t="shared" si="14"/>
        <v>0</v>
      </c>
      <c r="L301" s="161" t="str">
        <f t="shared" si="15"/>
        <v>-x-</v>
      </c>
      <c r="M301" s="162">
        <f t="shared" si="16"/>
        <v>0</v>
      </c>
      <c r="N301" s="163" t="str">
        <f>IFERROR(IF(A301=CONCATENATE("1","-",E301),L301,
IF(O301="Venda",VLOOKUP(CONCATENATE((COUNTIF($E$2:E301,E301)-1),"-",E301),$A$2:$N$313,14,FALSE),(VLOOKUP(CONCATENATE((COUNTIF($E$2:E301,E301)-1),"-",E301),$A$2:$N$313,14,FALSE)*VLOOKUP(CONCATENATE((COUNTIF($E$2:E301,E301)-1),"-",E301),$A$2:$N$313,13,FALSE)+K301)/M301)),"-x-")</f>
        <v>-x-</v>
      </c>
      <c r="O301" s="164" t="str">
        <f t="shared" si="18"/>
        <v>-</v>
      </c>
      <c r="P301" s="126"/>
      <c r="Q301" s="128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5.75" customHeight="1">
      <c r="A302" s="156" t="str">
        <f t="shared" si="12"/>
        <v/>
      </c>
      <c r="B302" s="165"/>
      <c r="C302" s="159" t="str">
        <f t="shared" si="17"/>
        <v>-</v>
      </c>
      <c r="D302" s="160"/>
      <c r="E302" s="169"/>
      <c r="F302" s="170"/>
      <c r="G302" s="171"/>
      <c r="H302" s="168">
        <v>0</v>
      </c>
      <c r="I302" s="171">
        <v>0</v>
      </c>
      <c r="J302" s="161">
        <f t="shared" si="13"/>
        <v>0</v>
      </c>
      <c r="K302" s="161">
        <f t="shared" si="14"/>
        <v>0</v>
      </c>
      <c r="L302" s="161" t="str">
        <f t="shared" si="15"/>
        <v>-x-</v>
      </c>
      <c r="M302" s="162">
        <f t="shared" si="16"/>
        <v>0</v>
      </c>
      <c r="N302" s="163" t="str">
        <f>IFERROR(IF(A302=CONCATENATE("1","-",E302),L302,
IF(O302="Venda",VLOOKUP(CONCATENATE((COUNTIF($E$2:E302,E302)-1),"-",E302),$A$2:$N$313,14,FALSE),(VLOOKUP(CONCATENATE((COUNTIF($E$2:E302,E302)-1),"-",E302),$A$2:$N$313,14,FALSE)*VLOOKUP(CONCATENATE((COUNTIF($E$2:E302,E302)-1),"-",E302),$A$2:$N$313,13,FALSE)+K302)/M302)),"-x-")</f>
        <v>-x-</v>
      </c>
      <c r="O302" s="164" t="str">
        <f t="shared" si="18"/>
        <v>-</v>
      </c>
      <c r="P302" s="126"/>
      <c r="Q302" s="128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5.75" customHeight="1">
      <c r="A303" s="156" t="str">
        <f t="shared" si="12"/>
        <v/>
      </c>
      <c r="B303" s="165"/>
      <c r="C303" s="159" t="str">
        <f t="shared" si="17"/>
        <v>-</v>
      </c>
      <c r="D303" s="160"/>
      <c r="E303" s="169"/>
      <c r="F303" s="170"/>
      <c r="G303" s="171"/>
      <c r="H303" s="168">
        <v>0</v>
      </c>
      <c r="I303" s="171">
        <v>0</v>
      </c>
      <c r="J303" s="161">
        <f t="shared" si="13"/>
        <v>0</v>
      </c>
      <c r="K303" s="161">
        <f t="shared" si="14"/>
        <v>0</v>
      </c>
      <c r="L303" s="161" t="str">
        <f t="shared" si="15"/>
        <v>-x-</v>
      </c>
      <c r="M303" s="162">
        <f t="shared" si="16"/>
        <v>0</v>
      </c>
      <c r="N303" s="163" t="str">
        <f>IFERROR(IF(A303=CONCATENATE("1","-",E303),L303,
IF(O303="Venda",VLOOKUP(CONCATENATE((COUNTIF($E$2:E303,E303)-1),"-",E303),$A$2:$N$313,14,FALSE),(VLOOKUP(CONCATENATE((COUNTIF($E$2:E303,E303)-1),"-",E303),$A$2:$N$313,14,FALSE)*VLOOKUP(CONCATENATE((COUNTIF($E$2:E303,E303)-1),"-",E303),$A$2:$N$313,13,FALSE)+K303)/M303)),"-x-")</f>
        <v>-x-</v>
      </c>
      <c r="O303" s="164" t="str">
        <f t="shared" si="18"/>
        <v>-</v>
      </c>
      <c r="P303" s="126"/>
      <c r="Q303" s="128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5.75" customHeight="1">
      <c r="A304" s="156" t="str">
        <f t="shared" si="12"/>
        <v/>
      </c>
      <c r="B304" s="165"/>
      <c r="C304" s="159" t="str">
        <f t="shared" si="17"/>
        <v>-</v>
      </c>
      <c r="D304" s="160"/>
      <c r="E304" s="169"/>
      <c r="F304" s="170"/>
      <c r="G304" s="171"/>
      <c r="H304" s="168">
        <v>0</v>
      </c>
      <c r="I304" s="171">
        <v>0</v>
      </c>
      <c r="J304" s="161">
        <f t="shared" si="13"/>
        <v>0</v>
      </c>
      <c r="K304" s="161">
        <f t="shared" si="14"/>
        <v>0</v>
      </c>
      <c r="L304" s="161" t="str">
        <f t="shared" si="15"/>
        <v>-x-</v>
      </c>
      <c r="M304" s="162">
        <f t="shared" si="16"/>
        <v>0</v>
      </c>
      <c r="N304" s="163" t="str">
        <f>IFERROR(IF(A304=CONCATENATE("1","-",E304),L304,
IF(O304="Venda",VLOOKUP(CONCATENATE((COUNTIF($E$2:E304,E304)-1),"-",E304),$A$2:$N$313,14,FALSE),(VLOOKUP(CONCATENATE((COUNTIF($E$2:E304,E304)-1),"-",E304),$A$2:$N$313,14,FALSE)*VLOOKUP(CONCATENATE((COUNTIF($E$2:E304,E304)-1),"-",E304),$A$2:$N$313,13,FALSE)+K304)/M304)),"-x-")</f>
        <v>-x-</v>
      </c>
      <c r="O304" s="164" t="str">
        <f t="shared" si="18"/>
        <v>-</v>
      </c>
      <c r="P304" s="126"/>
      <c r="Q304" s="128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5.75" customHeight="1">
      <c r="A305" s="156" t="str">
        <f t="shared" si="12"/>
        <v/>
      </c>
      <c r="B305" s="165"/>
      <c r="C305" s="159" t="str">
        <f t="shared" si="17"/>
        <v>-</v>
      </c>
      <c r="D305" s="160"/>
      <c r="E305" s="169"/>
      <c r="F305" s="170"/>
      <c r="G305" s="171"/>
      <c r="H305" s="168">
        <v>0</v>
      </c>
      <c r="I305" s="171">
        <v>0</v>
      </c>
      <c r="J305" s="161">
        <f t="shared" si="13"/>
        <v>0</v>
      </c>
      <c r="K305" s="161">
        <f t="shared" si="14"/>
        <v>0</v>
      </c>
      <c r="L305" s="161" t="str">
        <f t="shared" si="15"/>
        <v>-x-</v>
      </c>
      <c r="M305" s="162">
        <f t="shared" si="16"/>
        <v>0</v>
      </c>
      <c r="N305" s="163" t="str">
        <f>IFERROR(IF(A305=CONCATENATE("1","-",E305),L305,
IF(O305="Venda",VLOOKUP(CONCATENATE((COUNTIF($E$2:E305,E305)-1),"-",E305),$A$2:$N$313,14,FALSE),(VLOOKUP(CONCATENATE((COUNTIF($E$2:E305,E305)-1),"-",E305),$A$2:$N$313,14,FALSE)*VLOOKUP(CONCATENATE((COUNTIF($E$2:E305,E305)-1),"-",E305),$A$2:$N$313,13,FALSE)+K305)/M305)),"-x-")</f>
        <v>-x-</v>
      </c>
      <c r="O305" s="164" t="str">
        <f t="shared" si="18"/>
        <v>-</v>
      </c>
      <c r="P305" s="126"/>
      <c r="Q305" s="128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5.75" customHeight="1">
      <c r="A306" s="156" t="str">
        <f t="shared" si="12"/>
        <v/>
      </c>
      <c r="B306" s="165"/>
      <c r="C306" s="159" t="str">
        <f t="shared" si="17"/>
        <v>-</v>
      </c>
      <c r="D306" s="160"/>
      <c r="E306" s="169"/>
      <c r="F306" s="170"/>
      <c r="G306" s="171"/>
      <c r="H306" s="168">
        <v>0</v>
      </c>
      <c r="I306" s="171">
        <v>0</v>
      </c>
      <c r="J306" s="161">
        <f t="shared" si="13"/>
        <v>0</v>
      </c>
      <c r="K306" s="161">
        <f t="shared" si="14"/>
        <v>0</v>
      </c>
      <c r="L306" s="161" t="str">
        <f t="shared" si="15"/>
        <v>-x-</v>
      </c>
      <c r="M306" s="162">
        <f t="shared" si="16"/>
        <v>0</v>
      </c>
      <c r="N306" s="163" t="str">
        <f>IFERROR(IF(A306=CONCATENATE("1","-",E306),L306,
IF(O306="Venda",VLOOKUP(CONCATENATE((COUNTIF($E$2:E306,E306)-1),"-",E306),$A$2:$N$313,14,FALSE),(VLOOKUP(CONCATENATE((COUNTIF($E$2:E306,E306)-1),"-",E306),$A$2:$N$313,14,FALSE)*VLOOKUP(CONCATENATE((COUNTIF($E$2:E306,E306)-1),"-",E306),$A$2:$N$313,13,FALSE)+K306)/M306)),"-x-")</f>
        <v>-x-</v>
      </c>
      <c r="O306" s="164" t="str">
        <f t="shared" si="18"/>
        <v>-</v>
      </c>
      <c r="P306" s="126"/>
      <c r="Q306" s="128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5.75" customHeight="1">
      <c r="A307" s="156" t="str">
        <f t="shared" si="12"/>
        <v/>
      </c>
      <c r="B307" s="165"/>
      <c r="C307" s="159" t="str">
        <f t="shared" si="17"/>
        <v>-</v>
      </c>
      <c r="D307" s="160"/>
      <c r="E307" s="169"/>
      <c r="F307" s="170"/>
      <c r="G307" s="171"/>
      <c r="H307" s="168">
        <v>0</v>
      </c>
      <c r="I307" s="171">
        <v>0</v>
      </c>
      <c r="J307" s="161">
        <f t="shared" si="13"/>
        <v>0</v>
      </c>
      <c r="K307" s="161">
        <f t="shared" si="14"/>
        <v>0</v>
      </c>
      <c r="L307" s="161" t="str">
        <f t="shared" si="15"/>
        <v>-x-</v>
      </c>
      <c r="M307" s="162">
        <f t="shared" si="16"/>
        <v>0</v>
      </c>
      <c r="N307" s="163" t="str">
        <f>IFERROR(IF(A307=CONCATENATE("1","-",E307),L307,
IF(O307="Venda",VLOOKUP(CONCATENATE((COUNTIF($E$2:E307,E307)-1),"-",E307),$A$2:$N$313,14,FALSE),(VLOOKUP(CONCATENATE((COUNTIF($E$2:E307,E307)-1),"-",E307),$A$2:$N$313,14,FALSE)*VLOOKUP(CONCATENATE((COUNTIF($E$2:E307,E307)-1),"-",E307),$A$2:$N$313,13,FALSE)+K307)/M307)),"-x-")</f>
        <v>-x-</v>
      </c>
      <c r="O307" s="164" t="str">
        <f t="shared" si="18"/>
        <v>-</v>
      </c>
      <c r="P307" s="126"/>
      <c r="Q307" s="128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5.75" customHeight="1">
      <c r="A308" s="156" t="str">
        <f t="shared" si="12"/>
        <v/>
      </c>
      <c r="B308" s="165"/>
      <c r="C308" s="159" t="str">
        <f t="shared" si="17"/>
        <v>-</v>
      </c>
      <c r="D308" s="160"/>
      <c r="E308" s="169"/>
      <c r="F308" s="170"/>
      <c r="G308" s="171"/>
      <c r="H308" s="168">
        <v>0</v>
      </c>
      <c r="I308" s="171">
        <v>0</v>
      </c>
      <c r="J308" s="161">
        <f t="shared" si="13"/>
        <v>0</v>
      </c>
      <c r="K308" s="161">
        <f t="shared" si="14"/>
        <v>0</v>
      </c>
      <c r="L308" s="161" t="str">
        <f t="shared" si="15"/>
        <v>-x-</v>
      </c>
      <c r="M308" s="162">
        <f t="shared" si="16"/>
        <v>0</v>
      </c>
      <c r="N308" s="163" t="str">
        <f>IFERROR(IF(A308=CONCATENATE("1","-",E308),L308,
IF(O308="Venda",VLOOKUP(CONCATENATE((COUNTIF($E$2:E308,E308)-1),"-",E308),$A$2:$N$313,14,FALSE),(VLOOKUP(CONCATENATE((COUNTIF($E$2:E308,E308)-1),"-",E308),$A$2:$N$313,14,FALSE)*VLOOKUP(CONCATENATE((COUNTIF($E$2:E308,E308)-1),"-",E308),$A$2:$N$313,13,FALSE)+K308)/M308)),"-x-")</f>
        <v>-x-</v>
      </c>
      <c r="O308" s="164" t="str">
        <f t="shared" si="18"/>
        <v>-</v>
      </c>
      <c r="P308" s="126"/>
      <c r="Q308" s="128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5.75" customHeight="1">
      <c r="A309" s="156" t="str">
        <f t="shared" si="12"/>
        <v/>
      </c>
      <c r="B309" s="165"/>
      <c r="C309" s="159" t="str">
        <f t="shared" si="17"/>
        <v>-</v>
      </c>
      <c r="D309" s="160"/>
      <c r="E309" s="169"/>
      <c r="F309" s="170"/>
      <c r="G309" s="171"/>
      <c r="H309" s="168">
        <v>0</v>
      </c>
      <c r="I309" s="171">
        <v>0</v>
      </c>
      <c r="J309" s="161">
        <f t="shared" si="13"/>
        <v>0</v>
      </c>
      <c r="K309" s="161">
        <f t="shared" si="14"/>
        <v>0</v>
      </c>
      <c r="L309" s="161" t="str">
        <f t="shared" si="15"/>
        <v>-x-</v>
      </c>
      <c r="M309" s="162">
        <f t="shared" si="16"/>
        <v>0</v>
      </c>
      <c r="N309" s="163" t="str">
        <f>IFERROR(IF(A309=CONCATENATE("1","-",E309),L309,
IF(O309="Venda",VLOOKUP(CONCATENATE((COUNTIF($E$2:E309,E309)-1),"-",E309),$A$2:$N$313,14,FALSE),(VLOOKUP(CONCATENATE((COUNTIF($E$2:E309,E309)-1),"-",E309),$A$2:$N$313,14,FALSE)*VLOOKUP(CONCATENATE((COUNTIF($E$2:E309,E309)-1),"-",E309),$A$2:$N$313,13,FALSE)+K309)/M309)),"-x-")</f>
        <v>-x-</v>
      </c>
      <c r="O309" s="164" t="str">
        <f t="shared" si="18"/>
        <v>-</v>
      </c>
      <c r="P309" s="126"/>
      <c r="Q309" s="128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5.75" customHeight="1">
      <c r="A310" s="156" t="str">
        <f t="shared" si="12"/>
        <v/>
      </c>
      <c r="B310" s="165"/>
      <c r="C310" s="159" t="str">
        <f t="shared" si="17"/>
        <v>-</v>
      </c>
      <c r="D310" s="160"/>
      <c r="E310" s="169"/>
      <c r="F310" s="170"/>
      <c r="G310" s="171"/>
      <c r="H310" s="168">
        <v>0</v>
      </c>
      <c r="I310" s="171">
        <v>0</v>
      </c>
      <c r="J310" s="161">
        <f t="shared" si="13"/>
        <v>0</v>
      </c>
      <c r="K310" s="161">
        <f t="shared" si="14"/>
        <v>0</v>
      </c>
      <c r="L310" s="161" t="str">
        <f t="shared" si="15"/>
        <v>-x-</v>
      </c>
      <c r="M310" s="162">
        <f t="shared" si="16"/>
        <v>0</v>
      </c>
      <c r="N310" s="163" t="str">
        <f>IFERROR(IF(A310=CONCATENATE("1","-",E310),L310,
IF(O310="Venda",VLOOKUP(CONCATENATE((COUNTIF($E$2:E310,E310)-1),"-",E310),$A$2:$N$313,14,FALSE),(VLOOKUP(CONCATENATE((COUNTIF($E$2:E310,E310)-1),"-",E310),$A$2:$N$313,14,FALSE)*VLOOKUP(CONCATENATE((COUNTIF($E$2:E310,E310)-1),"-",E310),$A$2:$N$313,13,FALSE)+K310)/M310)),"-x-")</f>
        <v>-x-</v>
      </c>
      <c r="O310" s="164" t="str">
        <f t="shared" si="18"/>
        <v>-</v>
      </c>
      <c r="P310" s="126"/>
      <c r="Q310" s="128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5.75" customHeight="1">
      <c r="A311" s="156" t="str">
        <f t="shared" si="12"/>
        <v/>
      </c>
      <c r="B311" s="165"/>
      <c r="C311" s="159" t="str">
        <f t="shared" si="17"/>
        <v>-</v>
      </c>
      <c r="D311" s="160"/>
      <c r="E311" s="169"/>
      <c r="F311" s="170"/>
      <c r="G311" s="171"/>
      <c r="H311" s="168">
        <v>0</v>
      </c>
      <c r="I311" s="171">
        <v>0</v>
      </c>
      <c r="J311" s="161">
        <f t="shared" si="13"/>
        <v>0</v>
      </c>
      <c r="K311" s="161">
        <f t="shared" si="14"/>
        <v>0</v>
      </c>
      <c r="L311" s="161" t="str">
        <f t="shared" si="15"/>
        <v>-x-</v>
      </c>
      <c r="M311" s="162">
        <f t="shared" si="16"/>
        <v>0</v>
      </c>
      <c r="N311" s="163" t="str">
        <f>IFERROR(IF(A311=CONCATENATE("1","-",E311),L311,
IF(O311="Venda",VLOOKUP(CONCATENATE((COUNTIF($E$2:E311,E311)-1),"-",E311),$A$2:$N$313,14,FALSE),(VLOOKUP(CONCATENATE((COUNTIF($E$2:E311,E311)-1),"-",E311),$A$2:$N$313,14,FALSE)*VLOOKUP(CONCATENATE((COUNTIF($E$2:E311,E311)-1),"-",E311),$A$2:$N$313,13,FALSE)+K311)/M311)),"-x-")</f>
        <v>-x-</v>
      </c>
      <c r="O311" s="164" t="str">
        <f t="shared" si="18"/>
        <v>-</v>
      </c>
      <c r="P311" s="126"/>
      <c r="Q311" s="128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5.75" customHeight="1">
      <c r="A312" s="156" t="str">
        <f t="shared" si="12"/>
        <v/>
      </c>
      <c r="B312" s="165"/>
      <c r="C312" s="159" t="str">
        <f t="shared" si="17"/>
        <v>-</v>
      </c>
      <c r="D312" s="160"/>
      <c r="E312" s="169"/>
      <c r="F312" s="170"/>
      <c r="G312" s="171"/>
      <c r="H312" s="168">
        <v>0</v>
      </c>
      <c r="I312" s="171">
        <v>0</v>
      </c>
      <c r="J312" s="161">
        <f t="shared" si="13"/>
        <v>0</v>
      </c>
      <c r="K312" s="161">
        <f t="shared" si="14"/>
        <v>0</v>
      </c>
      <c r="L312" s="161" t="str">
        <f t="shared" si="15"/>
        <v>-x-</v>
      </c>
      <c r="M312" s="162">
        <f t="shared" si="16"/>
        <v>0</v>
      </c>
      <c r="N312" s="163" t="str">
        <f>IFERROR(IF(A312=CONCATENATE("1","-",E312),L312,
IF(O312="Venda",VLOOKUP(CONCATENATE((COUNTIF($E$2:E312,E312)-1),"-",E312),$A$2:$N$313,14,FALSE),(VLOOKUP(CONCATENATE((COUNTIF($E$2:E312,E312)-1),"-",E312),$A$2:$N$313,14,FALSE)*VLOOKUP(CONCATENATE((COUNTIF($E$2:E312,E312)-1),"-",E312),$A$2:$N$313,13,FALSE)+K312)/M312)),"-x-")</f>
        <v>-x-</v>
      </c>
      <c r="O312" s="164" t="str">
        <f t="shared" si="18"/>
        <v>-</v>
      </c>
      <c r="P312" s="126"/>
      <c r="Q312" s="128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5.75" customHeight="1">
      <c r="A313" s="156" t="str">
        <f t="shared" si="12"/>
        <v/>
      </c>
      <c r="B313" s="165"/>
      <c r="C313" s="159" t="str">
        <f t="shared" si="17"/>
        <v>-</v>
      </c>
      <c r="D313" s="160"/>
      <c r="E313" s="169"/>
      <c r="F313" s="170"/>
      <c r="G313" s="171"/>
      <c r="H313" s="168">
        <v>0</v>
      </c>
      <c r="I313" s="171">
        <v>0</v>
      </c>
      <c r="J313" s="161">
        <f t="shared" si="13"/>
        <v>0</v>
      </c>
      <c r="K313" s="161">
        <f t="shared" si="14"/>
        <v>0</v>
      </c>
      <c r="L313" s="161" t="str">
        <f t="shared" si="15"/>
        <v>-x-</v>
      </c>
      <c r="M313" s="162">
        <f t="shared" si="16"/>
        <v>0</v>
      </c>
      <c r="N313" s="163" t="str">
        <f>IFERROR(IF(A313=CONCATENATE("1","-",E313),L313,
IF(O313="Venda",VLOOKUP(CONCATENATE((COUNTIF($E$2:E313,E313)-1),"-",E313),$A$2:$N$313,14,FALSE),(VLOOKUP(CONCATENATE((COUNTIF($E$2:E313,E313)-1),"-",E313),$A$2:$N$313,14,FALSE)*VLOOKUP(CONCATENATE((COUNTIF($E$2:E313,E313)-1),"-",E313),$A$2:$N$313,13,FALSE)+K313)/M313)),"-x-")</f>
        <v>-x-</v>
      </c>
      <c r="O313" s="164" t="str">
        <f t="shared" si="18"/>
        <v>-</v>
      </c>
      <c r="P313" s="127"/>
      <c r="Q313" s="128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5.75" customHeight="1">
      <c r="A314" s="156" t="str">
        <f t="shared" si="12"/>
        <v/>
      </c>
      <c r="B314" s="165"/>
      <c r="C314" s="159" t="str">
        <f t="shared" si="17"/>
        <v>-</v>
      </c>
      <c r="D314" s="160"/>
      <c r="E314" s="169"/>
      <c r="F314" s="170"/>
      <c r="G314" s="171"/>
      <c r="H314" s="168">
        <v>0</v>
      </c>
      <c r="I314" s="171">
        <v>0</v>
      </c>
      <c r="J314" s="161">
        <f t="shared" si="13"/>
        <v>0</v>
      </c>
      <c r="K314" s="161">
        <f t="shared" si="14"/>
        <v>0</v>
      </c>
      <c r="L314" s="161" t="str">
        <f t="shared" si="15"/>
        <v>-x-</v>
      </c>
      <c r="M314" s="162">
        <f t="shared" si="16"/>
        <v>0</v>
      </c>
      <c r="N314" s="163" t="str">
        <f>IFERROR(IF(A314=CONCATENATE("1","-",E314),L314,
IF(O314="Venda",VLOOKUP(CONCATENATE((COUNTIF($E$2:E314,E314)-1),"-",E314),$A$2:$N$313,14,FALSE),(VLOOKUP(CONCATENATE((COUNTIF($E$2:E314,E314)-1),"-",E314),$A$2:$N$313,14,FALSE)*VLOOKUP(CONCATENATE((COUNTIF($E$2:E314,E314)-1),"-",E314),$A$2:$N$313,13,FALSE)+K314)/M314)),"-x-")</f>
        <v>-x-</v>
      </c>
      <c r="O314" s="164" t="str">
        <f t="shared" si="18"/>
        <v>-</v>
      </c>
      <c r="P314" s="127"/>
      <c r="Q314" s="128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5.75" customHeight="1">
      <c r="A315" s="156" t="str">
        <f t="shared" si="12"/>
        <v/>
      </c>
      <c r="B315" s="165"/>
      <c r="C315" s="159" t="str">
        <f t="shared" si="17"/>
        <v>-</v>
      </c>
      <c r="D315" s="160"/>
      <c r="E315" s="169"/>
      <c r="F315" s="170"/>
      <c r="G315" s="171"/>
      <c r="H315" s="168">
        <v>0</v>
      </c>
      <c r="I315" s="171">
        <v>0</v>
      </c>
      <c r="J315" s="161">
        <f t="shared" si="13"/>
        <v>0</v>
      </c>
      <c r="K315" s="161">
        <f t="shared" si="14"/>
        <v>0</v>
      </c>
      <c r="L315" s="161" t="str">
        <f t="shared" si="15"/>
        <v>-x-</v>
      </c>
      <c r="M315" s="162">
        <f t="shared" si="16"/>
        <v>0</v>
      </c>
      <c r="N315" s="163" t="str">
        <f>IFERROR(IF(A315=CONCATENATE("1","-",E315),L315,
IF(O315="Venda",VLOOKUP(CONCATENATE((COUNTIF($E$2:E315,E315)-1),"-",E315),$A$2:$N$313,14,FALSE),(VLOOKUP(CONCATENATE((COUNTIF($E$2:E315,E315)-1),"-",E315),$A$2:$N$313,14,FALSE)*VLOOKUP(CONCATENATE((COUNTIF($E$2:E315,E315)-1),"-",E315),$A$2:$N$313,13,FALSE)+K315)/M315)),"-x-")</f>
        <v>-x-</v>
      </c>
      <c r="O315" s="164" t="str">
        <f t="shared" si="18"/>
        <v>-</v>
      </c>
      <c r="P315" s="127"/>
      <c r="Q315" s="128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5.75" customHeight="1">
      <c r="A316" s="156" t="str">
        <f t="shared" si="12"/>
        <v/>
      </c>
      <c r="B316" s="165"/>
      <c r="C316" s="159" t="str">
        <f t="shared" si="17"/>
        <v>-</v>
      </c>
      <c r="D316" s="160"/>
      <c r="E316" s="169"/>
      <c r="F316" s="170"/>
      <c r="G316" s="171"/>
      <c r="H316" s="168">
        <v>0</v>
      </c>
      <c r="I316" s="171">
        <v>0</v>
      </c>
      <c r="J316" s="161">
        <f t="shared" si="13"/>
        <v>0</v>
      </c>
      <c r="K316" s="161">
        <f t="shared" si="14"/>
        <v>0</v>
      </c>
      <c r="L316" s="161" t="str">
        <f t="shared" si="15"/>
        <v>-x-</v>
      </c>
      <c r="M316" s="162">
        <f t="shared" si="16"/>
        <v>0</v>
      </c>
      <c r="N316" s="163" t="str">
        <f>IFERROR(IF(A316=CONCATENATE("1","-",E316),L316,
IF(O316="Venda",VLOOKUP(CONCATENATE((COUNTIF($E$2:E316,E316)-1),"-",E316),$A$2:$N$313,14,FALSE),(VLOOKUP(CONCATENATE((COUNTIF($E$2:E316,E316)-1),"-",E316),$A$2:$N$313,14,FALSE)*VLOOKUP(CONCATENATE((COUNTIF($E$2:E316,E316)-1),"-",E316),$A$2:$N$313,13,FALSE)+K316)/M316)),"-x-")</f>
        <v>-x-</v>
      </c>
      <c r="O316" s="164" t="str">
        <f t="shared" si="18"/>
        <v>-</v>
      </c>
      <c r="P316" s="127"/>
      <c r="Q316" s="128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5.75" customHeight="1">
      <c r="A317" s="156" t="str">
        <f t="shared" si="12"/>
        <v/>
      </c>
      <c r="B317" s="165"/>
      <c r="C317" s="159" t="str">
        <f t="shared" si="17"/>
        <v>-</v>
      </c>
      <c r="D317" s="160"/>
      <c r="E317" s="169"/>
      <c r="F317" s="170"/>
      <c r="G317" s="171"/>
      <c r="H317" s="168">
        <v>0</v>
      </c>
      <c r="I317" s="171">
        <v>0</v>
      </c>
      <c r="J317" s="161">
        <f t="shared" si="13"/>
        <v>0</v>
      </c>
      <c r="K317" s="161">
        <f t="shared" si="14"/>
        <v>0</v>
      </c>
      <c r="L317" s="161" t="str">
        <f t="shared" si="15"/>
        <v>-x-</v>
      </c>
      <c r="M317" s="162">
        <f t="shared" si="16"/>
        <v>0</v>
      </c>
      <c r="N317" s="163" t="str">
        <f>IFERROR(IF(A317=CONCATENATE("1","-",E317),L317,
IF(O317="Venda",VLOOKUP(CONCATENATE((COUNTIF($E$2:E317,E317)-1),"-",E317),$A$2:$N$313,14,FALSE),(VLOOKUP(CONCATENATE((COUNTIF($E$2:E317,E317)-1),"-",E317),$A$2:$N$313,14,FALSE)*VLOOKUP(CONCATENATE((COUNTIF($E$2:E317,E317)-1),"-",E317),$A$2:$N$313,13,FALSE)+K317)/M317)),"-x-")</f>
        <v>-x-</v>
      </c>
      <c r="O317" s="164" t="str">
        <f t="shared" si="18"/>
        <v>-</v>
      </c>
      <c r="P317" s="127"/>
      <c r="Q317" s="128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5.75" customHeight="1" thickBot="1">
      <c r="A318" s="157" t="str">
        <f t="shared" si="12"/>
        <v/>
      </c>
      <c r="B318" s="165"/>
      <c r="C318" s="159" t="str">
        <f t="shared" si="17"/>
        <v>-</v>
      </c>
      <c r="D318" s="160"/>
      <c r="E318" s="169"/>
      <c r="F318" s="170"/>
      <c r="G318" s="171"/>
      <c r="H318" s="168">
        <v>0</v>
      </c>
      <c r="I318" s="171">
        <v>0</v>
      </c>
      <c r="J318" s="161">
        <f t="shared" si="13"/>
        <v>0</v>
      </c>
      <c r="K318" s="161">
        <f t="shared" si="14"/>
        <v>0</v>
      </c>
      <c r="L318" s="161" t="str">
        <f t="shared" si="15"/>
        <v>-x-</v>
      </c>
      <c r="M318" s="162">
        <f t="shared" si="16"/>
        <v>0</v>
      </c>
      <c r="N318" s="163" t="str">
        <f>IFERROR(IF(A318=CONCATENATE("1","-",E318),L318,
IF(O318="Venda",VLOOKUP(CONCATENATE((COUNTIF($E$2:E318,E318)-1),"-",E318),$A$2:$N$313,14,FALSE),(VLOOKUP(CONCATENATE((COUNTIF($E$2:E318,E318)-1),"-",E318),$A$2:$N$313,14,FALSE)*VLOOKUP(CONCATENATE((COUNTIF($E$2:E318,E318)-1),"-",E318),$A$2:$N$313,13,FALSE)+K318)/M318)),"-x-")</f>
        <v>-x-</v>
      </c>
      <c r="O318" s="164" t="str">
        <f t="shared" si="18"/>
        <v>-</v>
      </c>
      <c r="P318" s="127"/>
      <c r="Q318" s="128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</sheetData>
  <phoneticPr fontId="30" type="noConversion"/>
  <conditionalFormatting sqref="S1">
    <cfRule type="colorScale" priority="3">
      <colorScale>
        <cfvo type="min"/>
        <cfvo type="percent" val="50"/>
        <cfvo type="max"/>
        <color rgb="FF4DCAD8"/>
        <color rgb="FFD9EAD3"/>
        <color rgb="FF0070C0"/>
      </colorScale>
    </cfRule>
  </conditionalFormatting>
  <conditionalFormatting sqref="R5:AF5">
    <cfRule type="notContainsBlanks" dxfId="13" priority="4">
      <formula>LEN(TRIM(R5))&gt;0</formula>
    </cfRule>
  </conditionalFormatting>
  <conditionalFormatting sqref="F2:F318">
    <cfRule type="cellIs" dxfId="12" priority="5" operator="lessThan">
      <formula>0</formula>
    </cfRule>
  </conditionalFormatting>
  <conditionalFormatting sqref="O2:O318">
    <cfRule type="containsText" dxfId="11" priority="2" operator="containsText" text="Venda">
      <formula>NOT(ISERROR(SEARCH("Venda",O2)))</formula>
    </cfRule>
  </conditionalFormatting>
  <conditionalFormatting sqref="F1:F1048576">
    <cfRule type="notContainsBlanks" dxfId="10" priority="1">
      <formula>LEN(TRIM(F1))&gt;0</formula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Dados!$F$1:$F$300</xm:f>
          </x14:formula1>
          <xm:sqref>P2:P318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852"/>
  <sheetViews>
    <sheetView showGridLines="0" workbookViewId="0"/>
  </sheetViews>
  <sheetFormatPr defaultColWidth="14.42578125" defaultRowHeight="15" customHeight="1"/>
  <cols>
    <col min="1" max="1" width="10.85546875" customWidth="1"/>
    <col min="2" max="2" width="17.140625" customWidth="1"/>
    <col min="3" max="3" width="22.85546875" customWidth="1"/>
    <col min="4" max="4" width="38" customWidth="1"/>
    <col min="5" max="5" width="13" customWidth="1"/>
    <col min="6" max="6" width="38.7109375" customWidth="1"/>
  </cols>
  <sheetData>
    <row r="1" spans="1:13" ht="15" customHeight="1">
      <c r="A1" s="3" t="s">
        <v>16</v>
      </c>
      <c r="B1" s="4" t="s">
        <v>17</v>
      </c>
      <c r="C1" s="4" t="s">
        <v>18</v>
      </c>
      <c r="D1" s="4" t="s">
        <v>19</v>
      </c>
      <c r="F1" s="5" t="str">
        <f ca="1">IFERROR(__xludf.DUMMYFUNCTION("IMPORTHTML(""http://www.tesouro.fazenda.gov.br/tesouro-direto-precos-e-taxas-dos-titulos"",""table"",4)"),"#N/A")</f>
        <v>#N/A</v>
      </c>
      <c r="M1" s="6" t="s">
        <v>20</v>
      </c>
    </row>
    <row r="2" spans="1:13" ht="15.75">
      <c r="A2" s="7" t="s">
        <v>21</v>
      </c>
      <c r="B2" s="8" t="s">
        <v>22</v>
      </c>
      <c r="C2" s="8"/>
      <c r="D2" s="8"/>
      <c r="M2" s="6" t="s">
        <v>23</v>
      </c>
    </row>
    <row r="3" spans="1:13" ht="15.75">
      <c r="A3" s="9" t="s">
        <v>24</v>
      </c>
      <c r="B3" s="10" t="s">
        <v>22</v>
      </c>
      <c r="C3" s="10" t="s">
        <v>25</v>
      </c>
      <c r="D3" s="10" t="s">
        <v>26</v>
      </c>
      <c r="M3" s="6" t="s">
        <v>27</v>
      </c>
    </row>
    <row r="4" spans="1:13" ht="15.75">
      <c r="A4" s="9" t="s">
        <v>28</v>
      </c>
      <c r="B4" s="10" t="s">
        <v>29</v>
      </c>
      <c r="C4" s="10" t="s">
        <v>30</v>
      </c>
      <c r="D4" s="10" t="s">
        <v>31</v>
      </c>
      <c r="M4" s="6" t="s">
        <v>32</v>
      </c>
    </row>
    <row r="5" spans="1:13" ht="15.75">
      <c r="A5" s="9" t="s">
        <v>33</v>
      </c>
      <c r="B5" s="10" t="s">
        <v>22</v>
      </c>
      <c r="C5" s="10" t="s">
        <v>34</v>
      </c>
      <c r="D5" s="10" t="s">
        <v>35</v>
      </c>
      <c r="M5" s="6" t="s">
        <v>36</v>
      </c>
    </row>
    <row r="6" spans="1:13" ht="15.75">
      <c r="A6" s="11" t="s">
        <v>37</v>
      </c>
      <c r="B6" s="10" t="s">
        <v>22</v>
      </c>
      <c r="C6" s="10" t="s">
        <v>38</v>
      </c>
      <c r="D6" s="10" t="s">
        <v>39</v>
      </c>
      <c r="M6" s="6" t="s">
        <v>40</v>
      </c>
    </row>
    <row r="7" spans="1:13" ht="15.75">
      <c r="A7" s="9" t="s">
        <v>41</v>
      </c>
      <c r="B7" s="10" t="s">
        <v>29</v>
      </c>
      <c r="C7" s="10" t="s">
        <v>42</v>
      </c>
      <c r="D7" s="10" t="s">
        <v>43</v>
      </c>
      <c r="M7" s="6" t="s">
        <v>44</v>
      </c>
    </row>
    <row r="8" spans="1:13" ht="15.75">
      <c r="A8" s="9" t="s">
        <v>45</v>
      </c>
      <c r="B8" s="10" t="s">
        <v>22</v>
      </c>
      <c r="C8" s="10" t="s">
        <v>46</v>
      </c>
      <c r="D8" s="10" t="s">
        <v>47</v>
      </c>
      <c r="M8" s="6" t="s">
        <v>48</v>
      </c>
    </row>
    <row r="9" spans="1:13" ht="15.75">
      <c r="A9" s="9" t="s">
        <v>49</v>
      </c>
      <c r="B9" s="10" t="s">
        <v>22</v>
      </c>
      <c r="C9" s="10" t="s">
        <v>46</v>
      </c>
      <c r="D9" s="10" t="s">
        <v>50</v>
      </c>
      <c r="M9" s="6" t="s">
        <v>51</v>
      </c>
    </row>
    <row r="10" spans="1:13" ht="15.75">
      <c r="A10" s="9" t="s">
        <v>52</v>
      </c>
      <c r="B10" s="10" t="s">
        <v>22</v>
      </c>
      <c r="C10" s="10" t="s">
        <v>46</v>
      </c>
      <c r="D10" s="10" t="s">
        <v>53</v>
      </c>
      <c r="M10" s="6" t="s">
        <v>54</v>
      </c>
    </row>
    <row r="11" spans="1:13" ht="15.75">
      <c r="A11" s="9" t="s">
        <v>55</v>
      </c>
      <c r="B11" s="10" t="s">
        <v>22</v>
      </c>
      <c r="C11" s="10" t="s">
        <v>46</v>
      </c>
      <c r="D11" s="10" t="s">
        <v>53</v>
      </c>
      <c r="M11" s="6" t="s">
        <v>56</v>
      </c>
    </row>
    <row r="12" spans="1:13" ht="15.75">
      <c r="A12" s="9" t="s">
        <v>57</v>
      </c>
      <c r="B12" s="10" t="s">
        <v>29</v>
      </c>
      <c r="C12" s="10" t="s">
        <v>58</v>
      </c>
      <c r="D12" s="10" t="s">
        <v>59</v>
      </c>
      <c r="M12" s="6" t="s">
        <v>60</v>
      </c>
    </row>
    <row r="13" spans="1:13" ht="15.75">
      <c r="A13" s="9" t="s">
        <v>61</v>
      </c>
      <c r="B13" s="10" t="s">
        <v>22</v>
      </c>
      <c r="C13" s="10" t="s">
        <v>62</v>
      </c>
      <c r="D13" s="10" t="s">
        <v>63</v>
      </c>
      <c r="M13" s="6" t="s">
        <v>64</v>
      </c>
    </row>
    <row r="14" spans="1:13" ht="15.75">
      <c r="A14" s="9" t="s">
        <v>65</v>
      </c>
      <c r="B14" s="10" t="s">
        <v>22</v>
      </c>
      <c r="C14" s="10" t="s">
        <v>62</v>
      </c>
      <c r="D14" s="10" t="s">
        <v>66</v>
      </c>
      <c r="M14" s="6" t="s">
        <v>67</v>
      </c>
    </row>
    <row r="15" spans="1:13" ht="15.75">
      <c r="A15" s="9" t="s">
        <v>68</v>
      </c>
      <c r="B15" s="10" t="s">
        <v>22</v>
      </c>
      <c r="C15" s="10" t="s">
        <v>69</v>
      </c>
      <c r="D15" s="10" t="s">
        <v>70</v>
      </c>
      <c r="M15" s="6" t="s">
        <v>71</v>
      </c>
    </row>
    <row r="16" spans="1:13" ht="15.75">
      <c r="A16" s="9" t="s">
        <v>72</v>
      </c>
      <c r="B16" s="10" t="s">
        <v>22</v>
      </c>
      <c r="C16" s="10" t="s">
        <v>69</v>
      </c>
      <c r="D16" s="10" t="s">
        <v>70</v>
      </c>
      <c r="M16" s="6" t="s">
        <v>73</v>
      </c>
    </row>
    <row r="17" spans="1:13" ht="15.75">
      <c r="A17" s="9" t="s">
        <v>74</v>
      </c>
      <c r="B17" s="10" t="s">
        <v>22</v>
      </c>
      <c r="C17" s="10" t="s">
        <v>69</v>
      </c>
      <c r="D17" s="10" t="s">
        <v>70</v>
      </c>
      <c r="M17" s="6" t="s">
        <v>75</v>
      </c>
    </row>
    <row r="18" spans="1:13" ht="15.75">
      <c r="A18" s="9" t="s">
        <v>76</v>
      </c>
      <c r="B18" s="10" t="s">
        <v>29</v>
      </c>
      <c r="C18" s="10" t="s">
        <v>77</v>
      </c>
      <c r="D18" s="10" t="s">
        <v>78</v>
      </c>
      <c r="M18" s="6" t="s">
        <v>79</v>
      </c>
    </row>
    <row r="19" spans="1:13" ht="15.75">
      <c r="A19" s="9" t="s">
        <v>80</v>
      </c>
      <c r="B19" s="10" t="s">
        <v>22</v>
      </c>
      <c r="C19" s="10" t="s">
        <v>81</v>
      </c>
      <c r="D19" s="10" t="s">
        <v>82</v>
      </c>
      <c r="M19" s="6" t="s">
        <v>83</v>
      </c>
    </row>
    <row r="20" spans="1:13" ht="15.75">
      <c r="A20" s="9" t="s">
        <v>84</v>
      </c>
      <c r="B20" s="10" t="s">
        <v>22</v>
      </c>
      <c r="C20" s="10" t="s">
        <v>81</v>
      </c>
      <c r="D20" s="10" t="s">
        <v>82</v>
      </c>
      <c r="M20" s="6" t="s">
        <v>85</v>
      </c>
    </row>
    <row r="21" spans="1:13" ht="15.75">
      <c r="A21" s="9" t="s">
        <v>86</v>
      </c>
      <c r="B21" s="10" t="s">
        <v>22</v>
      </c>
      <c r="C21" s="10" t="s">
        <v>87</v>
      </c>
      <c r="D21" s="10" t="s">
        <v>88</v>
      </c>
      <c r="M21" s="6" t="s">
        <v>89</v>
      </c>
    </row>
    <row r="22" spans="1:13" ht="15.75">
      <c r="A22" s="9" t="s">
        <v>90</v>
      </c>
      <c r="B22" s="10" t="s">
        <v>22</v>
      </c>
      <c r="C22" s="10" t="s">
        <v>46</v>
      </c>
      <c r="D22" s="10" t="s">
        <v>91</v>
      </c>
      <c r="M22" s="6" t="s">
        <v>92</v>
      </c>
    </row>
    <row r="23" spans="1:13" ht="15.75">
      <c r="A23" s="9" t="s">
        <v>93</v>
      </c>
      <c r="B23" s="10" t="s">
        <v>22</v>
      </c>
      <c r="C23" s="10" t="s">
        <v>46</v>
      </c>
      <c r="D23" s="10" t="s">
        <v>91</v>
      </c>
      <c r="M23" s="6" t="s">
        <v>94</v>
      </c>
    </row>
    <row r="24" spans="1:13" ht="15.75">
      <c r="A24" s="9" t="s">
        <v>95</v>
      </c>
      <c r="B24" s="10" t="s">
        <v>22</v>
      </c>
      <c r="C24" s="10" t="s">
        <v>46</v>
      </c>
      <c r="D24" s="10" t="s">
        <v>96</v>
      </c>
      <c r="M24" s="6" t="s">
        <v>97</v>
      </c>
    </row>
    <row r="25" spans="1:13" ht="15.75">
      <c r="A25" s="9" t="s">
        <v>98</v>
      </c>
      <c r="B25" s="10" t="s">
        <v>29</v>
      </c>
      <c r="C25" s="10" t="s">
        <v>99</v>
      </c>
      <c r="D25" s="10" t="s">
        <v>100</v>
      </c>
      <c r="M25" s="6" t="s">
        <v>101</v>
      </c>
    </row>
    <row r="26" spans="1:13" ht="15.75">
      <c r="A26" s="9" t="s">
        <v>102</v>
      </c>
      <c r="B26" s="10" t="s">
        <v>22</v>
      </c>
      <c r="C26" s="10" t="s">
        <v>103</v>
      </c>
      <c r="D26" s="10" t="s">
        <v>104</v>
      </c>
      <c r="M26" s="6" t="s">
        <v>105</v>
      </c>
    </row>
    <row r="27" spans="1:13" ht="15.75">
      <c r="A27" s="9" t="s">
        <v>106</v>
      </c>
      <c r="B27" s="10" t="s">
        <v>29</v>
      </c>
      <c r="C27" s="10"/>
      <c r="D27" s="10" t="s">
        <v>107</v>
      </c>
      <c r="M27" s="6" t="s">
        <v>108</v>
      </c>
    </row>
    <row r="28" spans="1:13" ht="15.75">
      <c r="A28" s="9" t="s">
        <v>109</v>
      </c>
      <c r="B28" s="10" t="s">
        <v>29</v>
      </c>
      <c r="C28" s="10" t="s">
        <v>30</v>
      </c>
      <c r="D28" s="10" t="s">
        <v>110</v>
      </c>
      <c r="M28" s="6" t="s">
        <v>111</v>
      </c>
    </row>
    <row r="29" spans="1:13" ht="15.75">
      <c r="A29" s="9" t="s">
        <v>112</v>
      </c>
      <c r="B29" s="10" t="s">
        <v>22</v>
      </c>
      <c r="C29" s="10" t="s">
        <v>113</v>
      </c>
      <c r="D29" s="10" t="s">
        <v>114</v>
      </c>
      <c r="M29" s="6" t="s">
        <v>115</v>
      </c>
    </row>
    <row r="30" spans="1:13" ht="15.75">
      <c r="A30" s="9" t="s">
        <v>116</v>
      </c>
      <c r="B30" s="10" t="s">
        <v>22</v>
      </c>
      <c r="C30" s="10" t="s">
        <v>69</v>
      </c>
      <c r="D30" s="10" t="s">
        <v>117</v>
      </c>
    </row>
    <row r="31" spans="1:13" ht="15.75">
      <c r="A31" s="9" t="s">
        <v>118</v>
      </c>
      <c r="B31" s="10" t="s">
        <v>22</v>
      </c>
      <c r="C31" s="10" t="s">
        <v>119</v>
      </c>
      <c r="D31" s="10" t="s">
        <v>120</v>
      </c>
    </row>
    <row r="32" spans="1:13" ht="15.75">
      <c r="A32" s="9" t="s">
        <v>121</v>
      </c>
      <c r="B32" s="10" t="s">
        <v>22</v>
      </c>
      <c r="C32" s="10" t="s">
        <v>119</v>
      </c>
      <c r="D32" s="10" t="s">
        <v>120</v>
      </c>
    </row>
    <row r="33" spans="1:4" ht="15.75">
      <c r="A33" s="9" t="s">
        <v>122</v>
      </c>
      <c r="B33" s="10" t="s">
        <v>29</v>
      </c>
      <c r="C33" s="10" t="s">
        <v>123</v>
      </c>
      <c r="D33" s="10" t="s">
        <v>124</v>
      </c>
    </row>
    <row r="34" spans="1:4" ht="15.75">
      <c r="A34" s="9" t="s">
        <v>125</v>
      </c>
      <c r="B34" s="10" t="s">
        <v>29</v>
      </c>
      <c r="C34" s="10" t="s">
        <v>126</v>
      </c>
      <c r="D34" s="10" t="s">
        <v>127</v>
      </c>
    </row>
    <row r="35" spans="1:4" ht="15.75">
      <c r="A35" s="9" t="s">
        <v>128</v>
      </c>
      <c r="B35" s="10" t="s">
        <v>22</v>
      </c>
      <c r="C35" s="10" t="s">
        <v>81</v>
      </c>
      <c r="D35" s="10" t="s">
        <v>129</v>
      </c>
    </row>
    <row r="36" spans="1:4" ht="15.75">
      <c r="A36" s="11" t="s">
        <v>130</v>
      </c>
      <c r="B36" s="10" t="s">
        <v>29</v>
      </c>
      <c r="C36" s="10" t="s">
        <v>131</v>
      </c>
      <c r="D36" s="10" t="s">
        <v>132</v>
      </c>
    </row>
    <row r="37" spans="1:4" ht="15.75">
      <c r="A37" s="9" t="s">
        <v>133</v>
      </c>
      <c r="B37" s="10" t="s">
        <v>22</v>
      </c>
      <c r="C37" s="10" t="s">
        <v>134</v>
      </c>
      <c r="D37" s="10" t="s">
        <v>135</v>
      </c>
    </row>
    <row r="38" spans="1:4" ht="15.75">
      <c r="A38" s="9" t="s">
        <v>136</v>
      </c>
      <c r="B38" s="10" t="s">
        <v>29</v>
      </c>
      <c r="C38" s="10" t="s">
        <v>30</v>
      </c>
      <c r="D38" s="10" t="s">
        <v>137</v>
      </c>
    </row>
    <row r="39" spans="1:4" ht="15.75">
      <c r="A39" s="9" t="s">
        <v>138</v>
      </c>
      <c r="B39" s="10" t="s">
        <v>22</v>
      </c>
      <c r="C39" s="10" t="s">
        <v>139</v>
      </c>
      <c r="D39" s="10" t="s">
        <v>140</v>
      </c>
    </row>
    <row r="40" spans="1:4" ht="15.75">
      <c r="A40" s="9" t="s">
        <v>141</v>
      </c>
      <c r="B40" s="10" t="s">
        <v>22</v>
      </c>
      <c r="C40" s="10" t="s">
        <v>139</v>
      </c>
      <c r="D40" s="10" t="s">
        <v>140</v>
      </c>
    </row>
    <row r="41" spans="1:4" ht="15.75">
      <c r="A41" s="9" t="s">
        <v>142</v>
      </c>
      <c r="B41" s="10" t="s">
        <v>22</v>
      </c>
      <c r="C41" s="10" t="s">
        <v>113</v>
      </c>
      <c r="D41" s="12" t="s">
        <v>143</v>
      </c>
    </row>
    <row r="42" spans="1:4" ht="15.75">
      <c r="A42" s="9" t="s">
        <v>142</v>
      </c>
      <c r="B42" s="10" t="s">
        <v>22</v>
      </c>
      <c r="C42" s="10" t="s">
        <v>113</v>
      </c>
      <c r="D42" s="10" t="s">
        <v>143</v>
      </c>
    </row>
    <row r="43" spans="1:4" ht="15.75">
      <c r="A43" s="9" t="s">
        <v>144</v>
      </c>
      <c r="B43" s="10" t="s">
        <v>22</v>
      </c>
      <c r="C43" s="10" t="s">
        <v>25</v>
      </c>
      <c r="D43" s="10" t="s">
        <v>145</v>
      </c>
    </row>
    <row r="44" spans="1:4" ht="15.75">
      <c r="A44" s="9" t="s">
        <v>146</v>
      </c>
      <c r="B44" s="10" t="s">
        <v>22</v>
      </c>
      <c r="C44" s="10" t="s">
        <v>69</v>
      </c>
      <c r="D44" s="10" t="s">
        <v>147</v>
      </c>
    </row>
    <row r="45" spans="1:4" ht="15.75">
      <c r="A45" s="9" t="s">
        <v>148</v>
      </c>
      <c r="B45" s="10" t="s">
        <v>22</v>
      </c>
      <c r="C45" s="10" t="s">
        <v>69</v>
      </c>
      <c r="D45" s="10" t="s">
        <v>149</v>
      </c>
    </row>
    <row r="46" spans="1:4" ht="15.75">
      <c r="A46" s="9" t="s">
        <v>150</v>
      </c>
      <c r="B46" s="10" t="s">
        <v>22</v>
      </c>
      <c r="C46" s="10" t="s">
        <v>69</v>
      </c>
      <c r="D46" s="10" t="s">
        <v>149</v>
      </c>
    </row>
    <row r="47" spans="1:4" ht="15.75">
      <c r="A47" s="9" t="s">
        <v>151</v>
      </c>
      <c r="B47" s="10" t="s">
        <v>22</v>
      </c>
      <c r="C47" s="10" t="s">
        <v>34</v>
      </c>
      <c r="D47" s="10" t="s">
        <v>152</v>
      </c>
    </row>
    <row r="48" spans="1:4" ht="15.75">
      <c r="A48" s="9" t="s">
        <v>153</v>
      </c>
      <c r="B48" s="10" t="s">
        <v>22</v>
      </c>
      <c r="C48" s="10" t="s">
        <v>34</v>
      </c>
      <c r="D48" s="10" t="s">
        <v>152</v>
      </c>
    </row>
    <row r="49" spans="1:4" ht="15.75">
      <c r="A49" s="9" t="s">
        <v>154</v>
      </c>
      <c r="B49" s="10" t="s">
        <v>22</v>
      </c>
      <c r="C49" s="10" t="s">
        <v>25</v>
      </c>
      <c r="D49" s="10" t="s">
        <v>155</v>
      </c>
    </row>
    <row r="50" spans="1:4" ht="15.75">
      <c r="A50" s="9" t="s">
        <v>156</v>
      </c>
      <c r="B50" s="10" t="s">
        <v>22</v>
      </c>
      <c r="C50" s="10" t="s">
        <v>25</v>
      </c>
      <c r="D50" s="10" t="s">
        <v>157</v>
      </c>
    </row>
    <row r="51" spans="1:4" ht="15.75">
      <c r="A51" s="9" t="s">
        <v>158</v>
      </c>
      <c r="B51" s="10" t="s">
        <v>22</v>
      </c>
      <c r="C51" s="10" t="s">
        <v>25</v>
      </c>
      <c r="D51" s="10" t="s">
        <v>159</v>
      </c>
    </row>
    <row r="52" spans="1:4" ht="15.75">
      <c r="A52" s="9" t="s">
        <v>160</v>
      </c>
      <c r="B52" s="10" t="s">
        <v>22</v>
      </c>
      <c r="C52" s="10" t="s">
        <v>25</v>
      </c>
      <c r="D52" s="10" t="s">
        <v>159</v>
      </c>
    </row>
    <row r="53" spans="1:4" ht="15.75">
      <c r="A53" s="9" t="s">
        <v>161</v>
      </c>
      <c r="B53" s="10" t="s">
        <v>29</v>
      </c>
      <c r="C53" s="10" t="s">
        <v>58</v>
      </c>
      <c r="D53" s="10" t="s">
        <v>162</v>
      </c>
    </row>
    <row r="54" spans="1:4" ht="15.75">
      <c r="A54" s="9" t="s">
        <v>163</v>
      </c>
      <c r="B54" s="10" t="s">
        <v>29</v>
      </c>
      <c r="C54" s="10" t="s">
        <v>126</v>
      </c>
      <c r="D54" s="10" t="s">
        <v>164</v>
      </c>
    </row>
    <row r="55" spans="1:4" ht="15.75">
      <c r="A55" s="9" t="s">
        <v>165</v>
      </c>
      <c r="B55" s="10" t="s">
        <v>29</v>
      </c>
      <c r="C55" s="10" t="s">
        <v>58</v>
      </c>
      <c r="D55" s="10" t="s">
        <v>166</v>
      </c>
    </row>
    <row r="56" spans="1:4" ht="15.75">
      <c r="A56" s="9" t="s">
        <v>167</v>
      </c>
      <c r="B56" s="10" t="s">
        <v>29</v>
      </c>
      <c r="C56" s="10" t="s">
        <v>58</v>
      </c>
      <c r="D56" s="10" t="s">
        <v>168</v>
      </c>
    </row>
    <row r="57" spans="1:4" ht="15.75">
      <c r="A57" s="9" t="s">
        <v>169</v>
      </c>
      <c r="B57" s="10" t="s">
        <v>22</v>
      </c>
      <c r="C57" s="10" t="s">
        <v>69</v>
      </c>
      <c r="D57" s="10" t="s">
        <v>170</v>
      </c>
    </row>
    <row r="58" spans="1:4" ht="15.75">
      <c r="A58" s="9" t="s">
        <v>171</v>
      </c>
      <c r="B58" s="10" t="s">
        <v>22</v>
      </c>
      <c r="C58" s="10" t="s">
        <v>25</v>
      </c>
      <c r="D58" s="10" t="s">
        <v>172</v>
      </c>
    </row>
    <row r="59" spans="1:4" ht="15.75">
      <c r="A59" s="9" t="s">
        <v>173</v>
      </c>
      <c r="B59" s="10" t="s">
        <v>29</v>
      </c>
      <c r="C59" s="10" t="s">
        <v>77</v>
      </c>
      <c r="D59" s="10" t="s">
        <v>174</v>
      </c>
    </row>
    <row r="60" spans="1:4" ht="15.75">
      <c r="A60" s="9" t="s">
        <v>14</v>
      </c>
      <c r="B60" s="10" t="s">
        <v>29</v>
      </c>
      <c r="C60" s="10" t="s">
        <v>123</v>
      </c>
      <c r="D60" s="10" t="s">
        <v>175</v>
      </c>
    </row>
    <row r="61" spans="1:4" ht="15.75">
      <c r="A61" s="9" t="s">
        <v>176</v>
      </c>
      <c r="B61" s="10" t="s">
        <v>29</v>
      </c>
      <c r="C61" s="10" t="s">
        <v>123</v>
      </c>
      <c r="D61" s="10" t="s">
        <v>177</v>
      </c>
    </row>
    <row r="62" spans="1:4" ht="15.75">
      <c r="A62" s="9" t="s">
        <v>178</v>
      </c>
      <c r="B62" s="10" t="s">
        <v>29</v>
      </c>
      <c r="C62" s="10" t="s">
        <v>123</v>
      </c>
      <c r="D62" s="10" t="s">
        <v>179</v>
      </c>
    </row>
    <row r="63" spans="1:4" ht="15.75">
      <c r="A63" s="9" t="s">
        <v>180</v>
      </c>
      <c r="B63" s="10" t="s">
        <v>29</v>
      </c>
      <c r="C63" s="10" t="s">
        <v>126</v>
      </c>
      <c r="D63" s="10" t="s">
        <v>181</v>
      </c>
    </row>
    <row r="64" spans="1:4" ht="15.75">
      <c r="A64" s="9" t="s">
        <v>182</v>
      </c>
      <c r="B64" s="10" t="s">
        <v>22</v>
      </c>
      <c r="C64" s="10" t="s">
        <v>183</v>
      </c>
      <c r="D64" s="10" t="s">
        <v>184</v>
      </c>
    </row>
    <row r="65" spans="1:4" ht="15.75">
      <c r="A65" s="9" t="s">
        <v>185</v>
      </c>
      <c r="B65" s="10" t="s">
        <v>22</v>
      </c>
      <c r="C65" s="10" t="s">
        <v>183</v>
      </c>
      <c r="D65" s="10" t="s">
        <v>184</v>
      </c>
    </row>
    <row r="66" spans="1:4" ht="15.75">
      <c r="A66" s="9" t="s">
        <v>186</v>
      </c>
      <c r="B66" s="10" t="s">
        <v>22</v>
      </c>
      <c r="C66" s="10" t="s">
        <v>187</v>
      </c>
      <c r="D66" s="10" t="s">
        <v>188</v>
      </c>
    </row>
    <row r="67" spans="1:4" ht="15.75">
      <c r="A67" s="9" t="s">
        <v>189</v>
      </c>
      <c r="B67" s="10" t="s">
        <v>22</v>
      </c>
      <c r="C67" s="10" t="s">
        <v>25</v>
      </c>
      <c r="D67" s="10" t="s">
        <v>190</v>
      </c>
    </row>
    <row r="68" spans="1:4" ht="15.75">
      <c r="A68" s="9" t="s">
        <v>191</v>
      </c>
      <c r="B68" s="10" t="s">
        <v>22</v>
      </c>
      <c r="C68" s="10" t="s">
        <v>25</v>
      </c>
      <c r="D68" s="10" t="s">
        <v>190</v>
      </c>
    </row>
    <row r="69" spans="1:4" ht="15.75">
      <c r="A69" s="9" t="s">
        <v>192</v>
      </c>
      <c r="B69" s="10" t="s">
        <v>22</v>
      </c>
      <c r="C69" s="10" t="s">
        <v>25</v>
      </c>
      <c r="D69" s="10" t="s">
        <v>193</v>
      </c>
    </row>
    <row r="70" spans="1:4" ht="15.75">
      <c r="A70" s="9" t="s">
        <v>194</v>
      </c>
      <c r="B70" s="10" t="s">
        <v>22</v>
      </c>
      <c r="C70" s="10" t="s">
        <v>25</v>
      </c>
      <c r="D70" s="10" t="s">
        <v>193</v>
      </c>
    </row>
    <row r="71" spans="1:4" ht="15.75">
      <c r="A71" s="9" t="s">
        <v>195</v>
      </c>
      <c r="B71" s="10" t="s">
        <v>22</v>
      </c>
      <c r="C71" s="10" t="s">
        <v>25</v>
      </c>
      <c r="D71" s="10" t="s">
        <v>196</v>
      </c>
    </row>
    <row r="72" spans="1:4" ht="15.75">
      <c r="A72" s="9" t="s">
        <v>197</v>
      </c>
      <c r="B72" s="10" t="s">
        <v>22</v>
      </c>
      <c r="C72" s="10" t="s">
        <v>25</v>
      </c>
      <c r="D72" s="10" t="s">
        <v>196</v>
      </c>
    </row>
    <row r="73" spans="1:4" ht="15.75">
      <c r="A73" s="9" t="s">
        <v>198</v>
      </c>
      <c r="B73" s="10" t="s">
        <v>22</v>
      </c>
      <c r="C73" s="10" t="s">
        <v>69</v>
      </c>
      <c r="D73" s="10" t="s">
        <v>199</v>
      </c>
    </row>
    <row r="74" spans="1:4" ht="15.75">
      <c r="A74" s="11" t="s">
        <v>200</v>
      </c>
      <c r="B74" s="10" t="s">
        <v>29</v>
      </c>
      <c r="C74" s="10" t="s">
        <v>126</v>
      </c>
      <c r="D74" s="10" t="s">
        <v>201</v>
      </c>
    </row>
    <row r="75" spans="1:4" ht="15.75">
      <c r="A75" s="9" t="s">
        <v>202</v>
      </c>
      <c r="B75" s="10" t="s">
        <v>22</v>
      </c>
      <c r="C75" s="10" t="s">
        <v>34</v>
      </c>
      <c r="D75" s="12" t="s">
        <v>203</v>
      </c>
    </row>
    <row r="76" spans="1:4" ht="15.75">
      <c r="A76" s="9" t="s">
        <v>204</v>
      </c>
      <c r="B76" s="10" t="s">
        <v>22</v>
      </c>
      <c r="C76" s="10" t="s">
        <v>25</v>
      </c>
      <c r="D76" s="10" t="s">
        <v>205</v>
      </c>
    </row>
    <row r="77" spans="1:4" ht="15.75">
      <c r="A77" s="9" t="s">
        <v>206</v>
      </c>
      <c r="B77" s="10" t="s">
        <v>22</v>
      </c>
      <c r="C77" s="10" t="s">
        <v>25</v>
      </c>
      <c r="D77" s="10" t="s">
        <v>205</v>
      </c>
    </row>
    <row r="78" spans="1:4" ht="15.75">
      <c r="A78" s="9" t="s">
        <v>207</v>
      </c>
      <c r="B78" s="10" t="s">
        <v>29</v>
      </c>
      <c r="C78" s="10" t="s">
        <v>77</v>
      </c>
      <c r="D78" s="10" t="s">
        <v>208</v>
      </c>
    </row>
    <row r="79" spans="1:4" ht="15.75">
      <c r="A79" s="9" t="s">
        <v>209</v>
      </c>
      <c r="B79" s="10" t="s">
        <v>22</v>
      </c>
      <c r="C79" s="10" t="s">
        <v>25</v>
      </c>
      <c r="D79" s="10" t="s">
        <v>210</v>
      </c>
    </row>
    <row r="80" spans="1:4" ht="15.75">
      <c r="A80" s="9" t="s">
        <v>211</v>
      </c>
      <c r="B80" s="10" t="s">
        <v>22</v>
      </c>
      <c r="C80" s="10" t="s">
        <v>25</v>
      </c>
      <c r="D80" s="10" t="s">
        <v>210</v>
      </c>
    </row>
    <row r="81" spans="1:4" ht="15.75">
      <c r="A81" s="9" t="s">
        <v>212</v>
      </c>
      <c r="B81" s="10" t="s">
        <v>22</v>
      </c>
      <c r="C81" s="10" t="s">
        <v>213</v>
      </c>
      <c r="D81" s="10" t="s">
        <v>214</v>
      </c>
    </row>
    <row r="82" spans="1:4" ht="15.75">
      <c r="A82" s="9" t="s">
        <v>215</v>
      </c>
      <c r="B82" s="10" t="s">
        <v>29</v>
      </c>
      <c r="C82" s="10" t="s">
        <v>77</v>
      </c>
      <c r="D82" s="10" t="s">
        <v>216</v>
      </c>
    </row>
    <row r="83" spans="1:4" ht="15.75">
      <c r="A83" s="9" t="s">
        <v>217</v>
      </c>
      <c r="B83" s="10" t="s">
        <v>22</v>
      </c>
      <c r="C83" s="10" t="s">
        <v>25</v>
      </c>
      <c r="D83" s="10" t="s">
        <v>218</v>
      </c>
    </row>
    <row r="84" spans="1:4" ht="15.75">
      <c r="A84" s="9" t="s">
        <v>219</v>
      </c>
      <c r="B84" s="10" t="s">
        <v>29</v>
      </c>
      <c r="C84" s="10" t="s">
        <v>58</v>
      </c>
      <c r="D84" s="10" t="s">
        <v>220</v>
      </c>
    </row>
    <row r="85" spans="1:4" ht="15.75">
      <c r="A85" s="9" t="s">
        <v>221</v>
      </c>
      <c r="B85" s="10" t="s">
        <v>22</v>
      </c>
      <c r="C85" s="10" t="s">
        <v>46</v>
      </c>
      <c r="D85" s="10" t="s">
        <v>222</v>
      </c>
    </row>
    <row r="86" spans="1:4" ht="15.75">
      <c r="A86" s="9" t="s">
        <v>223</v>
      </c>
      <c r="B86" s="10" t="s">
        <v>22</v>
      </c>
      <c r="C86" s="10" t="s">
        <v>224</v>
      </c>
      <c r="D86" s="10" t="s">
        <v>225</v>
      </c>
    </row>
    <row r="87" spans="1:4" ht="15.75">
      <c r="A87" s="9" t="s">
        <v>226</v>
      </c>
      <c r="B87" s="10" t="s">
        <v>22</v>
      </c>
      <c r="C87" s="10" t="s">
        <v>224</v>
      </c>
      <c r="D87" s="10" t="s">
        <v>225</v>
      </c>
    </row>
    <row r="88" spans="1:4" ht="15.75">
      <c r="A88" s="9" t="s">
        <v>10</v>
      </c>
      <c r="B88" s="10" t="s">
        <v>22</v>
      </c>
      <c r="C88" s="10" t="s">
        <v>227</v>
      </c>
      <c r="D88" s="10" t="s">
        <v>228</v>
      </c>
    </row>
    <row r="89" spans="1:4" ht="15.75">
      <c r="A89" s="9" t="s">
        <v>229</v>
      </c>
      <c r="B89" s="10" t="s">
        <v>22</v>
      </c>
      <c r="C89" s="10" t="s">
        <v>25</v>
      </c>
      <c r="D89" s="10" t="s">
        <v>230</v>
      </c>
    </row>
    <row r="90" spans="1:4" ht="15.75">
      <c r="A90" s="9" t="s">
        <v>231</v>
      </c>
      <c r="B90" s="10" t="s">
        <v>22</v>
      </c>
      <c r="C90" s="10" t="s">
        <v>25</v>
      </c>
      <c r="D90" s="10" t="s">
        <v>230</v>
      </c>
    </row>
    <row r="91" spans="1:4" ht="15.75">
      <c r="A91" s="9" t="s">
        <v>232</v>
      </c>
      <c r="B91" s="10" t="s">
        <v>22</v>
      </c>
      <c r="C91" s="10" t="s">
        <v>25</v>
      </c>
      <c r="D91" s="10" t="s">
        <v>230</v>
      </c>
    </row>
    <row r="92" spans="1:4" ht="15.75">
      <c r="A92" s="9" t="s">
        <v>233</v>
      </c>
      <c r="B92" s="10" t="s">
        <v>22</v>
      </c>
      <c r="C92" s="10" t="s">
        <v>25</v>
      </c>
      <c r="D92" s="10" t="s">
        <v>234</v>
      </c>
    </row>
    <row r="93" spans="1:4" ht="15.75">
      <c r="A93" s="9" t="s">
        <v>235</v>
      </c>
      <c r="B93" s="10" t="s">
        <v>22</v>
      </c>
      <c r="C93" s="10" t="s">
        <v>25</v>
      </c>
      <c r="D93" s="10" t="s">
        <v>234</v>
      </c>
    </row>
    <row r="94" spans="1:4" ht="15.75">
      <c r="A94" s="9" t="s">
        <v>236</v>
      </c>
      <c r="B94" s="10" t="s">
        <v>22</v>
      </c>
      <c r="C94" s="10" t="s">
        <v>25</v>
      </c>
      <c r="D94" s="10" t="s">
        <v>237</v>
      </c>
    </row>
    <row r="95" spans="1:4" ht="15.75">
      <c r="A95" s="9" t="s">
        <v>238</v>
      </c>
      <c r="B95" s="10" t="s">
        <v>29</v>
      </c>
      <c r="C95" s="10" t="s">
        <v>123</v>
      </c>
      <c r="D95" s="10" t="s">
        <v>239</v>
      </c>
    </row>
    <row r="96" spans="1:4" ht="15.75">
      <c r="A96" s="9" t="s">
        <v>240</v>
      </c>
      <c r="B96" s="10" t="s">
        <v>22</v>
      </c>
      <c r="C96" s="10" t="s">
        <v>103</v>
      </c>
      <c r="D96" s="10" t="s">
        <v>241</v>
      </c>
    </row>
    <row r="97" spans="1:4" ht="15.75">
      <c r="A97" s="9" t="s">
        <v>242</v>
      </c>
      <c r="B97" s="10" t="s">
        <v>22</v>
      </c>
      <c r="C97" s="10" t="s">
        <v>69</v>
      </c>
      <c r="D97" s="10" t="s">
        <v>243</v>
      </c>
    </row>
    <row r="98" spans="1:4" ht="15.75">
      <c r="A98" s="9" t="s">
        <v>244</v>
      </c>
      <c r="B98" s="10" t="s">
        <v>22</v>
      </c>
      <c r="C98" s="10" t="s">
        <v>69</v>
      </c>
      <c r="D98" s="10" t="s">
        <v>245</v>
      </c>
    </row>
    <row r="99" spans="1:4" ht="15.75">
      <c r="A99" s="9" t="s">
        <v>246</v>
      </c>
      <c r="B99" s="10" t="s">
        <v>22</v>
      </c>
      <c r="C99" s="10" t="s">
        <v>247</v>
      </c>
      <c r="D99" s="10" t="s">
        <v>248</v>
      </c>
    </row>
    <row r="100" spans="1:4" ht="15.75">
      <c r="A100" s="9" t="s">
        <v>12</v>
      </c>
      <c r="B100" s="10" t="s">
        <v>29</v>
      </c>
      <c r="C100" s="10" t="s">
        <v>77</v>
      </c>
      <c r="D100" s="10" t="s">
        <v>249</v>
      </c>
    </row>
    <row r="101" spans="1:4" ht="15.75">
      <c r="A101" s="9" t="s">
        <v>250</v>
      </c>
      <c r="B101" s="10" t="s">
        <v>22</v>
      </c>
      <c r="C101" s="10" t="s">
        <v>38</v>
      </c>
      <c r="D101" s="12" t="s">
        <v>251</v>
      </c>
    </row>
    <row r="102" spans="1:4" ht="15.75">
      <c r="A102" s="9" t="s">
        <v>252</v>
      </c>
      <c r="B102" s="10" t="s">
        <v>22</v>
      </c>
      <c r="C102" s="10" t="s">
        <v>25</v>
      </c>
      <c r="D102" s="12" t="s">
        <v>251</v>
      </c>
    </row>
    <row r="103" spans="1:4" ht="15.75">
      <c r="A103" s="9" t="s">
        <v>253</v>
      </c>
      <c r="B103" s="10" t="s">
        <v>22</v>
      </c>
      <c r="C103" s="10" t="s">
        <v>187</v>
      </c>
      <c r="D103" s="10" t="s">
        <v>254</v>
      </c>
    </row>
    <row r="104" spans="1:4" ht="15.75">
      <c r="A104" s="9" t="s">
        <v>255</v>
      </c>
      <c r="B104" s="10" t="s">
        <v>22</v>
      </c>
      <c r="C104" s="10" t="s">
        <v>69</v>
      </c>
      <c r="D104" s="10" t="s">
        <v>256</v>
      </c>
    </row>
    <row r="105" spans="1:4" ht="15.75">
      <c r="A105" s="9" t="s">
        <v>257</v>
      </c>
      <c r="B105" s="10" t="s">
        <v>22</v>
      </c>
      <c r="C105" s="10" t="s">
        <v>69</v>
      </c>
      <c r="D105" s="10" t="s">
        <v>256</v>
      </c>
    </row>
    <row r="106" spans="1:4" ht="15.75">
      <c r="A106" s="9" t="s">
        <v>258</v>
      </c>
      <c r="B106" s="10" t="s">
        <v>22</v>
      </c>
      <c r="C106" s="10" t="s">
        <v>69</v>
      </c>
      <c r="D106" s="10" t="s">
        <v>256</v>
      </c>
    </row>
    <row r="107" spans="1:4" ht="15.75">
      <c r="A107" s="9" t="s">
        <v>259</v>
      </c>
      <c r="B107" s="10" t="s">
        <v>22</v>
      </c>
      <c r="C107" s="10" t="s">
        <v>69</v>
      </c>
      <c r="D107" s="10" t="s">
        <v>256</v>
      </c>
    </row>
    <row r="108" spans="1:4" ht="15.75">
      <c r="A108" s="9" t="s">
        <v>260</v>
      </c>
      <c r="B108" s="10" t="s">
        <v>22</v>
      </c>
      <c r="C108" s="10" t="s">
        <v>69</v>
      </c>
      <c r="D108" s="10" t="s">
        <v>256</v>
      </c>
    </row>
    <row r="109" spans="1:4" ht="15.75">
      <c r="A109" s="9" t="s">
        <v>261</v>
      </c>
      <c r="B109" s="10" t="s">
        <v>22</v>
      </c>
      <c r="C109" s="10" t="s">
        <v>69</v>
      </c>
      <c r="D109" s="10" t="s">
        <v>256</v>
      </c>
    </row>
    <row r="110" spans="1:4" ht="15.75">
      <c r="A110" s="9" t="s">
        <v>262</v>
      </c>
      <c r="B110" s="10" t="s">
        <v>22</v>
      </c>
      <c r="C110" s="10" t="s">
        <v>69</v>
      </c>
      <c r="D110" s="10" t="s">
        <v>256</v>
      </c>
    </row>
    <row r="111" spans="1:4" ht="15.75">
      <c r="A111" s="9" t="s">
        <v>263</v>
      </c>
      <c r="B111" s="10" t="s">
        <v>29</v>
      </c>
      <c r="C111" s="10" t="s">
        <v>131</v>
      </c>
      <c r="D111" s="10" t="s">
        <v>264</v>
      </c>
    </row>
    <row r="112" spans="1:4" ht="15.75">
      <c r="A112" s="9" t="s">
        <v>265</v>
      </c>
      <c r="B112" s="10" t="s">
        <v>22</v>
      </c>
      <c r="C112" s="10" t="s">
        <v>25</v>
      </c>
      <c r="D112" s="10" t="s">
        <v>266</v>
      </c>
    </row>
    <row r="113" spans="1:4" ht="15.75">
      <c r="A113" s="9" t="s">
        <v>267</v>
      </c>
      <c r="B113" s="10" t="s">
        <v>22</v>
      </c>
      <c r="C113" s="10" t="s">
        <v>25</v>
      </c>
      <c r="D113" s="10" t="s">
        <v>268</v>
      </c>
    </row>
    <row r="114" spans="1:4" ht="15.75">
      <c r="A114" s="9" t="s">
        <v>269</v>
      </c>
      <c r="B114" s="10" t="s">
        <v>22</v>
      </c>
      <c r="C114" s="10" t="s">
        <v>25</v>
      </c>
      <c r="D114" s="10" t="s">
        <v>268</v>
      </c>
    </row>
    <row r="115" spans="1:4" ht="15.75">
      <c r="A115" s="9" t="s">
        <v>270</v>
      </c>
      <c r="B115" s="10" t="s">
        <v>22</v>
      </c>
      <c r="C115" s="10" t="s">
        <v>271</v>
      </c>
      <c r="D115" s="10" t="s">
        <v>272</v>
      </c>
    </row>
    <row r="116" spans="1:4" ht="15.75">
      <c r="A116" s="9" t="s">
        <v>273</v>
      </c>
      <c r="B116" s="10" t="s">
        <v>22</v>
      </c>
      <c r="C116" s="10" t="s">
        <v>271</v>
      </c>
      <c r="D116" s="10" t="s">
        <v>272</v>
      </c>
    </row>
    <row r="117" spans="1:4" ht="15.75">
      <c r="A117" s="9" t="s">
        <v>274</v>
      </c>
      <c r="B117" s="10" t="s">
        <v>22</v>
      </c>
      <c r="C117" s="10" t="s">
        <v>271</v>
      </c>
      <c r="D117" s="10" t="s">
        <v>272</v>
      </c>
    </row>
    <row r="118" spans="1:4" ht="15.75">
      <c r="A118" s="9" t="s">
        <v>275</v>
      </c>
      <c r="B118" s="10" t="s">
        <v>22</v>
      </c>
      <c r="C118" s="10" t="s">
        <v>69</v>
      </c>
      <c r="D118" s="10" t="s">
        <v>276</v>
      </c>
    </row>
    <row r="119" spans="1:4" ht="15.75">
      <c r="A119" s="9" t="s">
        <v>277</v>
      </c>
      <c r="B119" s="10" t="s">
        <v>22</v>
      </c>
      <c r="C119" s="10" t="s">
        <v>69</v>
      </c>
      <c r="D119" s="10" t="s">
        <v>278</v>
      </c>
    </row>
    <row r="120" spans="1:4" ht="15.75">
      <c r="A120" s="9" t="s">
        <v>279</v>
      </c>
      <c r="B120" s="10" t="s">
        <v>22</v>
      </c>
      <c r="C120" s="10" t="s">
        <v>280</v>
      </c>
      <c r="D120" s="10" t="s">
        <v>281</v>
      </c>
    </row>
    <row r="121" spans="1:4" ht="15.75">
      <c r="A121" s="9" t="s">
        <v>282</v>
      </c>
      <c r="B121" s="10" t="s">
        <v>22</v>
      </c>
      <c r="C121" s="10" t="s">
        <v>25</v>
      </c>
      <c r="D121" s="10" t="s">
        <v>283</v>
      </c>
    </row>
    <row r="122" spans="1:4" ht="15.75">
      <c r="A122" s="9" t="s">
        <v>284</v>
      </c>
      <c r="B122" s="10" t="s">
        <v>22</v>
      </c>
      <c r="C122" s="10" t="s">
        <v>25</v>
      </c>
      <c r="D122" s="10" t="s">
        <v>283</v>
      </c>
    </row>
    <row r="123" spans="1:4" ht="15.75">
      <c r="A123" s="9" t="s">
        <v>285</v>
      </c>
      <c r="B123" s="10" t="s">
        <v>22</v>
      </c>
      <c r="C123" s="10" t="s">
        <v>25</v>
      </c>
      <c r="D123" s="10" t="s">
        <v>283</v>
      </c>
    </row>
    <row r="124" spans="1:4" ht="15.75">
      <c r="A124" s="9" t="s">
        <v>286</v>
      </c>
      <c r="B124" s="10" t="s">
        <v>22</v>
      </c>
      <c r="C124" s="10" t="s">
        <v>62</v>
      </c>
      <c r="D124" s="10" t="s">
        <v>287</v>
      </c>
    </row>
    <row r="125" spans="1:4" ht="15.75">
      <c r="A125" s="9" t="s">
        <v>288</v>
      </c>
      <c r="B125" s="10" t="s">
        <v>22</v>
      </c>
      <c r="C125" s="10" t="s">
        <v>25</v>
      </c>
      <c r="D125" s="10" t="s">
        <v>289</v>
      </c>
    </row>
    <row r="126" spans="1:4" ht="15.75">
      <c r="A126" s="9" t="s">
        <v>290</v>
      </c>
      <c r="B126" s="10" t="s">
        <v>22</v>
      </c>
      <c r="C126" s="10" t="s">
        <v>25</v>
      </c>
      <c r="D126" s="10" t="s">
        <v>289</v>
      </c>
    </row>
    <row r="127" spans="1:4" ht="15.75">
      <c r="A127" s="9" t="s">
        <v>291</v>
      </c>
      <c r="B127" s="10" t="s">
        <v>29</v>
      </c>
      <c r="C127" s="10" t="s">
        <v>38</v>
      </c>
      <c r="D127" s="10" t="s">
        <v>292</v>
      </c>
    </row>
    <row r="128" spans="1:4" ht="15.75">
      <c r="A128" s="9" t="s">
        <v>293</v>
      </c>
      <c r="B128" s="10" t="s">
        <v>22</v>
      </c>
      <c r="C128" s="10" t="s">
        <v>103</v>
      </c>
      <c r="D128" s="10" t="s">
        <v>294</v>
      </c>
    </row>
    <row r="129" spans="1:4" ht="15.75">
      <c r="A129" s="9" t="s">
        <v>295</v>
      </c>
      <c r="B129" s="10" t="s">
        <v>22</v>
      </c>
      <c r="C129" s="10" t="s">
        <v>103</v>
      </c>
      <c r="D129" s="10" t="s">
        <v>296</v>
      </c>
    </row>
    <row r="130" spans="1:4" ht="15.75">
      <c r="A130" s="9" t="s">
        <v>297</v>
      </c>
      <c r="B130" s="10" t="s">
        <v>22</v>
      </c>
      <c r="C130" s="10" t="s">
        <v>103</v>
      </c>
      <c r="D130" s="10" t="s">
        <v>296</v>
      </c>
    </row>
    <row r="131" spans="1:4" ht="15.75">
      <c r="A131" s="9" t="s">
        <v>298</v>
      </c>
      <c r="B131" s="10" t="s">
        <v>22</v>
      </c>
      <c r="C131" s="10" t="s">
        <v>81</v>
      </c>
      <c r="D131" s="10" t="s">
        <v>299</v>
      </c>
    </row>
    <row r="132" spans="1:4" ht="15.75">
      <c r="A132" s="9" t="s">
        <v>300</v>
      </c>
      <c r="B132" s="10" t="s">
        <v>22</v>
      </c>
      <c r="C132" s="10" t="s">
        <v>81</v>
      </c>
      <c r="D132" s="10" t="s">
        <v>299</v>
      </c>
    </row>
    <row r="133" spans="1:4" ht="15.75">
      <c r="A133" s="9" t="s">
        <v>301</v>
      </c>
      <c r="B133" s="10" t="s">
        <v>29</v>
      </c>
      <c r="C133" s="13" t="s">
        <v>99</v>
      </c>
      <c r="D133" s="13" t="s">
        <v>302</v>
      </c>
    </row>
    <row r="134" spans="1:4" ht="15.75">
      <c r="A134" s="9" t="s">
        <v>303</v>
      </c>
      <c r="B134" s="10" t="s">
        <v>29</v>
      </c>
      <c r="C134" s="10" t="s">
        <v>77</v>
      </c>
      <c r="D134" s="10" t="s">
        <v>304</v>
      </c>
    </row>
    <row r="135" spans="1:4" ht="15.75">
      <c r="A135" s="9" t="s">
        <v>305</v>
      </c>
      <c r="B135" s="10" t="s">
        <v>22</v>
      </c>
      <c r="C135" s="10" t="s">
        <v>69</v>
      </c>
      <c r="D135" s="10" t="s">
        <v>306</v>
      </c>
    </row>
    <row r="136" spans="1:4" ht="15.75">
      <c r="A136" s="9" t="s">
        <v>307</v>
      </c>
      <c r="B136" s="10" t="s">
        <v>22</v>
      </c>
      <c r="C136" s="10" t="s">
        <v>69</v>
      </c>
      <c r="D136" s="10" t="s">
        <v>308</v>
      </c>
    </row>
    <row r="137" spans="1:4" ht="15.75">
      <c r="A137" s="9" t="s">
        <v>309</v>
      </c>
      <c r="B137" s="10" t="s">
        <v>22</v>
      </c>
      <c r="C137" s="10" t="s">
        <v>69</v>
      </c>
      <c r="D137" s="10" t="s">
        <v>310</v>
      </c>
    </row>
    <row r="138" spans="1:4" ht="15.75">
      <c r="A138" s="9" t="s">
        <v>311</v>
      </c>
      <c r="B138" s="10" t="s">
        <v>22</v>
      </c>
      <c r="C138" s="10" t="s">
        <v>69</v>
      </c>
      <c r="D138" s="10" t="s">
        <v>312</v>
      </c>
    </row>
    <row r="139" spans="1:4" ht="15.75">
      <c r="A139" s="9" t="s">
        <v>313</v>
      </c>
      <c r="B139" s="10" t="s">
        <v>22</v>
      </c>
      <c r="C139" s="10" t="s">
        <v>69</v>
      </c>
      <c r="D139" s="10" t="s">
        <v>314</v>
      </c>
    </row>
    <row r="140" spans="1:4" ht="15.75">
      <c r="A140" s="9" t="s">
        <v>315</v>
      </c>
      <c r="B140" s="10" t="s">
        <v>22</v>
      </c>
      <c r="C140" s="10" t="s">
        <v>69</v>
      </c>
      <c r="D140" s="10" t="s">
        <v>314</v>
      </c>
    </row>
    <row r="141" spans="1:4" ht="15.75">
      <c r="A141" s="9" t="s">
        <v>316</v>
      </c>
      <c r="B141" s="10" t="s">
        <v>22</v>
      </c>
      <c r="C141" s="10" t="s">
        <v>139</v>
      </c>
      <c r="D141" s="10" t="s">
        <v>317</v>
      </c>
    </row>
    <row r="142" spans="1:4" ht="15.75">
      <c r="A142" s="9" t="s">
        <v>318</v>
      </c>
      <c r="B142" s="10" t="s">
        <v>22</v>
      </c>
      <c r="C142" s="10" t="s">
        <v>139</v>
      </c>
      <c r="D142" s="10" t="s">
        <v>317</v>
      </c>
    </row>
    <row r="143" spans="1:4" ht="15.75">
      <c r="A143" s="9" t="s">
        <v>319</v>
      </c>
      <c r="B143" s="10" t="s">
        <v>22</v>
      </c>
      <c r="C143" s="10" t="s">
        <v>81</v>
      </c>
      <c r="D143" s="10" t="s">
        <v>320</v>
      </c>
    </row>
    <row r="144" spans="1:4" ht="15.75">
      <c r="A144" s="9" t="s">
        <v>321</v>
      </c>
      <c r="B144" s="10" t="s">
        <v>22</v>
      </c>
      <c r="C144" s="10" t="s">
        <v>81</v>
      </c>
      <c r="D144" s="10" t="s">
        <v>320</v>
      </c>
    </row>
    <row r="145" spans="1:4" ht="15.75">
      <c r="A145" s="9" t="s">
        <v>322</v>
      </c>
      <c r="B145" s="10" t="s">
        <v>22</v>
      </c>
      <c r="C145" s="10" t="s">
        <v>38</v>
      </c>
      <c r="D145" s="12" t="s">
        <v>323</v>
      </c>
    </row>
    <row r="146" spans="1:4" ht="15.75">
      <c r="A146" s="9" t="s">
        <v>324</v>
      </c>
      <c r="B146" s="10" t="s">
        <v>22</v>
      </c>
      <c r="C146" s="10" t="s">
        <v>69</v>
      </c>
      <c r="D146" s="10" t="s">
        <v>325</v>
      </c>
    </row>
    <row r="147" spans="1:4" ht="15.75">
      <c r="A147" s="9" t="s">
        <v>326</v>
      </c>
      <c r="B147" s="10" t="s">
        <v>22</v>
      </c>
      <c r="C147" s="10" t="s">
        <v>69</v>
      </c>
      <c r="D147" s="10" t="s">
        <v>325</v>
      </c>
    </row>
    <row r="148" spans="1:4" ht="15.75">
      <c r="A148" s="9" t="s">
        <v>327</v>
      </c>
      <c r="B148" s="10" t="s">
        <v>22</v>
      </c>
      <c r="C148" s="10" t="s">
        <v>328</v>
      </c>
      <c r="D148" s="10" t="s">
        <v>329</v>
      </c>
    </row>
    <row r="149" spans="1:4" ht="15.75">
      <c r="A149" s="11" t="s">
        <v>330</v>
      </c>
      <c r="B149" s="10" t="s">
        <v>29</v>
      </c>
      <c r="C149" s="10" t="s">
        <v>38</v>
      </c>
      <c r="D149" s="10" t="s">
        <v>331</v>
      </c>
    </row>
    <row r="150" spans="1:4" ht="15.75">
      <c r="A150" s="9" t="s">
        <v>332</v>
      </c>
      <c r="B150" s="10" t="s">
        <v>22</v>
      </c>
      <c r="C150" s="10" t="s">
        <v>69</v>
      </c>
      <c r="D150" s="10" t="s">
        <v>333</v>
      </c>
    </row>
    <row r="151" spans="1:4" ht="15.75">
      <c r="A151" s="9" t="s">
        <v>334</v>
      </c>
      <c r="B151" s="10" t="s">
        <v>22</v>
      </c>
      <c r="C151" s="10" t="s">
        <v>69</v>
      </c>
      <c r="D151" s="10" t="s">
        <v>333</v>
      </c>
    </row>
    <row r="152" spans="1:4" ht="15.75">
      <c r="A152" s="9" t="s">
        <v>335</v>
      </c>
      <c r="B152" s="10" t="s">
        <v>22</v>
      </c>
      <c r="C152" s="10" t="s">
        <v>81</v>
      </c>
      <c r="D152" s="10" t="s">
        <v>336</v>
      </c>
    </row>
    <row r="153" spans="1:4" ht="15.75">
      <c r="A153" s="9" t="s">
        <v>337</v>
      </c>
      <c r="B153" s="10" t="s">
        <v>22</v>
      </c>
      <c r="C153" s="10" t="s">
        <v>81</v>
      </c>
      <c r="D153" s="10" t="s">
        <v>336</v>
      </c>
    </row>
    <row r="154" spans="1:4" ht="15.75">
      <c r="A154" s="9" t="s">
        <v>338</v>
      </c>
      <c r="B154" s="10" t="s">
        <v>22</v>
      </c>
      <c r="C154" s="10" t="s">
        <v>46</v>
      </c>
      <c r="D154" s="10" t="s">
        <v>339</v>
      </c>
    </row>
    <row r="155" spans="1:4" ht="15.75">
      <c r="A155" s="9" t="s">
        <v>340</v>
      </c>
      <c r="B155" s="10" t="s">
        <v>22</v>
      </c>
      <c r="C155" s="10" t="s">
        <v>213</v>
      </c>
      <c r="D155" s="10" t="s">
        <v>341</v>
      </c>
    </row>
    <row r="156" spans="1:4" ht="15.75">
      <c r="A156" s="9" t="s">
        <v>342</v>
      </c>
      <c r="B156" s="10" t="s">
        <v>22</v>
      </c>
      <c r="C156" s="10" t="s">
        <v>213</v>
      </c>
      <c r="D156" s="10" t="s">
        <v>341</v>
      </c>
    </row>
    <row r="157" spans="1:4" ht="15.75">
      <c r="A157" s="9" t="s">
        <v>343</v>
      </c>
      <c r="B157" s="10" t="s">
        <v>29</v>
      </c>
      <c r="C157" s="10" t="s">
        <v>126</v>
      </c>
      <c r="D157" s="10" t="s">
        <v>344</v>
      </c>
    </row>
    <row r="158" spans="1:4" ht="15.75">
      <c r="A158" s="9" t="s">
        <v>345</v>
      </c>
      <c r="B158" s="10" t="s">
        <v>22</v>
      </c>
      <c r="C158" s="10" t="s">
        <v>346</v>
      </c>
      <c r="D158" s="10" t="s">
        <v>347</v>
      </c>
    </row>
    <row r="159" spans="1:4" ht="15.75">
      <c r="A159" s="9" t="s">
        <v>348</v>
      </c>
      <c r="B159" s="10" t="s">
        <v>22</v>
      </c>
      <c r="C159" s="10" t="s">
        <v>346</v>
      </c>
      <c r="D159" s="10" t="s">
        <v>347</v>
      </c>
    </row>
    <row r="160" spans="1:4" ht="15.75">
      <c r="A160" s="9" t="s">
        <v>349</v>
      </c>
      <c r="B160" s="10" t="s">
        <v>22</v>
      </c>
      <c r="C160" s="10" t="s">
        <v>69</v>
      </c>
      <c r="D160" s="10" t="s">
        <v>350</v>
      </c>
    </row>
    <row r="161" spans="1:4" ht="15.75">
      <c r="A161" s="9" t="s">
        <v>351</v>
      </c>
      <c r="B161" s="10" t="s">
        <v>22</v>
      </c>
      <c r="C161" s="10" t="s">
        <v>113</v>
      </c>
      <c r="D161" s="10" t="s">
        <v>352</v>
      </c>
    </row>
    <row r="162" spans="1:4" ht="15.75">
      <c r="A162" s="9" t="s">
        <v>353</v>
      </c>
      <c r="B162" s="10" t="s">
        <v>22</v>
      </c>
      <c r="C162" s="10" t="s">
        <v>354</v>
      </c>
      <c r="D162" s="10" t="s">
        <v>355</v>
      </c>
    </row>
    <row r="163" spans="1:4" ht="15.75">
      <c r="A163" s="9" t="s">
        <v>356</v>
      </c>
      <c r="B163" s="10" t="s">
        <v>22</v>
      </c>
      <c r="C163" s="10" t="s">
        <v>46</v>
      </c>
      <c r="D163" s="10" t="s">
        <v>357</v>
      </c>
    </row>
    <row r="164" spans="1:4" ht="15.75">
      <c r="A164" s="9" t="s">
        <v>358</v>
      </c>
      <c r="B164" s="10" t="s">
        <v>22</v>
      </c>
      <c r="C164" s="10" t="s">
        <v>46</v>
      </c>
      <c r="D164" s="10" t="s">
        <v>357</v>
      </c>
    </row>
    <row r="165" spans="1:4" ht="15.75">
      <c r="A165" s="9" t="s">
        <v>359</v>
      </c>
      <c r="B165" s="10" t="s">
        <v>22</v>
      </c>
      <c r="C165" s="10" t="s">
        <v>46</v>
      </c>
      <c r="D165" s="10" t="s">
        <v>357</v>
      </c>
    </row>
    <row r="166" spans="1:4" ht="15.75">
      <c r="A166" s="9" t="s">
        <v>360</v>
      </c>
      <c r="B166" s="10" t="s">
        <v>22</v>
      </c>
      <c r="C166" s="10" t="s">
        <v>81</v>
      </c>
      <c r="D166" s="10" t="s">
        <v>361</v>
      </c>
    </row>
    <row r="167" spans="1:4" ht="15.75">
      <c r="A167" s="9" t="s">
        <v>362</v>
      </c>
      <c r="B167" s="10" t="s">
        <v>22</v>
      </c>
      <c r="C167" s="10" t="s">
        <v>81</v>
      </c>
      <c r="D167" s="10" t="s">
        <v>361</v>
      </c>
    </row>
    <row r="168" spans="1:4" ht="15.75">
      <c r="A168" s="9" t="s">
        <v>363</v>
      </c>
      <c r="B168" s="10" t="s">
        <v>22</v>
      </c>
      <c r="C168" s="10" t="s">
        <v>46</v>
      </c>
      <c r="D168" s="10" t="s">
        <v>364</v>
      </c>
    </row>
    <row r="169" spans="1:4" ht="15.75">
      <c r="A169" s="9" t="s">
        <v>365</v>
      </c>
      <c r="B169" s="10" t="s">
        <v>22</v>
      </c>
      <c r="C169" s="10" t="s">
        <v>46</v>
      </c>
      <c r="D169" s="10" t="s">
        <v>364</v>
      </c>
    </row>
    <row r="170" spans="1:4" ht="15.75">
      <c r="A170" s="9" t="s">
        <v>366</v>
      </c>
      <c r="B170" s="10" t="s">
        <v>22</v>
      </c>
      <c r="C170" s="10" t="s">
        <v>46</v>
      </c>
      <c r="D170" s="10" t="s">
        <v>364</v>
      </c>
    </row>
    <row r="171" spans="1:4" ht="15.75">
      <c r="A171" s="9" t="s">
        <v>367</v>
      </c>
      <c r="B171" s="10" t="s">
        <v>22</v>
      </c>
      <c r="C171" s="10" t="s">
        <v>46</v>
      </c>
      <c r="D171" s="10" t="s">
        <v>368</v>
      </c>
    </row>
    <row r="172" spans="1:4" ht="15.75">
      <c r="A172" s="9" t="s">
        <v>369</v>
      </c>
      <c r="B172" s="10" t="s">
        <v>22</v>
      </c>
      <c r="C172" s="10" t="s">
        <v>46</v>
      </c>
      <c r="D172" s="10" t="s">
        <v>368</v>
      </c>
    </row>
    <row r="173" spans="1:4" ht="15.75">
      <c r="A173" s="9" t="s">
        <v>370</v>
      </c>
      <c r="B173" s="10" t="s">
        <v>22</v>
      </c>
      <c r="C173" s="10" t="s">
        <v>371</v>
      </c>
      <c r="D173" s="10" t="s">
        <v>372</v>
      </c>
    </row>
    <row r="174" spans="1:4" ht="15.75">
      <c r="A174" s="9" t="s">
        <v>373</v>
      </c>
      <c r="B174" s="10" t="s">
        <v>22</v>
      </c>
      <c r="C174" s="10" t="s">
        <v>46</v>
      </c>
      <c r="D174" s="10" t="s">
        <v>374</v>
      </c>
    </row>
    <row r="175" spans="1:4" ht="15.75">
      <c r="A175" s="9" t="s">
        <v>375</v>
      </c>
      <c r="B175" s="10" t="s">
        <v>22</v>
      </c>
      <c r="C175" s="10" t="s">
        <v>46</v>
      </c>
      <c r="D175" s="10" t="s">
        <v>374</v>
      </c>
    </row>
    <row r="176" spans="1:4" ht="15.75">
      <c r="A176" s="9" t="s">
        <v>376</v>
      </c>
      <c r="B176" s="10" t="s">
        <v>22</v>
      </c>
      <c r="C176" s="10" t="s">
        <v>46</v>
      </c>
      <c r="D176" s="10" t="s">
        <v>374</v>
      </c>
    </row>
    <row r="177" spans="1:4" ht="15.75">
      <c r="A177" s="9" t="s">
        <v>377</v>
      </c>
      <c r="B177" s="10" t="s">
        <v>22</v>
      </c>
      <c r="C177" s="10" t="s">
        <v>46</v>
      </c>
      <c r="D177" s="10" t="s">
        <v>374</v>
      </c>
    </row>
    <row r="178" spans="1:4" ht="15.75">
      <c r="A178" s="9" t="s">
        <v>378</v>
      </c>
      <c r="B178" s="10" t="s">
        <v>29</v>
      </c>
      <c r="C178" s="10" t="s">
        <v>77</v>
      </c>
      <c r="D178" s="10" t="s">
        <v>379</v>
      </c>
    </row>
    <row r="179" spans="1:4" ht="15.75">
      <c r="A179" s="9" t="s">
        <v>380</v>
      </c>
      <c r="B179" s="10" t="s">
        <v>22</v>
      </c>
      <c r="C179" s="10" t="s">
        <v>46</v>
      </c>
      <c r="D179" s="10" t="s">
        <v>381</v>
      </c>
    </row>
    <row r="180" spans="1:4" ht="15.75">
      <c r="A180" s="9" t="s">
        <v>382</v>
      </c>
      <c r="B180" s="10" t="s">
        <v>22</v>
      </c>
      <c r="C180" s="10" t="s">
        <v>46</v>
      </c>
      <c r="D180" s="10" t="s">
        <v>381</v>
      </c>
    </row>
    <row r="181" spans="1:4" ht="15.75">
      <c r="A181" s="9" t="s">
        <v>383</v>
      </c>
      <c r="B181" s="10" t="s">
        <v>22</v>
      </c>
      <c r="C181" s="10" t="s">
        <v>46</v>
      </c>
      <c r="D181" s="10" t="s">
        <v>381</v>
      </c>
    </row>
    <row r="182" spans="1:4" ht="15.75">
      <c r="A182" s="9" t="s">
        <v>384</v>
      </c>
      <c r="B182" s="10" t="s">
        <v>22</v>
      </c>
      <c r="C182" s="10" t="s">
        <v>46</v>
      </c>
      <c r="D182" s="10" t="s">
        <v>385</v>
      </c>
    </row>
    <row r="183" spans="1:4" ht="15.75">
      <c r="A183" s="9" t="s">
        <v>386</v>
      </c>
      <c r="B183" s="10" t="s">
        <v>22</v>
      </c>
      <c r="C183" s="10" t="s">
        <v>46</v>
      </c>
      <c r="D183" s="10" t="s">
        <v>385</v>
      </c>
    </row>
    <row r="184" spans="1:4" ht="15.75">
      <c r="A184" s="9" t="s">
        <v>387</v>
      </c>
      <c r="B184" s="10" t="s">
        <v>22</v>
      </c>
      <c r="C184" s="10" t="s">
        <v>46</v>
      </c>
      <c r="D184" s="10" t="s">
        <v>385</v>
      </c>
    </row>
    <row r="185" spans="1:4" ht="15.75">
      <c r="A185" s="9" t="s">
        <v>388</v>
      </c>
      <c r="B185" s="10" t="s">
        <v>22</v>
      </c>
      <c r="C185" s="10" t="s">
        <v>389</v>
      </c>
      <c r="D185" s="10" t="s">
        <v>390</v>
      </c>
    </row>
    <row r="186" spans="1:4" ht="15.75">
      <c r="A186" s="9" t="s">
        <v>391</v>
      </c>
      <c r="B186" s="10" t="s">
        <v>22</v>
      </c>
      <c r="C186" s="10" t="s">
        <v>389</v>
      </c>
      <c r="D186" s="10" t="s">
        <v>390</v>
      </c>
    </row>
    <row r="187" spans="1:4" ht="15.75">
      <c r="A187" s="9" t="s">
        <v>392</v>
      </c>
      <c r="B187" s="10" t="s">
        <v>22</v>
      </c>
      <c r="C187" s="10" t="s">
        <v>103</v>
      </c>
      <c r="D187" s="10" t="s">
        <v>393</v>
      </c>
    </row>
    <row r="188" spans="1:4" ht="15.75">
      <c r="A188" s="9" t="s">
        <v>394</v>
      </c>
      <c r="B188" s="10" t="s">
        <v>22</v>
      </c>
      <c r="C188" s="10" t="s">
        <v>103</v>
      </c>
      <c r="D188" s="10" t="s">
        <v>393</v>
      </c>
    </row>
    <row r="189" spans="1:4" ht="15.75">
      <c r="A189" s="9" t="s">
        <v>395</v>
      </c>
      <c r="B189" s="10" t="s">
        <v>22</v>
      </c>
      <c r="C189" s="10" t="s">
        <v>280</v>
      </c>
      <c r="D189" s="10" t="s">
        <v>396</v>
      </c>
    </row>
    <row r="190" spans="1:4" ht="15.75">
      <c r="A190" s="9" t="s">
        <v>397</v>
      </c>
      <c r="B190" s="10" t="s">
        <v>22</v>
      </c>
      <c r="C190" s="10" t="s">
        <v>46</v>
      </c>
      <c r="D190" s="10" t="s">
        <v>398</v>
      </c>
    </row>
    <row r="191" spans="1:4" ht="15.75">
      <c r="A191" s="9" t="s">
        <v>399</v>
      </c>
      <c r="B191" s="10" t="s">
        <v>22</v>
      </c>
      <c r="C191" s="10" t="s">
        <v>46</v>
      </c>
      <c r="D191" s="10" t="s">
        <v>398</v>
      </c>
    </row>
    <row r="192" spans="1:4" ht="15.75">
      <c r="A192" s="9" t="s">
        <v>400</v>
      </c>
      <c r="B192" s="10" t="s">
        <v>22</v>
      </c>
      <c r="C192" s="10" t="s">
        <v>46</v>
      </c>
      <c r="D192" s="10" t="s">
        <v>401</v>
      </c>
    </row>
    <row r="193" spans="1:4" ht="15.75">
      <c r="A193" s="9" t="s">
        <v>402</v>
      </c>
      <c r="B193" s="10" t="s">
        <v>22</v>
      </c>
      <c r="C193" s="10" t="s">
        <v>46</v>
      </c>
      <c r="D193" s="10" t="s">
        <v>401</v>
      </c>
    </row>
    <row r="194" spans="1:4" ht="15.75">
      <c r="A194" s="9" t="s">
        <v>403</v>
      </c>
      <c r="B194" s="10" t="s">
        <v>22</v>
      </c>
      <c r="C194" s="10" t="s">
        <v>69</v>
      </c>
      <c r="D194" s="10" t="s">
        <v>404</v>
      </c>
    </row>
    <row r="195" spans="1:4" ht="15.75">
      <c r="A195" s="9" t="s">
        <v>405</v>
      </c>
      <c r="B195" s="10" t="s">
        <v>22</v>
      </c>
      <c r="C195" s="10" t="s">
        <v>69</v>
      </c>
      <c r="D195" s="10" t="s">
        <v>404</v>
      </c>
    </row>
    <row r="196" spans="1:4" ht="15.75">
      <c r="A196" s="9" t="s">
        <v>406</v>
      </c>
      <c r="B196" s="10" t="s">
        <v>29</v>
      </c>
      <c r="C196" s="10" t="s">
        <v>77</v>
      </c>
      <c r="D196" s="10" t="s">
        <v>407</v>
      </c>
    </row>
    <row r="197" spans="1:4" ht="15.75">
      <c r="A197" s="9" t="s">
        <v>408</v>
      </c>
      <c r="B197" s="10" t="s">
        <v>22</v>
      </c>
      <c r="C197" s="10" t="s">
        <v>69</v>
      </c>
      <c r="D197" s="10" t="s">
        <v>409</v>
      </c>
    </row>
    <row r="198" spans="1:4" ht="15.75">
      <c r="A198" s="9" t="s">
        <v>410</v>
      </c>
      <c r="B198" s="10" t="s">
        <v>22</v>
      </c>
      <c r="C198" s="10" t="s">
        <v>139</v>
      </c>
      <c r="D198" s="10" t="s">
        <v>411</v>
      </c>
    </row>
    <row r="199" spans="1:4" ht="15.75">
      <c r="A199" s="9" t="s">
        <v>412</v>
      </c>
      <c r="B199" s="10" t="s">
        <v>22</v>
      </c>
      <c r="C199" s="10" t="s">
        <v>139</v>
      </c>
      <c r="D199" s="10" t="s">
        <v>411</v>
      </c>
    </row>
    <row r="200" spans="1:4" ht="15.75">
      <c r="A200" s="9" t="s">
        <v>413</v>
      </c>
      <c r="B200" s="10" t="s">
        <v>22</v>
      </c>
      <c r="C200" s="10" t="s">
        <v>139</v>
      </c>
      <c r="D200" s="10" t="s">
        <v>411</v>
      </c>
    </row>
    <row r="201" spans="1:4" ht="15.75">
      <c r="A201" s="9" t="s">
        <v>414</v>
      </c>
      <c r="B201" s="10" t="s">
        <v>22</v>
      </c>
      <c r="C201" s="10" t="s">
        <v>46</v>
      </c>
      <c r="D201" s="10" t="s">
        <v>415</v>
      </c>
    </row>
    <row r="202" spans="1:4" ht="15.75">
      <c r="A202" s="9" t="s">
        <v>416</v>
      </c>
      <c r="B202" s="10" t="s">
        <v>22</v>
      </c>
      <c r="C202" s="10" t="s">
        <v>46</v>
      </c>
      <c r="D202" s="10" t="s">
        <v>415</v>
      </c>
    </row>
    <row r="203" spans="1:4" ht="15.75">
      <c r="A203" s="9" t="s">
        <v>417</v>
      </c>
      <c r="B203" s="10" t="s">
        <v>22</v>
      </c>
      <c r="C203" s="10" t="s">
        <v>46</v>
      </c>
      <c r="D203" s="10" t="s">
        <v>415</v>
      </c>
    </row>
    <row r="204" spans="1:4" ht="15.75">
      <c r="A204" s="9" t="s">
        <v>418</v>
      </c>
      <c r="B204" s="10" t="s">
        <v>22</v>
      </c>
      <c r="C204" s="10" t="s">
        <v>69</v>
      </c>
      <c r="D204" s="10" t="s">
        <v>419</v>
      </c>
    </row>
    <row r="205" spans="1:4" ht="15.75">
      <c r="A205" s="9" t="s">
        <v>420</v>
      </c>
      <c r="B205" s="10" t="s">
        <v>22</v>
      </c>
      <c r="C205" s="10" t="s">
        <v>69</v>
      </c>
      <c r="D205" s="10" t="s">
        <v>419</v>
      </c>
    </row>
    <row r="206" spans="1:4" ht="15.75">
      <c r="A206" s="9" t="s">
        <v>421</v>
      </c>
      <c r="B206" s="10" t="s">
        <v>22</v>
      </c>
      <c r="C206" s="10" t="s">
        <v>46</v>
      </c>
      <c r="D206" s="10" t="s">
        <v>422</v>
      </c>
    </row>
    <row r="207" spans="1:4" ht="15.75">
      <c r="A207" s="9" t="s">
        <v>423</v>
      </c>
      <c r="B207" s="10" t="s">
        <v>22</v>
      </c>
      <c r="C207" s="10" t="s">
        <v>46</v>
      </c>
      <c r="D207" s="10" t="s">
        <v>424</v>
      </c>
    </row>
    <row r="208" spans="1:4" ht="15.75">
      <c r="A208" s="9" t="s">
        <v>425</v>
      </c>
      <c r="B208" s="10" t="s">
        <v>22</v>
      </c>
      <c r="C208" s="10" t="s">
        <v>46</v>
      </c>
      <c r="D208" s="10" t="s">
        <v>424</v>
      </c>
    </row>
    <row r="209" spans="1:4" ht="15.75">
      <c r="A209" s="9" t="s">
        <v>426</v>
      </c>
      <c r="B209" s="10" t="s">
        <v>22</v>
      </c>
      <c r="C209" s="10" t="s">
        <v>46</v>
      </c>
      <c r="D209" s="10" t="s">
        <v>424</v>
      </c>
    </row>
    <row r="210" spans="1:4" ht="15.75">
      <c r="A210" s="9" t="s">
        <v>427</v>
      </c>
      <c r="B210" s="10" t="s">
        <v>22</v>
      </c>
      <c r="C210" s="10" t="s">
        <v>46</v>
      </c>
      <c r="D210" s="10" t="s">
        <v>428</v>
      </c>
    </row>
    <row r="211" spans="1:4" ht="15.75">
      <c r="A211" s="9" t="s">
        <v>429</v>
      </c>
      <c r="B211" s="10" t="s">
        <v>22</v>
      </c>
      <c r="C211" s="10" t="s">
        <v>134</v>
      </c>
      <c r="D211" s="10" t="s">
        <v>430</v>
      </c>
    </row>
    <row r="212" spans="1:4" ht="15.75">
      <c r="A212" s="9" t="s">
        <v>431</v>
      </c>
      <c r="B212" s="10" t="s">
        <v>29</v>
      </c>
      <c r="C212" s="10" t="s">
        <v>77</v>
      </c>
      <c r="D212" s="10" t="s">
        <v>432</v>
      </c>
    </row>
    <row r="213" spans="1:4" ht="15.75">
      <c r="A213" s="9" t="s">
        <v>433</v>
      </c>
      <c r="B213" s="10" t="s">
        <v>22</v>
      </c>
      <c r="C213" s="10" t="s">
        <v>139</v>
      </c>
      <c r="D213" s="10" t="s">
        <v>434</v>
      </c>
    </row>
    <row r="214" spans="1:4" ht="15.75">
      <c r="A214" s="9" t="s">
        <v>435</v>
      </c>
      <c r="B214" s="10" t="s">
        <v>22</v>
      </c>
      <c r="C214" s="10" t="s">
        <v>69</v>
      </c>
      <c r="D214" s="10" t="s">
        <v>436</v>
      </c>
    </row>
    <row r="215" spans="1:4" ht="15.75">
      <c r="A215" s="9" t="s">
        <v>437</v>
      </c>
      <c r="B215" s="10" t="s">
        <v>22</v>
      </c>
      <c r="C215" s="10" t="s">
        <v>119</v>
      </c>
      <c r="D215" s="12" t="s">
        <v>438</v>
      </c>
    </row>
    <row r="216" spans="1:4" ht="15.75">
      <c r="A216" s="9" t="s">
        <v>439</v>
      </c>
      <c r="B216" s="10" t="s">
        <v>22</v>
      </c>
      <c r="C216" s="10" t="s">
        <v>25</v>
      </c>
      <c r="D216" s="10" t="s">
        <v>440</v>
      </c>
    </row>
    <row r="217" spans="1:4" ht="15.75">
      <c r="A217" s="9" t="s">
        <v>441</v>
      </c>
      <c r="B217" s="10" t="s">
        <v>22</v>
      </c>
      <c r="C217" s="10" t="s">
        <v>25</v>
      </c>
      <c r="D217" s="10" t="s">
        <v>440</v>
      </c>
    </row>
    <row r="218" spans="1:4" ht="15.75">
      <c r="A218" s="9" t="s">
        <v>442</v>
      </c>
      <c r="B218" s="10" t="s">
        <v>22</v>
      </c>
      <c r="C218" s="10" t="s">
        <v>224</v>
      </c>
      <c r="D218" s="10" t="s">
        <v>443</v>
      </c>
    </row>
    <row r="219" spans="1:4" ht="15.75">
      <c r="A219" s="9" t="s">
        <v>444</v>
      </c>
      <c r="B219" s="10" t="s">
        <v>22</v>
      </c>
      <c r="C219" s="10" t="s">
        <v>224</v>
      </c>
      <c r="D219" s="10" t="s">
        <v>443</v>
      </c>
    </row>
    <row r="220" spans="1:4" ht="15.75">
      <c r="A220" s="9" t="s">
        <v>445</v>
      </c>
      <c r="B220" s="10" t="s">
        <v>22</v>
      </c>
      <c r="C220" s="10" t="s">
        <v>224</v>
      </c>
      <c r="D220" s="10" t="s">
        <v>443</v>
      </c>
    </row>
    <row r="221" spans="1:4" ht="15.75">
      <c r="A221" s="9" t="s">
        <v>446</v>
      </c>
      <c r="B221" s="10" t="s">
        <v>22</v>
      </c>
      <c r="C221" s="10" t="s">
        <v>447</v>
      </c>
      <c r="D221" s="10" t="s">
        <v>448</v>
      </c>
    </row>
    <row r="222" spans="1:4" ht="15.75">
      <c r="A222" s="9" t="s">
        <v>449</v>
      </c>
      <c r="B222" s="10" t="s">
        <v>22</v>
      </c>
      <c r="C222" s="10" t="s">
        <v>447</v>
      </c>
      <c r="D222" s="10" t="s">
        <v>448</v>
      </c>
    </row>
    <row r="223" spans="1:4" ht="15.75">
      <c r="A223" s="9" t="s">
        <v>450</v>
      </c>
      <c r="B223" s="10" t="s">
        <v>22</v>
      </c>
      <c r="C223" s="10" t="s">
        <v>25</v>
      </c>
      <c r="D223" s="10" t="s">
        <v>451</v>
      </c>
    </row>
    <row r="224" spans="1:4" ht="15.75">
      <c r="A224" s="9" t="s">
        <v>452</v>
      </c>
      <c r="B224" s="10" t="s">
        <v>22</v>
      </c>
      <c r="C224" s="10" t="s">
        <v>25</v>
      </c>
      <c r="D224" s="10" t="s">
        <v>451</v>
      </c>
    </row>
    <row r="225" spans="1:4" ht="15.75">
      <c r="A225" s="9" t="s">
        <v>453</v>
      </c>
      <c r="B225" s="10" t="s">
        <v>22</v>
      </c>
      <c r="C225" s="10" t="s">
        <v>389</v>
      </c>
      <c r="D225" s="10" t="s">
        <v>454</v>
      </c>
    </row>
    <row r="226" spans="1:4" ht="15.75">
      <c r="A226" s="9" t="s">
        <v>455</v>
      </c>
      <c r="B226" s="10" t="s">
        <v>22</v>
      </c>
      <c r="C226" s="10" t="s">
        <v>389</v>
      </c>
      <c r="D226" s="10" t="s">
        <v>454</v>
      </c>
    </row>
    <row r="227" spans="1:4" ht="15.75">
      <c r="A227" s="9" t="s">
        <v>456</v>
      </c>
      <c r="B227" s="10" t="s">
        <v>22</v>
      </c>
      <c r="C227" s="10" t="s">
        <v>69</v>
      </c>
      <c r="D227" s="10" t="s">
        <v>457</v>
      </c>
    </row>
    <row r="228" spans="1:4" ht="15.75">
      <c r="A228" s="9" t="s">
        <v>458</v>
      </c>
      <c r="B228" s="10" t="s">
        <v>22</v>
      </c>
      <c r="C228" s="10" t="s">
        <v>119</v>
      </c>
      <c r="D228" s="10" t="s">
        <v>459</v>
      </c>
    </row>
    <row r="229" spans="1:4" ht="15.75">
      <c r="A229" s="9" t="s">
        <v>460</v>
      </c>
      <c r="B229" s="10" t="s">
        <v>22</v>
      </c>
      <c r="C229" s="10" t="s">
        <v>46</v>
      </c>
      <c r="D229" s="10" t="s">
        <v>461</v>
      </c>
    </row>
    <row r="230" spans="1:4" ht="15.75">
      <c r="A230" s="9" t="s">
        <v>462</v>
      </c>
      <c r="B230" s="10" t="s">
        <v>22</v>
      </c>
      <c r="C230" s="10" t="s">
        <v>46</v>
      </c>
      <c r="D230" s="10" t="s">
        <v>461</v>
      </c>
    </row>
    <row r="231" spans="1:4" ht="15.75">
      <c r="A231" s="9" t="s">
        <v>463</v>
      </c>
      <c r="B231" s="10" t="s">
        <v>22</v>
      </c>
      <c r="C231" s="10" t="s">
        <v>46</v>
      </c>
      <c r="D231" s="10" t="s">
        <v>461</v>
      </c>
    </row>
    <row r="232" spans="1:4" ht="15.75">
      <c r="A232" s="9" t="s">
        <v>464</v>
      </c>
      <c r="B232" s="10" t="s">
        <v>22</v>
      </c>
      <c r="C232" s="10" t="s">
        <v>69</v>
      </c>
      <c r="D232" s="10" t="s">
        <v>465</v>
      </c>
    </row>
    <row r="233" spans="1:4" ht="15.75">
      <c r="A233" s="9" t="s">
        <v>466</v>
      </c>
      <c r="B233" s="10" t="s">
        <v>22</v>
      </c>
      <c r="C233" s="10" t="s">
        <v>25</v>
      </c>
      <c r="D233" s="10" t="s">
        <v>467</v>
      </c>
    </row>
    <row r="234" spans="1:4" ht="15.75">
      <c r="A234" s="9" t="s">
        <v>468</v>
      </c>
      <c r="B234" s="10" t="s">
        <v>22</v>
      </c>
      <c r="C234" s="10" t="s">
        <v>81</v>
      </c>
      <c r="D234" s="10" t="s">
        <v>469</v>
      </c>
    </row>
    <row r="235" spans="1:4" ht="15.75">
      <c r="A235" s="9" t="s">
        <v>470</v>
      </c>
      <c r="B235" s="10" t="s">
        <v>22</v>
      </c>
      <c r="C235" s="10" t="s">
        <v>81</v>
      </c>
      <c r="D235" s="10" t="s">
        <v>469</v>
      </c>
    </row>
    <row r="236" spans="1:4" ht="15.75">
      <c r="A236" s="9" t="s">
        <v>471</v>
      </c>
      <c r="B236" s="10" t="s">
        <v>22</v>
      </c>
      <c r="C236" s="10" t="s">
        <v>81</v>
      </c>
      <c r="D236" s="10" t="s">
        <v>472</v>
      </c>
    </row>
    <row r="237" spans="1:4" ht="15.75">
      <c r="A237" s="9" t="s">
        <v>473</v>
      </c>
      <c r="B237" s="10" t="s">
        <v>22</v>
      </c>
      <c r="C237" s="10" t="s">
        <v>81</v>
      </c>
      <c r="D237" s="10" t="s">
        <v>472</v>
      </c>
    </row>
    <row r="238" spans="1:4" ht="15.75">
      <c r="A238" s="9" t="s">
        <v>474</v>
      </c>
      <c r="B238" s="10" t="s">
        <v>22</v>
      </c>
      <c r="C238" s="10" t="s">
        <v>81</v>
      </c>
      <c r="D238" s="10" t="s">
        <v>475</v>
      </c>
    </row>
    <row r="239" spans="1:4" ht="15.75">
      <c r="A239" s="9" t="s">
        <v>476</v>
      </c>
      <c r="B239" s="10" t="s">
        <v>22</v>
      </c>
      <c r="C239" s="10" t="s">
        <v>81</v>
      </c>
      <c r="D239" s="10" t="s">
        <v>475</v>
      </c>
    </row>
    <row r="240" spans="1:4" ht="15.75">
      <c r="A240" s="9" t="s">
        <v>477</v>
      </c>
      <c r="B240" s="10" t="s">
        <v>22</v>
      </c>
      <c r="C240" s="10" t="s">
        <v>81</v>
      </c>
      <c r="D240" s="10" t="s">
        <v>475</v>
      </c>
    </row>
    <row r="241" spans="1:4" ht="15.75">
      <c r="A241" s="9" t="s">
        <v>478</v>
      </c>
      <c r="B241" s="10" t="s">
        <v>29</v>
      </c>
      <c r="C241" s="10" t="s">
        <v>479</v>
      </c>
      <c r="D241" s="10" t="s">
        <v>480</v>
      </c>
    </row>
    <row r="242" spans="1:4" ht="15.75">
      <c r="A242" s="9" t="s">
        <v>481</v>
      </c>
      <c r="B242" s="10" t="s">
        <v>22</v>
      </c>
      <c r="C242" s="10" t="s">
        <v>113</v>
      </c>
      <c r="D242" s="10" t="s">
        <v>482</v>
      </c>
    </row>
    <row r="243" spans="1:4" ht="15.75">
      <c r="A243" s="14" t="s">
        <v>483</v>
      </c>
      <c r="B243" s="10" t="s">
        <v>29</v>
      </c>
      <c r="C243" s="10" t="s">
        <v>126</v>
      </c>
      <c r="D243" s="10" t="s">
        <v>484</v>
      </c>
    </row>
    <row r="244" spans="1:4" ht="15.75">
      <c r="A244" s="9" t="s">
        <v>485</v>
      </c>
      <c r="B244" s="10" t="s">
        <v>29</v>
      </c>
      <c r="C244" s="10" t="s">
        <v>77</v>
      </c>
      <c r="D244" s="10" t="s">
        <v>486</v>
      </c>
    </row>
    <row r="245" spans="1:4" ht="15.75">
      <c r="A245" s="9" t="s">
        <v>487</v>
      </c>
      <c r="B245" s="10" t="s">
        <v>29</v>
      </c>
      <c r="C245" s="10"/>
      <c r="D245" s="10" t="s">
        <v>488</v>
      </c>
    </row>
    <row r="246" spans="1:4" ht="15.75">
      <c r="A246" s="9" t="s">
        <v>489</v>
      </c>
      <c r="B246" s="10" t="s">
        <v>22</v>
      </c>
      <c r="C246" s="10" t="s">
        <v>139</v>
      </c>
      <c r="D246" s="10" t="s">
        <v>490</v>
      </c>
    </row>
    <row r="247" spans="1:4" ht="15.75">
      <c r="A247" s="9" t="s">
        <v>491</v>
      </c>
      <c r="B247" s="10" t="s">
        <v>22</v>
      </c>
      <c r="C247" s="10" t="s">
        <v>389</v>
      </c>
      <c r="D247" s="10" t="s">
        <v>492</v>
      </c>
    </row>
    <row r="248" spans="1:4" ht="15.75">
      <c r="A248" s="9" t="s">
        <v>493</v>
      </c>
      <c r="B248" s="10" t="s">
        <v>22</v>
      </c>
      <c r="C248" s="10" t="s">
        <v>103</v>
      </c>
      <c r="D248" s="10" t="s">
        <v>494</v>
      </c>
    </row>
    <row r="249" spans="1:4" ht="15.75">
      <c r="A249" s="9" t="s">
        <v>495</v>
      </c>
      <c r="B249" s="10" t="s">
        <v>22</v>
      </c>
      <c r="C249" s="10" t="s">
        <v>69</v>
      </c>
      <c r="D249" s="10" t="s">
        <v>496</v>
      </c>
    </row>
    <row r="250" spans="1:4" ht="15.75">
      <c r="A250" s="9" t="s">
        <v>497</v>
      </c>
      <c r="B250" s="10" t="s">
        <v>22</v>
      </c>
      <c r="C250" s="10" t="s">
        <v>25</v>
      </c>
      <c r="D250" s="10" t="s">
        <v>498</v>
      </c>
    </row>
    <row r="251" spans="1:4" ht="15.75">
      <c r="A251" s="9" t="s">
        <v>499</v>
      </c>
      <c r="B251" s="10" t="s">
        <v>22</v>
      </c>
      <c r="C251" s="10" t="s">
        <v>213</v>
      </c>
      <c r="D251" s="10" t="s">
        <v>500</v>
      </c>
    </row>
    <row r="252" spans="1:4" ht="15.75">
      <c r="A252" s="9" t="s">
        <v>501</v>
      </c>
      <c r="B252" s="10" t="s">
        <v>22</v>
      </c>
      <c r="C252" s="10" t="s">
        <v>213</v>
      </c>
      <c r="D252" s="10" t="s">
        <v>500</v>
      </c>
    </row>
    <row r="253" spans="1:4" ht="15.75">
      <c r="A253" s="9" t="s">
        <v>502</v>
      </c>
      <c r="B253" s="10" t="s">
        <v>22</v>
      </c>
      <c r="C253" s="10" t="s">
        <v>139</v>
      </c>
      <c r="D253" s="10" t="s">
        <v>503</v>
      </c>
    </row>
    <row r="254" spans="1:4" ht="15.75">
      <c r="A254" s="9" t="s">
        <v>504</v>
      </c>
      <c r="B254" s="10" t="s">
        <v>22</v>
      </c>
      <c r="C254" s="10" t="s">
        <v>505</v>
      </c>
      <c r="D254" s="10" t="s">
        <v>506</v>
      </c>
    </row>
    <row r="255" spans="1:4" ht="15.75">
      <c r="A255" s="9" t="s">
        <v>507</v>
      </c>
      <c r="B255" s="10" t="s">
        <v>22</v>
      </c>
      <c r="C255" s="10" t="s">
        <v>81</v>
      </c>
      <c r="D255" s="10" t="s">
        <v>508</v>
      </c>
    </row>
    <row r="256" spans="1:4" ht="15.75">
      <c r="A256" s="9" t="s">
        <v>509</v>
      </c>
      <c r="B256" s="10" t="s">
        <v>22</v>
      </c>
      <c r="C256" s="10" t="s">
        <v>81</v>
      </c>
      <c r="D256" s="10" t="s">
        <v>508</v>
      </c>
    </row>
    <row r="257" spans="1:4" ht="15.75">
      <c r="A257" s="9" t="s">
        <v>510</v>
      </c>
      <c r="B257" s="10" t="s">
        <v>29</v>
      </c>
      <c r="C257" s="10" t="s">
        <v>77</v>
      </c>
      <c r="D257" s="10" t="s">
        <v>511</v>
      </c>
    </row>
    <row r="258" spans="1:4" ht="15.75">
      <c r="A258" s="9" t="s">
        <v>512</v>
      </c>
      <c r="B258" s="10" t="s">
        <v>29</v>
      </c>
      <c r="C258" s="10" t="s">
        <v>123</v>
      </c>
      <c r="D258" s="10" t="s">
        <v>513</v>
      </c>
    </row>
    <row r="259" spans="1:4" ht="15.75">
      <c r="A259" s="9" t="s">
        <v>514</v>
      </c>
      <c r="B259" s="10" t="s">
        <v>29</v>
      </c>
      <c r="C259" s="10" t="s">
        <v>99</v>
      </c>
      <c r="D259" s="10" t="s">
        <v>515</v>
      </c>
    </row>
    <row r="260" spans="1:4" ht="15.75">
      <c r="A260" s="9" t="s">
        <v>516</v>
      </c>
      <c r="B260" s="10" t="s">
        <v>22</v>
      </c>
      <c r="C260" s="10" t="s">
        <v>69</v>
      </c>
      <c r="D260" s="10" t="s">
        <v>517</v>
      </c>
    </row>
    <row r="261" spans="1:4" ht="15.75">
      <c r="A261" s="9" t="s">
        <v>518</v>
      </c>
      <c r="B261" s="10" t="s">
        <v>22</v>
      </c>
      <c r="C261" s="10" t="s">
        <v>69</v>
      </c>
      <c r="D261" s="10" t="s">
        <v>517</v>
      </c>
    </row>
    <row r="262" spans="1:4" ht="15.75">
      <c r="A262" s="9" t="s">
        <v>519</v>
      </c>
      <c r="B262" s="10" t="s">
        <v>22</v>
      </c>
      <c r="C262" s="10" t="s">
        <v>69</v>
      </c>
      <c r="D262" s="10" t="s">
        <v>520</v>
      </c>
    </row>
    <row r="263" spans="1:4" ht="15.75">
      <c r="A263" s="9" t="s">
        <v>521</v>
      </c>
      <c r="B263" s="10" t="s">
        <v>22</v>
      </c>
      <c r="C263" s="10" t="s">
        <v>119</v>
      </c>
      <c r="D263" s="10" t="s">
        <v>522</v>
      </c>
    </row>
    <row r="264" spans="1:4" ht="15.75">
      <c r="A264" s="9" t="s">
        <v>523</v>
      </c>
      <c r="B264" s="10" t="s">
        <v>22</v>
      </c>
      <c r="C264" s="10" t="s">
        <v>119</v>
      </c>
      <c r="D264" s="10" t="s">
        <v>522</v>
      </c>
    </row>
    <row r="265" spans="1:4" ht="15.75">
      <c r="A265" s="9" t="s">
        <v>524</v>
      </c>
      <c r="B265" s="10" t="s">
        <v>22</v>
      </c>
      <c r="C265" s="10" t="s">
        <v>113</v>
      </c>
      <c r="D265" s="10" t="s">
        <v>525</v>
      </c>
    </row>
    <row r="266" spans="1:4" ht="15.75">
      <c r="A266" s="9" t="s">
        <v>526</v>
      </c>
      <c r="B266" s="10" t="s">
        <v>22</v>
      </c>
      <c r="C266" s="10" t="s">
        <v>81</v>
      </c>
      <c r="D266" s="10" t="s">
        <v>527</v>
      </c>
    </row>
    <row r="267" spans="1:4" ht="15.75">
      <c r="A267" s="9" t="s">
        <v>528</v>
      </c>
      <c r="B267" s="10" t="s">
        <v>22</v>
      </c>
      <c r="C267" s="10" t="s">
        <v>81</v>
      </c>
      <c r="D267" s="10" t="s">
        <v>527</v>
      </c>
    </row>
    <row r="268" spans="1:4" ht="15.75">
      <c r="A268" s="9" t="s">
        <v>529</v>
      </c>
      <c r="B268" s="10" t="s">
        <v>29</v>
      </c>
      <c r="C268" s="10" t="s">
        <v>77</v>
      </c>
      <c r="D268" s="10" t="s">
        <v>530</v>
      </c>
    </row>
    <row r="269" spans="1:4" ht="15.75">
      <c r="A269" s="9" t="s">
        <v>531</v>
      </c>
      <c r="B269" s="10" t="s">
        <v>29</v>
      </c>
      <c r="C269" s="10" t="s">
        <v>77</v>
      </c>
      <c r="D269" s="10" t="s">
        <v>532</v>
      </c>
    </row>
    <row r="270" spans="1:4" ht="15.75">
      <c r="A270" s="9" t="s">
        <v>533</v>
      </c>
      <c r="B270" s="10" t="s">
        <v>22</v>
      </c>
      <c r="C270" s="10" t="s">
        <v>46</v>
      </c>
      <c r="D270" s="10" t="s">
        <v>534</v>
      </c>
    </row>
    <row r="271" spans="1:4" ht="15.75">
      <c r="A271" s="9" t="s">
        <v>535</v>
      </c>
      <c r="B271" s="10" t="s">
        <v>22</v>
      </c>
      <c r="C271" s="10" t="s">
        <v>46</v>
      </c>
      <c r="D271" s="10" t="s">
        <v>534</v>
      </c>
    </row>
    <row r="272" spans="1:4" ht="15.75">
      <c r="A272" s="9" t="s">
        <v>536</v>
      </c>
      <c r="B272" s="10" t="s">
        <v>22</v>
      </c>
      <c r="C272" s="10" t="s">
        <v>46</v>
      </c>
      <c r="D272" s="10" t="s">
        <v>537</v>
      </c>
    </row>
    <row r="273" spans="1:4" ht="15.75">
      <c r="A273" s="9" t="s">
        <v>538</v>
      </c>
      <c r="B273" s="10" t="s">
        <v>22</v>
      </c>
      <c r="C273" s="10" t="s">
        <v>46</v>
      </c>
      <c r="D273" s="10" t="s">
        <v>539</v>
      </c>
    </row>
    <row r="274" spans="1:4" ht="15.75">
      <c r="A274" s="9" t="s">
        <v>540</v>
      </c>
      <c r="B274" s="10" t="s">
        <v>22</v>
      </c>
      <c r="C274" s="10" t="s">
        <v>46</v>
      </c>
      <c r="D274" s="10" t="s">
        <v>539</v>
      </c>
    </row>
    <row r="275" spans="1:4" ht="15.75">
      <c r="A275" s="9" t="s">
        <v>541</v>
      </c>
      <c r="B275" s="10" t="s">
        <v>29</v>
      </c>
      <c r="C275" s="10" t="s">
        <v>77</v>
      </c>
      <c r="D275" s="10" t="s">
        <v>542</v>
      </c>
    </row>
    <row r="276" spans="1:4" ht="15.75">
      <c r="A276" s="9" t="s">
        <v>543</v>
      </c>
      <c r="B276" s="10" t="s">
        <v>22</v>
      </c>
      <c r="C276" s="10" t="s">
        <v>224</v>
      </c>
      <c r="D276" s="10" t="s">
        <v>544</v>
      </c>
    </row>
    <row r="277" spans="1:4" ht="15.75">
      <c r="A277" s="9" t="s">
        <v>545</v>
      </c>
      <c r="B277" s="10" t="s">
        <v>22</v>
      </c>
      <c r="C277" s="10" t="s">
        <v>224</v>
      </c>
      <c r="D277" s="10" t="s">
        <v>544</v>
      </c>
    </row>
    <row r="278" spans="1:4" ht="15.75">
      <c r="A278" s="9" t="s">
        <v>546</v>
      </c>
      <c r="B278" s="10" t="s">
        <v>22</v>
      </c>
      <c r="C278" s="10" t="s">
        <v>46</v>
      </c>
      <c r="D278" s="10" t="s">
        <v>547</v>
      </c>
    </row>
    <row r="279" spans="1:4" ht="15.75">
      <c r="A279" s="9" t="s">
        <v>548</v>
      </c>
      <c r="B279" s="10" t="s">
        <v>22</v>
      </c>
      <c r="C279" s="10" t="s">
        <v>46</v>
      </c>
      <c r="D279" s="10" t="s">
        <v>547</v>
      </c>
    </row>
    <row r="280" spans="1:4" ht="15.75">
      <c r="A280" s="9" t="s">
        <v>549</v>
      </c>
      <c r="B280" s="10" t="s">
        <v>22</v>
      </c>
      <c r="C280" s="10" t="s">
        <v>46</v>
      </c>
      <c r="D280" s="10" t="s">
        <v>547</v>
      </c>
    </row>
    <row r="281" spans="1:4" ht="15.75">
      <c r="A281" s="9" t="s">
        <v>550</v>
      </c>
      <c r="B281" s="10" t="s">
        <v>22</v>
      </c>
      <c r="C281" s="10" t="s">
        <v>46</v>
      </c>
      <c r="D281" s="10" t="s">
        <v>551</v>
      </c>
    </row>
    <row r="282" spans="1:4" ht="15.75">
      <c r="A282" s="9" t="s">
        <v>552</v>
      </c>
      <c r="B282" s="10" t="s">
        <v>22</v>
      </c>
      <c r="C282" s="10" t="s">
        <v>46</v>
      </c>
      <c r="D282" s="10" t="s">
        <v>551</v>
      </c>
    </row>
    <row r="283" spans="1:4" ht="15.75">
      <c r="A283" s="9" t="s">
        <v>553</v>
      </c>
      <c r="B283" s="10" t="s">
        <v>22</v>
      </c>
      <c r="C283" s="10" t="s">
        <v>46</v>
      </c>
      <c r="D283" s="10" t="s">
        <v>554</v>
      </c>
    </row>
    <row r="284" spans="1:4" ht="15.75">
      <c r="A284" s="9" t="s">
        <v>555</v>
      </c>
      <c r="B284" s="10" t="s">
        <v>22</v>
      </c>
      <c r="C284" s="10" t="s">
        <v>46</v>
      </c>
      <c r="D284" s="10" t="s">
        <v>554</v>
      </c>
    </row>
    <row r="285" spans="1:4" ht="15.75">
      <c r="A285" s="9" t="s">
        <v>556</v>
      </c>
      <c r="B285" s="10" t="s">
        <v>22</v>
      </c>
      <c r="C285" s="10" t="s">
        <v>213</v>
      </c>
      <c r="D285" s="10" t="s">
        <v>557</v>
      </c>
    </row>
    <row r="286" spans="1:4" ht="15.75">
      <c r="A286" s="9" t="s">
        <v>558</v>
      </c>
      <c r="B286" s="10" t="s">
        <v>22</v>
      </c>
      <c r="C286" s="10" t="s">
        <v>371</v>
      </c>
      <c r="D286" s="10" t="s">
        <v>559</v>
      </c>
    </row>
    <row r="287" spans="1:4" ht="15.75">
      <c r="A287" s="9" t="s">
        <v>560</v>
      </c>
      <c r="B287" s="10" t="s">
        <v>22</v>
      </c>
      <c r="C287" s="10" t="s">
        <v>46</v>
      </c>
      <c r="D287" s="10" t="s">
        <v>561</v>
      </c>
    </row>
    <row r="288" spans="1:4" ht="15.75">
      <c r="A288" s="9" t="s">
        <v>562</v>
      </c>
      <c r="B288" s="10" t="s">
        <v>22</v>
      </c>
      <c r="C288" s="10" t="s">
        <v>46</v>
      </c>
      <c r="D288" s="10" t="s">
        <v>563</v>
      </c>
    </row>
    <row r="289" spans="1:4" ht="15.75">
      <c r="A289" s="9" t="s">
        <v>564</v>
      </c>
      <c r="B289" s="10" t="s">
        <v>22</v>
      </c>
      <c r="C289" s="10" t="s">
        <v>46</v>
      </c>
      <c r="D289" s="10" t="s">
        <v>565</v>
      </c>
    </row>
    <row r="290" spans="1:4" ht="15.75">
      <c r="A290" s="9" t="s">
        <v>566</v>
      </c>
      <c r="B290" s="10" t="s">
        <v>22</v>
      </c>
      <c r="C290" s="10" t="s">
        <v>46</v>
      </c>
      <c r="D290" s="10" t="s">
        <v>565</v>
      </c>
    </row>
    <row r="291" spans="1:4" ht="15.75">
      <c r="A291" s="9" t="s">
        <v>567</v>
      </c>
      <c r="B291" s="10" t="s">
        <v>22</v>
      </c>
      <c r="C291" s="10" t="s">
        <v>46</v>
      </c>
      <c r="D291" s="10" t="s">
        <v>565</v>
      </c>
    </row>
    <row r="292" spans="1:4" ht="15.75">
      <c r="A292" s="9" t="s">
        <v>568</v>
      </c>
      <c r="B292" s="10" t="s">
        <v>22</v>
      </c>
      <c r="C292" s="10" t="s">
        <v>46</v>
      </c>
      <c r="D292" s="10" t="s">
        <v>569</v>
      </c>
    </row>
    <row r="293" spans="1:4" ht="15.75">
      <c r="A293" s="9" t="s">
        <v>570</v>
      </c>
      <c r="B293" s="10" t="s">
        <v>22</v>
      </c>
      <c r="C293" s="10" t="s">
        <v>46</v>
      </c>
      <c r="D293" s="10" t="s">
        <v>569</v>
      </c>
    </row>
    <row r="294" spans="1:4" ht="15.75">
      <c r="A294" s="9" t="s">
        <v>571</v>
      </c>
      <c r="B294" s="10" t="s">
        <v>22</v>
      </c>
      <c r="C294" s="10" t="s">
        <v>46</v>
      </c>
      <c r="D294" s="10" t="s">
        <v>569</v>
      </c>
    </row>
    <row r="295" spans="1:4" ht="15.75">
      <c r="A295" s="9" t="s">
        <v>572</v>
      </c>
      <c r="B295" s="10" t="s">
        <v>22</v>
      </c>
      <c r="C295" s="10" t="s">
        <v>46</v>
      </c>
      <c r="D295" s="10" t="s">
        <v>573</v>
      </c>
    </row>
    <row r="296" spans="1:4" ht="15.75">
      <c r="A296" s="9" t="s">
        <v>574</v>
      </c>
      <c r="B296" s="10" t="s">
        <v>22</v>
      </c>
      <c r="C296" s="10" t="s">
        <v>46</v>
      </c>
      <c r="D296" s="10" t="s">
        <v>573</v>
      </c>
    </row>
    <row r="297" spans="1:4" ht="15.75">
      <c r="A297" s="9" t="s">
        <v>575</v>
      </c>
      <c r="B297" s="10" t="s">
        <v>22</v>
      </c>
      <c r="C297" s="10" t="s">
        <v>46</v>
      </c>
      <c r="D297" s="10" t="s">
        <v>576</v>
      </c>
    </row>
    <row r="298" spans="1:4" ht="15.75">
      <c r="A298" s="9" t="s">
        <v>577</v>
      </c>
      <c r="B298" s="10" t="s">
        <v>22</v>
      </c>
      <c r="C298" s="10" t="s">
        <v>69</v>
      </c>
      <c r="D298" s="10" t="s">
        <v>578</v>
      </c>
    </row>
    <row r="299" spans="1:4" ht="15.75">
      <c r="A299" s="9" t="s">
        <v>579</v>
      </c>
      <c r="B299" s="10" t="s">
        <v>22</v>
      </c>
      <c r="C299" s="10" t="s">
        <v>69</v>
      </c>
      <c r="D299" s="10" t="s">
        <v>580</v>
      </c>
    </row>
    <row r="300" spans="1:4" ht="15.75">
      <c r="A300" s="9" t="s">
        <v>581</v>
      </c>
      <c r="B300" s="10" t="s">
        <v>22</v>
      </c>
      <c r="C300" s="10" t="s">
        <v>69</v>
      </c>
      <c r="D300" s="10" t="s">
        <v>580</v>
      </c>
    </row>
    <row r="301" spans="1:4" ht="15.75">
      <c r="A301" s="9" t="s">
        <v>582</v>
      </c>
      <c r="B301" s="10" t="s">
        <v>22</v>
      </c>
      <c r="C301" s="10" t="s">
        <v>346</v>
      </c>
      <c r="D301" s="10" t="s">
        <v>583</v>
      </c>
    </row>
    <row r="302" spans="1:4" ht="15.75">
      <c r="A302" s="9" t="s">
        <v>584</v>
      </c>
      <c r="B302" s="10" t="s">
        <v>22</v>
      </c>
      <c r="C302" s="10" t="s">
        <v>69</v>
      </c>
      <c r="D302" s="10" t="s">
        <v>585</v>
      </c>
    </row>
    <row r="303" spans="1:4" ht="15.75">
      <c r="A303" s="9" t="s">
        <v>586</v>
      </c>
      <c r="B303" s="10" t="s">
        <v>22</v>
      </c>
      <c r="C303" s="10" t="s">
        <v>69</v>
      </c>
      <c r="D303" s="10" t="s">
        <v>587</v>
      </c>
    </row>
    <row r="304" spans="1:4" ht="15.75">
      <c r="A304" s="9" t="s">
        <v>588</v>
      </c>
      <c r="B304" s="10" t="s">
        <v>22</v>
      </c>
      <c r="C304" s="10" t="s">
        <v>69</v>
      </c>
      <c r="D304" s="10" t="s">
        <v>587</v>
      </c>
    </row>
    <row r="305" spans="1:4" ht="15.75">
      <c r="A305" s="9" t="s">
        <v>589</v>
      </c>
      <c r="B305" s="10" t="s">
        <v>29</v>
      </c>
      <c r="C305" s="10" t="s">
        <v>77</v>
      </c>
      <c r="D305" s="10" t="s">
        <v>590</v>
      </c>
    </row>
    <row r="306" spans="1:4" ht="15.75">
      <c r="A306" s="9" t="s">
        <v>591</v>
      </c>
      <c r="B306" s="10" t="s">
        <v>22</v>
      </c>
      <c r="C306" s="10" t="s">
        <v>139</v>
      </c>
      <c r="D306" s="10" t="s">
        <v>592</v>
      </c>
    </row>
    <row r="307" spans="1:4" ht="15.75">
      <c r="A307" s="9" t="s">
        <v>593</v>
      </c>
      <c r="B307" s="10" t="s">
        <v>22</v>
      </c>
      <c r="C307" s="10" t="s">
        <v>139</v>
      </c>
      <c r="D307" s="10" t="s">
        <v>594</v>
      </c>
    </row>
    <row r="308" spans="1:4" ht="15.75">
      <c r="A308" s="9" t="s">
        <v>595</v>
      </c>
      <c r="B308" s="10" t="s">
        <v>29</v>
      </c>
      <c r="C308" s="10" t="s">
        <v>77</v>
      </c>
      <c r="D308" s="10" t="s">
        <v>596</v>
      </c>
    </row>
    <row r="309" spans="1:4" ht="15.75">
      <c r="A309" s="9" t="s">
        <v>597</v>
      </c>
      <c r="B309" s="10" t="s">
        <v>29</v>
      </c>
      <c r="C309" s="10" t="s">
        <v>30</v>
      </c>
      <c r="D309" s="10" t="s">
        <v>598</v>
      </c>
    </row>
    <row r="310" spans="1:4" ht="15.75">
      <c r="A310" s="9" t="s">
        <v>599</v>
      </c>
      <c r="B310" s="10" t="s">
        <v>22</v>
      </c>
      <c r="C310" s="10" t="s">
        <v>600</v>
      </c>
      <c r="D310" s="10" t="s">
        <v>601</v>
      </c>
    </row>
    <row r="311" spans="1:4" ht="15.75">
      <c r="A311" s="9" t="s">
        <v>602</v>
      </c>
      <c r="B311" s="10" t="s">
        <v>22</v>
      </c>
      <c r="C311" s="10" t="s">
        <v>600</v>
      </c>
      <c r="D311" s="10" t="s">
        <v>601</v>
      </c>
    </row>
    <row r="312" spans="1:4" ht="15.75">
      <c r="A312" s="9" t="s">
        <v>603</v>
      </c>
      <c r="B312" s="10" t="s">
        <v>29</v>
      </c>
      <c r="C312" s="10" t="s">
        <v>99</v>
      </c>
      <c r="D312" s="10" t="s">
        <v>604</v>
      </c>
    </row>
    <row r="313" spans="1:4" ht="15.75">
      <c r="A313" s="9" t="s">
        <v>605</v>
      </c>
      <c r="B313" s="10" t="s">
        <v>29</v>
      </c>
      <c r="C313" s="10" t="s">
        <v>42</v>
      </c>
      <c r="D313" s="10" t="s">
        <v>606</v>
      </c>
    </row>
    <row r="314" spans="1:4" ht="15.75">
      <c r="A314" s="9" t="s">
        <v>607</v>
      </c>
      <c r="B314" s="10" t="s">
        <v>22</v>
      </c>
      <c r="C314" s="10" t="s">
        <v>600</v>
      </c>
      <c r="D314" s="10" t="s">
        <v>608</v>
      </c>
    </row>
    <row r="315" spans="1:4" ht="15.75">
      <c r="A315" s="9" t="s">
        <v>609</v>
      </c>
      <c r="B315" s="10" t="s">
        <v>22</v>
      </c>
      <c r="C315" s="10" t="s">
        <v>600</v>
      </c>
      <c r="D315" s="10" t="s">
        <v>608</v>
      </c>
    </row>
    <row r="316" spans="1:4" ht="15.75">
      <c r="A316" s="9" t="s">
        <v>610</v>
      </c>
      <c r="B316" s="10" t="s">
        <v>29</v>
      </c>
      <c r="C316" s="10" t="s">
        <v>77</v>
      </c>
      <c r="D316" s="10" t="s">
        <v>611</v>
      </c>
    </row>
    <row r="317" spans="1:4" ht="15.75">
      <c r="A317" s="9" t="s">
        <v>612</v>
      </c>
      <c r="B317" s="10" t="s">
        <v>29</v>
      </c>
      <c r="C317" s="10" t="s">
        <v>77</v>
      </c>
      <c r="D317" s="10" t="s">
        <v>613</v>
      </c>
    </row>
    <row r="318" spans="1:4" ht="15.75">
      <c r="A318" s="9" t="s">
        <v>614</v>
      </c>
      <c r="B318" s="10" t="s">
        <v>22</v>
      </c>
      <c r="C318" s="10" t="s">
        <v>224</v>
      </c>
      <c r="D318" s="10" t="s">
        <v>615</v>
      </c>
    </row>
    <row r="319" spans="1:4" ht="15.75">
      <c r="A319" s="9" t="s">
        <v>616</v>
      </c>
      <c r="B319" s="10" t="s">
        <v>22</v>
      </c>
      <c r="C319" s="10" t="s">
        <v>617</v>
      </c>
      <c r="D319" s="10" t="s">
        <v>618</v>
      </c>
    </row>
    <row r="320" spans="1:4" ht="15.75">
      <c r="A320" s="9" t="s">
        <v>619</v>
      </c>
      <c r="B320" s="10" t="s">
        <v>22</v>
      </c>
      <c r="C320" s="10" t="s">
        <v>69</v>
      </c>
      <c r="D320" s="10" t="s">
        <v>620</v>
      </c>
    </row>
    <row r="321" spans="1:4" ht="15.75">
      <c r="A321" s="9" t="s">
        <v>621</v>
      </c>
      <c r="B321" s="10" t="s">
        <v>22</v>
      </c>
      <c r="C321" s="10" t="s">
        <v>69</v>
      </c>
      <c r="D321" s="10" t="s">
        <v>620</v>
      </c>
    </row>
    <row r="322" spans="1:4" ht="15.75">
      <c r="A322" s="9" t="s">
        <v>622</v>
      </c>
      <c r="B322" s="10" t="s">
        <v>29</v>
      </c>
      <c r="C322" s="10" t="s">
        <v>42</v>
      </c>
      <c r="D322" s="10" t="s">
        <v>623</v>
      </c>
    </row>
    <row r="323" spans="1:4" ht="15.75">
      <c r="A323" s="9" t="s">
        <v>624</v>
      </c>
      <c r="B323" s="10" t="s">
        <v>29</v>
      </c>
      <c r="C323" s="10" t="s">
        <v>126</v>
      </c>
      <c r="D323" s="10" t="s">
        <v>625</v>
      </c>
    </row>
    <row r="324" spans="1:4" ht="15.75">
      <c r="A324" s="9" t="s">
        <v>626</v>
      </c>
      <c r="B324" s="10" t="s">
        <v>29</v>
      </c>
      <c r="C324" s="10" t="s">
        <v>77</v>
      </c>
      <c r="D324" s="10" t="s">
        <v>627</v>
      </c>
    </row>
    <row r="325" spans="1:4" ht="15.75">
      <c r="A325" s="9" t="s">
        <v>628</v>
      </c>
      <c r="B325" s="10" t="s">
        <v>29</v>
      </c>
      <c r="C325" s="10" t="s">
        <v>30</v>
      </c>
      <c r="D325" s="10" t="s">
        <v>629</v>
      </c>
    </row>
    <row r="326" spans="1:4" ht="15.75">
      <c r="A326" s="9" t="s">
        <v>630</v>
      </c>
      <c r="B326" s="10" t="s">
        <v>29</v>
      </c>
      <c r="C326" s="10" t="s">
        <v>99</v>
      </c>
      <c r="D326" s="10" t="s">
        <v>631</v>
      </c>
    </row>
    <row r="327" spans="1:4" ht="15.75">
      <c r="A327" s="9" t="s">
        <v>632</v>
      </c>
      <c r="B327" s="10" t="s">
        <v>29</v>
      </c>
      <c r="C327" s="10" t="s">
        <v>99</v>
      </c>
      <c r="D327" s="10" t="s">
        <v>633</v>
      </c>
    </row>
    <row r="328" spans="1:4" ht="15.75">
      <c r="A328" s="9" t="s">
        <v>634</v>
      </c>
      <c r="B328" s="10" t="s">
        <v>29</v>
      </c>
      <c r="C328" s="10" t="s">
        <v>77</v>
      </c>
      <c r="D328" s="10" t="s">
        <v>635</v>
      </c>
    </row>
    <row r="329" spans="1:4" ht="15.75">
      <c r="A329" s="9" t="s">
        <v>636</v>
      </c>
      <c r="B329" s="10" t="s">
        <v>22</v>
      </c>
      <c r="C329" s="10" t="s">
        <v>637</v>
      </c>
      <c r="D329" s="10" t="s">
        <v>638</v>
      </c>
    </row>
    <row r="330" spans="1:4" ht="15.75">
      <c r="A330" s="9" t="s">
        <v>639</v>
      </c>
      <c r="B330" s="10" t="s">
        <v>22</v>
      </c>
      <c r="C330" s="10" t="s">
        <v>637</v>
      </c>
      <c r="D330" s="10" t="s">
        <v>638</v>
      </c>
    </row>
    <row r="331" spans="1:4" ht="15.75">
      <c r="A331" s="9" t="s">
        <v>640</v>
      </c>
      <c r="B331" s="10" t="s">
        <v>29</v>
      </c>
      <c r="C331" s="10" t="s">
        <v>126</v>
      </c>
      <c r="D331" s="10" t="s">
        <v>641</v>
      </c>
    </row>
    <row r="332" spans="1:4" ht="15.75">
      <c r="A332" s="9" t="s">
        <v>642</v>
      </c>
      <c r="B332" s="10" t="s">
        <v>29</v>
      </c>
      <c r="C332" s="10" t="s">
        <v>30</v>
      </c>
      <c r="D332" s="10" t="s">
        <v>643</v>
      </c>
    </row>
    <row r="333" spans="1:4" ht="15.75">
      <c r="A333" s="9" t="s">
        <v>644</v>
      </c>
      <c r="B333" s="10" t="s">
        <v>29</v>
      </c>
      <c r="C333" s="10" t="s">
        <v>123</v>
      </c>
      <c r="D333" s="10" t="s">
        <v>645</v>
      </c>
    </row>
    <row r="334" spans="1:4" ht="15.75">
      <c r="A334" s="9" t="s">
        <v>646</v>
      </c>
      <c r="B334" s="10" t="s">
        <v>22</v>
      </c>
      <c r="C334" s="10" t="s">
        <v>69</v>
      </c>
      <c r="D334" s="10" t="s">
        <v>647</v>
      </c>
    </row>
    <row r="335" spans="1:4" ht="15.75">
      <c r="A335" s="9" t="s">
        <v>648</v>
      </c>
      <c r="B335" s="10" t="s">
        <v>29</v>
      </c>
      <c r="C335" s="10" t="s">
        <v>38</v>
      </c>
      <c r="D335" s="10" t="s">
        <v>649</v>
      </c>
    </row>
    <row r="336" spans="1:4" ht="15.75">
      <c r="A336" s="9" t="s">
        <v>650</v>
      </c>
      <c r="B336" s="10" t="s">
        <v>22</v>
      </c>
      <c r="C336" s="10" t="s">
        <v>25</v>
      </c>
      <c r="D336" s="10" t="s">
        <v>651</v>
      </c>
    </row>
    <row r="337" spans="1:4" ht="15.75">
      <c r="A337" s="9" t="s">
        <v>652</v>
      </c>
      <c r="B337" s="10" t="s">
        <v>29</v>
      </c>
      <c r="C337" s="10" t="s">
        <v>77</v>
      </c>
      <c r="D337" s="10" t="s">
        <v>653</v>
      </c>
    </row>
    <row r="338" spans="1:4" ht="15.75">
      <c r="A338" s="9" t="s">
        <v>654</v>
      </c>
      <c r="B338" s="10" t="s">
        <v>22</v>
      </c>
      <c r="C338" s="10" t="s">
        <v>34</v>
      </c>
      <c r="D338" s="10" t="s">
        <v>655</v>
      </c>
    </row>
    <row r="339" spans="1:4" ht="15.75">
      <c r="A339" s="9" t="s">
        <v>656</v>
      </c>
      <c r="B339" s="10" t="s">
        <v>29</v>
      </c>
      <c r="C339" s="10" t="s">
        <v>30</v>
      </c>
      <c r="D339" s="10" t="s">
        <v>657</v>
      </c>
    </row>
    <row r="340" spans="1:4" ht="15.75">
      <c r="A340" s="9" t="s">
        <v>658</v>
      </c>
      <c r="B340" s="10" t="s">
        <v>29</v>
      </c>
      <c r="C340" s="10" t="s">
        <v>77</v>
      </c>
      <c r="D340" s="10" t="s">
        <v>659</v>
      </c>
    </row>
    <row r="341" spans="1:4" ht="15.75">
      <c r="A341" s="9" t="s">
        <v>660</v>
      </c>
      <c r="B341" s="10" t="s">
        <v>22</v>
      </c>
      <c r="C341" s="10" t="s">
        <v>213</v>
      </c>
      <c r="D341" s="10" t="s">
        <v>661</v>
      </c>
    </row>
    <row r="342" spans="1:4" ht="15.75">
      <c r="A342" s="9" t="s">
        <v>662</v>
      </c>
      <c r="B342" s="10" t="s">
        <v>22</v>
      </c>
      <c r="C342" s="10" t="s">
        <v>183</v>
      </c>
      <c r="D342" s="10" t="s">
        <v>663</v>
      </c>
    </row>
    <row r="343" spans="1:4" ht="15.75">
      <c r="A343" s="9" t="s">
        <v>664</v>
      </c>
      <c r="B343" s="10" t="s">
        <v>22</v>
      </c>
      <c r="C343" s="10" t="s">
        <v>113</v>
      </c>
      <c r="D343" s="10" t="s">
        <v>665</v>
      </c>
    </row>
    <row r="344" spans="1:4" ht="15.75">
      <c r="A344" s="9" t="s">
        <v>666</v>
      </c>
      <c r="B344" s="10" t="s">
        <v>22</v>
      </c>
      <c r="C344" s="10" t="s">
        <v>113</v>
      </c>
      <c r="D344" s="10" t="s">
        <v>665</v>
      </c>
    </row>
    <row r="345" spans="1:4" ht="15.75">
      <c r="A345" s="9" t="s">
        <v>667</v>
      </c>
      <c r="B345" s="10" t="s">
        <v>22</v>
      </c>
      <c r="C345" s="10" t="s">
        <v>113</v>
      </c>
      <c r="D345" s="10" t="s">
        <v>665</v>
      </c>
    </row>
    <row r="346" spans="1:4" ht="15.75">
      <c r="A346" s="9" t="s">
        <v>668</v>
      </c>
      <c r="B346" s="10" t="s">
        <v>22</v>
      </c>
      <c r="C346" s="10" t="s">
        <v>62</v>
      </c>
      <c r="D346" s="10" t="s">
        <v>669</v>
      </c>
    </row>
    <row r="347" spans="1:4" ht="15.75">
      <c r="A347" s="9" t="s">
        <v>670</v>
      </c>
      <c r="B347" s="10" t="s">
        <v>29</v>
      </c>
      <c r="C347" s="10" t="s">
        <v>123</v>
      </c>
      <c r="D347" s="10" t="s">
        <v>671</v>
      </c>
    </row>
    <row r="348" spans="1:4" ht="15.75">
      <c r="A348" s="9" t="s">
        <v>672</v>
      </c>
      <c r="B348" s="10" t="s">
        <v>22</v>
      </c>
      <c r="C348" s="10" t="s">
        <v>69</v>
      </c>
      <c r="D348" s="10" t="s">
        <v>673</v>
      </c>
    </row>
    <row r="349" spans="1:4" ht="15.75">
      <c r="A349" s="9" t="s">
        <v>674</v>
      </c>
      <c r="B349" s="10" t="s">
        <v>29</v>
      </c>
      <c r="C349" s="10" t="s">
        <v>77</v>
      </c>
      <c r="D349" s="10" t="s">
        <v>675</v>
      </c>
    </row>
    <row r="350" spans="1:4" ht="15.75">
      <c r="A350" s="9" t="s">
        <v>676</v>
      </c>
      <c r="B350" s="10" t="s">
        <v>29</v>
      </c>
      <c r="C350" s="10" t="s">
        <v>77</v>
      </c>
      <c r="D350" s="10" t="s">
        <v>677</v>
      </c>
    </row>
    <row r="351" spans="1:4" ht="15.75">
      <c r="A351" s="9" t="s">
        <v>678</v>
      </c>
      <c r="B351" s="10" t="s">
        <v>22</v>
      </c>
      <c r="C351" s="10" t="s">
        <v>119</v>
      </c>
      <c r="D351" s="12" t="s">
        <v>679</v>
      </c>
    </row>
    <row r="352" spans="1:4" ht="15.75">
      <c r="A352" s="9" t="s">
        <v>680</v>
      </c>
      <c r="B352" s="10" t="s">
        <v>22</v>
      </c>
      <c r="C352" s="10" t="s">
        <v>46</v>
      </c>
      <c r="D352" s="10" t="s">
        <v>681</v>
      </c>
    </row>
    <row r="353" spans="1:4" ht="15.75">
      <c r="A353" s="9" t="s">
        <v>682</v>
      </c>
      <c r="B353" s="10" t="s">
        <v>22</v>
      </c>
      <c r="C353" s="10" t="s">
        <v>46</v>
      </c>
      <c r="D353" s="10" t="s">
        <v>681</v>
      </c>
    </row>
    <row r="354" spans="1:4" ht="15.75">
      <c r="A354" s="11" t="s">
        <v>683</v>
      </c>
      <c r="B354" s="10" t="s">
        <v>29</v>
      </c>
      <c r="C354" s="10" t="s">
        <v>77</v>
      </c>
      <c r="D354" s="10" t="s">
        <v>684</v>
      </c>
    </row>
    <row r="355" spans="1:4" ht="15.75">
      <c r="A355" s="9" t="s">
        <v>685</v>
      </c>
      <c r="B355" s="10" t="s">
        <v>22</v>
      </c>
      <c r="C355" s="10" t="s">
        <v>139</v>
      </c>
      <c r="D355" s="10" t="s">
        <v>686</v>
      </c>
    </row>
    <row r="356" spans="1:4" ht="15.75">
      <c r="A356" s="9" t="s">
        <v>687</v>
      </c>
      <c r="B356" s="10" t="s">
        <v>22</v>
      </c>
      <c r="C356" s="10" t="s">
        <v>119</v>
      </c>
      <c r="D356" s="10" t="s">
        <v>688</v>
      </c>
    </row>
    <row r="357" spans="1:4" ht="15.75">
      <c r="A357" s="9" t="s">
        <v>689</v>
      </c>
      <c r="B357" s="10" t="s">
        <v>22</v>
      </c>
      <c r="C357" s="10" t="s">
        <v>119</v>
      </c>
      <c r="D357" s="10" t="s">
        <v>688</v>
      </c>
    </row>
    <row r="358" spans="1:4" ht="15.75">
      <c r="A358" s="9" t="s">
        <v>690</v>
      </c>
      <c r="B358" s="10" t="s">
        <v>29</v>
      </c>
      <c r="C358" s="10" t="s">
        <v>77</v>
      </c>
      <c r="D358" s="10" t="s">
        <v>691</v>
      </c>
    </row>
    <row r="359" spans="1:4" ht="15.75">
      <c r="A359" s="9" t="s">
        <v>692</v>
      </c>
      <c r="B359" s="10" t="s">
        <v>22</v>
      </c>
      <c r="C359" s="10" t="s">
        <v>46</v>
      </c>
      <c r="D359" s="10" t="s">
        <v>693</v>
      </c>
    </row>
    <row r="360" spans="1:4" ht="15.75">
      <c r="A360" s="9" t="s">
        <v>694</v>
      </c>
      <c r="B360" s="10" t="s">
        <v>22</v>
      </c>
      <c r="C360" s="10"/>
      <c r="D360" s="10" t="s">
        <v>695</v>
      </c>
    </row>
    <row r="361" spans="1:4" ht="15.75">
      <c r="A361" s="9" t="s">
        <v>696</v>
      </c>
      <c r="B361" s="10" t="s">
        <v>22</v>
      </c>
      <c r="C361" s="10" t="s">
        <v>119</v>
      </c>
      <c r="D361" s="10" t="s">
        <v>697</v>
      </c>
    </row>
    <row r="362" spans="1:4" ht="15.75">
      <c r="A362" s="9" t="s">
        <v>698</v>
      </c>
      <c r="B362" s="10" t="s">
        <v>22</v>
      </c>
      <c r="C362" s="10" t="s">
        <v>119</v>
      </c>
      <c r="D362" s="10" t="s">
        <v>697</v>
      </c>
    </row>
    <row r="363" spans="1:4" ht="15.75">
      <c r="A363" s="9" t="s">
        <v>699</v>
      </c>
      <c r="B363" s="10" t="s">
        <v>22</v>
      </c>
      <c r="C363" s="10" t="s">
        <v>113</v>
      </c>
      <c r="D363" s="10" t="s">
        <v>700</v>
      </c>
    </row>
    <row r="364" spans="1:4" ht="15.75">
      <c r="A364" s="9" t="s">
        <v>701</v>
      </c>
      <c r="B364" s="10" t="s">
        <v>22</v>
      </c>
      <c r="C364" s="10" t="s">
        <v>46</v>
      </c>
      <c r="D364" s="10" t="s">
        <v>702</v>
      </c>
    </row>
    <row r="365" spans="1:4" ht="15.75">
      <c r="A365" s="9" t="s">
        <v>703</v>
      </c>
      <c r="B365" s="10" t="s">
        <v>22</v>
      </c>
      <c r="C365" s="10" t="s">
        <v>69</v>
      </c>
      <c r="D365" s="10" t="s">
        <v>704</v>
      </c>
    </row>
    <row r="366" spans="1:4" ht="15.75">
      <c r="A366" s="9" t="s">
        <v>705</v>
      </c>
      <c r="B366" s="10" t="s">
        <v>22</v>
      </c>
      <c r="C366" s="10" t="s">
        <v>69</v>
      </c>
      <c r="D366" s="10" t="s">
        <v>706</v>
      </c>
    </row>
    <row r="367" spans="1:4" ht="15.75">
      <c r="A367" s="9" t="s">
        <v>707</v>
      </c>
      <c r="B367" s="10" t="s">
        <v>29</v>
      </c>
      <c r="C367" s="10" t="s">
        <v>30</v>
      </c>
      <c r="D367" s="10" t="s">
        <v>708</v>
      </c>
    </row>
    <row r="368" spans="1:4" ht="15.75">
      <c r="A368" s="9" t="s">
        <v>709</v>
      </c>
      <c r="B368" s="10" t="s">
        <v>22</v>
      </c>
      <c r="C368" s="10" t="s">
        <v>81</v>
      </c>
      <c r="D368" s="10" t="s">
        <v>710</v>
      </c>
    </row>
    <row r="369" spans="1:4" ht="15.75">
      <c r="A369" s="9" t="s">
        <v>711</v>
      </c>
      <c r="B369" s="10" t="s">
        <v>22</v>
      </c>
      <c r="C369" s="10" t="s">
        <v>69</v>
      </c>
      <c r="D369" s="10" t="s">
        <v>712</v>
      </c>
    </row>
    <row r="370" spans="1:4" ht="15.75">
      <c r="A370" s="9" t="s">
        <v>713</v>
      </c>
      <c r="B370" s="10" t="s">
        <v>22</v>
      </c>
      <c r="C370" s="10" t="s">
        <v>69</v>
      </c>
      <c r="D370" s="10" t="s">
        <v>712</v>
      </c>
    </row>
    <row r="371" spans="1:4" ht="15.75">
      <c r="A371" s="9" t="s">
        <v>714</v>
      </c>
      <c r="B371" s="10" t="s">
        <v>22</v>
      </c>
      <c r="C371" s="10" t="s">
        <v>69</v>
      </c>
      <c r="D371" s="10" t="s">
        <v>715</v>
      </c>
    </row>
    <row r="372" spans="1:4" ht="15.75">
      <c r="A372" s="9" t="s">
        <v>716</v>
      </c>
      <c r="B372" s="10" t="s">
        <v>22</v>
      </c>
      <c r="C372" s="10" t="s">
        <v>81</v>
      </c>
      <c r="D372" s="10" t="s">
        <v>717</v>
      </c>
    </row>
    <row r="373" spans="1:4" ht="15.75">
      <c r="A373" s="9" t="s">
        <v>718</v>
      </c>
      <c r="B373" s="10" t="s">
        <v>22</v>
      </c>
      <c r="C373" s="10" t="s">
        <v>81</v>
      </c>
      <c r="D373" s="10" t="s">
        <v>717</v>
      </c>
    </row>
    <row r="374" spans="1:4" ht="15.75">
      <c r="A374" s="11" t="s">
        <v>719</v>
      </c>
      <c r="B374" s="10" t="s">
        <v>29</v>
      </c>
      <c r="C374" s="10" t="s">
        <v>99</v>
      </c>
      <c r="D374" s="10" t="s">
        <v>720</v>
      </c>
    </row>
    <row r="375" spans="1:4" ht="15.75">
      <c r="A375" s="9" t="s">
        <v>721</v>
      </c>
      <c r="B375" s="10" t="s">
        <v>29</v>
      </c>
      <c r="C375" s="10" t="s">
        <v>99</v>
      </c>
      <c r="D375" s="10" t="s">
        <v>722</v>
      </c>
    </row>
    <row r="376" spans="1:4" ht="15.75">
      <c r="A376" s="9" t="s">
        <v>723</v>
      </c>
      <c r="B376" s="10" t="s">
        <v>22</v>
      </c>
      <c r="C376" s="10" t="s">
        <v>119</v>
      </c>
      <c r="D376" s="10" t="s">
        <v>724</v>
      </c>
    </row>
    <row r="377" spans="1:4" ht="15.75">
      <c r="A377" s="9" t="s">
        <v>725</v>
      </c>
      <c r="B377" s="10" t="s">
        <v>22</v>
      </c>
      <c r="C377" s="10" t="s">
        <v>119</v>
      </c>
      <c r="D377" s="10" t="s">
        <v>724</v>
      </c>
    </row>
    <row r="378" spans="1:4" ht="15.75">
      <c r="A378" s="9" t="s">
        <v>726</v>
      </c>
      <c r="B378" s="10" t="s">
        <v>22</v>
      </c>
      <c r="C378" s="10"/>
      <c r="D378" s="10" t="s">
        <v>727</v>
      </c>
    </row>
    <row r="379" spans="1:4" ht="15.75">
      <c r="A379" s="9" t="s">
        <v>728</v>
      </c>
      <c r="B379" s="10" t="s">
        <v>22</v>
      </c>
      <c r="C379" s="10" t="s">
        <v>139</v>
      </c>
      <c r="D379" s="10" t="s">
        <v>729</v>
      </c>
    </row>
    <row r="380" spans="1:4" ht="15.75">
      <c r="A380" s="9" t="s">
        <v>730</v>
      </c>
      <c r="B380" s="10" t="s">
        <v>22</v>
      </c>
      <c r="C380" s="10" t="s">
        <v>69</v>
      </c>
      <c r="D380" s="10" t="s">
        <v>731</v>
      </c>
    </row>
    <row r="381" spans="1:4" ht="15.75">
      <c r="A381" s="9" t="s">
        <v>732</v>
      </c>
      <c r="B381" s="10" t="s">
        <v>22</v>
      </c>
      <c r="C381" s="10" t="s">
        <v>69</v>
      </c>
      <c r="D381" s="10" t="s">
        <v>731</v>
      </c>
    </row>
    <row r="382" spans="1:4" ht="15.75">
      <c r="A382" s="9" t="s">
        <v>733</v>
      </c>
      <c r="B382" s="10" t="s">
        <v>22</v>
      </c>
      <c r="C382" s="10" t="s">
        <v>69</v>
      </c>
      <c r="D382" s="10" t="s">
        <v>731</v>
      </c>
    </row>
    <row r="383" spans="1:4" ht="15.75">
      <c r="A383" s="9" t="s">
        <v>734</v>
      </c>
      <c r="B383" s="10" t="s">
        <v>29</v>
      </c>
      <c r="C383" s="10" t="s">
        <v>99</v>
      </c>
      <c r="D383" s="10" t="s">
        <v>735</v>
      </c>
    </row>
    <row r="384" spans="1:4" ht="15.75">
      <c r="A384" s="9" t="s">
        <v>736</v>
      </c>
      <c r="B384" s="10" t="s">
        <v>22</v>
      </c>
      <c r="C384" s="10" t="s">
        <v>139</v>
      </c>
      <c r="D384" s="10" t="s">
        <v>737</v>
      </c>
    </row>
    <row r="385" spans="1:4" ht="15.75">
      <c r="A385" s="11" t="s">
        <v>738</v>
      </c>
      <c r="B385" s="10" t="s">
        <v>29</v>
      </c>
      <c r="C385" s="10" t="s">
        <v>99</v>
      </c>
      <c r="D385" s="10" t="s">
        <v>739</v>
      </c>
    </row>
    <row r="386" spans="1:4" ht="15.75">
      <c r="A386" s="9" t="s">
        <v>740</v>
      </c>
      <c r="B386" s="10" t="s">
        <v>22</v>
      </c>
      <c r="C386" s="10" t="s">
        <v>119</v>
      </c>
      <c r="D386" s="10" t="s">
        <v>741</v>
      </c>
    </row>
    <row r="387" spans="1:4" ht="15.75">
      <c r="A387" s="9" t="s">
        <v>742</v>
      </c>
      <c r="B387" s="10" t="s">
        <v>22</v>
      </c>
      <c r="C387" s="10" t="s">
        <v>119</v>
      </c>
      <c r="D387" s="10" t="s">
        <v>741</v>
      </c>
    </row>
    <row r="388" spans="1:4" ht="15.75">
      <c r="A388" s="9" t="s">
        <v>743</v>
      </c>
      <c r="B388" s="10" t="s">
        <v>29</v>
      </c>
      <c r="C388" s="10" t="s">
        <v>38</v>
      </c>
      <c r="D388" s="10" t="s">
        <v>744</v>
      </c>
    </row>
    <row r="389" spans="1:4" ht="15.75">
      <c r="A389" s="11" t="s">
        <v>745</v>
      </c>
      <c r="B389" s="10" t="s">
        <v>29</v>
      </c>
      <c r="C389" s="10" t="s">
        <v>126</v>
      </c>
      <c r="D389" s="10" t="s">
        <v>746</v>
      </c>
    </row>
    <row r="390" spans="1:4" ht="15.75">
      <c r="A390" s="9" t="s">
        <v>747</v>
      </c>
      <c r="B390" s="10" t="s">
        <v>29</v>
      </c>
      <c r="C390" s="10" t="s">
        <v>748</v>
      </c>
      <c r="D390" s="10" t="s">
        <v>749</v>
      </c>
    </row>
    <row r="391" spans="1:4" ht="15.75">
      <c r="A391" s="9" t="s">
        <v>750</v>
      </c>
      <c r="B391" s="10" t="s">
        <v>29</v>
      </c>
      <c r="C391" s="10" t="s">
        <v>123</v>
      </c>
      <c r="D391" s="10" t="s">
        <v>751</v>
      </c>
    </row>
    <row r="392" spans="1:4" ht="15.75">
      <c r="A392" s="9" t="s">
        <v>752</v>
      </c>
      <c r="B392" s="10" t="s">
        <v>29</v>
      </c>
      <c r="C392" s="10" t="s">
        <v>30</v>
      </c>
      <c r="D392" s="10" t="s">
        <v>753</v>
      </c>
    </row>
    <row r="393" spans="1:4" ht="15.75">
      <c r="A393" s="9" t="s">
        <v>754</v>
      </c>
      <c r="B393" s="10" t="s">
        <v>29</v>
      </c>
      <c r="C393" s="10" t="s">
        <v>126</v>
      </c>
      <c r="D393" s="10" t="s">
        <v>755</v>
      </c>
    </row>
    <row r="394" spans="1:4" ht="15.75">
      <c r="A394" s="9" t="s">
        <v>756</v>
      </c>
      <c r="B394" s="10" t="s">
        <v>29</v>
      </c>
      <c r="C394" s="10" t="s">
        <v>77</v>
      </c>
      <c r="D394" s="10" t="s">
        <v>757</v>
      </c>
    </row>
    <row r="395" spans="1:4" ht="15.75">
      <c r="A395" s="9" t="s">
        <v>8</v>
      </c>
      <c r="B395" s="10" t="s">
        <v>29</v>
      </c>
      <c r="C395" s="10" t="s">
        <v>99</v>
      </c>
      <c r="D395" s="10" t="s">
        <v>758</v>
      </c>
    </row>
    <row r="396" spans="1:4" ht="15.75">
      <c r="A396" s="9" t="s">
        <v>759</v>
      </c>
      <c r="B396" s="10" t="s">
        <v>22</v>
      </c>
      <c r="C396" s="10" t="s">
        <v>81</v>
      </c>
      <c r="D396" s="10" t="s">
        <v>760</v>
      </c>
    </row>
    <row r="397" spans="1:4" ht="15.75">
      <c r="A397" s="9" t="s">
        <v>761</v>
      </c>
      <c r="B397" s="10" t="s">
        <v>29</v>
      </c>
      <c r="C397" s="10" t="s">
        <v>77</v>
      </c>
      <c r="D397" s="10" t="s">
        <v>762</v>
      </c>
    </row>
    <row r="398" spans="1:4" ht="15.75">
      <c r="A398" s="9" t="s">
        <v>763</v>
      </c>
      <c r="B398" s="10" t="s">
        <v>22</v>
      </c>
      <c r="C398" s="10" t="s">
        <v>69</v>
      </c>
      <c r="D398" s="10" t="s">
        <v>764</v>
      </c>
    </row>
    <row r="399" spans="1:4" ht="15.75">
      <c r="A399" s="9" t="s">
        <v>765</v>
      </c>
      <c r="B399" s="10" t="s">
        <v>22</v>
      </c>
      <c r="C399" s="10" t="s">
        <v>69</v>
      </c>
      <c r="D399" s="10" t="s">
        <v>764</v>
      </c>
    </row>
    <row r="400" spans="1:4" ht="15.75">
      <c r="A400" s="9" t="s">
        <v>766</v>
      </c>
      <c r="B400" s="10" t="s">
        <v>29</v>
      </c>
      <c r="C400" s="10" t="s">
        <v>77</v>
      </c>
      <c r="D400" s="10" t="s">
        <v>767</v>
      </c>
    </row>
    <row r="401" spans="1:4" ht="15.75">
      <c r="A401" s="11" t="s">
        <v>768</v>
      </c>
      <c r="B401" s="10" t="s">
        <v>29</v>
      </c>
      <c r="C401" s="10" t="s">
        <v>77</v>
      </c>
      <c r="D401" s="10" t="s">
        <v>769</v>
      </c>
    </row>
    <row r="402" spans="1:4" ht="15.75">
      <c r="A402" s="9" t="s">
        <v>770</v>
      </c>
      <c r="B402" s="10" t="s">
        <v>22</v>
      </c>
      <c r="C402" s="10" t="s">
        <v>69</v>
      </c>
      <c r="D402" s="10" t="s">
        <v>771</v>
      </c>
    </row>
    <row r="403" spans="1:4" ht="15.75">
      <c r="A403" s="9" t="s">
        <v>772</v>
      </c>
      <c r="B403" s="10" t="s">
        <v>22</v>
      </c>
      <c r="C403" s="10" t="s">
        <v>69</v>
      </c>
      <c r="D403" s="10" t="s">
        <v>773</v>
      </c>
    </row>
    <row r="404" spans="1:4" ht="15.75">
      <c r="A404" s="9" t="s">
        <v>774</v>
      </c>
      <c r="B404" s="10" t="s">
        <v>22</v>
      </c>
      <c r="C404" s="10" t="s">
        <v>25</v>
      </c>
      <c r="D404" s="10" t="s">
        <v>775</v>
      </c>
    </row>
    <row r="405" spans="1:4" ht="15.75">
      <c r="A405" s="9" t="s">
        <v>776</v>
      </c>
      <c r="B405" s="10" t="s">
        <v>22</v>
      </c>
      <c r="C405" s="10" t="s">
        <v>25</v>
      </c>
      <c r="D405" s="10" t="s">
        <v>775</v>
      </c>
    </row>
    <row r="406" spans="1:4" ht="15.75">
      <c r="A406" s="9" t="s">
        <v>777</v>
      </c>
      <c r="B406" s="10" t="s">
        <v>22</v>
      </c>
      <c r="C406" s="10" t="s">
        <v>778</v>
      </c>
      <c r="D406" s="10" t="s">
        <v>779</v>
      </c>
    </row>
    <row r="407" spans="1:4" ht="15.75">
      <c r="A407" s="9" t="s">
        <v>780</v>
      </c>
      <c r="B407" s="10" t="s">
        <v>22</v>
      </c>
      <c r="C407" s="10" t="s">
        <v>69</v>
      </c>
      <c r="D407" s="10" t="s">
        <v>781</v>
      </c>
    </row>
    <row r="408" spans="1:4" ht="15.75">
      <c r="A408" s="9" t="s">
        <v>782</v>
      </c>
      <c r="B408" s="10" t="s">
        <v>22</v>
      </c>
      <c r="C408" s="10" t="s">
        <v>113</v>
      </c>
      <c r="D408" s="10" t="s">
        <v>783</v>
      </c>
    </row>
    <row r="409" spans="1:4" ht="15.75">
      <c r="A409" s="9" t="s">
        <v>784</v>
      </c>
      <c r="B409" s="10" t="s">
        <v>22</v>
      </c>
      <c r="C409" s="10" t="s">
        <v>113</v>
      </c>
      <c r="D409" s="10" t="s">
        <v>783</v>
      </c>
    </row>
    <row r="410" spans="1:4" ht="15.75">
      <c r="A410" s="9" t="s">
        <v>785</v>
      </c>
      <c r="B410" s="10" t="s">
        <v>22</v>
      </c>
      <c r="C410" s="10" t="s">
        <v>69</v>
      </c>
      <c r="D410" s="10" t="s">
        <v>786</v>
      </c>
    </row>
    <row r="411" spans="1:4" ht="15.75">
      <c r="A411" s="9" t="s">
        <v>787</v>
      </c>
      <c r="B411" s="10" t="s">
        <v>22</v>
      </c>
      <c r="C411" s="10" t="s">
        <v>69</v>
      </c>
      <c r="D411" s="10" t="s">
        <v>786</v>
      </c>
    </row>
    <row r="412" spans="1:4" ht="15.75">
      <c r="A412" s="9" t="s">
        <v>788</v>
      </c>
      <c r="B412" s="10" t="s">
        <v>22</v>
      </c>
      <c r="C412" s="10" t="s">
        <v>113</v>
      </c>
      <c r="D412" s="12" t="s">
        <v>789</v>
      </c>
    </row>
    <row r="413" spans="1:4" ht="15.75">
      <c r="A413" s="9" t="s">
        <v>790</v>
      </c>
      <c r="B413" s="10" t="s">
        <v>29</v>
      </c>
      <c r="C413" s="10" t="s">
        <v>77</v>
      </c>
      <c r="D413" s="10"/>
    </row>
    <row r="414" spans="1:4" ht="15.75">
      <c r="A414" s="9" t="s">
        <v>791</v>
      </c>
      <c r="B414" s="10" t="s">
        <v>22</v>
      </c>
      <c r="C414" s="10" t="s">
        <v>778</v>
      </c>
      <c r="D414" s="10" t="s">
        <v>792</v>
      </c>
    </row>
    <row r="415" spans="1:4" ht="15.75">
      <c r="A415" s="9" t="s">
        <v>793</v>
      </c>
      <c r="B415" s="10" t="s">
        <v>22</v>
      </c>
      <c r="C415" s="10" t="s">
        <v>69</v>
      </c>
      <c r="D415" s="10" t="s">
        <v>794</v>
      </c>
    </row>
    <row r="416" spans="1:4" ht="15.75">
      <c r="A416" s="9" t="s">
        <v>795</v>
      </c>
      <c r="B416" s="10" t="s">
        <v>22</v>
      </c>
      <c r="C416" s="10" t="s">
        <v>69</v>
      </c>
      <c r="D416" s="10" t="s">
        <v>794</v>
      </c>
    </row>
    <row r="417" spans="1:4" ht="15.75">
      <c r="A417" s="9" t="s">
        <v>796</v>
      </c>
      <c r="B417" s="10" t="s">
        <v>22</v>
      </c>
      <c r="C417" s="10" t="s">
        <v>25</v>
      </c>
      <c r="D417" s="10" t="s">
        <v>797</v>
      </c>
    </row>
    <row r="418" spans="1:4" ht="15.75">
      <c r="A418" s="9" t="s">
        <v>798</v>
      </c>
      <c r="B418" s="10" t="s">
        <v>22</v>
      </c>
      <c r="C418" s="10" t="s">
        <v>25</v>
      </c>
      <c r="D418" s="10" t="s">
        <v>797</v>
      </c>
    </row>
    <row r="419" spans="1:4" ht="15.75">
      <c r="A419" s="9" t="s">
        <v>799</v>
      </c>
      <c r="B419" s="10" t="s">
        <v>22</v>
      </c>
      <c r="C419" s="10" t="s">
        <v>113</v>
      </c>
      <c r="D419" s="10" t="s">
        <v>800</v>
      </c>
    </row>
    <row r="420" spans="1:4" ht="15.75">
      <c r="A420" s="9" t="s">
        <v>801</v>
      </c>
      <c r="B420" s="10" t="s">
        <v>22</v>
      </c>
      <c r="C420" s="10" t="s">
        <v>113</v>
      </c>
      <c r="D420" s="10" t="s">
        <v>800</v>
      </c>
    </row>
    <row r="421" spans="1:4" ht="15.75">
      <c r="A421" s="9" t="s">
        <v>13</v>
      </c>
      <c r="B421" s="10" t="s">
        <v>802</v>
      </c>
      <c r="C421" s="10" t="s">
        <v>227</v>
      </c>
      <c r="D421" s="10" t="s">
        <v>803</v>
      </c>
    </row>
    <row r="422" spans="1:4" ht="15.75">
      <c r="A422" s="9" t="s">
        <v>804</v>
      </c>
      <c r="B422" s="10" t="s">
        <v>22</v>
      </c>
      <c r="C422" s="10" t="s">
        <v>34</v>
      </c>
      <c r="D422" s="10" t="s">
        <v>805</v>
      </c>
    </row>
    <row r="423" spans="1:4" ht="15.75">
      <c r="A423" s="9" t="s">
        <v>806</v>
      </c>
      <c r="B423" s="10" t="s">
        <v>22</v>
      </c>
      <c r="C423" s="10" t="s">
        <v>34</v>
      </c>
      <c r="D423" s="10" t="s">
        <v>805</v>
      </c>
    </row>
    <row r="424" spans="1:4" ht="15.75">
      <c r="A424" s="9" t="s">
        <v>807</v>
      </c>
      <c r="B424" s="10" t="s">
        <v>22</v>
      </c>
      <c r="C424" s="10" t="s">
        <v>187</v>
      </c>
      <c r="D424" s="10" t="s">
        <v>808</v>
      </c>
    </row>
    <row r="425" spans="1:4" ht="15.75">
      <c r="A425" s="9" t="s">
        <v>809</v>
      </c>
      <c r="B425" s="10" t="s">
        <v>22</v>
      </c>
      <c r="C425" s="10" t="s">
        <v>139</v>
      </c>
      <c r="D425" s="10" t="s">
        <v>810</v>
      </c>
    </row>
    <row r="426" spans="1:4" ht="15.75">
      <c r="A426" s="9" t="s">
        <v>811</v>
      </c>
      <c r="B426" s="10" t="s">
        <v>22</v>
      </c>
      <c r="C426" s="10" t="s">
        <v>139</v>
      </c>
      <c r="D426" s="10" t="s">
        <v>812</v>
      </c>
    </row>
    <row r="427" spans="1:4" ht="15.75">
      <c r="A427" s="9" t="s">
        <v>813</v>
      </c>
      <c r="B427" s="10" t="s">
        <v>22</v>
      </c>
      <c r="C427" s="10" t="s">
        <v>34</v>
      </c>
      <c r="D427" s="10" t="s">
        <v>814</v>
      </c>
    </row>
    <row r="428" spans="1:4" ht="15.75">
      <c r="A428" s="9" t="s">
        <v>815</v>
      </c>
      <c r="B428" s="10" t="s">
        <v>22</v>
      </c>
      <c r="C428" s="10" t="s">
        <v>34</v>
      </c>
      <c r="D428" s="10" t="s">
        <v>814</v>
      </c>
    </row>
    <row r="429" spans="1:4" ht="15.75">
      <c r="A429" s="15" t="s">
        <v>816</v>
      </c>
      <c r="B429" s="16" t="s">
        <v>29</v>
      </c>
      <c r="C429" s="16"/>
      <c r="D429" s="16" t="s">
        <v>817</v>
      </c>
    </row>
    <row r="430" spans="1:4" ht="15.75">
      <c r="A430" s="9" t="s">
        <v>818</v>
      </c>
      <c r="B430" s="10" t="s">
        <v>22</v>
      </c>
      <c r="C430" s="10" t="s">
        <v>69</v>
      </c>
      <c r="D430" s="10" t="s">
        <v>819</v>
      </c>
    </row>
    <row r="431" spans="1:4" ht="15.75">
      <c r="A431" s="9" t="s">
        <v>820</v>
      </c>
      <c r="B431" s="10" t="s">
        <v>22</v>
      </c>
      <c r="C431" s="10" t="s">
        <v>69</v>
      </c>
      <c r="D431" s="10" t="s">
        <v>819</v>
      </c>
    </row>
    <row r="432" spans="1:4" ht="15.75">
      <c r="A432" s="9" t="s">
        <v>821</v>
      </c>
      <c r="B432" s="10" t="s">
        <v>29</v>
      </c>
      <c r="C432" s="10" t="s">
        <v>131</v>
      </c>
      <c r="D432" s="10" t="s">
        <v>822</v>
      </c>
    </row>
    <row r="433" spans="1:4" ht="15.75">
      <c r="A433" s="11" t="s">
        <v>823</v>
      </c>
      <c r="B433" s="10" t="s">
        <v>29</v>
      </c>
      <c r="C433" s="10" t="s">
        <v>748</v>
      </c>
      <c r="D433" s="10" t="s">
        <v>824</v>
      </c>
    </row>
    <row r="434" spans="1:4" ht="15.75">
      <c r="A434" s="9" t="s">
        <v>825</v>
      </c>
      <c r="B434" s="10" t="s">
        <v>22</v>
      </c>
      <c r="C434" s="10" t="s">
        <v>113</v>
      </c>
      <c r="D434" s="10" t="s">
        <v>826</v>
      </c>
    </row>
    <row r="435" spans="1:4" ht="15.75">
      <c r="A435" s="9" t="s">
        <v>827</v>
      </c>
      <c r="B435" s="10" t="s">
        <v>29</v>
      </c>
      <c r="C435" s="10" t="s">
        <v>126</v>
      </c>
      <c r="D435" s="10" t="s">
        <v>828</v>
      </c>
    </row>
    <row r="436" spans="1:4" ht="15.75">
      <c r="A436" s="9" t="s">
        <v>829</v>
      </c>
      <c r="B436" s="10" t="s">
        <v>29</v>
      </c>
      <c r="C436" s="10" t="s">
        <v>830</v>
      </c>
      <c r="D436" s="10" t="s">
        <v>831</v>
      </c>
    </row>
    <row r="437" spans="1:4" ht="15.75">
      <c r="A437" s="9" t="s">
        <v>832</v>
      </c>
      <c r="B437" s="10" t="s">
        <v>29</v>
      </c>
      <c r="C437" s="10" t="s">
        <v>30</v>
      </c>
      <c r="D437" s="10" t="s">
        <v>833</v>
      </c>
    </row>
    <row r="438" spans="1:4" ht="15.75">
      <c r="A438" s="9" t="s">
        <v>834</v>
      </c>
      <c r="B438" s="10" t="s">
        <v>22</v>
      </c>
      <c r="C438" s="10" t="s">
        <v>119</v>
      </c>
      <c r="D438" s="10" t="s">
        <v>835</v>
      </c>
    </row>
    <row r="439" spans="1:4" ht="15.75">
      <c r="A439" s="11" t="s">
        <v>836</v>
      </c>
      <c r="B439" s="10" t="s">
        <v>29</v>
      </c>
      <c r="C439" s="10" t="s">
        <v>126</v>
      </c>
      <c r="D439" s="10" t="s">
        <v>837</v>
      </c>
    </row>
    <row r="440" spans="1:4" ht="15.75">
      <c r="A440" s="9" t="s">
        <v>838</v>
      </c>
      <c r="B440" s="10" t="s">
        <v>29</v>
      </c>
      <c r="C440" s="10" t="s">
        <v>77</v>
      </c>
      <c r="D440" s="10" t="s">
        <v>839</v>
      </c>
    </row>
    <row r="441" spans="1:4" ht="15.75">
      <c r="A441" s="9" t="s">
        <v>840</v>
      </c>
      <c r="B441" s="10" t="s">
        <v>22</v>
      </c>
      <c r="C441" s="10" t="s">
        <v>617</v>
      </c>
      <c r="D441" s="10" t="s">
        <v>841</v>
      </c>
    </row>
    <row r="442" spans="1:4" ht="15.75">
      <c r="A442" s="9" t="s">
        <v>842</v>
      </c>
      <c r="B442" s="10" t="s">
        <v>22</v>
      </c>
      <c r="C442" s="10" t="s">
        <v>617</v>
      </c>
      <c r="D442" s="10" t="s">
        <v>841</v>
      </c>
    </row>
    <row r="443" spans="1:4" ht="15.75">
      <c r="A443" s="9" t="s">
        <v>843</v>
      </c>
      <c r="B443" s="10" t="s">
        <v>22</v>
      </c>
      <c r="C443" s="10" t="s">
        <v>617</v>
      </c>
      <c r="D443" s="10" t="s">
        <v>841</v>
      </c>
    </row>
    <row r="444" spans="1:4" ht="15.75">
      <c r="A444" s="9" t="s">
        <v>844</v>
      </c>
      <c r="B444" s="10" t="s">
        <v>29</v>
      </c>
      <c r="C444" s="10" t="s">
        <v>830</v>
      </c>
      <c r="D444" s="10" t="s">
        <v>845</v>
      </c>
    </row>
    <row r="445" spans="1:4" ht="15.75">
      <c r="A445" s="9" t="s">
        <v>846</v>
      </c>
      <c r="B445" s="10" t="s">
        <v>29</v>
      </c>
      <c r="C445" s="10" t="s">
        <v>38</v>
      </c>
      <c r="D445" s="10" t="s">
        <v>847</v>
      </c>
    </row>
    <row r="446" spans="1:4" ht="15.75">
      <c r="A446" s="11" t="s">
        <v>848</v>
      </c>
      <c r="B446" s="10" t="s">
        <v>29</v>
      </c>
      <c r="C446" s="10" t="s">
        <v>123</v>
      </c>
      <c r="D446" s="10" t="s">
        <v>849</v>
      </c>
    </row>
    <row r="447" spans="1:4" ht="15.75">
      <c r="A447" s="11" t="s">
        <v>850</v>
      </c>
      <c r="B447" s="10" t="s">
        <v>29</v>
      </c>
      <c r="C447" s="10" t="s">
        <v>38</v>
      </c>
      <c r="D447" s="10" t="s">
        <v>851</v>
      </c>
    </row>
    <row r="448" spans="1:4" ht="15.75">
      <c r="A448" s="9" t="s">
        <v>852</v>
      </c>
      <c r="B448" s="10" t="s">
        <v>29</v>
      </c>
      <c r="C448" s="10" t="s">
        <v>126</v>
      </c>
      <c r="D448" s="10" t="s">
        <v>853</v>
      </c>
    </row>
    <row r="449" spans="1:4" ht="15.75">
      <c r="A449" s="9" t="s">
        <v>854</v>
      </c>
      <c r="B449" s="10" t="s">
        <v>22</v>
      </c>
      <c r="C449" s="10" t="s">
        <v>69</v>
      </c>
      <c r="D449" s="10" t="s">
        <v>855</v>
      </c>
    </row>
    <row r="450" spans="1:4" ht="15.75">
      <c r="A450" s="9" t="s">
        <v>856</v>
      </c>
      <c r="B450" s="10" t="s">
        <v>22</v>
      </c>
      <c r="C450" s="10" t="s">
        <v>103</v>
      </c>
      <c r="D450" s="10" t="s">
        <v>857</v>
      </c>
    </row>
    <row r="451" spans="1:4" ht="15.75">
      <c r="A451" s="9" t="s">
        <v>858</v>
      </c>
      <c r="B451" s="10" t="s">
        <v>22</v>
      </c>
      <c r="C451" s="10" t="s">
        <v>103</v>
      </c>
      <c r="D451" s="10" t="s">
        <v>857</v>
      </c>
    </row>
    <row r="452" spans="1:4" ht="15.75">
      <c r="A452" s="9" t="s">
        <v>859</v>
      </c>
      <c r="B452" s="10" t="s">
        <v>29</v>
      </c>
      <c r="C452" s="10" t="s">
        <v>126</v>
      </c>
      <c r="D452" s="10"/>
    </row>
    <row r="453" spans="1:4" ht="15.75">
      <c r="A453" s="9" t="s">
        <v>860</v>
      </c>
      <c r="B453" s="10" t="s">
        <v>22</v>
      </c>
      <c r="C453" s="10" t="s">
        <v>69</v>
      </c>
      <c r="D453" s="10" t="s">
        <v>861</v>
      </c>
    </row>
    <row r="454" spans="1:4" ht="15.75">
      <c r="A454" s="9" t="s">
        <v>862</v>
      </c>
      <c r="B454" s="10" t="s">
        <v>22</v>
      </c>
      <c r="C454" s="10" t="s">
        <v>213</v>
      </c>
      <c r="D454" s="10" t="s">
        <v>863</v>
      </c>
    </row>
    <row r="455" spans="1:4" ht="15.75">
      <c r="A455" s="9" t="s">
        <v>864</v>
      </c>
      <c r="B455" s="10" t="s">
        <v>22</v>
      </c>
      <c r="C455" s="10" t="s">
        <v>134</v>
      </c>
      <c r="D455" s="10" t="s">
        <v>865</v>
      </c>
    </row>
    <row r="456" spans="1:4" ht="15.75">
      <c r="A456" s="9" t="s">
        <v>866</v>
      </c>
      <c r="B456" s="10" t="s">
        <v>22</v>
      </c>
      <c r="C456" s="10" t="s">
        <v>134</v>
      </c>
      <c r="D456" s="10" t="s">
        <v>865</v>
      </c>
    </row>
    <row r="457" spans="1:4" ht="15.75">
      <c r="A457" s="9" t="s">
        <v>867</v>
      </c>
      <c r="B457" s="10" t="s">
        <v>22</v>
      </c>
      <c r="C457" s="10" t="s">
        <v>103</v>
      </c>
      <c r="D457" s="10" t="s">
        <v>868</v>
      </c>
    </row>
    <row r="458" spans="1:4" ht="15.75">
      <c r="A458" s="9" t="s">
        <v>869</v>
      </c>
      <c r="B458" s="10" t="s">
        <v>22</v>
      </c>
      <c r="C458" s="10" t="s">
        <v>103</v>
      </c>
      <c r="D458" s="10" t="s">
        <v>868</v>
      </c>
    </row>
    <row r="459" spans="1:4" ht="15.75">
      <c r="A459" s="9" t="s">
        <v>870</v>
      </c>
      <c r="B459" s="10" t="s">
        <v>22</v>
      </c>
      <c r="C459" s="10" t="s">
        <v>46</v>
      </c>
      <c r="D459" s="10" t="s">
        <v>871</v>
      </c>
    </row>
    <row r="460" spans="1:4" ht="15.75">
      <c r="A460" s="9" t="s">
        <v>872</v>
      </c>
      <c r="B460" s="10" t="s">
        <v>22</v>
      </c>
      <c r="C460" s="10" t="s">
        <v>280</v>
      </c>
      <c r="D460" s="10" t="s">
        <v>873</v>
      </c>
    </row>
    <row r="461" spans="1:4" ht="15.75">
      <c r="A461" s="9" t="s">
        <v>874</v>
      </c>
      <c r="B461" s="10" t="s">
        <v>22</v>
      </c>
      <c r="C461" s="10" t="s">
        <v>46</v>
      </c>
      <c r="D461" s="10" t="s">
        <v>875</v>
      </c>
    </row>
    <row r="462" spans="1:4" ht="15.75">
      <c r="A462" s="11" t="s">
        <v>876</v>
      </c>
      <c r="B462" s="10" t="s">
        <v>22</v>
      </c>
      <c r="C462" s="10" t="s">
        <v>38</v>
      </c>
      <c r="D462" s="10" t="s">
        <v>877</v>
      </c>
    </row>
    <row r="463" spans="1:4" ht="15.75">
      <c r="A463" s="9" t="s">
        <v>878</v>
      </c>
      <c r="B463" s="10" t="s">
        <v>22</v>
      </c>
      <c r="C463" s="10" t="s">
        <v>139</v>
      </c>
      <c r="D463" s="10" t="s">
        <v>879</v>
      </c>
    </row>
    <row r="464" spans="1:4" ht="15.75">
      <c r="A464" s="9" t="s">
        <v>880</v>
      </c>
      <c r="B464" s="10" t="s">
        <v>22</v>
      </c>
      <c r="C464" s="10" t="s">
        <v>139</v>
      </c>
      <c r="D464" s="10" t="s">
        <v>879</v>
      </c>
    </row>
    <row r="465" spans="1:4" ht="15.75">
      <c r="A465" s="9" t="s">
        <v>881</v>
      </c>
      <c r="B465" s="10" t="s">
        <v>22</v>
      </c>
      <c r="C465" s="10" t="s">
        <v>81</v>
      </c>
      <c r="D465" s="10" t="s">
        <v>882</v>
      </c>
    </row>
    <row r="466" spans="1:4" ht="15.75">
      <c r="A466" s="9" t="s">
        <v>883</v>
      </c>
      <c r="B466" s="10" t="s">
        <v>22</v>
      </c>
      <c r="C466" s="10" t="s">
        <v>113</v>
      </c>
      <c r="D466" s="10" t="s">
        <v>884</v>
      </c>
    </row>
    <row r="467" spans="1:4" ht="15.75">
      <c r="A467" s="9" t="s">
        <v>885</v>
      </c>
      <c r="B467" s="10" t="s">
        <v>22</v>
      </c>
      <c r="C467" s="10" t="s">
        <v>69</v>
      </c>
      <c r="D467" s="10" t="s">
        <v>886</v>
      </c>
    </row>
    <row r="468" spans="1:4" ht="15.75">
      <c r="A468" s="9" t="s">
        <v>887</v>
      </c>
      <c r="B468" s="10" t="s">
        <v>22</v>
      </c>
      <c r="C468" s="10" t="s">
        <v>103</v>
      </c>
      <c r="D468" s="10" t="s">
        <v>888</v>
      </c>
    </row>
    <row r="469" spans="1:4" ht="15.75">
      <c r="A469" s="9" t="s">
        <v>889</v>
      </c>
      <c r="B469" s="10" t="s">
        <v>22</v>
      </c>
      <c r="C469" s="10" t="s">
        <v>354</v>
      </c>
      <c r="D469" s="10" t="s">
        <v>890</v>
      </c>
    </row>
    <row r="470" spans="1:4" ht="15.75">
      <c r="A470" s="9" t="s">
        <v>891</v>
      </c>
      <c r="B470" s="10" t="s">
        <v>22</v>
      </c>
      <c r="C470" s="10" t="s">
        <v>354</v>
      </c>
      <c r="D470" s="10" t="s">
        <v>890</v>
      </c>
    </row>
    <row r="471" spans="1:4" ht="15.75">
      <c r="A471" s="9" t="s">
        <v>892</v>
      </c>
      <c r="B471" s="10" t="s">
        <v>22</v>
      </c>
      <c r="C471" s="10" t="s">
        <v>354</v>
      </c>
      <c r="D471" s="10" t="s">
        <v>890</v>
      </c>
    </row>
    <row r="472" spans="1:4" ht="15.75">
      <c r="A472" s="9" t="s">
        <v>893</v>
      </c>
      <c r="B472" s="10" t="s">
        <v>22</v>
      </c>
      <c r="C472" s="10" t="s">
        <v>119</v>
      </c>
      <c r="D472" s="10" t="s">
        <v>894</v>
      </c>
    </row>
    <row r="473" spans="1:4" ht="15.75">
      <c r="A473" s="9" t="s">
        <v>895</v>
      </c>
      <c r="B473" s="10" t="s">
        <v>22</v>
      </c>
      <c r="C473" s="10" t="s">
        <v>69</v>
      </c>
      <c r="D473" s="10" t="s">
        <v>896</v>
      </c>
    </row>
    <row r="474" spans="1:4" ht="15.75">
      <c r="A474" s="9" t="s">
        <v>897</v>
      </c>
      <c r="B474" s="10" t="s">
        <v>22</v>
      </c>
      <c r="C474" s="10" t="s">
        <v>69</v>
      </c>
      <c r="D474" s="10" t="s">
        <v>896</v>
      </c>
    </row>
    <row r="475" spans="1:4" ht="15.75">
      <c r="A475" s="9" t="s">
        <v>898</v>
      </c>
      <c r="B475" s="10" t="s">
        <v>22</v>
      </c>
      <c r="C475" s="10" t="s">
        <v>354</v>
      </c>
      <c r="D475" s="10" t="s">
        <v>899</v>
      </c>
    </row>
    <row r="476" spans="1:4" ht="15.75">
      <c r="A476" s="9" t="s">
        <v>900</v>
      </c>
      <c r="B476" s="10" t="s">
        <v>29</v>
      </c>
      <c r="C476" s="10" t="s">
        <v>126</v>
      </c>
      <c r="D476" s="10" t="s">
        <v>901</v>
      </c>
    </row>
    <row r="477" spans="1:4" ht="15.75">
      <c r="A477" s="9" t="s">
        <v>902</v>
      </c>
      <c r="B477" s="10" t="s">
        <v>22</v>
      </c>
      <c r="C477" s="10" t="s">
        <v>69</v>
      </c>
      <c r="D477" s="10" t="s">
        <v>903</v>
      </c>
    </row>
    <row r="478" spans="1:4" ht="15.75">
      <c r="A478" s="9" t="s">
        <v>904</v>
      </c>
      <c r="B478" s="10" t="s">
        <v>22</v>
      </c>
      <c r="C478" s="10" t="s">
        <v>69</v>
      </c>
      <c r="D478" s="10" t="s">
        <v>903</v>
      </c>
    </row>
    <row r="479" spans="1:4" ht="15.75">
      <c r="A479" s="9" t="s">
        <v>905</v>
      </c>
      <c r="B479" s="10" t="s">
        <v>22</v>
      </c>
      <c r="C479" s="10" t="s">
        <v>69</v>
      </c>
      <c r="D479" s="10" t="s">
        <v>906</v>
      </c>
    </row>
    <row r="480" spans="1:4" ht="15.75">
      <c r="A480" s="9" t="s">
        <v>907</v>
      </c>
      <c r="B480" s="10" t="s">
        <v>22</v>
      </c>
      <c r="C480" s="10" t="s">
        <v>69</v>
      </c>
      <c r="D480" s="10" t="s">
        <v>906</v>
      </c>
    </row>
    <row r="481" spans="1:4" ht="15.75">
      <c r="A481" s="9" t="s">
        <v>908</v>
      </c>
      <c r="B481" s="10" t="s">
        <v>29</v>
      </c>
      <c r="C481" s="10" t="s">
        <v>830</v>
      </c>
      <c r="D481" s="10" t="s">
        <v>909</v>
      </c>
    </row>
    <row r="482" spans="1:4" ht="15.75">
      <c r="A482" s="9" t="s">
        <v>910</v>
      </c>
      <c r="B482" s="10" t="s">
        <v>29</v>
      </c>
      <c r="C482" s="10" t="s">
        <v>77</v>
      </c>
      <c r="D482" s="10" t="s">
        <v>911</v>
      </c>
    </row>
    <row r="483" spans="1:4" ht="15.75">
      <c r="A483" s="9" t="s">
        <v>912</v>
      </c>
      <c r="B483" s="10" t="s">
        <v>22</v>
      </c>
      <c r="C483" s="10" t="s">
        <v>34</v>
      </c>
      <c r="D483" s="10" t="s">
        <v>913</v>
      </c>
    </row>
    <row r="484" spans="1:4" ht="15.75">
      <c r="A484" s="9" t="s">
        <v>914</v>
      </c>
      <c r="B484" s="10" t="s">
        <v>22</v>
      </c>
      <c r="C484" s="10" t="s">
        <v>103</v>
      </c>
      <c r="D484" s="10" t="s">
        <v>915</v>
      </c>
    </row>
    <row r="485" spans="1:4" ht="15.75">
      <c r="A485" s="9" t="s">
        <v>916</v>
      </c>
      <c r="B485" s="10" t="s">
        <v>22</v>
      </c>
      <c r="C485" s="10" t="s">
        <v>139</v>
      </c>
      <c r="D485" s="10" t="s">
        <v>917</v>
      </c>
    </row>
    <row r="486" spans="1:4" ht="15.75">
      <c r="A486" s="9" t="s">
        <v>918</v>
      </c>
      <c r="B486" s="10" t="s">
        <v>22</v>
      </c>
      <c r="C486" s="10" t="s">
        <v>139</v>
      </c>
      <c r="D486" s="10" t="s">
        <v>917</v>
      </c>
    </row>
    <row r="487" spans="1:4" ht="15.75">
      <c r="A487" s="9" t="s">
        <v>919</v>
      </c>
      <c r="B487" s="10" t="s">
        <v>22</v>
      </c>
      <c r="C487" s="10" t="s">
        <v>139</v>
      </c>
      <c r="D487" s="10" t="s">
        <v>917</v>
      </c>
    </row>
    <row r="488" spans="1:4" ht="15.75">
      <c r="A488" s="9" t="s">
        <v>920</v>
      </c>
      <c r="B488" s="10" t="s">
        <v>22</v>
      </c>
      <c r="C488" s="10" t="s">
        <v>25</v>
      </c>
      <c r="D488" s="10" t="s">
        <v>921</v>
      </c>
    </row>
    <row r="489" spans="1:4" ht="15.75">
      <c r="A489" s="9" t="s">
        <v>922</v>
      </c>
      <c r="B489" s="10" t="s">
        <v>22</v>
      </c>
      <c r="C489" s="10" t="s">
        <v>25</v>
      </c>
      <c r="D489" s="10" t="s">
        <v>921</v>
      </c>
    </row>
    <row r="490" spans="1:4" ht="15.75">
      <c r="A490" s="9" t="s">
        <v>923</v>
      </c>
      <c r="B490" s="10" t="s">
        <v>29</v>
      </c>
      <c r="C490" s="10" t="s">
        <v>830</v>
      </c>
      <c r="D490" s="10" t="s">
        <v>924</v>
      </c>
    </row>
    <row r="491" spans="1:4" ht="15.75">
      <c r="A491" s="9" t="s">
        <v>925</v>
      </c>
      <c r="B491" s="10" t="s">
        <v>22</v>
      </c>
      <c r="C491" s="10" t="s">
        <v>119</v>
      </c>
      <c r="D491" s="10" t="s">
        <v>926</v>
      </c>
    </row>
    <row r="492" spans="1:4" ht="15.75">
      <c r="A492" s="9" t="s">
        <v>927</v>
      </c>
      <c r="B492" s="10" t="s">
        <v>22</v>
      </c>
      <c r="C492" s="10" t="s">
        <v>119</v>
      </c>
      <c r="D492" s="10" t="s">
        <v>926</v>
      </c>
    </row>
    <row r="493" spans="1:4" ht="15.75">
      <c r="A493" s="9" t="s">
        <v>928</v>
      </c>
      <c r="B493" s="10" t="s">
        <v>29</v>
      </c>
      <c r="C493" s="10" t="s">
        <v>30</v>
      </c>
      <c r="D493" s="10" t="s">
        <v>929</v>
      </c>
    </row>
    <row r="494" spans="1:4" ht="15.75">
      <c r="A494" s="9" t="s">
        <v>930</v>
      </c>
      <c r="B494" s="10" t="s">
        <v>22</v>
      </c>
      <c r="C494" s="10" t="s">
        <v>103</v>
      </c>
      <c r="D494" s="10" t="s">
        <v>931</v>
      </c>
    </row>
    <row r="495" spans="1:4" ht="15.75">
      <c r="A495" s="9" t="s">
        <v>932</v>
      </c>
      <c r="B495" s="10" t="s">
        <v>22</v>
      </c>
      <c r="C495" s="10" t="s">
        <v>34</v>
      </c>
      <c r="D495" s="10" t="s">
        <v>933</v>
      </c>
    </row>
    <row r="496" spans="1:4" ht="15.75">
      <c r="A496" s="9" t="s">
        <v>934</v>
      </c>
      <c r="B496" s="10" t="s">
        <v>22</v>
      </c>
      <c r="C496" s="10" t="s">
        <v>69</v>
      </c>
      <c r="D496" s="10" t="s">
        <v>935</v>
      </c>
    </row>
    <row r="497" spans="1:4" ht="15.75">
      <c r="A497" s="9" t="s">
        <v>936</v>
      </c>
      <c r="B497" s="10" t="s">
        <v>22</v>
      </c>
      <c r="C497" s="10" t="s">
        <v>103</v>
      </c>
      <c r="D497" s="10" t="s">
        <v>937</v>
      </c>
    </row>
    <row r="498" spans="1:4" ht="15.75">
      <c r="A498" s="9" t="s">
        <v>938</v>
      </c>
      <c r="B498" s="10" t="s">
        <v>22</v>
      </c>
      <c r="C498" s="10" t="s">
        <v>103</v>
      </c>
      <c r="D498" s="10" t="s">
        <v>937</v>
      </c>
    </row>
    <row r="499" spans="1:4" ht="15.75">
      <c r="A499" s="9" t="s">
        <v>939</v>
      </c>
      <c r="B499" s="10" t="s">
        <v>22</v>
      </c>
      <c r="C499" s="10" t="s">
        <v>354</v>
      </c>
      <c r="D499" s="10" t="s">
        <v>940</v>
      </c>
    </row>
    <row r="500" spans="1:4" ht="15.75">
      <c r="A500" s="9" t="s">
        <v>941</v>
      </c>
      <c r="B500" s="10" t="s">
        <v>22</v>
      </c>
      <c r="C500" s="10" t="s">
        <v>119</v>
      </c>
      <c r="D500" s="10" t="s">
        <v>942</v>
      </c>
    </row>
    <row r="501" spans="1:4" ht="15.75">
      <c r="A501" s="9" t="s">
        <v>943</v>
      </c>
      <c r="B501" s="10" t="s">
        <v>22</v>
      </c>
      <c r="C501" s="10" t="s">
        <v>187</v>
      </c>
      <c r="D501" s="10" t="s">
        <v>944</v>
      </c>
    </row>
    <row r="502" spans="1:4" ht="15.75">
      <c r="A502" s="9" t="s">
        <v>945</v>
      </c>
      <c r="B502" s="10" t="s">
        <v>22</v>
      </c>
      <c r="C502" s="10" t="s">
        <v>113</v>
      </c>
      <c r="D502" s="10" t="s">
        <v>946</v>
      </c>
    </row>
    <row r="503" spans="1:4" ht="15.75">
      <c r="A503" s="9" t="s">
        <v>947</v>
      </c>
      <c r="B503" s="10" t="s">
        <v>22</v>
      </c>
      <c r="C503" s="10" t="s">
        <v>69</v>
      </c>
      <c r="D503" s="10" t="s">
        <v>948</v>
      </c>
    </row>
    <row r="504" spans="1:4" ht="15.75">
      <c r="A504" s="9" t="s">
        <v>949</v>
      </c>
      <c r="B504" s="10" t="s">
        <v>22</v>
      </c>
      <c r="C504" s="10" t="s">
        <v>113</v>
      </c>
      <c r="D504" s="12" t="s">
        <v>950</v>
      </c>
    </row>
    <row r="505" spans="1:4" ht="15.75">
      <c r="A505" s="9" t="s">
        <v>949</v>
      </c>
      <c r="B505" s="10" t="s">
        <v>22</v>
      </c>
      <c r="C505" s="10" t="s">
        <v>69</v>
      </c>
      <c r="D505" s="10" t="s">
        <v>950</v>
      </c>
    </row>
    <row r="506" spans="1:4" ht="15.75">
      <c r="A506" s="9" t="s">
        <v>951</v>
      </c>
      <c r="B506" s="10" t="s">
        <v>22</v>
      </c>
      <c r="C506" s="10" t="s">
        <v>69</v>
      </c>
      <c r="D506" s="10" t="s">
        <v>952</v>
      </c>
    </row>
    <row r="507" spans="1:4" ht="15.75">
      <c r="A507" s="9" t="s">
        <v>953</v>
      </c>
      <c r="B507" s="10" t="s">
        <v>22</v>
      </c>
      <c r="C507" s="10" t="s">
        <v>187</v>
      </c>
      <c r="D507" s="10" t="s">
        <v>954</v>
      </c>
    </row>
    <row r="508" spans="1:4" ht="15.75">
      <c r="A508" s="9" t="s">
        <v>955</v>
      </c>
      <c r="B508" s="10" t="s">
        <v>22</v>
      </c>
      <c r="C508" s="10" t="s">
        <v>113</v>
      </c>
      <c r="D508" s="10" t="s">
        <v>956</v>
      </c>
    </row>
    <row r="509" spans="1:4" ht="15.75">
      <c r="A509" s="9" t="s">
        <v>957</v>
      </c>
      <c r="B509" s="10" t="s">
        <v>22</v>
      </c>
      <c r="C509" s="10" t="s">
        <v>113</v>
      </c>
      <c r="D509" s="10" t="s">
        <v>956</v>
      </c>
    </row>
    <row r="510" spans="1:4" ht="15.75">
      <c r="A510" s="9" t="s">
        <v>958</v>
      </c>
      <c r="B510" s="10" t="s">
        <v>22</v>
      </c>
      <c r="C510" s="10" t="s">
        <v>113</v>
      </c>
      <c r="D510" s="10" t="s">
        <v>956</v>
      </c>
    </row>
    <row r="511" spans="1:4" ht="15.75">
      <c r="A511" s="9" t="s">
        <v>959</v>
      </c>
      <c r="B511" s="10" t="s">
        <v>22</v>
      </c>
      <c r="C511" s="10" t="s">
        <v>139</v>
      </c>
      <c r="D511" s="10" t="s">
        <v>960</v>
      </c>
    </row>
    <row r="512" spans="1:4" ht="15.75">
      <c r="A512" s="9" t="s">
        <v>961</v>
      </c>
      <c r="B512" s="10" t="s">
        <v>29</v>
      </c>
      <c r="C512" s="10" t="s">
        <v>30</v>
      </c>
      <c r="D512" s="10" t="s">
        <v>962</v>
      </c>
    </row>
    <row r="513" spans="1:4" ht="15.75">
      <c r="A513" s="9" t="s">
        <v>963</v>
      </c>
      <c r="B513" s="10" t="s">
        <v>22</v>
      </c>
      <c r="C513" s="10" t="s">
        <v>964</v>
      </c>
      <c r="D513" s="10" t="s">
        <v>965</v>
      </c>
    </row>
    <row r="514" spans="1:4" ht="15.75">
      <c r="A514" s="9" t="s">
        <v>966</v>
      </c>
      <c r="B514" s="10" t="s">
        <v>22</v>
      </c>
      <c r="C514" s="10" t="s">
        <v>964</v>
      </c>
      <c r="D514" s="10" t="s">
        <v>965</v>
      </c>
    </row>
    <row r="515" spans="1:4" ht="15.75">
      <c r="A515" s="9" t="s">
        <v>967</v>
      </c>
      <c r="B515" s="10" t="s">
        <v>22</v>
      </c>
      <c r="C515" s="10" t="s">
        <v>69</v>
      </c>
      <c r="D515" s="10" t="s">
        <v>968</v>
      </c>
    </row>
    <row r="516" spans="1:4" ht="15.75">
      <c r="A516" s="9" t="s">
        <v>969</v>
      </c>
      <c r="B516" s="10" t="s">
        <v>22</v>
      </c>
      <c r="C516" s="10" t="s">
        <v>119</v>
      </c>
      <c r="D516" s="10" t="s">
        <v>970</v>
      </c>
    </row>
    <row r="517" spans="1:4" ht="15.75">
      <c r="A517" s="9" t="s">
        <v>971</v>
      </c>
      <c r="B517" s="10" t="s">
        <v>22</v>
      </c>
      <c r="C517" s="10" t="s">
        <v>119</v>
      </c>
      <c r="D517" s="10" t="s">
        <v>970</v>
      </c>
    </row>
    <row r="518" spans="1:4" ht="15.75">
      <c r="A518" s="9" t="s">
        <v>972</v>
      </c>
      <c r="B518" s="10" t="s">
        <v>22</v>
      </c>
      <c r="C518" s="10" t="s">
        <v>119</v>
      </c>
      <c r="D518" s="10" t="s">
        <v>973</v>
      </c>
    </row>
    <row r="519" spans="1:4" ht="15.75">
      <c r="A519" s="9" t="s">
        <v>974</v>
      </c>
      <c r="B519" s="10" t="s">
        <v>22</v>
      </c>
      <c r="C519" s="10" t="s">
        <v>119</v>
      </c>
      <c r="D519" s="10" t="s">
        <v>973</v>
      </c>
    </row>
    <row r="520" spans="1:4" ht="15.75">
      <c r="A520" s="9" t="s">
        <v>975</v>
      </c>
      <c r="B520" s="10" t="s">
        <v>22</v>
      </c>
      <c r="C520" s="10" t="s">
        <v>69</v>
      </c>
      <c r="D520" s="10" t="s">
        <v>976</v>
      </c>
    </row>
    <row r="521" spans="1:4" ht="15.75">
      <c r="A521" s="9" t="s">
        <v>977</v>
      </c>
      <c r="B521" s="10" t="s">
        <v>22</v>
      </c>
      <c r="C521" s="10" t="s">
        <v>213</v>
      </c>
      <c r="D521" s="10" t="s">
        <v>978</v>
      </c>
    </row>
    <row r="522" spans="1:4" ht="15.75">
      <c r="A522" s="9" t="s">
        <v>979</v>
      </c>
      <c r="B522" s="10" t="s">
        <v>22</v>
      </c>
      <c r="C522" s="10" t="s">
        <v>213</v>
      </c>
      <c r="D522" s="10" t="s">
        <v>978</v>
      </c>
    </row>
    <row r="523" spans="1:4" ht="15.75">
      <c r="A523" s="9" t="s">
        <v>980</v>
      </c>
      <c r="B523" s="10" t="s">
        <v>29</v>
      </c>
      <c r="C523" s="10" t="s">
        <v>58</v>
      </c>
      <c r="D523" s="10" t="s">
        <v>981</v>
      </c>
    </row>
    <row r="524" spans="1:4" ht="15.75">
      <c r="A524" s="9" t="s">
        <v>982</v>
      </c>
      <c r="B524" s="10" t="s">
        <v>22</v>
      </c>
      <c r="C524" s="10" t="s">
        <v>213</v>
      </c>
      <c r="D524" s="10" t="s">
        <v>983</v>
      </c>
    </row>
    <row r="525" spans="1:4" ht="15.75">
      <c r="A525" s="9" t="s">
        <v>984</v>
      </c>
      <c r="B525" s="10" t="s">
        <v>22</v>
      </c>
      <c r="C525" s="10" t="s">
        <v>346</v>
      </c>
      <c r="D525" s="10" t="s">
        <v>985</v>
      </c>
    </row>
    <row r="526" spans="1:4" ht="15.75">
      <c r="A526" s="9" t="s">
        <v>986</v>
      </c>
      <c r="B526" s="10" t="s">
        <v>22</v>
      </c>
      <c r="C526" s="10" t="s">
        <v>346</v>
      </c>
      <c r="D526" s="10" t="s">
        <v>985</v>
      </c>
    </row>
    <row r="527" spans="1:4" ht="15.75">
      <c r="A527" s="9" t="s">
        <v>987</v>
      </c>
      <c r="B527" s="10" t="s">
        <v>22</v>
      </c>
      <c r="C527" s="10" t="s">
        <v>103</v>
      </c>
      <c r="D527" s="10" t="s">
        <v>988</v>
      </c>
    </row>
    <row r="528" spans="1:4" ht="15.75">
      <c r="A528" s="9" t="s">
        <v>989</v>
      </c>
      <c r="B528" s="10" t="s">
        <v>29</v>
      </c>
      <c r="C528" s="10"/>
      <c r="D528" s="10" t="s">
        <v>990</v>
      </c>
    </row>
    <row r="529" spans="1:4" ht="15.75">
      <c r="A529" s="9" t="s">
        <v>991</v>
      </c>
      <c r="B529" s="10" t="s">
        <v>22</v>
      </c>
      <c r="C529" s="10" t="s">
        <v>617</v>
      </c>
      <c r="D529" s="10" t="s">
        <v>992</v>
      </c>
    </row>
    <row r="530" spans="1:4" ht="15.75">
      <c r="A530" s="9" t="s">
        <v>993</v>
      </c>
      <c r="B530" s="10" t="s">
        <v>22</v>
      </c>
      <c r="C530" s="10" t="s">
        <v>617</v>
      </c>
      <c r="D530" s="10" t="s">
        <v>992</v>
      </c>
    </row>
    <row r="531" spans="1:4" ht="15.75">
      <c r="A531" s="9" t="s">
        <v>994</v>
      </c>
      <c r="B531" s="10" t="s">
        <v>22</v>
      </c>
      <c r="C531" s="10" t="s">
        <v>617</v>
      </c>
      <c r="D531" s="10" t="s">
        <v>992</v>
      </c>
    </row>
    <row r="532" spans="1:4" ht="15.75">
      <c r="A532" s="9" t="s">
        <v>995</v>
      </c>
      <c r="B532" s="10" t="s">
        <v>22</v>
      </c>
      <c r="C532" s="10" t="s">
        <v>46</v>
      </c>
      <c r="D532" s="10" t="s">
        <v>693</v>
      </c>
    </row>
    <row r="533" spans="1:4" ht="15.75">
      <c r="A533" s="9" t="s">
        <v>996</v>
      </c>
      <c r="B533" s="10" t="s">
        <v>22</v>
      </c>
      <c r="C533" s="10" t="s">
        <v>134</v>
      </c>
      <c r="D533" s="10" t="s">
        <v>997</v>
      </c>
    </row>
    <row r="534" spans="1:4" ht="15.75">
      <c r="A534" s="9" t="s">
        <v>998</v>
      </c>
      <c r="B534" s="10" t="s">
        <v>22</v>
      </c>
      <c r="C534" s="10" t="s">
        <v>183</v>
      </c>
      <c r="D534" s="10" t="s">
        <v>999</v>
      </c>
    </row>
    <row r="535" spans="1:4" ht="15.75">
      <c r="A535" s="9" t="s">
        <v>1000</v>
      </c>
      <c r="B535" s="10" t="s">
        <v>29</v>
      </c>
      <c r="C535" s="10" t="s">
        <v>830</v>
      </c>
      <c r="D535" s="10" t="s">
        <v>1001</v>
      </c>
    </row>
    <row r="536" spans="1:4" ht="15.75">
      <c r="A536" s="9" t="s">
        <v>1002</v>
      </c>
      <c r="B536" s="10" t="s">
        <v>22</v>
      </c>
      <c r="C536" s="10" t="s">
        <v>224</v>
      </c>
      <c r="D536" s="10" t="s">
        <v>1003</v>
      </c>
    </row>
    <row r="537" spans="1:4" ht="15.75">
      <c r="A537" s="9" t="s">
        <v>1004</v>
      </c>
      <c r="B537" s="10" t="s">
        <v>29</v>
      </c>
      <c r="C537" s="10" t="s">
        <v>123</v>
      </c>
      <c r="D537" s="10" t="s">
        <v>1005</v>
      </c>
    </row>
    <row r="538" spans="1:4" ht="15.75">
      <c r="A538" s="9" t="s">
        <v>1006</v>
      </c>
      <c r="B538" s="10" t="s">
        <v>22</v>
      </c>
      <c r="C538" s="10" t="s">
        <v>224</v>
      </c>
      <c r="D538" s="10" t="s">
        <v>1007</v>
      </c>
    </row>
    <row r="539" spans="1:4" ht="15.75">
      <c r="A539" s="11" t="s">
        <v>1008</v>
      </c>
      <c r="B539" s="10" t="s">
        <v>29</v>
      </c>
      <c r="C539" s="10" t="s">
        <v>30</v>
      </c>
      <c r="D539" s="10" t="s">
        <v>1009</v>
      </c>
    </row>
    <row r="540" spans="1:4" ht="15.75">
      <c r="A540" s="9" t="s">
        <v>1010</v>
      </c>
      <c r="B540" s="10" t="s">
        <v>22</v>
      </c>
      <c r="C540" s="10" t="s">
        <v>34</v>
      </c>
      <c r="D540" s="10" t="s">
        <v>1011</v>
      </c>
    </row>
    <row r="541" spans="1:4" ht="15.75">
      <c r="A541" s="9" t="s">
        <v>1012</v>
      </c>
      <c r="B541" s="10" t="s">
        <v>22</v>
      </c>
      <c r="C541" s="10" t="s">
        <v>34</v>
      </c>
      <c r="D541" s="10" t="s">
        <v>1011</v>
      </c>
    </row>
    <row r="542" spans="1:4" ht="15.75">
      <c r="A542" s="9" t="s">
        <v>1013</v>
      </c>
      <c r="B542" s="10" t="s">
        <v>22</v>
      </c>
      <c r="C542" s="10" t="s">
        <v>69</v>
      </c>
      <c r="D542" s="10" t="s">
        <v>1014</v>
      </c>
    </row>
    <row r="543" spans="1:4" ht="15.75">
      <c r="A543" s="9" t="s">
        <v>1015</v>
      </c>
      <c r="B543" s="10" t="s">
        <v>22</v>
      </c>
      <c r="C543" s="10" t="s">
        <v>224</v>
      </c>
      <c r="D543" s="10" t="s">
        <v>1016</v>
      </c>
    </row>
    <row r="544" spans="1:4" ht="15.75">
      <c r="A544" s="9" t="s">
        <v>1017</v>
      </c>
      <c r="B544" s="10" t="s">
        <v>22</v>
      </c>
      <c r="C544" s="10" t="s">
        <v>371</v>
      </c>
      <c r="D544" s="10" t="s">
        <v>1018</v>
      </c>
    </row>
    <row r="545" spans="1:4" ht="15.75">
      <c r="A545" s="9" t="s">
        <v>1019</v>
      </c>
      <c r="B545" s="10" t="s">
        <v>22</v>
      </c>
      <c r="C545" s="10" t="s">
        <v>371</v>
      </c>
      <c r="D545" s="10" t="s">
        <v>1020</v>
      </c>
    </row>
    <row r="546" spans="1:4" ht="15.75">
      <c r="A546" s="9" t="s">
        <v>1021</v>
      </c>
      <c r="B546" s="10" t="s">
        <v>22</v>
      </c>
      <c r="C546" s="10" t="s">
        <v>134</v>
      </c>
      <c r="D546" s="10" t="s">
        <v>1022</v>
      </c>
    </row>
    <row r="547" spans="1:4" ht="15.75">
      <c r="A547" s="9" t="s">
        <v>1023</v>
      </c>
      <c r="B547" s="10" t="s">
        <v>22</v>
      </c>
      <c r="C547" s="10" t="s">
        <v>134</v>
      </c>
      <c r="D547" s="10" t="s">
        <v>1022</v>
      </c>
    </row>
    <row r="548" spans="1:4" ht="15.75">
      <c r="A548" s="9" t="s">
        <v>1024</v>
      </c>
      <c r="B548" s="10" t="s">
        <v>22</v>
      </c>
      <c r="C548" s="10" t="s">
        <v>113</v>
      </c>
      <c r="D548" s="12" t="s">
        <v>1025</v>
      </c>
    </row>
    <row r="549" spans="1:4" ht="15.75">
      <c r="A549" s="9" t="s">
        <v>11</v>
      </c>
      <c r="B549" s="10" t="s">
        <v>29</v>
      </c>
      <c r="C549" s="10" t="s">
        <v>126</v>
      </c>
      <c r="D549" s="12" t="s">
        <v>1026</v>
      </c>
    </row>
    <row r="550" spans="1:4" ht="15.75">
      <c r="A550" s="9" t="s">
        <v>1027</v>
      </c>
      <c r="B550" s="10" t="s">
        <v>22</v>
      </c>
      <c r="C550" s="10" t="s">
        <v>69</v>
      </c>
      <c r="D550" s="10" t="s">
        <v>1028</v>
      </c>
    </row>
    <row r="551" spans="1:4" ht="15.75">
      <c r="A551" s="9" t="s">
        <v>1029</v>
      </c>
      <c r="B551" s="10" t="s">
        <v>22</v>
      </c>
      <c r="C551" s="10" t="s">
        <v>69</v>
      </c>
      <c r="D551" s="10" t="s">
        <v>1030</v>
      </c>
    </row>
    <row r="552" spans="1:4" ht="15.75">
      <c r="A552" s="9" t="s">
        <v>1031</v>
      </c>
      <c r="B552" s="10" t="s">
        <v>22</v>
      </c>
      <c r="C552" s="10" t="s">
        <v>69</v>
      </c>
      <c r="D552" s="10" t="s">
        <v>1032</v>
      </c>
    </row>
    <row r="553" spans="1:4" ht="15.75">
      <c r="A553" s="9" t="s">
        <v>1033</v>
      </c>
      <c r="B553" s="10" t="s">
        <v>22</v>
      </c>
      <c r="C553" s="10" t="s">
        <v>69</v>
      </c>
      <c r="D553" s="10" t="s">
        <v>1034</v>
      </c>
    </row>
    <row r="554" spans="1:4" ht="15.75">
      <c r="A554" s="9" t="s">
        <v>1035</v>
      </c>
      <c r="B554" s="10" t="s">
        <v>22</v>
      </c>
      <c r="C554" s="10" t="s">
        <v>134</v>
      </c>
      <c r="D554" s="10" t="s">
        <v>1036</v>
      </c>
    </row>
    <row r="555" spans="1:4" ht="15.75">
      <c r="A555" s="9" t="s">
        <v>1037</v>
      </c>
      <c r="B555" s="10" t="s">
        <v>22</v>
      </c>
      <c r="C555" s="10" t="s">
        <v>134</v>
      </c>
      <c r="D555" s="10" t="s">
        <v>1038</v>
      </c>
    </row>
    <row r="556" spans="1:4" ht="15.75">
      <c r="A556" s="9" t="s">
        <v>1039</v>
      </c>
      <c r="B556" s="10" t="s">
        <v>29</v>
      </c>
      <c r="C556" s="10" t="s">
        <v>126</v>
      </c>
      <c r="D556" s="10" t="s">
        <v>1040</v>
      </c>
    </row>
    <row r="557" spans="1:4" ht="15.75">
      <c r="A557" s="9" t="s">
        <v>1041</v>
      </c>
      <c r="B557" s="10" t="s">
        <v>22</v>
      </c>
      <c r="C557" s="10" t="s">
        <v>213</v>
      </c>
      <c r="D557" s="10" t="s">
        <v>1042</v>
      </c>
    </row>
    <row r="558" spans="1:4" ht="15.75">
      <c r="A558" s="11" t="s">
        <v>1043</v>
      </c>
      <c r="B558" s="10" t="s">
        <v>29</v>
      </c>
      <c r="C558" s="10" t="s">
        <v>830</v>
      </c>
      <c r="D558" s="10" t="s">
        <v>1044</v>
      </c>
    </row>
    <row r="559" spans="1:4" ht="15.75">
      <c r="A559" s="9" t="s">
        <v>1045</v>
      </c>
      <c r="B559" s="10" t="s">
        <v>29</v>
      </c>
      <c r="C559" s="10" t="s">
        <v>748</v>
      </c>
      <c r="D559" s="10" t="s">
        <v>1046</v>
      </c>
    </row>
    <row r="560" spans="1:4" ht="15.75">
      <c r="A560" s="9" t="s">
        <v>1047</v>
      </c>
      <c r="B560" s="10" t="s">
        <v>29</v>
      </c>
      <c r="C560" s="10" t="s">
        <v>748</v>
      </c>
      <c r="D560" s="10" t="s">
        <v>1048</v>
      </c>
    </row>
    <row r="561" spans="1:4" ht="15.75">
      <c r="A561" s="9" t="s">
        <v>1049</v>
      </c>
      <c r="B561" s="10" t="s">
        <v>22</v>
      </c>
      <c r="C561" s="10" t="s">
        <v>25</v>
      </c>
      <c r="D561" s="10" t="s">
        <v>1050</v>
      </c>
    </row>
    <row r="562" spans="1:4" ht="15.75">
      <c r="A562" s="9" t="s">
        <v>1051</v>
      </c>
      <c r="B562" s="10" t="s">
        <v>22</v>
      </c>
      <c r="C562" s="10" t="s">
        <v>69</v>
      </c>
      <c r="D562" s="12" t="s">
        <v>1052</v>
      </c>
    </row>
    <row r="563" spans="1:4" ht="15.75">
      <c r="A563" s="9" t="s">
        <v>1051</v>
      </c>
      <c r="B563" s="10" t="s">
        <v>22</v>
      </c>
      <c r="C563" s="10" t="s">
        <v>69</v>
      </c>
      <c r="D563" s="10" t="s">
        <v>1052</v>
      </c>
    </row>
    <row r="564" spans="1:4" ht="15.75">
      <c r="A564" s="9" t="s">
        <v>1053</v>
      </c>
      <c r="B564" s="10" t="s">
        <v>29</v>
      </c>
      <c r="C564" s="10" t="s">
        <v>77</v>
      </c>
      <c r="D564" s="10" t="s">
        <v>1054</v>
      </c>
    </row>
    <row r="565" spans="1:4" ht="15.75">
      <c r="A565" s="9" t="s">
        <v>1055</v>
      </c>
      <c r="B565" s="10" t="s">
        <v>22</v>
      </c>
      <c r="C565" s="10" t="s">
        <v>119</v>
      </c>
      <c r="D565" s="10" t="s">
        <v>1056</v>
      </c>
    </row>
    <row r="566" spans="1:4" ht="15.75">
      <c r="A566" s="9" t="s">
        <v>1057</v>
      </c>
      <c r="B566" s="10" t="s">
        <v>22</v>
      </c>
      <c r="C566" s="10" t="s">
        <v>119</v>
      </c>
      <c r="D566" s="10" t="s">
        <v>1056</v>
      </c>
    </row>
    <row r="567" spans="1:4" ht="15.75">
      <c r="A567" s="9" t="s">
        <v>1058</v>
      </c>
      <c r="B567" s="10" t="s">
        <v>22</v>
      </c>
      <c r="C567" s="10" t="s">
        <v>69</v>
      </c>
      <c r="D567" s="10" t="s">
        <v>1059</v>
      </c>
    </row>
    <row r="568" spans="1:4" ht="15.75">
      <c r="A568" s="9" t="s">
        <v>1060</v>
      </c>
      <c r="B568" s="10" t="s">
        <v>22</v>
      </c>
      <c r="C568" s="10" t="s">
        <v>103</v>
      </c>
      <c r="D568" s="10" t="s">
        <v>1061</v>
      </c>
    </row>
    <row r="569" spans="1:4" ht="15.75">
      <c r="A569" s="9" t="s">
        <v>1062</v>
      </c>
      <c r="B569" s="10" t="s">
        <v>22</v>
      </c>
      <c r="C569" s="10" t="s">
        <v>103</v>
      </c>
      <c r="D569" s="10" t="s">
        <v>1061</v>
      </c>
    </row>
    <row r="570" spans="1:4" ht="15.75">
      <c r="A570" s="9" t="s">
        <v>1063</v>
      </c>
      <c r="B570" s="10" t="s">
        <v>22</v>
      </c>
      <c r="C570" s="10" t="s">
        <v>139</v>
      </c>
      <c r="D570" s="10" t="s">
        <v>1064</v>
      </c>
    </row>
    <row r="571" spans="1:4" ht="15.75">
      <c r="A571" s="9" t="s">
        <v>1065</v>
      </c>
      <c r="B571" s="10" t="s">
        <v>22</v>
      </c>
      <c r="C571" s="10" t="s">
        <v>69</v>
      </c>
      <c r="D571" s="10" t="s">
        <v>1066</v>
      </c>
    </row>
    <row r="572" spans="1:4" ht="15.75">
      <c r="A572" s="9" t="s">
        <v>1067</v>
      </c>
      <c r="B572" s="10" t="s">
        <v>22</v>
      </c>
      <c r="C572" s="10" t="s">
        <v>69</v>
      </c>
      <c r="D572" s="10" t="s">
        <v>1066</v>
      </c>
    </row>
    <row r="573" spans="1:4" ht="15.75">
      <c r="A573" s="9" t="s">
        <v>1068</v>
      </c>
      <c r="B573" s="10" t="s">
        <v>22</v>
      </c>
      <c r="C573" s="10" t="s">
        <v>371</v>
      </c>
      <c r="D573" s="10" t="s">
        <v>1069</v>
      </c>
    </row>
    <row r="574" spans="1:4" ht="15.75">
      <c r="A574" s="9" t="s">
        <v>1070</v>
      </c>
      <c r="B574" s="10" t="s">
        <v>22</v>
      </c>
      <c r="C574" s="10" t="s">
        <v>371</v>
      </c>
      <c r="D574" s="10" t="s">
        <v>1069</v>
      </c>
    </row>
    <row r="575" spans="1:4" ht="15.75">
      <c r="A575" s="9" t="s">
        <v>1071</v>
      </c>
      <c r="B575" s="10" t="s">
        <v>22</v>
      </c>
      <c r="C575" s="10" t="s">
        <v>103</v>
      </c>
      <c r="D575" s="10" t="s">
        <v>1072</v>
      </c>
    </row>
    <row r="576" spans="1:4" ht="15.75">
      <c r="A576" s="9" t="s">
        <v>1073</v>
      </c>
      <c r="B576" s="10" t="s">
        <v>22</v>
      </c>
      <c r="C576" s="10" t="s">
        <v>227</v>
      </c>
      <c r="D576" s="10" t="s">
        <v>1074</v>
      </c>
    </row>
    <row r="577" spans="1:4" ht="15.75">
      <c r="A577" s="9" t="s">
        <v>1075</v>
      </c>
      <c r="B577" s="10" t="s">
        <v>22</v>
      </c>
      <c r="C577" s="10" t="s">
        <v>25</v>
      </c>
      <c r="D577" s="10" t="s">
        <v>1076</v>
      </c>
    </row>
    <row r="578" spans="1:4" ht="15.75">
      <c r="A578" s="9" t="s">
        <v>1077</v>
      </c>
      <c r="B578" s="10" t="s">
        <v>22</v>
      </c>
      <c r="C578" s="10" t="s">
        <v>25</v>
      </c>
      <c r="D578" s="10" t="s">
        <v>1076</v>
      </c>
    </row>
    <row r="579" spans="1:4" ht="15.75">
      <c r="A579" s="9" t="s">
        <v>1078</v>
      </c>
      <c r="B579" s="10" t="s">
        <v>22</v>
      </c>
      <c r="C579" s="10" t="s">
        <v>213</v>
      </c>
      <c r="D579" s="10" t="s">
        <v>1079</v>
      </c>
    </row>
    <row r="580" spans="1:4" ht="15.75">
      <c r="A580" s="11" t="s">
        <v>1080</v>
      </c>
      <c r="B580" s="10" t="s">
        <v>29</v>
      </c>
      <c r="C580" s="10" t="s">
        <v>126</v>
      </c>
      <c r="D580" s="10" t="s">
        <v>1081</v>
      </c>
    </row>
    <row r="581" spans="1:4" ht="15.75">
      <c r="A581" s="9" t="s">
        <v>1082</v>
      </c>
      <c r="B581" s="10" t="s">
        <v>22</v>
      </c>
      <c r="C581" s="10" t="s">
        <v>119</v>
      </c>
      <c r="D581" s="10" t="s">
        <v>1083</v>
      </c>
    </row>
    <row r="582" spans="1:4" ht="15.75">
      <c r="A582" s="9" t="s">
        <v>1084</v>
      </c>
      <c r="B582" s="10" t="s">
        <v>22</v>
      </c>
      <c r="C582" s="10" t="s">
        <v>103</v>
      </c>
      <c r="D582" s="10" t="s">
        <v>1085</v>
      </c>
    </row>
    <row r="583" spans="1:4" ht="15.75">
      <c r="A583" s="9" t="s">
        <v>1086</v>
      </c>
      <c r="B583" s="10" t="s">
        <v>22</v>
      </c>
      <c r="C583" s="10" t="s">
        <v>103</v>
      </c>
      <c r="D583" s="10" t="s">
        <v>1085</v>
      </c>
    </row>
    <row r="584" spans="1:4" ht="15.75">
      <c r="A584" s="9" t="s">
        <v>1087</v>
      </c>
      <c r="B584" s="10" t="s">
        <v>22</v>
      </c>
      <c r="C584" s="10" t="s">
        <v>213</v>
      </c>
      <c r="D584" s="10" t="s">
        <v>1088</v>
      </c>
    </row>
    <row r="585" spans="1:4" ht="15.75">
      <c r="A585" s="9" t="s">
        <v>1089</v>
      </c>
      <c r="B585" s="10" t="s">
        <v>22</v>
      </c>
      <c r="C585" s="10" t="s">
        <v>213</v>
      </c>
      <c r="D585" s="10" t="s">
        <v>1088</v>
      </c>
    </row>
    <row r="586" spans="1:4" ht="15.75">
      <c r="A586" s="11" t="s">
        <v>1090</v>
      </c>
      <c r="B586" s="10" t="s">
        <v>29</v>
      </c>
      <c r="C586" s="10" t="s">
        <v>126</v>
      </c>
      <c r="D586" s="10" t="s">
        <v>1091</v>
      </c>
    </row>
    <row r="587" spans="1:4" ht="15.75">
      <c r="A587" s="9" t="s">
        <v>1092</v>
      </c>
      <c r="B587" s="10" t="s">
        <v>22</v>
      </c>
      <c r="C587" s="10" t="s">
        <v>778</v>
      </c>
      <c r="D587" s="10" t="s">
        <v>1093</v>
      </c>
    </row>
    <row r="588" spans="1:4" ht="15.75">
      <c r="A588" s="9" t="s">
        <v>1094</v>
      </c>
      <c r="B588" s="10" t="s">
        <v>22</v>
      </c>
      <c r="C588" s="10" t="s">
        <v>69</v>
      </c>
      <c r="D588" s="10" t="s">
        <v>1095</v>
      </c>
    </row>
    <row r="589" spans="1:4" ht="15.75">
      <c r="A589" s="9" t="s">
        <v>1096</v>
      </c>
      <c r="B589" s="10" t="s">
        <v>29</v>
      </c>
      <c r="C589" s="10" t="s">
        <v>126</v>
      </c>
      <c r="D589" s="10" t="s">
        <v>1097</v>
      </c>
    </row>
    <row r="590" spans="1:4" ht="15.75">
      <c r="A590" s="9" t="s">
        <v>1098</v>
      </c>
      <c r="B590" s="10" t="s">
        <v>22</v>
      </c>
      <c r="C590" s="10" t="s">
        <v>69</v>
      </c>
      <c r="D590" s="10" t="s">
        <v>1099</v>
      </c>
    </row>
    <row r="591" spans="1:4" ht="15.75">
      <c r="A591" s="9" t="s">
        <v>1100</v>
      </c>
      <c r="B591" s="10" t="s">
        <v>22</v>
      </c>
      <c r="C591" s="10" t="s">
        <v>69</v>
      </c>
      <c r="D591" s="10" t="s">
        <v>1099</v>
      </c>
    </row>
    <row r="592" spans="1:4" ht="15.75">
      <c r="A592" s="9" t="s">
        <v>1101</v>
      </c>
      <c r="B592" s="10" t="s">
        <v>22</v>
      </c>
      <c r="C592" s="10" t="s">
        <v>25</v>
      </c>
      <c r="D592" s="10" t="s">
        <v>1102</v>
      </c>
    </row>
    <row r="593" spans="1:4" ht="15.75">
      <c r="A593" s="9" t="s">
        <v>1103</v>
      </c>
      <c r="B593" s="10" t="s">
        <v>22</v>
      </c>
      <c r="C593" s="10" t="s">
        <v>69</v>
      </c>
      <c r="D593" s="10" t="s">
        <v>1104</v>
      </c>
    </row>
    <row r="594" spans="1:4" ht="15.75">
      <c r="A594" s="9" t="s">
        <v>1105</v>
      </c>
      <c r="B594" s="10" t="s">
        <v>22</v>
      </c>
      <c r="C594" s="10" t="s">
        <v>69</v>
      </c>
      <c r="D594" s="10" t="s">
        <v>1104</v>
      </c>
    </row>
    <row r="595" spans="1:4" ht="15.75">
      <c r="A595" s="9" t="s">
        <v>1106</v>
      </c>
      <c r="B595" s="10" t="s">
        <v>22</v>
      </c>
      <c r="C595" s="10" t="s">
        <v>69</v>
      </c>
      <c r="D595" s="10" t="s">
        <v>1104</v>
      </c>
    </row>
    <row r="596" spans="1:4" ht="15.75">
      <c r="A596" s="9" t="s">
        <v>1107</v>
      </c>
      <c r="B596" s="10" t="s">
        <v>22</v>
      </c>
      <c r="C596" s="10" t="s">
        <v>371</v>
      </c>
      <c r="D596" s="10" t="s">
        <v>1108</v>
      </c>
    </row>
    <row r="597" spans="1:4" ht="15.75">
      <c r="A597" s="9" t="s">
        <v>1109</v>
      </c>
      <c r="B597" s="10" t="s">
        <v>22</v>
      </c>
      <c r="C597" s="10" t="s">
        <v>69</v>
      </c>
      <c r="D597" s="10" t="s">
        <v>1110</v>
      </c>
    </row>
    <row r="598" spans="1:4" ht="15.75">
      <c r="A598" s="9" t="s">
        <v>1111</v>
      </c>
      <c r="B598" s="10" t="s">
        <v>22</v>
      </c>
      <c r="C598" s="10" t="s">
        <v>69</v>
      </c>
      <c r="D598" s="10" t="s">
        <v>1112</v>
      </c>
    </row>
    <row r="599" spans="1:4" ht="15.75">
      <c r="A599" s="9" t="s">
        <v>1113</v>
      </c>
      <c r="B599" s="10" t="s">
        <v>29</v>
      </c>
      <c r="C599" s="10" t="s">
        <v>830</v>
      </c>
      <c r="D599" s="10" t="s">
        <v>1114</v>
      </c>
    </row>
    <row r="600" spans="1:4" ht="15.75">
      <c r="A600" s="11" t="s">
        <v>1115</v>
      </c>
      <c r="B600" s="10" t="s">
        <v>29</v>
      </c>
      <c r="C600" s="10" t="s">
        <v>77</v>
      </c>
      <c r="D600" s="10" t="s">
        <v>1116</v>
      </c>
    </row>
    <row r="601" spans="1:4" ht="15.75">
      <c r="A601" s="9" t="s">
        <v>1117</v>
      </c>
      <c r="B601" s="10" t="s">
        <v>29</v>
      </c>
      <c r="C601" s="10" t="s">
        <v>126</v>
      </c>
      <c r="D601" s="10" t="s">
        <v>1118</v>
      </c>
    </row>
    <row r="602" spans="1:4" ht="15.75">
      <c r="A602" s="9" t="s">
        <v>1119</v>
      </c>
      <c r="B602" s="10" t="s">
        <v>22</v>
      </c>
      <c r="C602" s="10" t="s">
        <v>69</v>
      </c>
      <c r="D602" s="10" t="s">
        <v>1120</v>
      </c>
    </row>
    <row r="603" spans="1:4" ht="15.75">
      <c r="A603" s="9" t="s">
        <v>1121</v>
      </c>
      <c r="B603" s="10" t="s">
        <v>22</v>
      </c>
      <c r="C603" s="10" t="s">
        <v>69</v>
      </c>
      <c r="D603" s="10" t="s">
        <v>1120</v>
      </c>
    </row>
    <row r="604" spans="1:4" ht="15.75">
      <c r="A604" s="9" t="s">
        <v>1122</v>
      </c>
      <c r="B604" s="10" t="s">
        <v>22</v>
      </c>
      <c r="C604" s="10" t="s">
        <v>25</v>
      </c>
      <c r="D604" s="10" t="s">
        <v>1123</v>
      </c>
    </row>
    <row r="605" spans="1:4" ht="15.75">
      <c r="A605" s="9" t="s">
        <v>1124</v>
      </c>
      <c r="B605" s="10" t="s">
        <v>22</v>
      </c>
      <c r="C605" s="10" t="s">
        <v>346</v>
      </c>
      <c r="D605" s="10" t="s">
        <v>1125</v>
      </c>
    </row>
    <row r="606" spans="1:4" ht="15.75">
      <c r="A606" s="9" t="s">
        <v>1126</v>
      </c>
      <c r="B606" s="10" t="s">
        <v>22</v>
      </c>
      <c r="C606" s="10" t="s">
        <v>81</v>
      </c>
      <c r="D606" s="10" t="s">
        <v>1127</v>
      </c>
    </row>
    <row r="607" spans="1:4" ht="15.75">
      <c r="A607" s="9" t="s">
        <v>1128</v>
      </c>
      <c r="B607" s="10" t="s">
        <v>22</v>
      </c>
      <c r="C607" s="10" t="s">
        <v>81</v>
      </c>
      <c r="D607" s="10" t="s">
        <v>1127</v>
      </c>
    </row>
    <row r="608" spans="1:4" ht="15.75">
      <c r="A608" s="9" t="s">
        <v>1129</v>
      </c>
      <c r="B608" s="10" t="s">
        <v>22</v>
      </c>
      <c r="C608" s="10" t="s">
        <v>69</v>
      </c>
      <c r="D608" s="10" t="s">
        <v>1130</v>
      </c>
    </row>
    <row r="609" spans="1:4" ht="15.75">
      <c r="A609" s="9" t="s">
        <v>1131</v>
      </c>
      <c r="B609" s="10" t="s">
        <v>22</v>
      </c>
      <c r="C609" s="10" t="s">
        <v>69</v>
      </c>
      <c r="D609" s="10" t="s">
        <v>1130</v>
      </c>
    </row>
    <row r="610" spans="1:4" ht="15.75">
      <c r="A610" s="9" t="s">
        <v>1132</v>
      </c>
      <c r="B610" s="10" t="s">
        <v>22</v>
      </c>
      <c r="C610" s="10" t="s">
        <v>69</v>
      </c>
      <c r="D610" s="10" t="s">
        <v>1133</v>
      </c>
    </row>
    <row r="611" spans="1:4" ht="15.75">
      <c r="A611" s="9" t="s">
        <v>1134</v>
      </c>
      <c r="B611" s="10" t="s">
        <v>22</v>
      </c>
      <c r="C611" s="10" t="s">
        <v>280</v>
      </c>
      <c r="D611" s="10" t="s">
        <v>1135</v>
      </c>
    </row>
    <row r="612" spans="1:4" ht="15.75">
      <c r="A612" s="9" t="s">
        <v>1136</v>
      </c>
      <c r="B612" s="10" t="s">
        <v>22</v>
      </c>
      <c r="C612" s="10" t="s">
        <v>46</v>
      </c>
      <c r="D612" s="10" t="s">
        <v>1137</v>
      </c>
    </row>
    <row r="613" spans="1:4" ht="15.75">
      <c r="A613" s="9" t="s">
        <v>1138</v>
      </c>
      <c r="B613" s="10" t="s">
        <v>22</v>
      </c>
      <c r="C613" s="10" t="s">
        <v>103</v>
      </c>
      <c r="D613" s="10" t="s">
        <v>1139</v>
      </c>
    </row>
    <row r="614" spans="1:4" ht="15.75">
      <c r="A614" s="9" t="s">
        <v>1140</v>
      </c>
      <c r="B614" s="10" t="s">
        <v>22</v>
      </c>
      <c r="C614" s="10" t="s">
        <v>113</v>
      </c>
      <c r="D614" s="10" t="s">
        <v>1141</v>
      </c>
    </row>
    <row r="615" spans="1:4" ht="15.75">
      <c r="A615" s="9" t="s">
        <v>1142</v>
      </c>
      <c r="B615" s="10" t="s">
        <v>22</v>
      </c>
      <c r="C615" s="10" t="s">
        <v>964</v>
      </c>
      <c r="D615" s="10" t="s">
        <v>1143</v>
      </c>
    </row>
    <row r="616" spans="1:4" ht="15.75">
      <c r="A616" s="9" t="s">
        <v>1144</v>
      </c>
      <c r="B616" s="10" t="s">
        <v>22</v>
      </c>
      <c r="C616" s="10" t="s">
        <v>964</v>
      </c>
      <c r="D616" s="10" t="s">
        <v>1143</v>
      </c>
    </row>
    <row r="617" spans="1:4" ht="15.75">
      <c r="A617" s="9" t="s">
        <v>1145</v>
      </c>
      <c r="B617" s="10" t="s">
        <v>22</v>
      </c>
      <c r="C617" s="10" t="s">
        <v>213</v>
      </c>
      <c r="D617" s="10" t="s">
        <v>1146</v>
      </c>
    </row>
    <row r="618" spans="1:4" ht="15.75">
      <c r="A618" s="9" t="s">
        <v>1147</v>
      </c>
      <c r="B618" s="10" t="s">
        <v>22</v>
      </c>
      <c r="C618" s="10" t="s">
        <v>213</v>
      </c>
      <c r="D618" s="10" t="s">
        <v>1146</v>
      </c>
    </row>
    <row r="619" spans="1:4" ht="15.75">
      <c r="A619" s="9" t="s">
        <v>1148</v>
      </c>
      <c r="B619" s="10" t="s">
        <v>29</v>
      </c>
      <c r="C619" s="10" t="s">
        <v>126</v>
      </c>
      <c r="D619" s="10" t="s">
        <v>1149</v>
      </c>
    </row>
    <row r="620" spans="1:4" ht="15.75">
      <c r="A620" s="9" t="s">
        <v>1150</v>
      </c>
      <c r="B620" s="10" t="s">
        <v>29</v>
      </c>
      <c r="C620" s="10" t="s">
        <v>30</v>
      </c>
      <c r="D620" s="10" t="s">
        <v>1151</v>
      </c>
    </row>
    <row r="621" spans="1:4" ht="15.75">
      <c r="A621" s="9" t="s">
        <v>1152</v>
      </c>
      <c r="B621" s="10" t="s">
        <v>29</v>
      </c>
      <c r="C621" s="10" t="s">
        <v>830</v>
      </c>
      <c r="D621" s="10" t="s">
        <v>1153</v>
      </c>
    </row>
    <row r="622" spans="1:4" ht="15.75">
      <c r="A622" s="9" t="s">
        <v>1154</v>
      </c>
      <c r="B622" s="10" t="s">
        <v>29</v>
      </c>
      <c r="C622" s="10" t="s">
        <v>77</v>
      </c>
      <c r="D622" s="10" t="s">
        <v>1155</v>
      </c>
    </row>
    <row r="623" spans="1:4" ht="15.75">
      <c r="A623" s="11" t="s">
        <v>1156</v>
      </c>
      <c r="B623" s="10" t="s">
        <v>29</v>
      </c>
      <c r="C623" s="10" t="s">
        <v>30</v>
      </c>
      <c r="D623" s="10" t="s">
        <v>1157</v>
      </c>
    </row>
    <row r="624" spans="1:4" ht="15.75">
      <c r="A624" s="9" t="s">
        <v>1158</v>
      </c>
      <c r="B624" s="10" t="s">
        <v>29</v>
      </c>
      <c r="C624" s="10" t="s">
        <v>1159</v>
      </c>
      <c r="D624" s="10" t="s">
        <v>1160</v>
      </c>
    </row>
    <row r="625" spans="1:4" ht="15.75">
      <c r="A625" s="11" t="s">
        <v>1161</v>
      </c>
      <c r="B625" s="10" t="s">
        <v>29</v>
      </c>
      <c r="C625" s="10" t="s">
        <v>38</v>
      </c>
      <c r="D625" s="10" t="s">
        <v>1162</v>
      </c>
    </row>
    <row r="626" spans="1:4" ht="15.75">
      <c r="A626" s="9" t="s">
        <v>1163</v>
      </c>
      <c r="B626" s="10" t="s">
        <v>29</v>
      </c>
      <c r="C626" s="10" t="s">
        <v>830</v>
      </c>
      <c r="D626" s="10" t="s">
        <v>1164</v>
      </c>
    </row>
    <row r="627" spans="1:4" ht="15.75">
      <c r="A627" s="9" t="s">
        <v>1165</v>
      </c>
      <c r="B627" s="10" t="s">
        <v>29</v>
      </c>
      <c r="C627" s="10" t="s">
        <v>126</v>
      </c>
      <c r="D627" s="10" t="s">
        <v>1166</v>
      </c>
    </row>
    <row r="628" spans="1:4" ht="15.75">
      <c r="A628" s="9" t="s">
        <v>1167</v>
      </c>
      <c r="B628" s="10" t="s">
        <v>29</v>
      </c>
      <c r="C628" s="10" t="s">
        <v>830</v>
      </c>
      <c r="D628" s="10" t="s">
        <v>1168</v>
      </c>
    </row>
    <row r="629" spans="1:4" ht="15.75">
      <c r="A629" s="9" t="s">
        <v>1169</v>
      </c>
      <c r="B629" s="10" t="s">
        <v>29</v>
      </c>
      <c r="C629" s="10" t="s">
        <v>479</v>
      </c>
      <c r="D629" s="10" t="s">
        <v>1170</v>
      </c>
    </row>
    <row r="630" spans="1:4" ht="15.75">
      <c r="A630" s="9" t="s">
        <v>1171</v>
      </c>
      <c r="B630" s="10" t="s">
        <v>29</v>
      </c>
      <c r="C630" s="10" t="s">
        <v>30</v>
      </c>
      <c r="D630" s="10" t="s">
        <v>1172</v>
      </c>
    </row>
    <row r="631" spans="1:4" ht="15.75">
      <c r="A631" s="11" t="s">
        <v>1173</v>
      </c>
      <c r="B631" s="10" t="s">
        <v>29</v>
      </c>
      <c r="C631" s="10" t="s">
        <v>126</v>
      </c>
      <c r="D631" s="10" t="s">
        <v>1174</v>
      </c>
    </row>
    <row r="632" spans="1:4" ht="15.75">
      <c r="A632" s="11" t="s">
        <v>1175</v>
      </c>
      <c r="B632" s="10" t="s">
        <v>29</v>
      </c>
      <c r="C632" s="10" t="s">
        <v>830</v>
      </c>
      <c r="D632" s="10" t="s">
        <v>1176</v>
      </c>
    </row>
    <row r="633" spans="1:4" ht="15.75">
      <c r="A633" s="9" t="s">
        <v>1177</v>
      </c>
      <c r="B633" s="10" t="s">
        <v>22</v>
      </c>
      <c r="C633" s="10" t="s">
        <v>213</v>
      </c>
      <c r="D633" s="10" t="s">
        <v>1178</v>
      </c>
    </row>
    <row r="634" spans="1:4" ht="15.75">
      <c r="A634" s="9" t="s">
        <v>1179</v>
      </c>
      <c r="B634" s="10" t="s">
        <v>22</v>
      </c>
      <c r="C634" s="10" t="s">
        <v>213</v>
      </c>
      <c r="D634" s="10" t="s">
        <v>1178</v>
      </c>
    </row>
    <row r="635" spans="1:4" ht="15.75">
      <c r="A635" s="9" t="s">
        <v>1180</v>
      </c>
      <c r="B635" s="10" t="s">
        <v>29</v>
      </c>
      <c r="C635" s="10" t="s">
        <v>77</v>
      </c>
      <c r="D635" s="10" t="s">
        <v>1181</v>
      </c>
    </row>
    <row r="636" spans="1:4" ht="15.75">
      <c r="A636" s="9" t="s">
        <v>1182</v>
      </c>
      <c r="B636" s="10" t="s">
        <v>22</v>
      </c>
      <c r="C636" s="10" t="s">
        <v>139</v>
      </c>
      <c r="D636" s="10" t="s">
        <v>1183</v>
      </c>
    </row>
    <row r="637" spans="1:4" ht="15.75">
      <c r="A637" s="9" t="s">
        <v>1184</v>
      </c>
      <c r="B637" s="10" t="s">
        <v>29</v>
      </c>
      <c r="C637" s="10" t="s">
        <v>123</v>
      </c>
      <c r="D637" s="10" t="s">
        <v>1185</v>
      </c>
    </row>
    <row r="638" spans="1:4" ht="15.75">
      <c r="A638" s="9" t="s">
        <v>1186</v>
      </c>
      <c r="B638" s="10" t="s">
        <v>22</v>
      </c>
      <c r="C638" s="10" t="s">
        <v>46</v>
      </c>
      <c r="D638" s="10" t="s">
        <v>1187</v>
      </c>
    </row>
    <row r="639" spans="1:4" ht="15.75">
      <c r="A639" s="9" t="s">
        <v>1188</v>
      </c>
      <c r="B639" s="10" t="s">
        <v>22</v>
      </c>
      <c r="C639" s="10" t="s">
        <v>46</v>
      </c>
      <c r="D639" s="10" t="s">
        <v>1187</v>
      </c>
    </row>
    <row r="640" spans="1:4" ht="15.75">
      <c r="A640" s="11" t="s">
        <v>1189</v>
      </c>
      <c r="B640" s="10" t="s">
        <v>29</v>
      </c>
      <c r="C640" s="10" t="s">
        <v>126</v>
      </c>
      <c r="D640" s="10" t="s">
        <v>1190</v>
      </c>
    </row>
    <row r="641" spans="1:4" ht="15.75">
      <c r="A641" s="9" t="s">
        <v>1191</v>
      </c>
      <c r="B641" s="10" t="s">
        <v>22</v>
      </c>
      <c r="C641" s="10" t="s">
        <v>69</v>
      </c>
      <c r="D641" s="10" t="s">
        <v>1192</v>
      </c>
    </row>
    <row r="642" spans="1:4" ht="15.75">
      <c r="A642" s="9" t="s">
        <v>1193</v>
      </c>
      <c r="B642" s="10" t="s">
        <v>22</v>
      </c>
      <c r="C642" s="10" t="s">
        <v>1194</v>
      </c>
      <c r="D642" s="10" t="s">
        <v>1195</v>
      </c>
    </row>
    <row r="643" spans="1:4" ht="15.75">
      <c r="A643" s="9" t="s">
        <v>1196</v>
      </c>
      <c r="B643" s="10" t="s">
        <v>22</v>
      </c>
      <c r="C643" s="10" t="s">
        <v>447</v>
      </c>
      <c r="D643" s="10" t="s">
        <v>1197</v>
      </c>
    </row>
    <row r="644" spans="1:4" ht="15.75">
      <c r="A644" s="9" t="s">
        <v>1198</v>
      </c>
      <c r="B644" s="10" t="s">
        <v>29</v>
      </c>
      <c r="C644" s="10" t="s">
        <v>58</v>
      </c>
      <c r="D644" s="10" t="s">
        <v>1199</v>
      </c>
    </row>
    <row r="645" spans="1:4" ht="15.75">
      <c r="A645" s="9" t="s">
        <v>1200</v>
      </c>
      <c r="B645" s="10" t="s">
        <v>22</v>
      </c>
      <c r="C645" s="10" t="s">
        <v>46</v>
      </c>
      <c r="D645" s="10" t="s">
        <v>1201</v>
      </c>
    </row>
    <row r="646" spans="1:4" ht="15.75">
      <c r="A646" s="9" t="s">
        <v>1202</v>
      </c>
      <c r="B646" s="10" t="s">
        <v>22</v>
      </c>
      <c r="C646" s="10" t="s">
        <v>46</v>
      </c>
      <c r="D646" s="10" t="s">
        <v>1201</v>
      </c>
    </row>
    <row r="647" spans="1:4" ht="15.75">
      <c r="A647" s="9" t="s">
        <v>1203</v>
      </c>
      <c r="B647" s="10" t="s">
        <v>22</v>
      </c>
      <c r="C647" s="10" t="s">
        <v>46</v>
      </c>
      <c r="D647" s="10" t="s">
        <v>1201</v>
      </c>
    </row>
    <row r="648" spans="1:4" ht="15.75">
      <c r="A648" s="9" t="s">
        <v>1204</v>
      </c>
      <c r="B648" s="10" t="s">
        <v>29</v>
      </c>
      <c r="C648" s="10" t="s">
        <v>126</v>
      </c>
      <c r="D648" s="10" t="s">
        <v>1205</v>
      </c>
    </row>
    <row r="649" spans="1:4" ht="15.75">
      <c r="A649" s="9" t="s">
        <v>1206</v>
      </c>
      <c r="B649" s="10" t="s">
        <v>22</v>
      </c>
      <c r="C649" s="10" t="s">
        <v>183</v>
      </c>
      <c r="D649" s="10" t="s">
        <v>1207</v>
      </c>
    </row>
    <row r="650" spans="1:4" ht="15.75">
      <c r="A650" s="9" t="s">
        <v>1208</v>
      </c>
      <c r="B650" s="10" t="s">
        <v>22</v>
      </c>
      <c r="C650" s="10" t="s">
        <v>69</v>
      </c>
      <c r="D650" s="10" t="s">
        <v>1209</v>
      </c>
    </row>
    <row r="651" spans="1:4" ht="15.75">
      <c r="A651" s="9" t="s">
        <v>1210</v>
      </c>
      <c r="B651" s="10" t="s">
        <v>22</v>
      </c>
      <c r="C651" s="10" t="s">
        <v>69</v>
      </c>
      <c r="D651" s="10" t="s">
        <v>1209</v>
      </c>
    </row>
    <row r="652" spans="1:4" ht="15.75">
      <c r="A652" s="9" t="s">
        <v>1211</v>
      </c>
      <c r="B652" s="10" t="s">
        <v>22</v>
      </c>
      <c r="C652" s="10" t="s">
        <v>69</v>
      </c>
      <c r="D652" s="10" t="s">
        <v>1209</v>
      </c>
    </row>
    <row r="653" spans="1:4" ht="15.75">
      <c r="A653" s="9" t="s">
        <v>1212</v>
      </c>
      <c r="B653" s="10" t="s">
        <v>22</v>
      </c>
      <c r="C653" s="10" t="s">
        <v>371</v>
      </c>
      <c r="D653" s="10" t="s">
        <v>1213</v>
      </c>
    </row>
    <row r="654" spans="1:4" ht="15.75">
      <c r="A654" s="11" t="s">
        <v>1214</v>
      </c>
      <c r="B654" s="10" t="s">
        <v>29</v>
      </c>
      <c r="C654" s="10" t="s">
        <v>30</v>
      </c>
      <c r="D654" s="10" t="s">
        <v>1215</v>
      </c>
    </row>
    <row r="655" spans="1:4" ht="15.75">
      <c r="A655" s="9" t="s">
        <v>1216</v>
      </c>
      <c r="B655" s="10" t="s">
        <v>22</v>
      </c>
      <c r="C655" s="10" t="s">
        <v>139</v>
      </c>
      <c r="D655" s="10" t="s">
        <v>1217</v>
      </c>
    </row>
    <row r="656" spans="1:4" ht="15.75">
      <c r="A656" s="9" t="s">
        <v>1218</v>
      </c>
      <c r="B656" s="10" t="s">
        <v>22</v>
      </c>
      <c r="C656" s="10" t="s">
        <v>213</v>
      </c>
      <c r="D656" s="10" t="s">
        <v>1219</v>
      </c>
    </row>
    <row r="657" spans="1:4" ht="15.75">
      <c r="A657" s="9" t="s">
        <v>1220</v>
      </c>
      <c r="B657" s="10" t="s">
        <v>22</v>
      </c>
      <c r="C657" s="10" t="s">
        <v>213</v>
      </c>
      <c r="D657" s="10" t="s">
        <v>1219</v>
      </c>
    </row>
    <row r="658" spans="1:4" ht="15.75">
      <c r="A658" s="9" t="s">
        <v>1221</v>
      </c>
      <c r="B658" s="10" t="s">
        <v>29</v>
      </c>
      <c r="C658" s="13" t="s">
        <v>77</v>
      </c>
      <c r="D658" s="13" t="s">
        <v>1222</v>
      </c>
    </row>
    <row r="659" spans="1:4" ht="15.75">
      <c r="A659" s="11" t="s">
        <v>1223</v>
      </c>
      <c r="B659" s="10" t="s">
        <v>29</v>
      </c>
      <c r="C659" s="10" t="s">
        <v>126</v>
      </c>
      <c r="D659" s="10" t="s">
        <v>1224</v>
      </c>
    </row>
    <row r="660" spans="1:4" ht="15.75">
      <c r="A660" s="9" t="s">
        <v>1225</v>
      </c>
      <c r="B660" s="10" t="s">
        <v>22</v>
      </c>
      <c r="C660" s="10" t="s">
        <v>25</v>
      </c>
      <c r="D660" s="10" t="s">
        <v>1226</v>
      </c>
    </row>
    <row r="661" spans="1:4" ht="15.75">
      <c r="A661" s="9" t="s">
        <v>1227</v>
      </c>
      <c r="B661" s="10" t="s">
        <v>22</v>
      </c>
      <c r="C661" s="10" t="s">
        <v>25</v>
      </c>
      <c r="D661" s="10" t="s">
        <v>1226</v>
      </c>
    </row>
    <row r="662" spans="1:4" ht="15.75">
      <c r="A662" s="9" t="s">
        <v>1228</v>
      </c>
      <c r="B662" s="10" t="s">
        <v>22</v>
      </c>
      <c r="C662" s="10" t="s">
        <v>25</v>
      </c>
      <c r="D662" s="10" t="s">
        <v>1226</v>
      </c>
    </row>
    <row r="663" spans="1:4" ht="15.75">
      <c r="A663" s="9" t="s">
        <v>1229</v>
      </c>
      <c r="B663" s="10" t="s">
        <v>22</v>
      </c>
      <c r="C663" s="10" t="s">
        <v>1230</v>
      </c>
      <c r="D663" s="10" t="s">
        <v>1231</v>
      </c>
    </row>
    <row r="664" spans="1:4" ht="15.75">
      <c r="A664" s="9" t="s">
        <v>1232</v>
      </c>
      <c r="B664" s="10" t="s">
        <v>22</v>
      </c>
      <c r="C664" s="10" t="s">
        <v>1230</v>
      </c>
      <c r="D664" s="10" t="s">
        <v>1231</v>
      </c>
    </row>
    <row r="665" spans="1:4" ht="15.75">
      <c r="A665" s="9" t="s">
        <v>1233</v>
      </c>
      <c r="B665" s="10" t="s">
        <v>22</v>
      </c>
      <c r="C665" s="10" t="s">
        <v>1230</v>
      </c>
      <c r="D665" s="10" t="s">
        <v>1231</v>
      </c>
    </row>
    <row r="666" spans="1:4" ht="15.75">
      <c r="A666" s="9" t="s">
        <v>1234</v>
      </c>
      <c r="B666" s="10" t="s">
        <v>22</v>
      </c>
      <c r="C666" s="10" t="s">
        <v>69</v>
      </c>
      <c r="D666" s="10" t="s">
        <v>1235</v>
      </c>
    </row>
    <row r="667" spans="1:4" ht="15.75">
      <c r="A667" s="9" t="s">
        <v>1236</v>
      </c>
      <c r="B667" s="10" t="s">
        <v>22</v>
      </c>
      <c r="C667" s="10" t="s">
        <v>69</v>
      </c>
      <c r="D667" s="10" t="s">
        <v>1237</v>
      </c>
    </row>
    <row r="668" spans="1:4" ht="15.75">
      <c r="A668" s="9" t="s">
        <v>1238</v>
      </c>
      <c r="B668" s="10" t="s">
        <v>22</v>
      </c>
      <c r="C668" s="10" t="s">
        <v>81</v>
      </c>
      <c r="D668" s="10" t="s">
        <v>1239</v>
      </c>
    </row>
    <row r="669" spans="1:4" ht="15.75">
      <c r="A669" s="9" t="s">
        <v>1240</v>
      </c>
      <c r="B669" s="10" t="s">
        <v>22</v>
      </c>
      <c r="C669" s="10" t="s">
        <v>81</v>
      </c>
      <c r="D669" s="10" t="s">
        <v>1239</v>
      </c>
    </row>
    <row r="670" spans="1:4" ht="15.75">
      <c r="A670" s="9" t="s">
        <v>1241</v>
      </c>
      <c r="B670" s="10" t="s">
        <v>29</v>
      </c>
      <c r="C670" s="10" t="s">
        <v>77</v>
      </c>
      <c r="D670" s="10" t="s">
        <v>1242</v>
      </c>
    </row>
    <row r="671" spans="1:4" ht="15.75">
      <c r="A671" s="11" t="s">
        <v>1243</v>
      </c>
      <c r="B671" s="10" t="s">
        <v>29</v>
      </c>
      <c r="C671" s="10" t="s">
        <v>126</v>
      </c>
      <c r="D671" s="10" t="s">
        <v>1244</v>
      </c>
    </row>
    <row r="672" spans="1:4" ht="15.75">
      <c r="A672" s="9" t="s">
        <v>1245</v>
      </c>
      <c r="B672" s="10" t="s">
        <v>22</v>
      </c>
      <c r="C672" s="10" t="s">
        <v>69</v>
      </c>
      <c r="D672" s="10" t="s">
        <v>1246</v>
      </c>
    </row>
    <row r="673" spans="1:4" ht="15.75">
      <c r="A673" s="9" t="s">
        <v>1245</v>
      </c>
      <c r="B673" s="10" t="s">
        <v>22</v>
      </c>
      <c r="C673" s="10" t="s">
        <v>69</v>
      </c>
      <c r="D673" s="10" t="s">
        <v>1246</v>
      </c>
    </row>
    <row r="674" spans="1:4" ht="15.75">
      <c r="A674" s="9" t="s">
        <v>1247</v>
      </c>
      <c r="B674" s="10" t="s">
        <v>22</v>
      </c>
      <c r="C674" s="10" t="s">
        <v>69</v>
      </c>
      <c r="D674" s="10" t="s">
        <v>1248</v>
      </c>
    </row>
    <row r="675" spans="1:4" ht="15.75">
      <c r="A675" s="9" t="s">
        <v>1249</v>
      </c>
      <c r="B675" s="10" t="s">
        <v>29</v>
      </c>
      <c r="C675" s="10" t="s">
        <v>126</v>
      </c>
      <c r="D675" s="10" t="s">
        <v>1250</v>
      </c>
    </row>
    <row r="676" spans="1:4" ht="15.75">
      <c r="A676" s="9" t="s">
        <v>1251</v>
      </c>
      <c r="B676" s="10" t="s">
        <v>22</v>
      </c>
      <c r="C676" s="10" t="s">
        <v>25</v>
      </c>
      <c r="D676" s="10" t="s">
        <v>1252</v>
      </c>
    </row>
    <row r="677" spans="1:4" ht="15.75">
      <c r="A677" s="9" t="s">
        <v>1253</v>
      </c>
      <c r="B677" s="10" t="s">
        <v>22</v>
      </c>
      <c r="C677" s="10" t="s">
        <v>25</v>
      </c>
      <c r="D677" s="10" t="s">
        <v>1252</v>
      </c>
    </row>
    <row r="678" spans="1:4" ht="15.75">
      <c r="A678" s="9" t="s">
        <v>1254</v>
      </c>
      <c r="B678" s="10" t="s">
        <v>22</v>
      </c>
      <c r="C678" s="10" t="s">
        <v>103</v>
      </c>
      <c r="D678" s="10" t="s">
        <v>1255</v>
      </c>
    </row>
    <row r="679" spans="1:4" ht="15.75">
      <c r="A679" s="9" t="s">
        <v>1256</v>
      </c>
      <c r="B679" s="10" t="s">
        <v>22</v>
      </c>
      <c r="C679" s="10" t="s">
        <v>103</v>
      </c>
      <c r="D679" s="10" t="s">
        <v>1255</v>
      </c>
    </row>
    <row r="680" spans="1:4" ht="15.75">
      <c r="A680" s="9" t="s">
        <v>1257</v>
      </c>
      <c r="B680" s="10" t="s">
        <v>22</v>
      </c>
      <c r="C680" s="10" t="s">
        <v>81</v>
      </c>
      <c r="D680" s="10" t="s">
        <v>1258</v>
      </c>
    </row>
    <row r="681" spans="1:4" ht="15.75">
      <c r="A681" s="9" t="s">
        <v>1259</v>
      </c>
      <c r="B681" s="10" t="s">
        <v>29</v>
      </c>
      <c r="C681" s="10" t="s">
        <v>126</v>
      </c>
      <c r="D681" s="10" t="s">
        <v>1260</v>
      </c>
    </row>
    <row r="682" spans="1:4" ht="15.75">
      <c r="A682" s="9" t="s">
        <v>1261</v>
      </c>
      <c r="B682" s="10" t="s">
        <v>22</v>
      </c>
      <c r="C682" s="10" t="s">
        <v>1262</v>
      </c>
      <c r="D682" s="10" t="s">
        <v>1263</v>
      </c>
    </row>
    <row r="683" spans="1:4" ht="15.75">
      <c r="A683" s="9" t="s">
        <v>1264</v>
      </c>
      <c r="B683" s="10" t="s">
        <v>29</v>
      </c>
      <c r="C683" s="10" t="s">
        <v>77</v>
      </c>
      <c r="D683" s="10" t="s">
        <v>1265</v>
      </c>
    </row>
    <row r="684" spans="1:4" ht="15.75">
      <c r="A684" s="11" t="s">
        <v>1266</v>
      </c>
      <c r="B684" s="10" t="s">
        <v>29</v>
      </c>
      <c r="C684" s="10" t="s">
        <v>38</v>
      </c>
      <c r="D684" s="10" t="s">
        <v>1267</v>
      </c>
    </row>
    <row r="685" spans="1:4" ht="15.75">
      <c r="A685" s="9" t="s">
        <v>1268</v>
      </c>
      <c r="B685" s="10" t="s">
        <v>22</v>
      </c>
      <c r="C685" s="10" t="s">
        <v>213</v>
      </c>
      <c r="D685" s="10" t="s">
        <v>1269</v>
      </c>
    </row>
    <row r="686" spans="1:4" ht="15.75">
      <c r="A686" s="9" t="s">
        <v>1270</v>
      </c>
      <c r="B686" s="10" t="s">
        <v>22</v>
      </c>
      <c r="C686" s="10" t="s">
        <v>213</v>
      </c>
      <c r="D686" s="10" t="s">
        <v>1269</v>
      </c>
    </row>
    <row r="687" spans="1:4" ht="15.75">
      <c r="A687" s="9" t="s">
        <v>1271</v>
      </c>
      <c r="B687" s="10" t="s">
        <v>22</v>
      </c>
      <c r="C687" s="10" t="s">
        <v>81</v>
      </c>
      <c r="D687" s="10" t="s">
        <v>1272</v>
      </c>
    </row>
    <row r="688" spans="1:4" ht="15.75">
      <c r="A688" s="9" t="s">
        <v>1273</v>
      </c>
      <c r="B688" s="10" t="s">
        <v>22</v>
      </c>
      <c r="C688" s="10" t="s">
        <v>81</v>
      </c>
      <c r="D688" s="10" t="s">
        <v>1272</v>
      </c>
    </row>
    <row r="689" spans="1:4" ht="15.75">
      <c r="A689" s="9" t="s">
        <v>1274</v>
      </c>
      <c r="B689" s="10" t="s">
        <v>22</v>
      </c>
      <c r="C689" s="10" t="s">
        <v>62</v>
      </c>
      <c r="D689" s="10" t="s">
        <v>1275</v>
      </c>
    </row>
    <row r="690" spans="1:4" ht="15.75">
      <c r="A690" s="9" t="s">
        <v>1276</v>
      </c>
      <c r="B690" s="10" t="s">
        <v>22</v>
      </c>
      <c r="C690" s="10" t="s">
        <v>134</v>
      </c>
      <c r="D690" s="10" t="s">
        <v>1277</v>
      </c>
    </row>
    <row r="691" spans="1:4" ht="15.75">
      <c r="A691" s="9" t="s">
        <v>1278</v>
      </c>
      <c r="B691" s="10" t="s">
        <v>22</v>
      </c>
      <c r="C691" s="10" t="s">
        <v>69</v>
      </c>
      <c r="D691" s="10" t="s">
        <v>1279</v>
      </c>
    </row>
    <row r="692" spans="1:4" ht="15.75">
      <c r="A692" s="9" t="s">
        <v>1280</v>
      </c>
      <c r="B692" s="10" t="s">
        <v>22</v>
      </c>
      <c r="C692" s="10" t="s">
        <v>69</v>
      </c>
      <c r="D692" s="10" t="s">
        <v>1279</v>
      </c>
    </row>
    <row r="693" spans="1:4" ht="15.75">
      <c r="A693" s="9" t="s">
        <v>1281</v>
      </c>
      <c r="B693" s="10" t="s">
        <v>22</v>
      </c>
      <c r="C693" s="10" t="s">
        <v>505</v>
      </c>
      <c r="D693" s="10" t="s">
        <v>1282</v>
      </c>
    </row>
    <row r="694" spans="1:4" ht="15.75">
      <c r="A694" s="9" t="s">
        <v>1283</v>
      </c>
      <c r="B694" s="10" t="s">
        <v>22</v>
      </c>
      <c r="C694" s="10" t="s">
        <v>69</v>
      </c>
      <c r="D694" s="10" t="s">
        <v>1284</v>
      </c>
    </row>
    <row r="695" spans="1:4" ht="15.75">
      <c r="A695" s="11" t="s">
        <v>1285</v>
      </c>
      <c r="B695" s="10" t="s">
        <v>22</v>
      </c>
      <c r="C695" s="10" t="s">
        <v>113</v>
      </c>
      <c r="D695" s="10" t="s">
        <v>1284</v>
      </c>
    </row>
    <row r="696" spans="1:4" ht="15.75">
      <c r="A696" s="9" t="s">
        <v>1286</v>
      </c>
      <c r="B696" s="10" t="s">
        <v>22</v>
      </c>
      <c r="C696" s="10" t="s">
        <v>34</v>
      </c>
      <c r="D696" s="10" t="s">
        <v>1287</v>
      </c>
    </row>
    <row r="697" spans="1:4" ht="15.75">
      <c r="A697" s="9" t="s">
        <v>1288</v>
      </c>
      <c r="B697" s="10" t="s">
        <v>22</v>
      </c>
      <c r="C697" s="10" t="s">
        <v>69</v>
      </c>
      <c r="D697" s="10" t="s">
        <v>1289</v>
      </c>
    </row>
    <row r="698" spans="1:4" ht="15.75">
      <c r="A698" s="9" t="s">
        <v>1290</v>
      </c>
      <c r="B698" s="10" t="s">
        <v>22</v>
      </c>
      <c r="C698" s="10" t="s">
        <v>69</v>
      </c>
      <c r="D698" s="10" t="s">
        <v>1289</v>
      </c>
    </row>
    <row r="699" spans="1:4" ht="15.75">
      <c r="A699" s="9" t="s">
        <v>1291</v>
      </c>
      <c r="B699" s="10" t="s">
        <v>22</v>
      </c>
      <c r="C699" s="10" t="s">
        <v>69</v>
      </c>
      <c r="D699" s="10" t="s">
        <v>1289</v>
      </c>
    </row>
    <row r="700" spans="1:4" ht="15.75">
      <c r="A700" s="9" t="s">
        <v>1292</v>
      </c>
      <c r="B700" s="10" t="s">
        <v>22</v>
      </c>
      <c r="C700" s="10" t="s">
        <v>69</v>
      </c>
      <c r="D700" s="10" t="s">
        <v>1293</v>
      </c>
    </row>
    <row r="701" spans="1:4" ht="15.75">
      <c r="A701" s="9" t="s">
        <v>1294</v>
      </c>
      <c r="B701" s="10" t="s">
        <v>22</v>
      </c>
      <c r="C701" s="10" t="s">
        <v>69</v>
      </c>
      <c r="D701" s="10" t="s">
        <v>1293</v>
      </c>
    </row>
    <row r="702" spans="1:4" ht="15.75">
      <c r="A702" s="9" t="s">
        <v>1295</v>
      </c>
      <c r="B702" s="10" t="s">
        <v>22</v>
      </c>
      <c r="C702" s="10" t="s">
        <v>69</v>
      </c>
      <c r="D702" s="10" t="s">
        <v>1293</v>
      </c>
    </row>
    <row r="703" spans="1:4" ht="15.75">
      <c r="A703" s="9" t="s">
        <v>1296</v>
      </c>
      <c r="B703" s="10" t="s">
        <v>29</v>
      </c>
      <c r="C703" s="10" t="s">
        <v>58</v>
      </c>
      <c r="D703" s="10" t="s">
        <v>1297</v>
      </c>
    </row>
    <row r="704" spans="1:4" ht="15.75">
      <c r="A704" s="9" t="s">
        <v>1298</v>
      </c>
      <c r="B704" s="10" t="s">
        <v>22</v>
      </c>
      <c r="C704" s="10" t="s">
        <v>778</v>
      </c>
      <c r="D704" s="10" t="s">
        <v>1299</v>
      </c>
    </row>
    <row r="705" spans="1:4" ht="15.75">
      <c r="A705" s="9" t="s">
        <v>1300</v>
      </c>
      <c r="B705" s="10" t="s">
        <v>22</v>
      </c>
      <c r="C705" s="10" t="s">
        <v>778</v>
      </c>
      <c r="D705" s="10" t="s">
        <v>1299</v>
      </c>
    </row>
    <row r="706" spans="1:4" ht="15.75">
      <c r="A706" s="9" t="s">
        <v>1301</v>
      </c>
      <c r="B706" s="10" t="s">
        <v>22</v>
      </c>
      <c r="C706" s="10" t="s">
        <v>778</v>
      </c>
      <c r="D706" s="10" t="s">
        <v>1299</v>
      </c>
    </row>
    <row r="707" spans="1:4" ht="15.75">
      <c r="A707" s="9" t="s">
        <v>1302</v>
      </c>
      <c r="B707" s="10" t="s">
        <v>22</v>
      </c>
      <c r="C707" s="10" t="s">
        <v>69</v>
      </c>
      <c r="D707" s="10" t="s">
        <v>1303</v>
      </c>
    </row>
    <row r="708" spans="1:4" ht="15.75">
      <c r="A708" s="9" t="s">
        <v>1304</v>
      </c>
      <c r="B708" s="10" t="s">
        <v>29</v>
      </c>
      <c r="C708" s="10" t="s">
        <v>77</v>
      </c>
      <c r="D708" s="10" t="s">
        <v>1305</v>
      </c>
    </row>
    <row r="709" spans="1:4" ht="15.75">
      <c r="A709" s="9" t="s">
        <v>1306</v>
      </c>
      <c r="B709" s="10" t="s">
        <v>22</v>
      </c>
      <c r="C709" s="10" t="s">
        <v>280</v>
      </c>
      <c r="D709" s="10" t="s">
        <v>1307</v>
      </c>
    </row>
    <row r="710" spans="1:4" ht="15.75">
      <c r="A710" s="9" t="s">
        <v>1308</v>
      </c>
      <c r="B710" s="10" t="s">
        <v>22</v>
      </c>
      <c r="C710" s="10" t="s">
        <v>69</v>
      </c>
      <c r="D710" s="10" t="s">
        <v>1309</v>
      </c>
    </row>
    <row r="711" spans="1:4" ht="15.75">
      <c r="A711" s="9" t="s">
        <v>1310</v>
      </c>
      <c r="B711" s="10" t="s">
        <v>22</v>
      </c>
      <c r="C711" s="10" t="s">
        <v>69</v>
      </c>
      <c r="D711" s="10" t="s">
        <v>1309</v>
      </c>
    </row>
    <row r="712" spans="1:4" ht="15.75">
      <c r="A712" s="9" t="s">
        <v>1311</v>
      </c>
      <c r="B712" s="10" t="s">
        <v>22</v>
      </c>
      <c r="C712" s="10" t="s">
        <v>69</v>
      </c>
      <c r="D712" s="10" t="s">
        <v>1312</v>
      </c>
    </row>
    <row r="713" spans="1:4" ht="15.75">
      <c r="A713" s="9" t="s">
        <v>1313</v>
      </c>
      <c r="B713" s="10" t="s">
        <v>22</v>
      </c>
      <c r="C713" s="10" t="s">
        <v>113</v>
      </c>
      <c r="D713" s="10" t="s">
        <v>1314</v>
      </c>
    </row>
    <row r="714" spans="1:4" ht="15.75">
      <c r="A714" s="9" t="s">
        <v>1315</v>
      </c>
      <c r="B714" s="10" t="s">
        <v>29</v>
      </c>
      <c r="C714" s="10" t="s">
        <v>30</v>
      </c>
      <c r="D714" s="10" t="s">
        <v>1316</v>
      </c>
    </row>
    <row r="715" spans="1:4" ht="15.75">
      <c r="A715" s="9" t="s">
        <v>1317</v>
      </c>
      <c r="B715" s="10" t="s">
        <v>22</v>
      </c>
      <c r="C715" s="10" t="s">
        <v>46</v>
      </c>
      <c r="D715" s="10" t="s">
        <v>1318</v>
      </c>
    </row>
    <row r="716" spans="1:4" ht="15.75">
      <c r="A716" s="9" t="s">
        <v>1319</v>
      </c>
      <c r="B716" s="10" t="s">
        <v>22</v>
      </c>
      <c r="C716" s="10" t="s">
        <v>25</v>
      </c>
      <c r="D716" s="10" t="s">
        <v>1320</v>
      </c>
    </row>
    <row r="717" spans="1:4" ht="15.75">
      <c r="A717" s="9" t="s">
        <v>1321</v>
      </c>
      <c r="B717" s="10" t="s">
        <v>22</v>
      </c>
      <c r="C717" s="10" t="s">
        <v>25</v>
      </c>
      <c r="D717" s="10" t="s">
        <v>1320</v>
      </c>
    </row>
    <row r="718" spans="1:4" ht="15.75">
      <c r="A718" s="9" t="s">
        <v>1322</v>
      </c>
      <c r="B718" s="10" t="s">
        <v>22</v>
      </c>
      <c r="C718" s="10" t="s">
        <v>25</v>
      </c>
      <c r="D718" s="10" t="s">
        <v>1320</v>
      </c>
    </row>
    <row r="719" spans="1:4" ht="15.75">
      <c r="A719" s="9" t="s">
        <v>1323</v>
      </c>
      <c r="B719" s="10" t="s">
        <v>22</v>
      </c>
      <c r="C719" s="10" t="s">
        <v>139</v>
      </c>
      <c r="D719" s="10" t="s">
        <v>1324</v>
      </c>
    </row>
    <row r="720" spans="1:4" ht="15.75">
      <c r="A720" s="9" t="s">
        <v>1325</v>
      </c>
      <c r="B720" s="10" t="s">
        <v>22</v>
      </c>
      <c r="C720" s="10" t="s">
        <v>139</v>
      </c>
      <c r="D720" s="10" t="s">
        <v>1324</v>
      </c>
    </row>
    <row r="721" spans="1:4" ht="15.75">
      <c r="A721" s="9" t="s">
        <v>1326</v>
      </c>
      <c r="B721" s="10" t="s">
        <v>22</v>
      </c>
      <c r="C721" s="10" t="s">
        <v>617</v>
      </c>
      <c r="D721" s="10" t="s">
        <v>1327</v>
      </c>
    </row>
    <row r="722" spans="1:4" ht="15.75">
      <c r="A722" s="9" t="s">
        <v>1328</v>
      </c>
      <c r="B722" s="10" t="s">
        <v>22</v>
      </c>
      <c r="C722" s="10" t="s">
        <v>617</v>
      </c>
      <c r="D722" s="10" t="s">
        <v>1327</v>
      </c>
    </row>
    <row r="723" spans="1:4" ht="15.75">
      <c r="A723" s="9" t="s">
        <v>1329</v>
      </c>
      <c r="B723" s="10" t="s">
        <v>22</v>
      </c>
      <c r="C723" s="10" t="s">
        <v>617</v>
      </c>
      <c r="D723" s="10" t="s">
        <v>1327</v>
      </c>
    </row>
    <row r="724" spans="1:4" ht="15.75">
      <c r="A724" s="9" t="s">
        <v>1330</v>
      </c>
      <c r="B724" s="10" t="s">
        <v>22</v>
      </c>
      <c r="C724" s="10" t="s">
        <v>46</v>
      </c>
      <c r="D724" s="10" t="s">
        <v>1331</v>
      </c>
    </row>
    <row r="725" spans="1:4" ht="15.75">
      <c r="A725" s="9" t="s">
        <v>1332</v>
      </c>
      <c r="B725" s="10" t="s">
        <v>22</v>
      </c>
      <c r="C725" s="10" t="s">
        <v>46</v>
      </c>
      <c r="D725" s="10" t="s">
        <v>1331</v>
      </c>
    </row>
    <row r="726" spans="1:4" ht="15.75">
      <c r="A726" s="9" t="s">
        <v>1333</v>
      </c>
      <c r="B726" s="10" t="s">
        <v>22</v>
      </c>
      <c r="C726" s="10" t="s">
        <v>46</v>
      </c>
      <c r="D726" s="10" t="s">
        <v>1331</v>
      </c>
    </row>
    <row r="727" spans="1:4" ht="15.75">
      <c r="A727" s="9" t="s">
        <v>1334</v>
      </c>
      <c r="B727" s="10" t="s">
        <v>29</v>
      </c>
      <c r="C727" s="10" t="s">
        <v>99</v>
      </c>
      <c r="D727" s="10" t="s">
        <v>1335</v>
      </c>
    </row>
    <row r="728" spans="1:4" ht="15.75">
      <c r="A728" s="9" t="s">
        <v>1336</v>
      </c>
      <c r="B728" s="10" t="s">
        <v>22</v>
      </c>
      <c r="C728" s="10" t="s">
        <v>69</v>
      </c>
      <c r="D728" s="10" t="s">
        <v>1337</v>
      </c>
    </row>
    <row r="729" spans="1:4" ht="15.75">
      <c r="A729" s="9" t="s">
        <v>1338</v>
      </c>
      <c r="B729" s="10" t="s">
        <v>22</v>
      </c>
      <c r="C729" s="10" t="s">
        <v>69</v>
      </c>
      <c r="D729" s="10" t="s">
        <v>1337</v>
      </c>
    </row>
    <row r="730" spans="1:4" ht="15.75">
      <c r="A730" s="9" t="s">
        <v>1339</v>
      </c>
      <c r="B730" s="10" t="s">
        <v>22</v>
      </c>
      <c r="C730" s="10" t="s">
        <v>139</v>
      </c>
      <c r="D730" s="10" t="s">
        <v>1340</v>
      </c>
    </row>
    <row r="731" spans="1:4" ht="15.75">
      <c r="A731" s="9" t="s">
        <v>1341</v>
      </c>
      <c r="B731" s="10" t="s">
        <v>22</v>
      </c>
      <c r="C731" s="10" t="s">
        <v>69</v>
      </c>
      <c r="D731" s="10" t="s">
        <v>1342</v>
      </c>
    </row>
    <row r="732" spans="1:4" ht="15.75">
      <c r="A732" s="9" t="s">
        <v>1343</v>
      </c>
      <c r="B732" s="10" t="s">
        <v>22</v>
      </c>
      <c r="C732" s="10" t="s">
        <v>81</v>
      </c>
      <c r="D732" s="10" t="s">
        <v>1344</v>
      </c>
    </row>
    <row r="733" spans="1:4" ht="15.75">
      <c r="A733" s="9" t="s">
        <v>1345</v>
      </c>
      <c r="B733" s="10" t="s">
        <v>22</v>
      </c>
      <c r="C733" s="10" t="s">
        <v>81</v>
      </c>
      <c r="D733" s="10" t="s">
        <v>1344</v>
      </c>
    </row>
    <row r="734" spans="1:4" ht="15.75">
      <c r="A734" s="9" t="s">
        <v>1346</v>
      </c>
      <c r="B734" s="10" t="s">
        <v>22</v>
      </c>
      <c r="C734" s="10" t="s">
        <v>134</v>
      </c>
      <c r="D734" s="10" t="s">
        <v>1347</v>
      </c>
    </row>
    <row r="735" spans="1:4" ht="15.75">
      <c r="A735" s="9" t="s">
        <v>1348</v>
      </c>
      <c r="B735" s="10" t="s">
        <v>22</v>
      </c>
      <c r="C735" s="10" t="s">
        <v>134</v>
      </c>
      <c r="D735" s="10" t="s">
        <v>1347</v>
      </c>
    </row>
    <row r="736" spans="1:4" ht="15.75">
      <c r="A736" s="9" t="s">
        <v>1349</v>
      </c>
      <c r="B736" s="10" t="s">
        <v>22</v>
      </c>
      <c r="C736" s="10" t="s">
        <v>69</v>
      </c>
      <c r="D736" s="10" t="s">
        <v>1350</v>
      </c>
    </row>
    <row r="737" spans="1:4" ht="15.75">
      <c r="A737" s="9" t="s">
        <v>1351</v>
      </c>
      <c r="B737" s="10" t="s">
        <v>22</v>
      </c>
      <c r="C737" s="10" t="s">
        <v>81</v>
      </c>
      <c r="D737" s="10" t="s">
        <v>1352</v>
      </c>
    </row>
    <row r="738" spans="1:4" ht="15.75">
      <c r="A738" s="9" t="s">
        <v>1353</v>
      </c>
      <c r="B738" s="10" t="s">
        <v>22</v>
      </c>
      <c r="C738" s="10" t="s">
        <v>81</v>
      </c>
      <c r="D738" s="10" t="s">
        <v>1352</v>
      </c>
    </row>
    <row r="739" spans="1:4" ht="15.75">
      <c r="A739" s="9" t="s">
        <v>1354</v>
      </c>
      <c r="B739" s="10" t="s">
        <v>22</v>
      </c>
      <c r="C739" s="10" t="s">
        <v>81</v>
      </c>
      <c r="D739" s="10" t="s">
        <v>1352</v>
      </c>
    </row>
    <row r="740" spans="1:4" ht="15.75">
      <c r="A740" s="9" t="s">
        <v>1355</v>
      </c>
      <c r="B740" s="10" t="s">
        <v>22</v>
      </c>
      <c r="C740" s="10" t="s">
        <v>81</v>
      </c>
      <c r="D740" s="10" t="s">
        <v>1352</v>
      </c>
    </row>
    <row r="741" spans="1:4" ht="15.75">
      <c r="A741" s="9" t="s">
        <v>1356</v>
      </c>
      <c r="B741" s="10" t="s">
        <v>22</v>
      </c>
      <c r="C741" s="10" t="s">
        <v>34</v>
      </c>
      <c r="D741" s="10" t="s">
        <v>1357</v>
      </c>
    </row>
    <row r="742" spans="1:4" ht="15.75">
      <c r="A742" s="9" t="s">
        <v>1358</v>
      </c>
      <c r="B742" s="10" t="s">
        <v>22</v>
      </c>
      <c r="C742" s="10" t="s">
        <v>62</v>
      </c>
      <c r="D742" s="10" t="s">
        <v>1359</v>
      </c>
    </row>
    <row r="743" spans="1:4" ht="15.75">
      <c r="A743" s="9" t="s">
        <v>1360</v>
      </c>
      <c r="B743" s="10" t="s">
        <v>29</v>
      </c>
      <c r="C743" s="10"/>
      <c r="D743" s="10" t="s">
        <v>1361</v>
      </c>
    </row>
    <row r="744" spans="1:4" ht="15.75">
      <c r="A744" s="9" t="s">
        <v>1362</v>
      </c>
      <c r="B744" s="10" t="s">
        <v>29</v>
      </c>
      <c r="C744" s="10" t="s">
        <v>830</v>
      </c>
      <c r="D744" s="10" t="s">
        <v>1363</v>
      </c>
    </row>
    <row r="745" spans="1:4" ht="15.75">
      <c r="A745" s="9" t="s">
        <v>1364</v>
      </c>
      <c r="B745" s="10" t="s">
        <v>22</v>
      </c>
      <c r="C745" s="10" t="s">
        <v>113</v>
      </c>
      <c r="D745" s="10" t="s">
        <v>1365</v>
      </c>
    </row>
    <row r="746" spans="1:4" ht="15.75">
      <c r="A746" s="9" t="s">
        <v>1366</v>
      </c>
      <c r="B746" s="10" t="s">
        <v>29</v>
      </c>
      <c r="C746" s="10" t="s">
        <v>30</v>
      </c>
      <c r="D746" s="10" t="s">
        <v>1367</v>
      </c>
    </row>
    <row r="747" spans="1:4" ht="15.75">
      <c r="A747" s="9" t="s">
        <v>1368</v>
      </c>
      <c r="B747" s="10" t="s">
        <v>22</v>
      </c>
      <c r="C747" s="10" t="s">
        <v>46</v>
      </c>
      <c r="D747" s="10" t="s">
        <v>1369</v>
      </c>
    </row>
    <row r="748" spans="1:4" ht="15.75">
      <c r="A748" s="9" t="s">
        <v>1370</v>
      </c>
      <c r="B748" s="10" t="s">
        <v>22</v>
      </c>
      <c r="C748" s="10" t="s">
        <v>46</v>
      </c>
      <c r="D748" s="10" t="s">
        <v>1369</v>
      </c>
    </row>
    <row r="749" spans="1:4" ht="15.75">
      <c r="A749" s="9" t="s">
        <v>1371</v>
      </c>
      <c r="B749" s="10" t="s">
        <v>22</v>
      </c>
      <c r="C749" s="10" t="s">
        <v>46</v>
      </c>
      <c r="D749" s="10" t="s">
        <v>1369</v>
      </c>
    </row>
    <row r="750" spans="1:4" ht="15.75">
      <c r="A750" s="14" t="s">
        <v>1372</v>
      </c>
      <c r="B750" s="10" t="s">
        <v>22</v>
      </c>
      <c r="C750" s="10" t="s">
        <v>134</v>
      </c>
      <c r="D750" s="10" t="s">
        <v>1373</v>
      </c>
    </row>
    <row r="751" spans="1:4" ht="15.75">
      <c r="A751" s="9" t="s">
        <v>1374</v>
      </c>
      <c r="B751" s="10" t="s">
        <v>22</v>
      </c>
      <c r="C751" s="10" t="s">
        <v>119</v>
      </c>
      <c r="D751" s="10" t="s">
        <v>1375</v>
      </c>
    </row>
    <row r="752" spans="1:4" ht="15.75">
      <c r="A752" s="9" t="s">
        <v>1376</v>
      </c>
      <c r="B752" s="10" t="s">
        <v>22</v>
      </c>
      <c r="C752" s="10" t="s">
        <v>119</v>
      </c>
      <c r="D752" s="10" t="s">
        <v>1375</v>
      </c>
    </row>
    <row r="753" spans="1:4" ht="15.75">
      <c r="A753" s="9" t="s">
        <v>1377</v>
      </c>
      <c r="B753" s="10" t="s">
        <v>22</v>
      </c>
      <c r="C753" s="10" t="s">
        <v>134</v>
      </c>
      <c r="D753" s="10" t="s">
        <v>1378</v>
      </c>
    </row>
    <row r="754" spans="1:4" ht="15.75">
      <c r="A754" s="9" t="s">
        <v>1379</v>
      </c>
      <c r="B754" s="10" t="s">
        <v>22</v>
      </c>
      <c r="C754" s="10" t="s">
        <v>280</v>
      </c>
      <c r="D754" s="10" t="s">
        <v>1380</v>
      </c>
    </row>
    <row r="755" spans="1:4" ht="15.75">
      <c r="A755" s="9" t="s">
        <v>1381</v>
      </c>
      <c r="B755" s="10" t="s">
        <v>22</v>
      </c>
      <c r="C755" s="10" t="s">
        <v>69</v>
      </c>
      <c r="D755" s="10" t="s">
        <v>1382</v>
      </c>
    </row>
    <row r="756" spans="1:4" ht="15.75">
      <c r="A756" s="9" t="s">
        <v>1383</v>
      </c>
      <c r="B756" s="10" t="s">
        <v>22</v>
      </c>
      <c r="C756" s="10" t="s">
        <v>69</v>
      </c>
      <c r="D756" s="10" t="s">
        <v>1382</v>
      </c>
    </row>
    <row r="757" spans="1:4" ht="15.75">
      <c r="A757" s="9" t="s">
        <v>1384</v>
      </c>
      <c r="B757" s="10" t="s">
        <v>22</v>
      </c>
      <c r="C757" s="10" t="s">
        <v>447</v>
      </c>
      <c r="D757" s="10" t="s">
        <v>1385</v>
      </c>
    </row>
    <row r="758" spans="1:4" ht="15.75">
      <c r="A758" s="9" t="s">
        <v>1386</v>
      </c>
      <c r="B758" s="10" t="s">
        <v>22</v>
      </c>
      <c r="C758" s="10" t="s">
        <v>139</v>
      </c>
      <c r="D758" s="10" t="s">
        <v>1387</v>
      </c>
    </row>
    <row r="759" spans="1:4" ht="15.75">
      <c r="A759" s="11" t="s">
        <v>1388</v>
      </c>
      <c r="B759" s="10" t="s">
        <v>29</v>
      </c>
      <c r="C759" s="10" t="s">
        <v>30</v>
      </c>
      <c r="D759" s="10" t="s">
        <v>1389</v>
      </c>
    </row>
    <row r="760" spans="1:4" ht="15.75">
      <c r="A760" s="9" t="s">
        <v>1390</v>
      </c>
      <c r="B760" s="10" t="s">
        <v>22</v>
      </c>
      <c r="C760" s="10" t="s">
        <v>46</v>
      </c>
      <c r="D760" s="10" t="s">
        <v>1391</v>
      </c>
    </row>
    <row r="761" spans="1:4" ht="15.75">
      <c r="A761" s="9" t="s">
        <v>1392</v>
      </c>
      <c r="B761" s="10" t="s">
        <v>22</v>
      </c>
      <c r="C761" s="10" t="s">
        <v>46</v>
      </c>
      <c r="D761" s="10" t="s">
        <v>1391</v>
      </c>
    </row>
    <row r="762" spans="1:4" ht="15.75">
      <c r="A762" s="9" t="s">
        <v>1393</v>
      </c>
      <c r="B762" s="10" t="s">
        <v>22</v>
      </c>
      <c r="C762" s="10" t="s">
        <v>25</v>
      </c>
      <c r="D762" s="10" t="s">
        <v>1394</v>
      </c>
    </row>
    <row r="763" spans="1:4" ht="15.75">
      <c r="A763" s="9" t="s">
        <v>1388</v>
      </c>
      <c r="B763" s="10" t="s">
        <v>29</v>
      </c>
      <c r="C763" s="10" t="s">
        <v>30</v>
      </c>
      <c r="D763" s="10" t="s">
        <v>1395</v>
      </c>
    </row>
    <row r="764" spans="1:4" ht="15.75">
      <c r="A764" s="11" t="s">
        <v>1396</v>
      </c>
      <c r="B764" s="10" t="s">
        <v>29</v>
      </c>
      <c r="C764" s="10" t="s">
        <v>126</v>
      </c>
      <c r="D764" s="10" t="s">
        <v>1397</v>
      </c>
    </row>
    <row r="765" spans="1:4" ht="15.75">
      <c r="A765" s="9" t="s">
        <v>1398</v>
      </c>
      <c r="B765" s="10" t="s">
        <v>22</v>
      </c>
      <c r="C765" s="10" t="s">
        <v>213</v>
      </c>
      <c r="D765" s="10" t="s">
        <v>1399</v>
      </c>
    </row>
    <row r="766" spans="1:4" ht="15.75">
      <c r="A766" s="9" t="s">
        <v>1400</v>
      </c>
      <c r="B766" s="10" t="s">
        <v>22</v>
      </c>
      <c r="C766" s="10" t="s">
        <v>81</v>
      </c>
      <c r="D766" s="10" t="s">
        <v>1401</v>
      </c>
    </row>
    <row r="767" spans="1:4" ht="15.75">
      <c r="A767" s="9" t="s">
        <v>1402</v>
      </c>
      <c r="B767" s="10" t="s">
        <v>22</v>
      </c>
      <c r="C767" s="10" t="s">
        <v>81</v>
      </c>
      <c r="D767" s="10" t="s">
        <v>1401</v>
      </c>
    </row>
    <row r="768" spans="1:4" ht="15.75">
      <c r="A768" s="9" t="s">
        <v>1403</v>
      </c>
      <c r="B768" s="10" t="s">
        <v>29</v>
      </c>
      <c r="C768" s="10" t="s">
        <v>77</v>
      </c>
      <c r="D768" s="10" t="s">
        <v>1404</v>
      </c>
    </row>
    <row r="769" spans="1:4" ht="15.75">
      <c r="A769" s="9" t="s">
        <v>1405</v>
      </c>
      <c r="B769" s="10" t="s">
        <v>22</v>
      </c>
      <c r="C769" s="10" t="s">
        <v>69</v>
      </c>
      <c r="D769" s="10" t="s">
        <v>1406</v>
      </c>
    </row>
    <row r="770" spans="1:4" ht="15.75">
      <c r="A770" s="9" t="s">
        <v>1407</v>
      </c>
      <c r="B770" s="10" t="s">
        <v>22</v>
      </c>
      <c r="C770" s="10" t="s">
        <v>224</v>
      </c>
      <c r="D770" s="10" t="s">
        <v>1408</v>
      </c>
    </row>
    <row r="771" spans="1:4" ht="15.75">
      <c r="A771" s="9" t="s">
        <v>1409</v>
      </c>
      <c r="B771" s="10" t="s">
        <v>22</v>
      </c>
      <c r="C771" s="10" t="s">
        <v>271</v>
      </c>
      <c r="D771" s="10" t="s">
        <v>1410</v>
      </c>
    </row>
    <row r="772" spans="1:4" ht="15.75">
      <c r="A772" s="9" t="s">
        <v>1411</v>
      </c>
      <c r="B772" s="10" t="s">
        <v>22</v>
      </c>
      <c r="C772" s="10" t="s">
        <v>271</v>
      </c>
      <c r="D772" s="10" t="s">
        <v>1410</v>
      </c>
    </row>
    <row r="773" spans="1:4" ht="15.75">
      <c r="A773" s="9" t="s">
        <v>1412</v>
      </c>
      <c r="B773" s="10" t="s">
        <v>22</v>
      </c>
      <c r="C773" s="10" t="s">
        <v>271</v>
      </c>
      <c r="D773" s="10" t="s">
        <v>1410</v>
      </c>
    </row>
    <row r="774" spans="1:4" ht="15.75">
      <c r="A774" s="9" t="s">
        <v>1413</v>
      </c>
      <c r="B774" s="10" t="s">
        <v>22</v>
      </c>
      <c r="C774" s="10" t="s">
        <v>46</v>
      </c>
      <c r="D774" s="10" t="s">
        <v>1414</v>
      </c>
    </row>
    <row r="775" spans="1:4" ht="15.75">
      <c r="A775" s="11" t="s">
        <v>1415</v>
      </c>
      <c r="B775" s="10" t="s">
        <v>29</v>
      </c>
      <c r="C775" s="10" t="s">
        <v>126</v>
      </c>
      <c r="D775" s="10" t="s">
        <v>1416</v>
      </c>
    </row>
    <row r="776" spans="1:4" ht="15.75">
      <c r="A776" s="9" t="s">
        <v>1417</v>
      </c>
      <c r="B776" s="10" t="s">
        <v>22</v>
      </c>
      <c r="C776" s="10" t="s">
        <v>119</v>
      </c>
      <c r="D776" s="10" t="s">
        <v>1418</v>
      </c>
    </row>
    <row r="777" spans="1:4" ht="15.75">
      <c r="A777" s="9" t="s">
        <v>1419</v>
      </c>
      <c r="B777" s="10" t="s">
        <v>22</v>
      </c>
      <c r="C777" s="10" t="s">
        <v>119</v>
      </c>
      <c r="D777" s="10" t="s">
        <v>1418</v>
      </c>
    </row>
    <row r="778" spans="1:4" ht="15.75">
      <c r="A778" s="9" t="s">
        <v>1420</v>
      </c>
      <c r="B778" s="10" t="s">
        <v>22</v>
      </c>
      <c r="C778" s="10" t="s">
        <v>119</v>
      </c>
      <c r="D778" s="10" t="s">
        <v>1418</v>
      </c>
    </row>
    <row r="779" spans="1:4" ht="15.75">
      <c r="A779" s="9" t="s">
        <v>1421</v>
      </c>
      <c r="B779" s="10" t="s">
        <v>22</v>
      </c>
      <c r="C779" s="10" t="s">
        <v>69</v>
      </c>
      <c r="D779" s="10" t="s">
        <v>1422</v>
      </c>
    </row>
    <row r="780" spans="1:4" ht="15.75">
      <c r="A780" s="9" t="s">
        <v>1423</v>
      </c>
      <c r="B780" s="10" t="s">
        <v>22</v>
      </c>
      <c r="C780" s="10" t="s">
        <v>354</v>
      </c>
      <c r="D780" s="10" t="s">
        <v>1424</v>
      </c>
    </row>
    <row r="781" spans="1:4" ht="15.75">
      <c r="A781" s="9" t="s">
        <v>1425</v>
      </c>
      <c r="B781" s="10" t="s">
        <v>22</v>
      </c>
      <c r="C781" s="10" t="s">
        <v>354</v>
      </c>
      <c r="D781" s="10" t="s">
        <v>1424</v>
      </c>
    </row>
    <row r="782" spans="1:4" ht="15.75">
      <c r="A782" s="9" t="s">
        <v>1426</v>
      </c>
      <c r="B782" s="10" t="s">
        <v>29</v>
      </c>
      <c r="C782" s="10" t="s">
        <v>77</v>
      </c>
      <c r="D782" s="10" t="s">
        <v>1427</v>
      </c>
    </row>
    <row r="783" spans="1:4" ht="15.75">
      <c r="A783" s="11" t="s">
        <v>1428</v>
      </c>
      <c r="B783" s="10" t="s">
        <v>29</v>
      </c>
      <c r="C783" s="10" t="s">
        <v>123</v>
      </c>
      <c r="D783" s="10" t="s">
        <v>1429</v>
      </c>
    </row>
    <row r="784" spans="1:4" ht="15.75">
      <c r="A784" s="14" t="s">
        <v>1430</v>
      </c>
      <c r="B784" s="10" t="s">
        <v>29</v>
      </c>
      <c r="C784" s="10" t="s">
        <v>830</v>
      </c>
      <c r="D784" s="10" t="s">
        <v>1431</v>
      </c>
    </row>
    <row r="785" spans="1:4" ht="15.75">
      <c r="A785" s="9" t="s">
        <v>1432</v>
      </c>
      <c r="B785" s="10" t="s">
        <v>22</v>
      </c>
      <c r="C785" s="10" t="s">
        <v>139</v>
      </c>
      <c r="D785" s="10" t="s">
        <v>1433</v>
      </c>
    </row>
    <row r="786" spans="1:4" ht="15.75">
      <c r="A786" s="9" t="s">
        <v>1434</v>
      </c>
      <c r="B786" s="10" t="s">
        <v>22</v>
      </c>
      <c r="C786" s="10" t="s">
        <v>134</v>
      </c>
      <c r="D786" s="10" t="s">
        <v>1435</v>
      </c>
    </row>
    <row r="787" spans="1:4" ht="15.75">
      <c r="A787" s="9" t="s">
        <v>1436</v>
      </c>
      <c r="B787" s="10" t="s">
        <v>22</v>
      </c>
      <c r="C787" s="10" t="s">
        <v>134</v>
      </c>
      <c r="D787" s="10" t="s">
        <v>1435</v>
      </c>
    </row>
    <row r="788" spans="1:4" ht="15.75">
      <c r="A788" s="9" t="s">
        <v>1437</v>
      </c>
      <c r="B788" s="10" t="s">
        <v>22</v>
      </c>
      <c r="C788" s="10" t="s">
        <v>69</v>
      </c>
      <c r="D788" s="10" t="s">
        <v>1438</v>
      </c>
    </row>
    <row r="789" spans="1:4" ht="15.75">
      <c r="A789" s="9" t="s">
        <v>1439</v>
      </c>
      <c r="B789" s="10" t="s">
        <v>29</v>
      </c>
      <c r="C789" s="10" t="s">
        <v>77</v>
      </c>
      <c r="D789" s="10" t="s">
        <v>1440</v>
      </c>
    </row>
    <row r="790" spans="1:4" ht="15.75">
      <c r="A790" s="9" t="s">
        <v>1441</v>
      </c>
      <c r="B790" s="10" t="s">
        <v>29</v>
      </c>
      <c r="C790" s="10" t="s">
        <v>77</v>
      </c>
      <c r="D790" s="10" t="s">
        <v>1442</v>
      </c>
    </row>
    <row r="791" spans="1:4" ht="15.75">
      <c r="A791" s="9" t="s">
        <v>1443</v>
      </c>
      <c r="B791" s="10" t="s">
        <v>29</v>
      </c>
      <c r="C791" s="10" t="s">
        <v>99</v>
      </c>
      <c r="D791" s="10" t="s">
        <v>1444</v>
      </c>
    </row>
    <row r="792" spans="1:4" ht="15.75">
      <c r="A792" s="9" t="s">
        <v>1445</v>
      </c>
      <c r="B792" s="10" t="s">
        <v>29</v>
      </c>
      <c r="C792" s="10" t="s">
        <v>77</v>
      </c>
      <c r="D792" s="10" t="s">
        <v>1446</v>
      </c>
    </row>
    <row r="793" spans="1:4" ht="15.75">
      <c r="A793" s="9" t="s">
        <v>1447</v>
      </c>
      <c r="B793" s="10" t="s">
        <v>29</v>
      </c>
      <c r="C793" s="10" t="s">
        <v>126</v>
      </c>
      <c r="D793" s="10" t="s">
        <v>1448</v>
      </c>
    </row>
    <row r="794" spans="1:4" ht="15.75">
      <c r="A794" s="11" t="s">
        <v>1449</v>
      </c>
      <c r="B794" s="10" t="s">
        <v>29</v>
      </c>
      <c r="C794" s="10" t="s">
        <v>38</v>
      </c>
      <c r="D794" s="10" t="s">
        <v>1450</v>
      </c>
    </row>
    <row r="795" spans="1:4" ht="15.75">
      <c r="A795" s="9" t="s">
        <v>1451</v>
      </c>
      <c r="B795" s="10" t="s">
        <v>22</v>
      </c>
      <c r="C795" s="10" t="s">
        <v>103</v>
      </c>
      <c r="D795" s="10" t="s">
        <v>1452</v>
      </c>
    </row>
    <row r="796" spans="1:4" ht="15.75">
      <c r="A796" s="9" t="s">
        <v>1453</v>
      </c>
      <c r="B796" s="10" t="s">
        <v>29</v>
      </c>
      <c r="C796" s="10" t="s">
        <v>77</v>
      </c>
      <c r="D796" s="10" t="s">
        <v>1454</v>
      </c>
    </row>
    <row r="797" spans="1:4" ht="15.75">
      <c r="A797" s="9" t="s">
        <v>1455</v>
      </c>
      <c r="B797" s="10" t="s">
        <v>22</v>
      </c>
      <c r="C797" s="10" t="s">
        <v>81</v>
      </c>
      <c r="D797" s="10" t="s">
        <v>1456</v>
      </c>
    </row>
    <row r="798" spans="1:4" ht="15.75">
      <c r="A798" s="9" t="s">
        <v>1457</v>
      </c>
      <c r="B798" s="10" t="s">
        <v>22</v>
      </c>
      <c r="C798" s="10" t="s">
        <v>103</v>
      </c>
      <c r="D798" s="10" t="s">
        <v>1458</v>
      </c>
    </row>
    <row r="799" spans="1:4" ht="15.75">
      <c r="A799" s="9" t="s">
        <v>1459</v>
      </c>
      <c r="B799" s="10" t="s">
        <v>22</v>
      </c>
      <c r="C799" s="10" t="s">
        <v>103</v>
      </c>
      <c r="D799" s="10" t="s">
        <v>1458</v>
      </c>
    </row>
    <row r="800" spans="1:4" ht="15.75">
      <c r="A800" s="9" t="s">
        <v>1460</v>
      </c>
      <c r="B800" s="10" t="s">
        <v>22</v>
      </c>
      <c r="C800" s="10" t="s">
        <v>103</v>
      </c>
      <c r="D800" s="10" t="s">
        <v>1458</v>
      </c>
    </row>
    <row r="801" spans="1:4" ht="15.75">
      <c r="A801" s="9" t="s">
        <v>1461</v>
      </c>
      <c r="B801" s="10" t="s">
        <v>22</v>
      </c>
      <c r="C801" s="10" t="s">
        <v>183</v>
      </c>
      <c r="D801" s="10" t="s">
        <v>1462</v>
      </c>
    </row>
    <row r="802" spans="1:4" ht="15.75">
      <c r="A802" s="9" t="s">
        <v>1463</v>
      </c>
      <c r="B802" s="10" t="s">
        <v>22</v>
      </c>
      <c r="C802" s="10" t="s">
        <v>778</v>
      </c>
      <c r="D802" s="10" t="s">
        <v>1464</v>
      </c>
    </row>
    <row r="803" spans="1:4" ht="15.75">
      <c r="A803" s="9" t="s">
        <v>1465</v>
      </c>
      <c r="B803" s="10" t="s">
        <v>22</v>
      </c>
      <c r="C803" s="10" t="s">
        <v>778</v>
      </c>
      <c r="D803" s="10" t="s">
        <v>1464</v>
      </c>
    </row>
    <row r="804" spans="1:4" ht="15.75">
      <c r="A804" s="11" t="s">
        <v>1466</v>
      </c>
      <c r="B804" s="10" t="s">
        <v>22</v>
      </c>
      <c r="C804" s="10" t="s">
        <v>25</v>
      </c>
      <c r="D804" s="10" t="s">
        <v>1467</v>
      </c>
    </row>
    <row r="805" spans="1:4" ht="15.75">
      <c r="A805" s="9" t="s">
        <v>1468</v>
      </c>
      <c r="B805" s="10" t="s">
        <v>22</v>
      </c>
      <c r="C805" s="10" t="s">
        <v>81</v>
      </c>
      <c r="D805" s="10" t="s">
        <v>1469</v>
      </c>
    </row>
    <row r="806" spans="1:4" ht="15.75">
      <c r="A806" s="11" t="s">
        <v>1470</v>
      </c>
      <c r="B806" s="10" t="s">
        <v>29</v>
      </c>
      <c r="C806" s="10" t="s">
        <v>126</v>
      </c>
      <c r="D806" s="10" t="s">
        <v>1471</v>
      </c>
    </row>
    <row r="807" spans="1:4" ht="15.75">
      <c r="A807" s="9" t="s">
        <v>1472</v>
      </c>
      <c r="B807" s="10" t="s">
        <v>29</v>
      </c>
      <c r="C807" s="10" t="s">
        <v>30</v>
      </c>
      <c r="D807" s="10" t="s">
        <v>1473</v>
      </c>
    </row>
    <row r="808" spans="1:4" ht="15.75">
      <c r="A808" s="9" t="s">
        <v>1474</v>
      </c>
      <c r="B808" s="10" t="s">
        <v>22</v>
      </c>
      <c r="C808" s="10" t="s">
        <v>113</v>
      </c>
      <c r="D808" s="10" t="s">
        <v>1475</v>
      </c>
    </row>
    <row r="809" spans="1:4" ht="15.75">
      <c r="A809" s="11" t="s">
        <v>1476</v>
      </c>
      <c r="B809" s="10" t="s">
        <v>29</v>
      </c>
      <c r="C809" s="10" t="s">
        <v>77</v>
      </c>
      <c r="D809" s="10" t="s">
        <v>1477</v>
      </c>
    </row>
    <row r="810" spans="1:4" ht="15.75">
      <c r="A810" s="9" t="s">
        <v>1476</v>
      </c>
      <c r="B810" s="10" t="s">
        <v>29</v>
      </c>
      <c r="C810" s="10" t="s">
        <v>77</v>
      </c>
      <c r="D810" s="10" t="s">
        <v>1478</v>
      </c>
    </row>
    <row r="811" spans="1:4" ht="15.75">
      <c r="A811" s="9" t="s">
        <v>1479</v>
      </c>
      <c r="B811" s="10" t="s">
        <v>29</v>
      </c>
      <c r="C811" s="10" t="s">
        <v>77</v>
      </c>
      <c r="D811" s="10" t="s">
        <v>1480</v>
      </c>
    </row>
    <row r="812" spans="1:4" ht="15.75">
      <c r="A812" s="11" t="s">
        <v>1481</v>
      </c>
      <c r="B812" s="10" t="s">
        <v>29</v>
      </c>
      <c r="C812" s="10" t="s">
        <v>126</v>
      </c>
      <c r="D812" s="10" t="s">
        <v>1482</v>
      </c>
    </row>
    <row r="813" spans="1:4" ht="15.75">
      <c r="A813" s="9" t="s">
        <v>1483</v>
      </c>
      <c r="B813" s="10" t="s">
        <v>29</v>
      </c>
      <c r="C813" s="10" t="s">
        <v>30</v>
      </c>
      <c r="D813" s="10" t="s">
        <v>1480</v>
      </c>
    </row>
    <row r="814" spans="1:4" ht="15.75">
      <c r="A814" s="9" t="s">
        <v>1484</v>
      </c>
      <c r="B814" s="10" t="s">
        <v>29</v>
      </c>
      <c r="C814" s="10" t="s">
        <v>126</v>
      </c>
      <c r="D814" s="10" t="s">
        <v>1485</v>
      </c>
    </row>
    <row r="815" spans="1:4" ht="15.75">
      <c r="A815" s="9" t="s">
        <v>1486</v>
      </c>
      <c r="B815" s="10" t="s">
        <v>22</v>
      </c>
      <c r="C815" s="10" t="s">
        <v>1487</v>
      </c>
      <c r="D815" s="10" t="s">
        <v>1488</v>
      </c>
    </row>
    <row r="816" spans="1:4" ht="15.75">
      <c r="A816" s="9" t="s">
        <v>1489</v>
      </c>
      <c r="B816" s="10" t="s">
        <v>22</v>
      </c>
      <c r="C816" s="10" t="s">
        <v>1487</v>
      </c>
      <c r="D816" s="10" t="s">
        <v>1490</v>
      </c>
    </row>
    <row r="817" spans="1:4" ht="15.75">
      <c r="A817" s="9" t="s">
        <v>1491</v>
      </c>
      <c r="B817" s="10" t="s">
        <v>22</v>
      </c>
      <c r="C817" s="10" t="s">
        <v>1487</v>
      </c>
      <c r="D817" s="10" t="s">
        <v>1492</v>
      </c>
    </row>
    <row r="818" spans="1:4" ht="15.75">
      <c r="A818" s="9" t="s">
        <v>1493</v>
      </c>
      <c r="B818" s="10" t="s">
        <v>22</v>
      </c>
      <c r="C818" s="10" t="s">
        <v>1487</v>
      </c>
      <c r="D818" s="10" t="s">
        <v>1494</v>
      </c>
    </row>
    <row r="819" spans="1:4" ht="15.75">
      <c r="A819" s="9" t="s">
        <v>1495</v>
      </c>
      <c r="B819" s="10" t="s">
        <v>22</v>
      </c>
      <c r="C819" s="10" t="s">
        <v>69</v>
      </c>
      <c r="D819" s="10" t="s">
        <v>1312</v>
      </c>
    </row>
    <row r="820" spans="1:4" ht="15.75">
      <c r="A820" s="9" t="s">
        <v>1496</v>
      </c>
      <c r="B820" s="10" t="s">
        <v>22</v>
      </c>
      <c r="C820" s="13" t="s">
        <v>1497</v>
      </c>
      <c r="D820" s="13" t="s">
        <v>693</v>
      </c>
    </row>
    <row r="821" spans="1:4" ht="15.75">
      <c r="A821" s="9" t="s">
        <v>1498</v>
      </c>
      <c r="B821" s="10" t="s">
        <v>22</v>
      </c>
      <c r="C821" s="13" t="s">
        <v>1499</v>
      </c>
      <c r="D821" s="13" t="s">
        <v>1500</v>
      </c>
    </row>
    <row r="822" spans="1:4" ht="15.75">
      <c r="A822" s="9" t="s">
        <v>1071</v>
      </c>
      <c r="B822" s="10" t="s">
        <v>22</v>
      </c>
      <c r="C822" s="17" t="s">
        <v>1501</v>
      </c>
      <c r="D822" s="13"/>
    </row>
    <row r="823" spans="1:4" ht="15.75">
      <c r="A823" s="9" t="s">
        <v>1502</v>
      </c>
      <c r="B823" s="10" t="s">
        <v>29</v>
      </c>
      <c r="C823" s="10" t="s">
        <v>99</v>
      </c>
      <c r="D823" s="10"/>
    </row>
    <row r="824" spans="1:4" ht="15.75">
      <c r="A824" s="9" t="s">
        <v>1503</v>
      </c>
      <c r="B824" s="10" t="s">
        <v>29</v>
      </c>
      <c r="C824" s="10" t="s">
        <v>126</v>
      </c>
      <c r="D824" s="10" t="s">
        <v>1504</v>
      </c>
    </row>
    <row r="825" spans="1:4" ht="15.75">
      <c r="A825" s="9" t="s">
        <v>1505</v>
      </c>
      <c r="B825" s="10" t="s">
        <v>22</v>
      </c>
      <c r="C825" s="10" t="s">
        <v>46</v>
      </c>
      <c r="D825" s="10" t="s">
        <v>1506</v>
      </c>
    </row>
    <row r="826" spans="1:4" ht="15.75">
      <c r="A826" s="9" t="s">
        <v>1507</v>
      </c>
      <c r="B826" s="10" t="s">
        <v>29</v>
      </c>
      <c r="C826" s="10" t="s">
        <v>30</v>
      </c>
      <c r="D826" s="10" t="s">
        <v>1508</v>
      </c>
    </row>
    <row r="827" spans="1:4" ht="15.75">
      <c r="A827" s="9" t="s">
        <v>1509</v>
      </c>
      <c r="B827" s="10" t="s">
        <v>22</v>
      </c>
      <c r="C827" s="10" t="s">
        <v>1510</v>
      </c>
      <c r="D827" s="10" t="s">
        <v>1511</v>
      </c>
    </row>
    <row r="828" spans="1:4" ht="15.75">
      <c r="A828" s="9" t="s">
        <v>1512</v>
      </c>
      <c r="B828" s="10" t="s">
        <v>29</v>
      </c>
      <c r="C828" s="10" t="s">
        <v>77</v>
      </c>
      <c r="D828" s="10"/>
    </row>
    <row r="829" spans="1:4" ht="15.75">
      <c r="A829" s="9" t="s">
        <v>1513</v>
      </c>
      <c r="B829" s="10" t="s">
        <v>29</v>
      </c>
      <c r="C829" s="10" t="s">
        <v>77</v>
      </c>
      <c r="D829" s="10" t="s">
        <v>1514</v>
      </c>
    </row>
    <row r="830" spans="1:4" ht="15.75">
      <c r="A830" s="11" t="s">
        <v>1515</v>
      </c>
      <c r="B830" s="10" t="s">
        <v>29</v>
      </c>
      <c r="C830" s="10" t="s">
        <v>126</v>
      </c>
      <c r="D830" s="10" t="s">
        <v>1516</v>
      </c>
    </row>
    <row r="831" spans="1:4" ht="15.75">
      <c r="A831" s="9" t="s">
        <v>1517</v>
      </c>
      <c r="B831" s="10" t="s">
        <v>29</v>
      </c>
      <c r="C831" s="10" t="s">
        <v>99</v>
      </c>
      <c r="D831" s="10" t="s">
        <v>1518</v>
      </c>
    </row>
    <row r="832" spans="1:4" ht="15.75">
      <c r="A832" s="11" t="s">
        <v>1519</v>
      </c>
      <c r="B832" s="10" t="s">
        <v>29</v>
      </c>
      <c r="C832" s="10" t="s">
        <v>99</v>
      </c>
      <c r="D832" s="10" t="s">
        <v>1520</v>
      </c>
    </row>
    <row r="833" spans="1:6" ht="15.75">
      <c r="A833" s="9" t="s">
        <v>1521</v>
      </c>
      <c r="B833" s="10" t="s">
        <v>29</v>
      </c>
      <c r="C833" s="10" t="s">
        <v>30</v>
      </c>
      <c r="D833" s="10" t="s">
        <v>1522</v>
      </c>
    </row>
    <row r="834" spans="1:6" ht="15.75">
      <c r="A834" s="9" t="s">
        <v>1523</v>
      </c>
      <c r="B834" s="10" t="s">
        <v>29</v>
      </c>
      <c r="C834" s="10" t="s">
        <v>1524</v>
      </c>
      <c r="D834" s="10" t="s">
        <v>1525</v>
      </c>
    </row>
    <row r="835" spans="1:6" ht="15.75">
      <c r="A835" s="9" t="s">
        <v>1526</v>
      </c>
      <c r="B835" s="10" t="s">
        <v>29</v>
      </c>
      <c r="C835" s="10" t="s">
        <v>77</v>
      </c>
      <c r="D835" s="10" t="s">
        <v>1527</v>
      </c>
    </row>
    <row r="836" spans="1:6" ht="15.75">
      <c r="A836" s="9" t="s">
        <v>1528</v>
      </c>
      <c r="B836" s="10" t="s">
        <v>29</v>
      </c>
      <c r="C836" s="10" t="s">
        <v>1529</v>
      </c>
      <c r="D836" s="10" t="s">
        <v>1530</v>
      </c>
    </row>
    <row r="837" spans="1:6" ht="15.75">
      <c r="A837" s="9" t="s">
        <v>1531</v>
      </c>
      <c r="B837" s="10" t="s">
        <v>22</v>
      </c>
      <c r="C837" s="10" t="s">
        <v>505</v>
      </c>
      <c r="D837" s="10" t="s">
        <v>1532</v>
      </c>
    </row>
    <row r="838" spans="1:6" ht="15.75">
      <c r="A838" s="9" t="s">
        <v>1533</v>
      </c>
      <c r="B838" s="10" t="s">
        <v>29</v>
      </c>
      <c r="C838" s="10" t="s">
        <v>1534</v>
      </c>
      <c r="D838" s="10" t="s">
        <v>1535</v>
      </c>
    </row>
    <row r="839" spans="1:6" ht="15.75">
      <c r="A839" s="9" t="s">
        <v>1536</v>
      </c>
      <c r="B839" s="10" t="s">
        <v>29</v>
      </c>
      <c r="C839" s="10" t="s">
        <v>1537</v>
      </c>
      <c r="D839" s="10" t="s">
        <v>1538</v>
      </c>
    </row>
    <row r="840" spans="1:6" ht="15.75">
      <c r="A840" s="9" t="s">
        <v>1539</v>
      </c>
      <c r="B840" s="10" t="s">
        <v>29</v>
      </c>
      <c r="C840" s="10" t="s">
        <v>1540</v>
      </c>
      <c r="D840" s="10" t="s">
        <v>1541</v>
      </c>
    </row>
    <row r="841" spans="1:6" ht="15.75">
      <c r="A841" s="7" t="s">
        <v>1542</v>
      </c>
      <c r="B841" s="8" t="s">
        <v>29</v>
      </c>
      <c r="C841" s="8" t="s">
        <v>1529</v>
      </c>
      <c r="D841" s="8" t="s">
        <v>1543</v>
      </c>
      <c r="E841" s="18">
        <f ca="1">IFERROR(__xludf.DUMMYFUNCTION("GOOGLEFINANCE(A841,""price"")"),40)</f>
        <v>40</v>
      </c>
      <c r="F841" s="8" t="s">
        <v>1544</v>
      </c>
    </row>
    <row r="842" spans="1:6" ht="15.75">
      <c r="A842" s="7" t="s">
        <v>628</v>
      </c>
      <c r="B842" s="8" t="s">
        <v>29</v>
      </c>
      <c r="C842" s="8" t="s">
        <v>1529</v>
      </c>
      <c r="D842" s="8" t="s">
        <v>1543</v>
      </c>
      <c r="E842" s="18">
        <f ca="1">IFERROR(__xludf.DUMMYFUNCTION("GOOGLEFINANCE(A842,""price"")"),49.93)</f>
        <v>49.93</v>
      </c>
      <c r="F842" s="8" t="s">
        <v>1544</v>
      </c>
    </row>
    <row r="843" spans="1:6">
      <c r="A843" s="19" t="s">
        <v>1545</v>
      </c>
      <c r="B843" s="19" t="s">
        <v>802</v>
      </c>
      <c r="C843" s="19" t="s">
        <v>505</v>
      </c>
      <c r="D843" s="19" t="s">
        <v>1546</v>
      </c>
    </row>
    <row r="844" spans="1:6" ht="15.75">
      <c r="A844" s="19" t="s">
        <v>1547</v>
      </c>
      <c r="B844" s="8" t="s">
        <v>29</v>
      </c>
      <c r="C844" s="10" t="s">
        <v>1524</v>
      </c>
      <c r="D844" s="19" t="s">
        <v>1548</v>
      </c>
    </row>
    <row r="845" spans="1:6" ht="15.75">
      <c r="A845" s="20" t="s">
        <v>1549</v>
      </c>
      <c r="B845" s="8" t="s">
        <v>29</v>
      </c>
      <c r="C845" s="8" t="s">
        <v>99</v>
      </c>
      <c r="D845" s="20" t="s">
        <v>1550</v>
      </c>
    </row>
    <row r="846" spans="1:6" ht="15.75">
      <c r="A846" s="20" t="s">
        <v>1551</v>
      </c>
      <c r="B846" s="8" t="s">
        <v>29</v>
      </c>
      <c r="C846" s="8" t="s">
        <v>1534</v>
      </c>
      <c r="D846" s="20" t="s">
        <v>1552</v>
      </c>
    </row>
    <row r="847" spans="1:6" ht="15.75">
      <c r="A847" s="20" t="s">
        <v>1553</v>
      </c>
      <c r="B847" s="8" t="s">
        <v>29</v>
      </c>
      <c r="C847" s="8" t="s">
        <v>1534</v>
      </c>
      <c r="D847" s="20" t="s">
        <v>1554</v>
      </c>
    </row>
    <row r="848" spans="1:6" ht="15.75">
      <c r="A848" s="20" t="s">
        <v>1555</v>
      </c>
      <c r="B848" s="10" t="s">
        <v>29</v>
      </c>
      <c r="C848" s="10" t="s">
        <v>1534</v>
      </c>
      <c r="D848" s="20" t="s">
        <v>1556</v>
      </c>
    </row>
    <row r="849" spans="1:4" ht="18.75">
      <c r="A849" s="19" t="s">
        <v>1557</v>
      </c>
      <c r="B849" s="10" t="s">
        <v>29</v>
      </c>
      <c r="C849" s="10" t="s">
        <v>30</v>
      </c>
      <c r="D849" s="21" t="s">
        <v>1558</v>
      </c>
    </row>
    <row r="850" spans="1:4" ht="18.75">
      <c r="A850" s="19" t="s">
        <v>1559</v>
      </c>
      <c r="B850" s="10" t="s">
        <v>29</v>
      </c>
      <c r="C850" s="10" t="s">
        <v>1534</v>
      </c>
      <c r="D850" s="22" t="s">
        <v>1560</v>
      </c>
    </row>
    <row r="851" spans="1:4" ht="15.75">
      <c r="A851" s="19" t="s">
        <v>1561</v>
      </c>
      <c r="B851" s="10" t="s">
        <v>29</v>
      </c>
      <c r="C851" s="10" t="s">
        <v>1534</v>
      </c>
      <c r="D851" s="19" t="s">
        <v>1562</v>
      </c>
    </row>
    <row r="852" spans="1:4" ht="15.75">
      <c r="A852" s="19" t="s">
        <v>1563</v>
      </c>
      <c r="B852" s="10" t="s">
        <v>29</v>
      </c>
      <c r="C852" s="10" t="s">
        <v>1540</v>
      </c>
      <c r="D852" s="19" t="s">
        <v>1564</v>
      </c>
    </row>
  </sheetData>
  <hyperlinks>
    <hyperlink ref="A6" r:id="rId1" xr:uid="{00000000-0004-0000-0100-000000000000}"/>
    <hyperlink ref="A36" r:id="rId2" xr:uid="{00000000-0004-0000-0100-000001000000}"/>
    <hyperlink ref="A74" r:id="rId3" xr:uid="{00000000-0004-0000-0100-000002000000}"/>
    <hyperlink ref="A149" r:id="rId4" xr:uid="{00000000-0004-0000-0100-000003000000}"/>
    <hyperlink ref="A354" r:id="rId5" xr:uid="{00000000-0004-0000-0100-000004000000}"/>
    <hyperlink ref="A374" r:id="rId6" xr:uid="{00000000-0004-0000-0100-000005000000}"/>
    <hyperlink ref="A385" r:id="rId7" xr:uid="{00000000-0004-0000-0100-000006000000}"/>
    <hyperlink ref="A389" r:id="rId8" xr:uid="{00000000-0004-0000-0100-000007000000}"/>
    <hyperlink ref="A401" r:id="rId9" xr:uid="{00000000-0004-0000-0100-000008000000}"/>
    <hyperlink ref="A433" r:id="rId10" xr:uid="{00000000-0004-0000-0100-000009000000}"/>
    <hyperlink ref="A439" r:id="rId11" xr:uid="{00000000-0004-0000-0100-00000A000000}"/>
    <hyperlink ref="A446" r:id="rId12" xr:uid="{00000000-0004-0000-0100-00000B000000}"/>
    <hyperlink ref="A447" r:id="rId13" xr:uid="{00000000-0004-0000-0100-00000C000000}"/>
    <hyperlink ref="A462" r:id="rId14" xr:uid="{00000000-0004-0000-0100-00000D000000}"/>
    <hyperlink ref="A539" r:id="rId15" xr:uid="{00000000-0004-0000-0100-00000E000000}"/>
    <hyperlink ref="A558" r:id="rId16" xr:uid="{00000000-0004-0000-0100-00000F000000}"/>
    <hyperlink ref="A580" r:id="rId17" xr:uid="{00000000-0004-0000-0100-000010000000}"/>
    <hyperlink ref="A586" r:id="rId18" xr:uid="{00000000-0004-0000-0100-000011000000}"/>
    <hyperlink ref="A600" r:id="rId19" xr:uid="{00000000-0004-0000-0100-000012000000}"/>
    <hyperlink ref="A623" r:id="rId20" xr:uid="{00000000-0004-0000-0100-000013000000}"/>
    <hyperlink ref="A625" r:id="rId21" xr:uid="{00000000-0004-0000-0100-000014000000}"/>
    <hyperlink ref="A631" r:id="rId22" xr:uid="{00000000-0004-0000-0100-000015000000}"/>
    <hyperlink ref="A632" r:id="rId23" xr:uid="{00000000-0004-0000-0100-000016000000}"/>
    <hyperlink ref="A640" r:id="rId24" xr:uid="{00000000-0004-0000-0100-000017000000}"/>
    <hyperlink ref="A654" r:id="rId25" xr:uid="{00000000-0004-0000-0100-000018000000}"/>
    <hyperlink ref="A659" r:id="rId26" xr:uid="{00000000-0004-0000-0100-000019000000}"/>
    <hyperlink ref="A671" r:id="rId27" xr:uid="{00000000-0004-0000-0100-00001A000000}"/>
    <hyperlink ref="A684" r:id="rId28" xr:uid="{00000000-0004-0000-0100-00001B000000}"/>
    <hyperlink ref="A695" r:id="rId29" xr:uid="{00000000-0004-0000-0100-00001C000000}"/>
    <hyperlink ref="A759" r:id="rId30" xr:uid="{00000000-0004-0000-0100-00001D000000}"/>
    <hyperlink ref="A764" r:id="rId31" xr:uid="{00000000-0004-0000-0100-00001E000000}"/>
    <hyperlink ref="A775" r:id="rId32" xr:uid="{00000000-0004-0000-0100-00001F000000}"/>
    <hyperlink ref="A783" r:id="rId33" xr:uid="{00000000-0004-0000-0100-000020000000}"/>
    <hyperlink ref="A794" r:id="rId34" xr:uid="{00000000-0004-0000-0100-000021000000}"/>
    <hyperlink ref="A804" r:id="rId35" xr:uid="{00000000-0004-0000-0100-000022000000}"/>
    <hyperlink ref="A806" r:id="rId36" xr:uid="{00000000-0004-0000-0100-000023000000}"/>
    <hyperlink ref="A809" r:id="rId37" xr:uid="{00000000-0004-0000-0100-000024000000}"/>
    <hyperlink ref="A812" r:id="rId38" xr:uid="{00000000-0004-0000-0100-000025000000}"/>
    <hyperlink ref="A830" r:id="rId39" xr:uid="{00000000-0004-0000-0100-000026000000}"/>
    <hyperlink ref="A832" r:id="rId40" xr:uid="{00000000-0004-0000-0100-000027000000}"/>
  </hyperlinks>
  <pageMargins left="0.511811024" right="0.511811024" top="0.78740157499999996" bottom="0.78740157499999996" header="0.31496062000000002" footer="0.31496062000000002"/>
  <drawing r:id="rId41"/>
  <legacy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141"/>
  <sheetViews>
    <sheetView showGridLines="0" workbookViewId="0"/>
  </sheetViews>
  <sheetFormatPr defaultColWidth="14.42578125" defaultRowHeight="15" customHeight="1"/>
  <cols>
    <col min="1" max="1" width="18.42578125" customWidth="1"/>
    <col min="2" max="2" width="33.28515625" customWidth="1"/>
    <col min="3" max="3" width="34" customWidth="1"/>
    <col min="4" max="4" width="19.85546875" customWidth="1"/>
    <col min="5" max="5" width="23.28515625" customWidth="1"/>
    <col min="6" max="6" width="19.140625" customWidth="1"/>
    <col min="7" max="7" width="18.7109375" customWidth="1"/>
    <col min="8" max="8" width="20.7109375" customWidth="1"/>
    <col min="9" max="9" width="18.85546875" customWidth="1"/>
    <col min="10" max="10" width="18.42578125" customWidth="1"/>
    <col min="11" max="11" width="12.42578125" customWidth="1"/>
    <col min="12" max="12" width="21" customWidth="1"/>
    <col min="13" max="14" width="18" customWidth="1"/>
    <col min="15" max="15" width="9.42578125" customWidth="1"/>
    <col min="16" max="16" width="13.28515625" customWidth="1"/>
    <col min="17" max="17" width="15.7109375" customWidth="1"/>
    <col min="18" max="18" width="11.85546875" customWidth="1"/>
    <col min="19" max="19" width="8.85546875" customWidth="1"/>
    <col min="20" max="23" width="10.7109375" customWidth="1"/>
    <col min="24" max="24" width="8.85546875" customWidth="1"/>
    <col min="25" max="25" width="26" customWidth="1"/>
    <col min="26" max="29" width="8.85546875" customWidth="1"/>
  </cols>
  <sheetData>
    <row r="1" spans="1:29" ht="9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9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9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9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9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ht="24" customHeight="1">
      <c r="A10" s="24"/>
      <c r="B10" s="25"/>
      <c r="C10" s="25"/>
      <c r="D10" s="25"/>
      <c r="E10" s="25"/>
      <c r="F10" s="25"/>
      <c r="G10" s="26" t="s">
        <v>1565</v>
      </c>
      <c r="H10" s="27">
        <f>SUBTOTAL(3,A17:A10049)</f>
        <v>0</v>
      </c>
      <c r="I10" s="28" t="e">
        <f>H10/H10</f>
        <v>#DIV/0!</v>
      </c>
      <c r="J10" s="29" t="e">
        <f t="shared" ref="J10:J13" si="0">1/H10</f>
        <v>#DIV/0!</v>
      </c>
      <c r="K10" s="24"/>
      <c r="L10" s="30"/>
      <c r="M10" s="30"/>
      <c r="N10" s="30"/>
      <c r="O10" s="30"/>
      <c r="P10" s="24"/>
      <c r="Q10" s="31"/>
      <c r="R10" s="24"/>
      <c r="S10" s="32" t="s">
        <v>1566</v>
      </c>
      <c r="T10" s="32"/>
      <c r="U10" s="32"/>
      <c r="V10" s="32"/>
      <c r="W10" s="32"/>
      <c r="X10" s="24"/>
      <c r="Y10" s="24"/>
      <c r="Z10" s="24"/>
      <c r="AA10" s="24"/>
      <c r="AB10" s="24"/>
      <c r="AC10" s="24"/>
    </row>
    <row r="11" spans="1:29" ht="18.75">
      <c r="A11" s="24"/>
      <c r="B11" s="33"/>
      <c r="C11" s="33" t="s">
        <v>1567</v>
      </c>
      <c r="D11" s="33"/>
      <c r="E11" s="33"/>
      <c r="F11" s="33"/>
      <c r="G11" s="26" t="s">
        <v>22</v>
      </c>
      <c r="H11" s="27">
        <f>COUNTIF(A17:A1141,G11)</f>
        <v>0</v>
      </c>
      <c r="I11" s="28" t="e">
        <f>H11/H10</f>
        <v>#DIV/0!</v>
      </c>
      <c r="J11" s="29" t="e">
        <f t="shared" si="0"/>
        <v>#DIV/0!</v>
      </c>
      <c r="K11" s="34" t="e">
        <f>F203/H11</f>
        <v>#DIV/0!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ht="18.75">
      <c r="A12" s="24"/>
      <c r="B12" s="33"/>
      <c r="C12" s="33"/>
      <c r="D12" s="33"/>
      <c r="E12" s="33"/>
      <c r="F12" s="33"/>
      <c r="G12" s="26" t="s">
        <v>29</v>
      </c>
      <c r="H12" s="27">
        <f>COUNTIF(A17:A10046,G12)</f>
        <v>0</v>
      </c>
      <c r="I12" s="28" t="e">
        <f>H12/H10</f>
        <v>#DIV/0!</v>
      </c>
      <c r="J12" s="29" t="e">
        <f t="shared" si="0"/>
        <v>#DIV/0!</v>
      </c>
      <c r="K12" s="34" t="e">
        <f>F205/H12</f>
        <v>#DIV/0!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ht="18.75">
      <c r="A13" s="24"/>
      <c r="B13" s="33"/>
      <c r="C13" s="33"/>
      <c r="D13" s="33"/>
      <c r="E13" s="33"/>
      <c r="F13" s="33"/>
      <c r="G13" s="26" t="s">
        <v>802</v>
      </c>
      <c r="H13" s="27">
        <f>COUNTIF(A17:A100046,G13)</f>
        <v>0</v>
      </c>
      <c r="I13" s="28" t="e">
        <f>H13/H10</f>
        <v>#DIV/0!</v>
      </c>
      <c r="J13" s="29" t="e">
        <f t="shared" si="0"/>
        <v>#DIV/0!</v>
      </c>
      <c r="K13" s="34" t="e">
        <f>F204/H13</f>
        <v>#DIV/0!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ht="18.75">
      <c r="A14" s="24"/>
      <c r="B14" s="33"/>
      <c r="C14" s="33"/>
      <c r="D14" s="33"/>
      <c r="E14" s="33"/>
      <c r="F14" s="33"/>
      <c r="G14" s="26"/>
      <c r="H14" s="27"/>
      <c r="I14" s="28"/>
      <c r="J14" s="29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>
      <c r="A15" s="24"/>
      <c r="B15" s="33"/>
      <c r="C15" s="33"/>
      <c r="D15" s="33"/>
      <c r="E15" s="33"/>
      <c r="F15" s="33"/>
      <c r="G15" s="3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ht="17.25">
      <c r="A16" s="35" t="s">
        <v>17</v>
      </c>
      <c r="B16" s="36" t="s">
        <v>18</v>
      </c>
      <c r="C16" s="35" t="s">
        <v>19</v>
      </c>
      <c r="D16" s="36" t="s">
        <v>1568</v>
      </c>
      <c r="E16" s="37" t="s">
        <v>16</v>
      </c>
      <c r="F16" s="35" t="s">
        <v>1569</v>
      </c>
      <c r="G16" s="35" t="s">
        <v>1570</v>
      </c>
      <c r="H16" s="35" t="s">
        <v>1571</v>
      </c>
      <c r="I16" s="35" t="s">
        <v>1572</v>
      </c>
      <c r="J16" s="35" t="s">
        <v>1573</v>
      </c>
      <c r="K16" s="35" t="s">
        <v>1574</v>
      </c>
      <c r="L16" s="35" t="s">
        <v>1575</v>
      </c>
      <c r="M16" s="35" t="s">
        <v>1576</v>
      </c>
      <c r="N16" s="35" t="s">
        <v>1577</v>
      </c>
      <c r="O16" s="35" t="s">
        <v>1578</v>
      </c>
      <c r="P16" s="38" t="s">
        <v>1579</v>
      </c>
      <c r="Q16" s="38" t="s">
        <v>1580</v>
      </c>
      <c r="R16" s="38" t="s">
        <v>1581</v>
      </c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</row>
    <row r="17" spans="1:29" ht="15.75">
      <c r="A17" s="24"/>
      <c r="B17" s="24"/>
      <c r="C17" s="24"/>
      <c r="D17" s="40"/>
      <c r="E17" s="41">
        <f t="array" ref="E17">IFERROR(INDEX('CONTROLE DE COMPRA E VENDA '!$E$2:E$317,MATCH(0,COUNTIF($E$16:E16,'CONTROLE DE COMPRA E VENDA '!$E$2:E$317),0)),"")</f>
        <v>0</v>
      </c>
      <c r="F17" s="42" t="e">
        <f>SUMIF('CONTROLE DE COMPRA E VENDA '!$E$2:$E$9318,E17,#REF!)/SUMIF('CONTROLE DE COMPRA E VENDA '!$E$2:$E$9318,E17,#REF!)</f>
        <v>#REF!</v>
      </c>
      <c r="G17" s="43">
        <f>SUMIF('CONTROLE DE COMPRA E VENDA '!$E$2:$E$9317,E17,'CONTROLE DE COMPRA E VENDA '!$F$2:$F$9317)</f>
        <v>0</v>
      </c>
      <c r="H17" s="44" t="str">
        <f ca="1">IFERROR(__xludf.DUMMYFUNCTION("VLOOKUP(E17,IMPORTRANGE(""https://docs.google.com/spreadsheets/d/1twE6-cpnyykguqtenQ2Owd-uI9WHiQFG1eK6m-cZxDM/edit#gid=2089456355"",""Lista!A13:e999""),5,FALSE)"),"#REF!")</f>
        <v>#REF!</v>
      </c>
      <c r="I17" s="43" t="e">
        <f t="shared" ref="I17:I177" ca="1" si="1">K17*IF(A17="Ações Brasil",$E$188/H17,$E$190/H17)</f>
        <v>#VALUE!</v>
      </c>
      <c r="J17" s="45" t="e">
        <f t="shared" ref="J17:J177" ca="1" si="2">I17-G17</f>
        <v>#VALUE!</v>
      </c>
      <c r="K17" s="46" t="b">
        <f t="shared" ref="K17:K177" si="3">IF(A17="Ações Brasil",$J$11, IF(A17="Ações EUA",$J$13, IF(A17="Fundo Imobiliário",$J$12)))</f>
        <v>0</v>
      </c>
      <c r="L17" s="46" t="str">
        <f t="shared" ref="L17:L177" si="4">IF($A17=$C$188,M17/$E$188,IF($A17=$C$190,M17/$E$190,IF($A17=$C$189,M17/$E$189,"Verificar nome na coluna A")))</f>
        <v>Verificar nome na coluna A</v>
      </c>
      <c r="M17" s="42" t="e">
        <f t="shared" ref="M17:M177" ca="1" si="5">H17*G17</f>
        <v>#VALUE!</v>
      </c>
      <c r="N17" s="42" t="e">
        <f t="shared" ref="N17:N177" ca="1" si="6">M17/(F17*G17)</f>
        <v>#VALUE!</v>
      </c>
      <c r="O17" s="47" t="e">
        <f t="shared" ref="O17:O177" ca="1" si="7">M17/$E$195</f>
        <v>#VALUE!</v>
      </c>
      <c r="P17" s="48" t="b">
        <f t="shared" ref="P17:P177" si="8">IF(A17="Ações Brasil",$K$11, IF(A17="Ações EUA",$K$13, IF(A17="Fundo Imobiliário",$K$12)))</f>
        <v>0</v>
      </c>
      <c r="Q17" s="24" t="e">
        <f t="shared" ref="Q17:Q177" ca="1" si="9">P17-M17</f>
        <v>#VALUE!</v>
      </c>
      <c r="R17" s="24"/>
      <c r="S17" s="49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15.75">
      <c r="A18" s="24"/>
      <c r="B18" s="24"/>
      <c r="C18" s="24"/>
      <c r="D18" s="40"/>
      <c r="E18" s="41" t="str">
        <f t="array" ref="E18">IFERROR(INDEX('CONTROLE DE COMPRA E VENDA '!$E$2:E$317,MATCH(0,COUNTIF($E$16:E17,'CONTROLE DE COMPRA E VENDA '!$E$2:E$317),0)),"")</f>
        <v/>
      </c>
      <c r="F18" s="42" t="e">
        <f>SUMIF('CONTROLE DE COMPRA E VENDA '!$E$2:$E$9318,E18,#REF!)/SUMIF('CONTROLE DE COMPRA E VENDA '!$E$2:$E$9318,E18,#REF!)</f>
        <v>#REF!</v>
      </c>
      <c r="G18" s="43">
        <f>SUMIF('CONTROLE DE COMPRA E VENDA '!$E$2:$E$9317,E18,'CONTROLE DE COMPRA E VENDA '!$F$2:$F$9317)</f>
        <v>0</v>
      </c>
      <c r="H18" s="44" t="str">
        <f ca="1">IFERROR(__xludf.DUMMYFUNCTION("VLOOKUP(E18,IMPORTRANGE(""https://docs.google.com/spreadsheets/d/1twE6-cpnyykguqtenQ2Owd-uI9WHiQFG1eK6m-cZxDM/edit#gid=2089456355"",""Lista!A13:e999""),5,FALSE)"),"#REF!")</f>
        <v>#REF!</v>
      </c>
      <c r="I18" s="43" t="e">
        <f t="shared" ca="1" si="1"/>
        <v>#VALUE!</v>
      </c>
      <c r="J18" s="45" t="e">
        <f t="shared" ca="1" si="2"/>
        <v>#VALUE!</v>
      </c>
      <c r="K18" s="46" t="b">
        <f t="shared" si="3"/>
        <v>0</v>
      </c>
      <c r="L18" s="46" t="str">
        <f t="shared" si="4"/>
        <v>Verificar nome na coluna A</v>
      </c>
      <c r="M18" s="42" t="e">
        <f t="shared" ca="1" si="5"/>
        <v>#VALUE!</v>
      </c>
      <c r="N18" s="42" t="e">
        <f t="shared" ca="1" si="6"/>
        <v>#VALUE!</v>
      </c>
      <c r="O18" s="47" t="e">
        <f t="shared" ca="1" si="7"/>
        <v>#VALUE!</v>
      </c>
      <c r="P18" s="48" t="b">
        <f t="shared" si="8"/>
        <v>0</v>
      </c>
      <c r="Q18" s="24" t="e">
        <f t="shared" ca="1" si="9"/>
        <v>#VALUE!</v>
      </c>
      <c r="R18" s="24"/>
      <c r="S18" s="49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.75">
      <c r="A19" s="24"/>
      <c r="B19" s="24"/>
      <c r="C19" s="24"/>
      <c r="D19" s="40"/>
      <c r="E19" s="41" t="str">
        <f t="array" ref="E19">IFERROR(INDEX('CONTROLE DE COMPRA E VENDA '!$E$2:E$317,MATCH(0,COUNTIF($E$16:E18,'CONTROLE DE COMPRA E VENDA '!$E$2:E$317),0)),"")</f>
        <v/>
      </c>
      <c r="F19" s="42" t="e">
        <f>SUMIF('CONTROLE DE COMPRA E VENDA '!$E$2:$E$9318,E19,#REF!)/SUMIF('CONTROLE DE COMPRA E VENDA '!$E$2:$E$9318,E19,#REF!)</f>
        <v>#REF!</v>
      </c>
      <c r="G19" s="43">
        <f>SUMIF('CONTROLE DE COMPRA E VENDA '!$E$2:$E$9317,E19,'CONTROLE DE COMPRA E VENDA '!$F$2:$F$9317)</f>
        <v>0</v>
      </c>
      <c r="H19" s="44" t="str">
        <f ca="1">IFERROR(__xludf.DUMMYFUNCTION("VLOOKUP(E19,IMPORTRANGE(""https://docs.google.com/spreadsheets/d/1twE6-cpnyykguqtenQ2Owd-uI9WHiQFG1eK6m-cZxDM/edit#gid=2089456355"",""Lista!A13:e999""),5,FALSE)"),"#REF!")</f>
        <v>#REF!</v>
      </c>
      <c r="I19" s="43" t="e">
        <f t="shared" ca="1" si="1"/>
        <v>#VALUE!</v>
      </c>
      <c r="J19" s="45" t="e">
        <f t="shared" ca="1" si="2"/>
        <v>#VALUE!</v>
      </c>
      <c r="K19" s="46" t="b">
        <f t="shared" si="3"/>
        <v>0</v>
      </c>
      <c r="L19" s="46" t="str">
        <f t="shared" si="4"/>
        <v>Verificar nome na coluna A</v>
      </c>
      <c r="M19" s="42" t="e">
        <f t="shared" ca="1" si="5"/>
        <v>#VALUE!</v>
      </c>
      <c r="N19" s="42" t="e">
        <f t="shared" ca="1" si="6"/>
        <v>#VALUE!</v>
      </c>
      <c r="O19" s="47" t="e">
        <f t="shared" ca="1" si="7"/>
        <v>#VALUE!</v>
      </c>
      <c r="P19" s="48" t="b">
        <f t="shared" si="8"/>
        <v>0</v>
      </c>
      <c r="Q19" s="24" t="e">
        <f t="shared" ca="1" si="9"/>
        <v>#VALUE!</v>
      </c>
      <c r="R19" s="24"/>
      <c r="S19" s="49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15.75" customHeight="1">
      <c r="A20" s="24"/>
      <c r="B20" s="24"/>
      <c r="C20" s="24"/>
      <c r="D20" s="40"/>
      <c r="E20" s="41" t="str">
        <f t="array" ref="E20">IFERROR(INDEX('CONTROLE DE COMPRA E VENDA '!$E$2:E$317,MATCH(0,COUNTIF($E$16:E19,'CONTROLE DE COMPRA E VENDA '!$E$2:E$317),0)),"")</f>
        <v/>
      </c>
      <c r="F20" s="42" t="e">
        <f>SUMIF('CONTROLE DE COMPRA E VENDA '!$E$2:$E$9318,E20,#REF!)/SUMIF('CONTROLE DE COMPRA E VENDA '!$E$2:$E$9318,E20,#REF!)</f>
        <v>#REF!</v>
      </c>
      <c r="G20" s="43">
        <f>SUMIF('CONTROLE DE COMPRA E VENDA '!$E$2:$E$9317,E20,'CONTROLE DE COMPRA E VENDA '!$F$2:$F$9317)</f>
        <v>0</v>
      </c>
      <c r="H20" s="44" t="str">
        <f ca="1">IFERROR(__xludf.DUMMYFUNCTION("VLOOKUP(E20,IMPORTRANGE(""https://docs.google.com/spreadsheets/d/1twE6-cpnyykguqtenQ2Owd-uI9WHiQFG1eK6m-cZxDM/edit#gid=2089456355"",""Lista!A13:e999""),5,FALSE)"),"#REF!")</f>
        <v>#REF!</v>
      </c>
      <c r="I20" s="43" t="e">
        <f t="shared" ca="1" si="1"/>
        <v>#VALUE!</v>
      </c>
      <c r="J20" s="45" t="e">
        <f t="shared" ca="1" si="2"/>
        <v>#VALUE!</v>
      </c>
      <c r="K20" s="46" t="b">
        <f t="shared" si="3"/>
        <v>0</v>
      </c>
      <c r="L20" s="46" t="str">
        <f t="shared" si="4"/>
        <v>Verificar nome na coluna A</v>
      </c>
      <c r="M20" s="42" t="e">
        <f t="shared" ca="1" si="5"/>
        <v>#VALUE!</v>
      </c>
      <c r="N20" s="42" t="e">
        <f t="shared" ca="1" si="6"/>
        <v>#VALUE!</v>
      </c>
      <c r="O20" s="47" t="e">
        <f t="shared" ca="1" si="7"/>
        <v>#VALUE!</v>
      </c>
      <c r="P20" s="48" t="b">
        <f t="shared" si="8"/>
        <v>0</v>
      </c>
      <c r="Q20" s="24" t="e">
        <f t="shared" ca="1" si="9"/>
        <v>#VALUE!</v>
      </c>
      <c r="R20" s="24"/>
      <c r="S20" s="49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15.75" customHeight="1">
      <c r="A21" s="24"/>
      <c r="B21" s="24"/>
      <c r="C21" s="24"/>
      <c r="D21" s="40"/>
      <c r="E21" s="41" t="str">
        <f t="array" ref="E21">IFERROR(INDEX('CONTROLE DE COMPRA E VENDA '!$E$2:E$317,MATCH(0,COUNTIF($E$16:E20,'CONTROLE DE COMPRA E VENDA '!$E$2:E$317),0)),"")</f>
        <v/>
      </c>
      <c r="F21" s="42" t="e">
        <f>SUMIF('CONTROLE DE COMPRA E VENDA '!$E$2:$E$9318,E21,#REF!)/SUMIF('CONTROLE DE COMPRA E VENDA '!$E$2:$E$9318,E21,#REF!)</f>
        <v>#REF!</v>
      </c>
      <c r="G21" s="43">
        <f>SUMIF('CONTROLE DE COMPRA E VENDA '!$E$2:$E$9317,E21,'CONTROLE DE COMPRA E VENDA '!$F$2:$F$9317)</f>
        <v>0</v>
      </c>
      <c r="H21" s="44" t="str">
        <f ca="1">IFERROR(__xludf.DUMMYFUNCTION("VLOOKUP(E21,IMPORTRANGE(""https://docs.google.com/spreadsheets/d/1twE6-cpnyykguqtenQ2Owd-uI9WHiQFG1eK6m-cZxDM/edit#gid=2089456355"",""Lista!A13:e999""),5,FALSE)"),"#REF!")</f>
        <v>#REF!</v>
      </c>
      <c r="I21" s="43" t="e">
        <f t="shared" ca="1" si="1"/>
        <v>#VALUE!</v>
      </c>
      <c r="J21" s="45" t="e">
        <f t="shared" ca="1" si="2"/>
        <v>#VALUE!</v>
      </c>
      <c r="K21" s="46" t="b">
        <f t="shared" si="3"/>
        <v>0</v>
      </c>
      <c r="L21" s="46" t="str">
        <f t="shared" si="4"/>
        <v>Verificar nome na coluna A</v>
      </c>
      <c r="M21" s="42" t="e">
        <f t="shared" ca="1" si="5"/>
        <v>#VALUE!</v>
      </c>
      <c r="N21" s="42" t="e">
        <f t="shared" ca="1" si="6"/>
        <v>#VALUE!</v>
      </c>
      <c r="O21" s="47" t="e">
        <f t="shared" ca="1" si="7"/>
        <v>#VALUE!</v>
      </c>
      <c r="P21" s="48" t="b">
        <f t="shared" si="8"/>
        <v>0</v>
      </c>
      <c r="Q21" s="24" t="e">
        <f t="shared" ca="1" si="9"/>
        <v>#VALUE!</v>
      </c>
      <c r="R21" s="24"/>
      <c r="S21" s="49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15.75" customHeight="1">
      <c r="A22" s="24"/>
      <c r="B22" s="24"/>
      <c r="C22" s="24"/>
      <c r="D22" s="40"/>
      <c r="E22" s="41" t="str">
        <f t="array" ref="E22">IFERROR(INDEX('CONTROLE DE COMPRA E VENDA '!$E$2:E$317,MATCH(0,COUNTIF($E$16:E21,'CONTROLE DE COMPRA E VENDA '!$E$2:E$317),0)),"")</f>
        <v/>
      </c>
      <c r="F22" s="42" t="e">
        <f>SUMIF('CONTROLE DE COMPRA E VENDA '!$E$2:$E$9318,E22,#REF!)/SUMIF('CONTROLE DE COMPRA E VENDA '!$E$2:$E$9318,E22,#REF!)</f>
        <v>#REF!</v>
      </c>
      <c r="G22" s="43">
        <f>SUMIF('CONTROLE DE COMPRA E VENDA '!$E$2:$E$9317,E22,'CONTROLE DE COMPRA E VENDA '!$F$2:$F$9317)</f>
        <v>0</v>
      </c>
      <c r="H22" s="44" t="str">
        <f ca="1">IFERROR(__xludf.DUMMYFUNCTION("VLOOKUP(E22,IMPORTRANGE(""https://docs.google.com/spreadsheets/d/1twE6-cpnyykguqtenQ2Owd-uI9WHiQFG1eK6m-cZxDM/edit#gid=2089456355"",""Lista!A13:e999""),5,FALSE)"),"#REF!")</f>
        <v>#REF!</v>
      </c>
      <c r="I22" s="43" t="e">
        <f t="shared" ca="1" si="1"/>
        <v>#VALUE!</v>
      </c>
      <c r="J22" s="45" t="e">
        <f t="shared" ca="1" si="2"/>
        <v>#VALUE!</v>
      </c>
      <c r="K22" s="46" t="b">
        <f t="shared" si="3"/>
        <v>0</v>
      </c>
      <c r="L22" s="46" t="str">
        <f t="shared" si="4"/>
        <v>Verificar nome na coluna A</v>
      </c>
      <c r="M22" s="42" t="e">
        <f t="shared" ca="1" si="5"/>
        <v>#VALUE!</v>
      </c>
      <c r="N22" s="42" t="e">
        <f t="shared" ca="1" si="6"/>
        <v>#VALUE!</v>
      </c>
      <c r="O22" s="47" t="e">
        <f t="shared" ca="1" si="7"/>
        <v>#VALUE!</v>
      </c>
      <c r="P22" s="48" t="b">
        <f t="shared" si="8"/>
        <v>0</v>
      </c>
      <c r="Q22" s="24" t="e">
        <f t="shared" ca="1" si="9"/>
        <v>#VALUE!</v>
      </c>
      <c r="R22" s="24"/>
      <c r="S22" s="49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15.75" customHeight="1">
      <c r="A23" s="24"/>
      <c r="B23" s="24"/>
      <c r="C23" s="24"/>
      <c r="D23" s="40"/>
      <c r="E23" s="41" t="str">
        <f t="array" ref="E23">IFERROR(INDEX('CONTROLE DE COMPRA E VENDA '!$E$2:E$317,MATCH(0,COUNTIF($E$16:E22,'CONTROLE DE COMPRA E VENDA '!$E$2:E$317),0)),"")</f>
        <v/>
      </c>
      <c r="F23" s="42" t="e">
        <f>SUMIF('CONTROLE DE COMPRA E VENDA '!$E$2:$E$9318,E23,#REF!)/SUMIF('CONTROLE DE COMPRA E VENDA '!$E$2:$E$9318,E23,#REF!)</f>
        <v>#REF!</v>
      </c>
      <c r="G23" s="43">
        <f>SUMIF('CONTROLE DE COMPRA E VENDA '!$E$2:$E$9317,E23,'CONTROLE DE COMPRA E VENDA '!$F$2:$F$9317)</f>
        <v>0</v>
      </c>
      <c r="H23" s="44" t="str">
        <f ca="1">IFERROR(__xludf.DUMMYFUNCTION("VLOOKUP(E23,IMPORTRANGE(""https://docs.google.com/spreadsheets/d/1twE6-cpnyykguqtenQ2Owd-uI9WHiQFG1eK6m-cZxDM/edit#gid=2089456355"",""Lista!A13:e999""),5,FALSE)"),"#REF!")</f>
        <v>#REF!</v>
      </c>
      <c r="I23" s="43" t="e">
        <f t="shared" ca="1" si="1"/>
        <v>#VALUE!</v>
      </c>
      <c r="J23" s="45" t="e">
        <f t="shared" ca="1" si="2"/>
        <v>#VALUE!</v>
      </c>
      <c r="K23" s="46" t="b">
        <f t="shared" si="3"/>
        <v>0</v>
      </c>
      <c r="L23" s="46" t="str">
        <f t="shared" si="4"/>
        <v>Verificar nome na coluna A</v>
      </c>
      <c r="M23" s="42" t="e">
        <f t="shared" ca="1" si="5"/>
        <v>#VALUE!</v>
      </c>
      <c r="N23" s="42" t="e">
        <f t="shared" ca="1" si="6"/>
        <v>#VALUE!</v>
      </c>
      <c r="O23" s="47" t="e">
        <f t="shared" ca="1" si="7"/>
        <v>#VALUE!</v>
      </c>
      <c r="P23" s="48" t="b">
        <f t="shared" si="8"/>
        <v>0</v>
      </c>
      <c r="Q23" s="24" t="e">
        <f t="shared" ca="1" si="9"/>
        <v>#VALUE!</v>
      </c>
      <c r="R23" s="24"/>
      <c r="S23" s="49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15.75" customHeight="1">
      <c r="A24" s="24"/>
      <c r="B24" s="24"/>
      <c r="C24" s="24"/>
      <c r="D24" s="40"/>
      <c r="E24" s="41" t="str">
        <f t="array" ref="E24">IFERROR(INDEX('CONTROLE DE COMPRA E VENDA '!$E$2:E$317,MATCH(0,COUNTIF($E$16:E23,'CONTROLE DE COMPRA E VENDA '!$E$2:E$317),0)),"")</f>
        <v/>
      </c>
      <c r="F24" s="42" t="e">
        <f>SUMIF('CONTROLE DE COMPRA E VENDA '!$E$2:$E$9318,E24,#REF!)/SUMIF('CONTROLE DE COMPRA E VENDA '!$E$2:$E$9318,E24,#REF!)</f>
        <v>#REF!</v>
      </c>
      <c r="G24" s="43">
        <f>SUMIF('CONTROLE DE COMPRA E VENDA '!$E$2:$E$9317,E24,'CONTROLE DE COMPRA E VENDA '!$F$2:$F$9317)</f>
        <v>0</v>
      </c>
      <c r="H24" s="44" t="str">
        <f ca="1">IFERROR(__xludf.DUMMYFUNCTION("VLOOKUP(E24,IMPORTRANGE(""https://docs.google.com/spreadsheets/d/1twE6-cpnyykguqtenQ2Owd-uI9WHiQFG1eK6m-cZxDM/edit#gid=2089456355"",""Lista!A13:e999""),5,FALSE)"),"#REF!")</f>
        <v>#REF!</v>
      </c>
      <c r="I24" s="43" t="e">
        <f t="shared" ca="1" si="1"/>
        <v>#VALUE!</v>
      </c>
      <c r="J24" s="45" t="e">
        <f t="shared" ca="1" si="2"/>
        <v>#VALUE!</v>
      </c>
      <c r="K24" s="46" t="b">
        <f t="shared" si="3"/>
        <v>0</v>
      </c>
      <c r="L24" s="46" t="str">
        <f t="shared" si="4"/>
        <v>Verificar nome na coluna A</v>
      </c>
      <c r="M24" s="42" t="e">
        <f t="shared" ca="1" si="5"/>
        <v>#VALUE!</v>
      </c>
      <c r="N24" s="42" t="e">
        <f t="shared" ca="1" si="6"/>
        <v>#VALUE!</v>
      </c>
      <c r="O24" s="47" t="e">
        <f t="shared" ca="1" si="7"/>
        <v>#VALUE!</v>
      </c>
      <c r="P24" s="48" t="b">
        <f t="shared" si="8"/>
        <v>0</v>
      </c>
      <c r="Q24" s="24" t="e">
        <f t="shared" ca="1" si="9"/>
        <v>#VALUE!</v>
      </c>
      <c r="R24" s="24"/>
      <c r="S24" s="49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5.75" customHeight="1">
      <c r="A25" s="24"/>
      <c r="B25" s="24"/>
      <c r="C25" s="24"/>
      <c r="D25" s="40"/>
      <c r="E25" s="41" t="str">
        <f t="array" ref="E25">IFERROR(INDEX('CONTROLE DE COMPRA E VENDA '!$E$2:E$317,MATCH(0,COUNTIF($E$16:E24,'CONTROLE DE COMPRA E VENDA '!$E$2:E$317),0)),"")</f>
        <v/>
      </c>
      <c r="F25" s="42" t="e">
        <f>SUMIF('CONTROLE DE COMPRA E VENDA '!$E$2:$E$9318,E25,#REF!)/SUMIF('CONTROLE DE COMPRA E VENDA '!$E$2:$E$9318,E25,#REF!)</f>
        <v>#REF!</v>
      </c>
      <c r="G25" s="43">
        <f>SUMIF('CONTROLE DE COMPRA E VENDA '!$E$2:$E$9317,E25,'CONTROLE DE COMPRA E VENDA '!$F$2:$F$9317)</f>
        <v>0</v>
      </c>
      <c r="H25" s="44" t="str">
        <f ca="1">IFERROR(__xludf.DUMMYFUNCTION("VLOOKUP(E25,IMPORTRANGE(""https://docs.google.com/spreadsheets/d/1twE6-cpnyykguqtenQ2Owd-uI9WHiQFG1eK6m-cZxDM/edit#gid=2089456355"",""Lista!A13:e999""),5,FALSE)"),"#REF!")</f>
        <v>#REF!</v>
      </c>
      <c r="I25" s="43" t="e">
        <f t="shared" ca="1" si="1"/>
        <v>#VALUE!</v>
      </c>
      <c r="J25" s="45" t="e">
        <f t="shared" ca="1" si="2"/>
        <v>#VALUE!</v>
      </c>
      <c r="K25" s="46" t="b">
        <f t="shared" si="3"/>
        <v>0</v>
      </c>
      <c r="L25" s="46" t="str">
        <f t="shared" si="4"/>
        <v>Verificar nome na coluna A</v>
      </c>
      <c r="M25" s="42" t="e">
        <f t="shared" ca="1" si="5"/>
        <v>#VALUE!</v>
      </c>
      <c r="N25" s="42" t="e">
        <f t="shared" ca="1" si="6"/>
        <v>#VALUE!</v>
      </c>
      <c r="O25" s="47" t="e">
        <f t="shared" ca="1" si="7"/>
        <v>#VALUE!</v>
      </c>
      <c r="P25" s="48" t="b">
        <f t="shared" si="8"/>
        <v>0</v>
      </c>
      <c r="Q25" s="24" t="e">
        <f t="shared" ca="1" si="9"/>
        <v>#VALUE!</v>
      </c>
      <c r="R25" s="24"/>
      <c r="S25" s="49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ht="15.75" customHeight="1">
      <c r="A26" s="24"/>
      <c r="B26" s="24"/>
      <c r="C26" s="24"/>
      <c r="D26" s="40"/>
      <c r="E26" s="41" t="str">
        <f t="array" ref="E26">IFERROR(INDEX('CONTROLE DE COMPRA E VENDA '!$E$2:E$317,MATCH(0,COUNTIF($E$16:E25,'CONTROLE DE COMPRA E VENDA '!$E$2:E$317),0)),"")</f>
        <v/>
      </c>
      <c r="F26" s="42" t="e">
        <f>SUMIF('CONTROLE DE COMPRA E VENDA '!$E$2:$E$9318,E26,#REF!)/SUMIF('CONTROLE DE COMPRA E VENDA '!$E$2:$E$9318,E26,#REF!)</f>
        <v>#REF!</v>
      </c>
      <c r="G26" s="43">
        <f>SUMIF('CONTROLE DE COMPRA E VENDA '!$E$2:$E$9317,E26,'CONTROLE DE COMPRA E VENDA '!$F$2:$F$9317)</f>
        <v>0</v>
      </c>
      <c r="H26" s="44" t="str">
        <f ca="1">IFERROR(__xludf.DUMMYFUNCTION("VLOOKUP(E26,IMPORTRANGE(""https://docs.google.com/spreadsheets/d/1twE6-cpnyykguqtenQ2Owd-uI9WHiQFG1eK6m-cZxDM/edit#gid=2089456355"",""Lista!A13:e999""),5,FALSE)"),"#REF!")</f>
        <v>#REF!</v>
      </c>
      <c r="I26" s="43" t="e">
        <f t="shared" ca="1" si="1"/>
        <v>#VALUE!</v>
      </c>
      <c r="J26" s="45" t="e">
        <f t="shared" ca="1" si="2"/>
        <v>#VALUE!</v>
      </c>
      <c r="K26" s="46" t="b">
        <f t="shared" si="3"/>
        <v>0</v>
      </c>
      <c r="L26" s="46" t="str">
        <f t="shared" si="4"/>
        <v>Verificar nome na coluna A</v>
      </c>
      <c r="M26" s="42" t="e">
        <f t="shared" ca="1" si="5"/>
        <v>#VALUE!</v>
      </c>
      <c r="N26" s="42" t="e">
        <f t="shared" ca="1" si="6"/>
        <v>#VALUE!</v>
      </c>
      <c r="O26" s="47" t="e">
        <f t="shared" ca="1" si="7"/>
        <v>#VALUE!</v>
      </c>
      <c r="P26" s="48" t="b">
        <f t="shared" si="8"/>
        <v>0</v>
      </c>
      <c r="Q26" s="24" t="e">
        <f t="shared" ca="1" si="9"/>
        <v>#VALUE!</v>
      </c>
      <c r="R26" s="24"/>
      <c r="S26" s="49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spans="1:29" ht="15.75" customHeight="1">
      <c r="A27" s="24"/>
      <c r="B27" s="24"/>
      <c r="C27" s="24"/>
      <c r="D27" s="40"/>
      <c r="E27" s="41" t="str">
        <f t="array" ref="E27">IFERROR(INDEX('CONTROLE DE COMPRA E VENDA '!$E$2:E$317,MATCH(0,COUNTIF($E$16:E26,'CONTROLE DE COMPRA E VENDA '!$E$2:E$317),0)),"")</f>
        <v/>
      </c>
      <c r="F27" s="42" t="e">
        <f>SUMIF('CONTROLE DE COMPRA E VENDA '!$E$2:$E$9318,E27,#REF!)/SUMIF('CONTROLE DE COMPRA E VENDA '!$E$2:$E$9318,E27,#REF!)</f>
        <v>#REF!</v>
      </c>
      <c r="G27" s="43">
        <f>SUMIF('CONTROLE DE COMPRA E VENDA '!$E$2:$E$9317,E27,'CONTROLE DE COMPRA E VENDA '!$F$2:$F$9317)</f>
        <v>0</v>
      </c>
      <c r="H27" s="44" t="str">
        <f ca="1">IFERROR(__xludf.DUMMYFUNCTION("VLOOKUP(E27,IMPORTRANGE(""https://docs.google.com/spreadsheets/d/1twE6-cpnyykguqtenQ2Owd-uI9WHiQFG1eK6m-cZxDM/edit#gid=2089456355"",""Lista!A13:e999""),5,FALSE)"),"#REF!")</f>
        <v>#REF!</v>
      </c>
      <c r="I27" s="43" t="e">
        <f t="shared" ca="1" si="1"/>
        <v>#VALUE!</v>
      </c>
      <c r="J27" s="45" t="e">
        <f t="shared" ca="1" si="2"/>
        <v>#VALUE!</v>
      </c>
      <c r="K27" s="46" t="b">
        <f t="shared" si="3"/>
        <v>0</v>
      </c>
      <c r="L27" s="46" t="str">
        <f t="shared" si="4"/>
        <v>Verificar nome na coluna A</v>
      </c>
      <c r="M27" s="42" t="e">
        <f t="shared" ca="1" si="5"/>
        <v>#VALUE!</v>
      </c>
      <c r="N27" s="42" t="e">
        <f t="shared" ca="1" si="6"/>
        <v>#VALUE!</v>
      </c>
      <c r="O27" s="47" t="e">
        <f t="shared" ca="1" si="7"/>
        <v>#VALUE!</v>
      </c>
      <c r="P27" s="48" t="b">
        <f t="shared" si="8"/>
        <v>0</v>
      </c>
      <c r="Q27" s="24" t="e">
        <f t="shared" ca="1" si="9"/>
        <v>#VALUE!</v>
      </c>
      <c r="R27" s="24"/>
      <c r="S27" s="49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spans="1:29" ht="15.75" customHeight="1">
      <c r="A28" s="24"/>
      <c r="B28" s="24"/>
      <c r="C28" s="24"/>
      <c r="D28" s="40"/>
      <c r="E28" s="41" t="str">
        <f t="array" ref="E28">IFERROR(INDEX('CONTROLE DE COMPRA E VENDA '!$E$2:E$317,MATCH(0,COUNTIF($E$16:E27,'CONTROLE DE COMPRA E VENDA '!$E$2:E$317),0)),"")</f>
        <v/>
      </c>
      <c r="F28" s="42" t="e">
        <f>SUMIF('CONTROLE DE COMPRA E VENDA '!$E$2:$E$9318,E28,#REF!)/SUMIF('CONTROLE DE COMPRA E VENDA '!$E$2:$E$9318,E28,#REF!)</f>
        <v>#REF!</v>
      </c>
      <c r="G28" s="43">
        <f>SUMIF('CONTROLE DE COMPRA E VENDA '!$E$2:$E$9317,E28,'CONTROLE DE COMPRA E VENDA '!$F$2:$F$9317)</f>
        <v>0</v>
      </c>
      <c r="H28" s="44" t="str">
        <f ca="1">IFERROR(__xludf.DUMMYFUNCTION("VLOOKUP(E28,IMPORTRANGE(""https://docs.google.com/spreadsheets/d/1twE6-cpnyykguqtenQ2Owd-uI9WHiQFG1eK6m-cZxDM/edit#gid=2089456355"",""Lista!A13:e999""),5,FALSE)"),"#REF!")</f>
        <v>#REF!</v>
      </c>
      <c r="I28" s="43" t="e">
        <f t="shared" ca="1" si="1"/>
        <v>#VALUE!</v>
      </c>
      <c r="J28" s="45" t="e">
        <f t="shared" ca="1" si="2"/>
        <v>#VALUE!</v>
      </c>
      <c r="K28" s="46" t="b">
        <f t="shared" si="3"/>
        <v>0</v>
      </c>
      <c r="L28" s="46" t="str">
        <f t="shared" si="4"/>
        <v>Verificar nome na coluna A</v>
      </c>
      <c r="M28" s="42" t="e">
        <f t="shared" ca="1" si="5"/>
        <v>#VALUE!</v>
      </c>
      <c r="N28" s="42" t="e">
        <f t="shared" ca="1" si="6"/>
        <v>#VALUE!</v>
      </c>
      <c r="O28" s="47" t="e">
        <f t="shared" ca="1" si="7"/>
        <v>#VALUE!</v>
      </c>
      <c r="P28" s="48" t="b">
        <f t="shared" si="8"/>
        <v>0</v>
      </c>
      <c r="Q28" s="24" t="e">
        <f t="shared" ca="1" si="9"/>
        <v>#VALUE!</v>
      </c>
      <c r="R28" s="24"/>
      <c r="S28" s="49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 spans="1:29" ht="15.75" customHeight="1">
      <c r="A29" s="24"/>
      <c r="B29" s="24"/>
      <c r="C29" s="24"/>
      <c r="D29" s="40"/>
      <c r="E29" s="41" t="str">
        <f t="array" ref="E29">IFERROR(INDEX('CONTROLE DE COMPRA E VENDA '!$E$2:E$317,MATCH(0,COUNTIF($E$16:E28,'CONTROLE DE COMPRA E VENDA '!$E$2:E$317),0)),"")</f>
        <v/>
      </c>
      <c r="F29" s="42" t="e">
        <f>SUMIF('CONTROLE DE COMPRA E VENDA '!$E$2:$E$9318,E29,#REF!)/SUMIF('CONTROLE DE COMPRA E VENDA '!$E$2:$E$9318,E29,#REF!)</f>
        <v>#REF!</v>
      </c>
      <c r="G29" s="43">
        <f>SUMIF('CONTROLE DE COMPRA E VENDA '!$E$2:$E$9317,E29,'CONTROLE DE COMPRA E VENDA '!$F$2:$F$9317)</f>
        <v>0</v>
      </c>
      <c r="H29" s="44" t="str">
        <f ca="1">IFERROR(__xludf.DUMMYFUNCTION("VLOOKUP(E29,IMPORTRANGE(""https://docs.google.com/spreadsheets/d/1twE6-cpnyykguqtenQ2Owd-uI9WHiQFG1eK6m-cZxDM/edit#gid=2089456355"",""Lista!A13:e999""),5,FALSE)"),"#REF!")</f>
        <v>#REF!</v>
      </c>
      <c r="I29" s="43" t="e">
        <f t="shared" ca="1" si="1"/>
        <v>#VALUE!</v>
      </c>
      <c r="J29" s="45" t="e">
        <f t="shared" ca="1" si="2"/>
        <v>#VALUE!</v>
      </c>
      <c r="K29" s="46" t="b">
        <f t="shared" si="3"/>
        <v>0</v>
      </c>
      <c r="L29" s="46" t="str">
        <f t="shared" si="4"/>
        <v>Verificar nome na coluna A</v>
      </c>
      <c r="M29" s="42" t="e">
        <f t="shared" ca="1" si="5"/>
        <v>#VALUE!</v>
      </c>
      <c r="N29" s="42" t="e">
        <f t="shared" ca="1" si="6"/>
        <v>#VALUE!</v>
      </c>
      <c r="O29" s="47" t="e">
        <f t="shared" ca="1" si="7"/>
        <v>#VALUE!</v>
      </c>
      <c r="P29" s="48" t="b">
        <f t="shared" si="8"/>
        <v>0</v>
      </c>
      <c r="Q29" s="24" t="e">
        <f t="shared" ca="1" si="9"/>
        <v>#VALUE!</v>
      </c>
      <c r="R29" s="24"/>
      <c r="S29" s="49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15.75" customHeight="1">
      <c r="A30" s="24"/>
      <c r="B30" s="24"/>
      <c r="C30" s="24"/>
      <c r="D30" s="40"/>
      <c r="E30" s="41" t="str">
        <f t="array" ref="E30">IFERROR(INDEX('CONTROLE DE COMPRA E VENDA '!$E$2:E$317,MATCH(0,COUNTIF($E$16:E29,'CONTROLE DE COMPRA E VENDA '!$E$2:E$317),0)),"")</f>
        <v/>
      </c>
      <c r="F30" s="42" t="e">
        <f>SUMIF('CONTROLE DE COMPRA E VENDA '!$E$2:$E$9318,E30,#REF!)/SUMIF('CONTROLE DE COMPRA E VENDA '!$E$2:$E$9318,E30,#REF!)</f>
        <v>#REF!</v>
      </c>
      <c r="G30" s="43">
        <f>SUMIF('CONTROLE DE COMPRA E VENDA '!$E$2:$E$9317,E30,'CONTROLE DE COMPRA E VENDA '!$F$2:$F$9317)</f>
        <v>0</v>
      </c>
      <c r="H30" s="44" t="str">
        <f ca="1">IFERROR(__xludf.DUMMYFUNCTION("VLOOKUP(E30,IMPORTRANGE(""https://docs.google.com/spreadsheets/d/1twE6-cpnyykguqtenQ2Owd-uI9WHiQFG1eK6m-cZxDM/edit#gid=2089456355"",""Lista!A13:e999""),5,FALSE)"),"#REF!")</f>
        <v>#REF!</v>
      </c>
      <c r="I30" s="43" t="e">
        <f t="shared" ca="1" si="1"/>
        <v>#VALUE!</v>
      </c>
      <c r="J30" s="45" t="e">
        <f t="shared" ca="1" si="2"/>
        <v>#VALUE!</v>
      </c>
      <c r="K30" s="46" t="b">
        <f t="shared" si="3"/>
        <v>0</v>
      </c>
      <c r="L30" s="46" t="str">
        <f t="shared" si="4"/>
        <v>Verificar nome na coluna A</v>
      </c>
      <c r="M30" s="42" t="e">
        <f t="shared" ca="1" si="5"/>
        <v>#VALUE!</v>
      </c>
      <c r="N30" s="42" t="e">
        <f t="shared" ca="1" si="6"/>
        <v>#VALUE!</v>
      </c>
      <c r="O30" s="47" t="e">
        <f t="shared" ca="1" si="7"/>
        <v>#VALUE!</v>
      </c>
      <c r="P30" s="48" t="b">
        <f t="shared" si="8"/>
        <v>0</v>
      </c>
      <c r="Q30" s="24" t="e">
        <f t="shared" ca="1" si="9"/>
        <v>#VALUE!</v>
      </c>
      <c r="R30" s="24"/>
      <c r="S30" s="49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5.75" customHeight="1">
      <c r="A31" s="24"/>
      <c r="B31" s="24"/>
      <c r="C31" s="24"/>
      <c r="D31" s="40"/>
      <c r="E31" s="41" t="str">
        <f t="array" ref="E31">IFERROR(INDEX('CONTROLE DE COMPRA E VENDA '!$E$2:E$317,MATCH(0,COUNTIF($E$16:E30,'CONTROLE DE COMPRA E VENDA '!$E$2:E$317),0)),"")</f>
        <v/>
      </c>
      <c r="F31" s="42" t="e">
        <f>SUMIF('CONTROLE DE COMPRA E VENDA '!$E$2:$E$9318,E31,#REF!)/SUMIF('CONTROLE DE COMPRA E VENDA '!$E$2:$E$9318,E31,#REF!)</f>
        <v>#REF!</v>
      </c>
      <c r="G31" s="43">
        <f>SUMIF('CONTROLE DE COMPRA E VENDA '!$E$2:$E$9317,E31,'CONTROLE DE COMPRA E VENDA '!$F$2:$F$9317)</f>
        <v>0</v>
      </c>
      <c r="H31" s="44" t="str">
        <f ca="1">IFERROR(__xludf.DUMMYFUNCTION("VLOOKUP(E31,IMPORTRANGE(""https://docs.google.com/spreadsheets/d/1twE6-cpnyykguqtenQ2Owd-uI9WHiQFG1eK6m-cZxDM/edit#gid=2089456355"",""Lista!A13:e999""),5,FALSE)"),"#REF!")</f>
        <v>#REF!</v>
      </c>
      <c r="I31" s="43" t="e">
        <f t="shared" ca="1" si="1"/>
        <v>#VALUE!</v>
      </c>
      <c r="J31" s="45" t="e">
        <f t="shared" ca="1" si="2"/>
        <v>#VALUE!</v>
      </c>
      <c r="K31" s="46" t="b">
        <f t="shared" si="3"/>
        <v>0</v>
      </c>
      <c r="L31" s="46" t="str">
        <f t="shared" si="4"/>
        <v>Verificar nome na coluna A</v>
      </c>
      <c r="M31" s="42" t="e">
        <f t="shared" ca="1" si="5"/>
        <v>#VALUE!</v>
      </c>
      <c r="N31" s="42" t="e">
        <f t="shared" ca="1" si="6"/>
        <v>#VALUE!</v>
      </c>
      <c r="O31" s="47" t="e">
        <f t="shared" ca="1" si="7"/>
        <v>#VALUE!</v>
      </c>
      <c r="P31" s="48" t="b">
        <f t="shared" si="8"/>
        <v>0</v>
      </c>
      <c r="Q31" s="24" t="e">
        <f t="shared" ca="1" si="9"/>
        <v>#VALUE!</v>
      </c>
      <c r="R31" s="24"/>
      <c r="S31" s="49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15.75" customHeight="1">
      <c r="A32" s="24"/>
      <c r="B32" s="24"/>
      <c r="C32" s="24"/>
      <c r="D32" s="40"/>
      <c r="E32" s="41" t="str">
        <f t="array" ref="E32">IFERROR(INDEX('CONTROLE DE COMPRA E VENDA '!$E$2:E$317,MATCH(0,COUNTIF($E$16:E31,'CONTROLE DE COMPRA E VENDA '!$E$2:E$317),0)),"")</f>
        <v/>
      </c>
      <c r="F32" s="42" t="e">
        <f>SUMIF('CONTROLE DE COMPRA E VENDA '!$E$2:$E$9318,E32,#REF!)/SUMIF('CONTROLE DE COMPRA E VENDA '!$E$2:$E$9318,E32,#REF!)</f>
        <v>#REF!</v>
      </c>
      <c r="G32" s="43">
        <f>SUMIF('CONTROLE DE COMPRA E VENDA '!$E$2:$E$9317,E32,'CONTROLE DE COMPRA E VENDA '!$F$2:$F$9317)</f>
        <v>0</v>
      </c>
      <c r="H32" s="44" t="str">
        <f ca="1">IFERROR(__xludf.DUMMYFUNCTION("VLOOKUP(E32,IMPORTRANGE(""https://docs.google.com/spreadsheets/d/1twE6-cpnyykguqtenQ2Owd-uI9WHiQFG1eK6m-cZxDM/edit#gid=2089456355"",""Lista!A13:e999""),5,FALSE)"),"#REF!")</f>
        <v>#REF!</v>
      </c>
      <c r="I32" s="43" t="e">
        <f t="shared" ca="1" si="1"/>
        <v>#VALUE!</v>
      </c>
      <c r="J32" s="45" t="e">
        <f t="shared" ca="1" si="2"/>
        <v>#VALUE!</v>
      </c>
      <c r="K32" s="46" t="b">
        <f t="shared" si="3"/>
        <v>0</v>
      </c>
      <c r="L32" s="46" t="str">
        <f t="shared" si="4"/>
        <v>Verificar nome na coluna A</v>
      </c>
      <c r="M32" s="42" t="e">
        <f t="shared" ca="1" si="5"/>
        <v>#VALUE!</v>
      </c>
      <c r="N32" s="42" t="e">
        <f t="shared" ca="1" si="6"/>
        <v>#VALUE!</v>
      </c>
      <c r="O32" s="47" t="e">
        <f t="shared" ca="1" si="7"/>
        <v>#VALUE!</v>
      </c>
      <c r="P32" s="48" t="b">
        <f t="shared" si="8"/>
        <v>0</v>
      </c>
      <c r="Q32" s="24" t="e">
        <f t="shared" ca="1" si="9"/>
        <v>#VALUE!</v>
      </c>
      <c r="R32" s="24"/>
      <c r="S32" s="49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ht="15.75" customHeight="1">
      <c r="A33" s="24"/>
      <c r="B33" s="24"/>
      <c r="C33" s="24"/>
      <c r="D33" s="40"/>
      <c r="E33" s="41" t="str">
        <f t="array" ref="E33">IFERROR(INDEX('CONTROLE DE COMPRA E VENDA '!$E$2:E$317,MATCH(0,COUNTIF($E$16:E32,'CONTROLE DE COMPRA E VENDA '!$E$2:E$317),0)),"")</f>
        <v/>
      </c>
      <c r="F33" s="42" t="e">
        <f>SUMIF('CONTROLE DE COMPRA E VENDA '!$E$2:$E$9318,E33,#REF!)/SUMIF('CONTROLE DE COMPRA E VENDA '!$E$2:$E$9318,E33,#REF!)</f>
        <v>#REF!</v>
      </c>
      <c r="G33" s="43">
        <f>SUMIF('CONTROLE DE COMPRA E VENDA '!$E$2:$E$9317,E33,'CONTROLE DE COMPRA E VENDA '!$F$2:$F$9317)</f>
        <v>0</v>
      </c>
      <c r="H33" s="44" t="str">
        <f ca="1">IFERROR(__xludf.DUMMYFUNCTION("VLOOKUP(E33,IMPORTRANGE(""https://docs.google.com/spreadsheets/d/1twE6-cpnyykguqtenQ2Owd-uI9WHiQFG1eK6m-cZxDM/edit#gid=2089456355"",""Lista!A13:e999""),5,FALSE)"),"#REF!")</f>
        <v>#REF!</v>
      </c>
      <c r="I33" s="43" t="e">
        <f t="shared" ca="1" si="1"/>
        <v>#VALUE!</v>
      </c>
      <c r="J33" s="45" t="e">
        <f t="shared" ca="1" si="2"/>
        <v>#VALUE!</v>
      </c>
      <c r="K33" s="46" t="b">
        <f t="shared" si="3"/>
        <v>0</v>
      </c>
      <c r="L33" s="46" t="str">
        <f t="shared" si="4"/>
        <v>Verificar nome na coluna A</v>
      </c>
      <c r="M33" s="42" t="e">
        <f t="shared" ca="1" si="5"/>
        <v>#VALUE!</v>
      </c>
      <c r="N33" s="42" t="e">
        <f t="shared" ca="1" si="6"/>
        <v>#VALUE!</v>
      </c>
      <c r="O33" s="47" t="e">
        <f t="shared" ca="1" si="7"/>
        <v>#VALUE!</v>
      </c>
      <c r="P33" s="48" t="b">
        <f t="shared" si="8"/>
        <v>0</v>
      </c>
      <c r="Q33" s="24" t="e">
        <f t="shared" ca="1" si="9"/>
        <v>#VALUE!</v>
      </c>
      <c r="R33" s="24"/>
      <c r="S33" s="49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 ht="15.75" customHeight="1">
      <c r="A34" s="24"/>
      <c r="B34" s="24"/>
      <c r="C34" s="24"/>
      <c r="D34" s="40"/>
      <c r="E34" s="41" t="str">
        <f t="array" ref="E34">IFERROR(INDEX('CONTROLE DE COMPRA E VENDA '!$E$2:E$317,MATCH(0,COUNTIF($E$16:E33,'CONTROLE DE COMPRA E VENDA '!$E$2:E$317),0)),"")</f>
        <v/>
      </c>
      <c r="F34" s="42" t="e">
        <f>SUMIF('CONTROLE DE COMPRA E VENDA '!$E$2:$E$9318,E34,#REF!)/SUMIF('CONTROLE DE COMPRA E VENDA '!$E$2:$E$9318,E34,#REF!)</f>
        <v>#REF!</v>
      </c>
      <c r="G34" s="43">
        <f>SUMIF('CONTROLE DE COMPRA E VENDA '!$E$2:$E$9317,E34,'CONTROLE DE COMPRA E VENDA '!$F$2:$F$9317)</f>
        <v>0</v>
      </c>
      <c r="H34" s="44" t="str">
        <f ca="1">IFERROR(__xludf.DUMMYFUNCTION("VLOOKUP(E34,IMPORTRANGE(""https://docs.google.com/spreadsheets/d/1twE6-cpnyykguqtenQ2Owd-uI9WHiQFG1eK6m-cZxDM/edit#gid=2089456355"",""Lista!A13:e999""),5,FALSE)"),"#REF!")</f>
        <v>#REF!</v>
      </c>
      <c r="I34" s="43" t="e">
        <f t="shared" ca="1" si="1"/>
        <v>#VALUE!</v>
      </c>
      <c r="J34" s="45" t="e">
        <f t="shared" ca="1" si="2"/>
        <v>#VALUE!</v>
      </c>
      <c r="K34" s="46" t="b">
        <f t="shared" si="3"/>
        <v>0</v>
      </c>
      <c r="L34" s="46" t="str">
        <f t="shared" si="4"/>
        <v>Verificar nome na coluna A</v>
      </c>
      <c r="M34" s="42" t="e">
        <f t="shared" ca="1" si="5"/>
        <v>#VALUE!</v>
      </c>
      <c r="N34" s="42" t="e">
        <f t="shared" ca="1" si="6"/>
        <v>#VALUE!</v>
      </c>
      <c r="O34" s="47" t="e">
        <f t="shared" ca="1" si="7"/>
        <v>#VALUE!</v>
      </c>
      <c r="P34" s="48" t="b">
        <f t="shared" si="8"/>
        <v>0</v>
      </c>
      <c r="Q34" s="24" t="e">
        <f t="shared" ca="1" si="9"/>
        <v>#VALUE!</v>
      </c>
      <c r="R34" s="24"/>
      <c r="S34" s="49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 ht="15.75" customHeight="1">
      <c r="A35" s="24"/>
      <c r="B35" s="24"/>
      <c r="C35" s="24"/>
      <c r="D35" s="40"/>
      <c r="E35" s="41" t="str">
        <f t="array" ref="E35">IFERROR(INDEX('CONTROLE DE COMPRA E VENDA '!$E$2:E$317,MATCH(0,COUNTIF($E$16:E34,'CONTROLE DE COMPRA E VENDA '!$E$2:E$317),0)),"")</f>
        <v/>
      </c>
      <c r="F35" s="42" t="e">
        <f>SUMIF('CONTROLE DE COMPRA E VENDA '!$E$2:$E$9318,E35,#REF!)/SUMIF('CONTROLE DE COMPRA E VENDA '!$E$2:$E$9318,E35,#REF!)</f>
        <v>#REF!</v>
      </c>
      <c r="G35" s="43">
        <f>SUMIF('CONTROLE DE COMPRA E VENDA '!$E$2:$E$9317,E35,'CONTROLE DE COMPRA E VENDA '!$F$2:$F$9317)</f>
        <v>0</v>
      </c>
      <c r="H35" s="44" t="str">
        <f ca="1">IFERROR(__xludf.DUMMYFUNCTION("VLOOKUP(E35,IMPORTRANGE(""https://docs.google.com/spreadsheets/d/1twE6-cpnyykguqtenQ2Owd-uI9WHiQFG1eK6m-cZxDM/edit#gid=2089456355"",""Lista!A13:e999""),5,FALSE)"),"#REF!")</f>
        <v>#REF!</v>
      </c>
      <c r="I35" s="43" t="e">
        <f t="shared" ca="1" si="1"/>
        <v>#VALUE!</v>
      </c>
      <c r="J35" s="45" t="e">
        <f t="shared" ca="1" si="2"/>
        <v>#VALUE!</v>
      </c>
      <c r="K35" s="46" t="b">
        <f t="shared" si="3"/>
        <v>0</v>
      </c>
      <c r="L35" s="46" t="str">
        <f t="shared" si="4"/>
        <v>Verificar nome na coluna A</v>
      </c>
      <c r="M35" s="42" t="e">
        <f t="shared" ca="1" si="5"/>
        <v>#VALUE!</v>
      </c>
      <c r="N35" s="42" t="e">
        <f t="shared" ca="1" si="6"/>
        <v>#VALUE!</v>
      </c>
      <c r="O35" s="47" t="e">
        <f t="shared" ca="1" si="7"/>
        <v>#VALUE!</v>
      </c>
      <c r="P35" s="48" t="b">
        <f t="shared" si="8"/>
        <v>0</v>
      </c>
      <c r="Q35" s="24" t="e">
        <f t="shared" ca="1" si="9"/>
        <v>#VALUE!</v>
      </c>
      <c r="R35" s="24"/>
      <c r="S35" s="49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 ht="15.75" customHeight="1">
      <c r="A36" s="24"/>
      <c r="B36" s="24"/>
      <c r="C36" s="24"/>
      <c r="D36" s="40"/>
      <c r="E36" s="41" t="str">
        <f t="array" ref="E36">IFERROR(INDEX('CONTROLE DE COMPRA E VENDA '!$E$2:E$317,MATCH(0,COUNTIF($E$16:E35,'CONTROLE DE COMPRA E VENDA '!$E$2:E$317),0)),"")</f>
        <v/>
      </c>
      <c r="F36" s="42" t="e">
        <f>SUMIF('CONTROLE DE COMPRA E VENDA '!$E$2:$E$9318,E36,#REF!)/SUMIF('CONTROLE DE COMPRA E VENDA '!$E$2:$E$9318,E36,#REF!)</f>
        <v>#REF!</v>
      </c>
      <c r="G36" s="43">
        <f>SUMIF('CONTROLE DE COMPRA E VENDA '!$E$2:$E$9317,E36,'CONTROLE DE COMPRA E VENDA '!$F$2:$F$9317)</f>
        <v>0</v>
      </c>
      <c r="H36" s="44" t="str">
        <f ca="1">IFERROR(__xludf.DUMMYFUNCTION("VLOOKUP(E36,IMPORTRANGE(""https://docs.google.com/spreadsheets/d/1twE6-cpnyykguqtenQ2Owd-uI9WHiQFG1eK6m-cZxDM/edit#gid=2089456355"",""Lista!A13:e999""),5,FALSE)"),"#REF!")</f>
        <v>#REF!</v>
      </c>
      <c r="I36" s="43" t="e">
        <f t="shared" ca="1" si="1"/>
        <v>#VALUE!</v>
      </c>
      <c r="J36" s="45" t="e">
        <f t="shared" ca="1" si="2"/>
        <v>#VALUE!</v>
      </c>
      <c r="K36" s="46" t="b">
        <f t="shared" si="3"/>
        <v>0</v>
      </c>
      <c r="L36" s="46" t="str">
        <f t="shared" si="4"/>
        <v>Verificar nome na coluna A</v>
      </c>
      <c r="M36" s="42" t="e">
        <f t="shared" ca="1" si="5"/>
        <v>#VALUE!</v>
      </c>
      <c r="N36" s="42" t="e">
        <f t="shared" ca="1" si="6"/>
        <v>#VALUE!</v>
      </c>
      <c r="O36" s="47" t="e">
        <f t="shared" ca="1" si="7"/>
        <v>#VALUE!</v>
      </c>
      <c r="P36" s="48" t="b">
        <f t="shared" si="8"/>
        <v>0</v>
      </c>
      <c r="Q36" s="24" t="e">
        <f t="shared" ca="1" si="9"/>
        <v>#VALUE!</v>
      </c>
      <c r="R36" s="24"/>
      <c r="S36" s="49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 ht="15.75" customHeight="1">
      <c r="A37" s="24"/>
      <c r="B37" s="24"/>
      <c r="C37" s="24"/>
      <c r="D37" s="40"/>
      <c r="E37" s="41" t="str">
        <f t="array" ref="E37">IFERROR(INDEX('CONTROLE DE COMPRA E VENDA '!$E$2:E$317,MATCH(0,COUNTIF($E$16:E36,'CONTROLE DE COMPRA E VENDA '!$E$2:E$317),0)),"")</f>
        <v/>
      </c>
      <c r="F37" s="42" t="e">
        <f>SUMIF('CONTROLE DE COMPRA E VENDA '!$E$2:$E$9318,E37,#REF!)/SUMIF('CONTROLE DE COMPRA E VENDA '!$E$2:$E$9318,E37,#REF!)</f>
        <v>#REF!</v>
      </c>
      <c r="G37" s="43">
        <f>SUMIF('CONTROLE DE COMPRA E VENDA '!$E$2:$E$9317,E37,'CONTROLE DE COMPRA E VENDA '!$F$2:$F$9317)</f>
        <v>0</v>
      </c>
      <c r="H37" s="44" t="str">
        <f ca="1">IFERROR(__xludf.DUMMYFUNCTION("VLOOKUP(E37,IMPORTRANGE(""https://docs.google.com/spreadsheets/d/1twE6-cpnyykguqtenQ2Owd-uI9WHiQFG1eK6m-cZxDM/edit#gid=2089456355"",""Lista!A13:e999""),5,FALSE)"),"#REF!")</f>
        <v>#REF!</v>
      </c>
      <c r="I37" s="43" t="e">
        <f t="shared" ca="1" si="1"/>
        <v>#VALUE!</v>
      </c>
      <c r="J37" s="45" t="e">
        <f t="shared" ca="1" si="2"/>
        <v>#VALUE!</v>
      </c>
      <c r="K37" s="46" t="b">
        <f t="shared" si="3"/>
        <v>0</v>
      </c>
      <c r="L37" s="46" t="str">
        <f t="shared" si="4"/>
        <v>Verificar nome na coluna A</v>
      </c>
      <c r="M37" s="42" t="e">
        <f t="shared" ca="1" si="5"/>
        <v>#VALUE!</v>
      </c>
      <c r="N37" s="42" t="e">
        <f t="shared" ca="1" si="6"/>
        <v>#VALUE!</v>
      </c>
      <c r="O37" s="47" t="e">
        <f t="shared" ca="1" si="7"/>
        <v>#VALUE!</v>
      </c>
      <c r="P37" s="48" t="b">
        <f t="shared" si="8"/>
        <v>0</v>
      </c>
      <c r="Q37" s="24" t="e">
        <f t="shared" ca="1" si="9"/>
        <v>#VALUE!</v>
      </c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 ht="15.75" customHeight="1">
      <c r="A38" s="24"/>
      <c r="B38" s="24"/>
      <c r="C38" s="24"/>
      <c r="D38" s="40"/>
      <c r="E38" s="41" t="str">
        <f t="array" ref="E38">IFERROR(INDEX('CONTROLE DE COMPRA E VENDA '!$E$2:E$317,MATCH(0,COUNTIF($E$16:E37,'CONTROLE DE COMPRA E VENDA '!$E$2:E$317),0)),"")</f>
        <v/>
      </c>
      <c r="F38" s="42" t="e">
        <f>SUMIF('CONTROLE DE COMPRA E VENDA '!$E$2:$E$9318,E38,#REF!)/SUMIF('CONTROLE DE COMPRA E VENDA '!$E$2:$E$9318,E38,#REF!)</f>
        <v>#REF!</v>
      </c>
      <c r="G38" s="43">
        <f>SUMIF('CONTROLE DE COMPRA E VENDA '!$E$2:$E$9317,E38,'CONTROLE DE COMPRA E VENDA '!$F$2:$F$9317)</f>
        <v>0</v>
      </c>
      <c r="H38" s="44" t="str">
        <f ca="1">IFERROR(__xludf.DUMMYFUNCTION("VLOOKUP(E38,IMPORTRANGE(""https://docs.google.com/spreadsheets/d/1twE6-cpnyykguqtenQ2Owd-uI9WHiQFG1eK6m-cZxDM/edit#gid=2089456355"",""Lista!A13:e999""),5,FALSE)"),"#REF!")</f>
        <v>#REF!</v>
      </c>
      <c r="I38" s="43" t="e">
        <f t="shared" ca="1" si="1"/>
        <v>#VALUE!</v>
      </c>
      <c r="J38" s="45" t="e">
        <f t="shared" ca="1" si="2"/>
        <v>#VALUE!</v>
      </c>
      <c r="K38" s="46" t="b">
        <f t="shared" si="3"/>
        <v>0</v>
      </c>
      <c r="L38" s="46" t="str">
        <f t="shared" si="4"/>
        <v>Verificar nome na coluna A</v>
      </c>
      <c r="M38" s="42" t="e">
        <f t="shared" ca="1" si="5"/>
        <v>#VALUE!</v>
      </c>
      <c r="N38" s="42" t="e">
        <f t="shared" ca="1" si="6"/>
        <v>#VALUE!</v>
      </c>
      <c r="O38" s="47" t="e">
        <f t="shared" ca="1" si="7"/>
        <v>#VALUE!</v>
      </c>
      <c r="P38" s="48" t="b">
        <f t="shared" si="8"/>
        <v>0</v>
      </c>
      <c r="Q38" s="24" t="e">
        <f t="shared" ca="1" si="9"/>
        <v>#VALUE!</v>
      </c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 ht="15.75" customHeight="1">
      <c r="A39" s="24"/>
      <c r="B39" s="24"/>
      <c r="C39" s="24"/>
      <c r="D39" s="40"/>
      <c r="E39" s="41" t="str">
        <f t="array" ref="E39">IFERROR(INDEX('CONTROLE DE COMPRA E VENDA '!$E$2:E$317,MATCH(0,COUNTIF($E$16:E38,'CONTROLE DE COMPRA E VENDA '!$E$2:E$317),0)),"")</f>
        <v/>
      </c>
      <c r="F39" s="42" t="e">
        <f>SUMIF('CONTROLE DE COMPRA E VENDA '!$E$2:$E$9318,E39,#REF!)/SUMIF('CONTROLE DE COMPRA E VENDA '!$E$2:$E$9318,E39,#REF!)</f>
        <v>#REF!</v>
      </c>
      <c r="G39" s="43">
        <f>SUMIF('CONTROLE DE COMPRA E VENDA '!$E$2:$E$9317,E39,'CONTROLE DE COMPRA E VENDA '!$F$2:$F$9317)</f>
        <v>0</v>
      </c>
      <c r="H39" s="44" t="str">
        <f ca="1">IFERROR(__xludf.DUMMYFUNCTION("VLOOKUP(E39,IMPORTRANGE(""https://docs.google.com/spreadsheets/d/1twE6-cpnyykguqtenQ2Owd-uI9WHiQFG1eK6m-cZxDM/edit#gid=2089456355"",""Lista!A13:e999""),5,FALSE)"),"#REF!")</f>
        <v>#REF!</v>
      </c>
      <c r="I39" s="43" t="e">
        <f t="shared" ca="1" si="1"/>
        <v>#VALUE!</v>
      </c>
      <c r="J39" s="45" t="e">
        <f t="shared" ca="1" si="2"/>
        <v>#VALUE!</v>
      </c>
      <c r="K39" s="46" t="b">
        <f t="shared" si="3"/>
        <v>0</v>
      </c>
      <c r="L39" s="46" t="str">
        <f t="shared" si="4"/>
        <v>Verificar nome na coluna A</v>
      </c>
      <c r="M39" s="42" t="e">
        <f t="shared" ca="1" si="5"/>
        <v>#VALUE!</v>
      </c>
      <c r="N39" s="42" t="e">
        <f t="shared" ca="1" si="6"/>
        <v>#VALUE!</v>
      </c>
      <c r="O39" s="47" t="e">
        <f t="shared" ca="1" si="7"/>
        <v>#VALUE!</v>
      </c>
      <c r="P39" s="48" t="b">
        <f t="shared" si="8"/>
        <v>0</v>
      </c>
      <c r="Q39" s="24" t="e">
        <f t="shared" ca="1" si="9"/>
        <v>#VALUE!</v>
      </c>
      <c r="R39" s="24"/>
      <c r="S39" s="49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 ht="15.75" customHeight="1">
      <c r="A40" s="24"/>
      <c r="B40" s="24"/>
      <c r="C40" s="24"/>
      <c r="D40" s="40"/>
      <c r="E40" s="41" t="str">
        <f t="array" ref="E40">IFERROR(INDEX('CONTROLE DE COMPRA E VENDA '!$E$2:E$317,MATCH(0,COUNTIF($E$16:E39,'CONTROLE DE COMPRA E VENDA '!$E$2:E$317),0)),"")</f>
        <v/>
      </c>
      <c r="F40" s="42" t="e">
        <f>SUMIF('CONTROLE DE COMPRA E VENDA '!$E$2:$E$9318,E40,#REF!)/SUMIF('CONTROLE DE COMPRA E VENDA '!$E$2:$E$9318,E40,#REF!)</f>
        <v>#REF!</v>
      </c>
      <c r="G40" s="43">
        <f>SUMIF('CONTROLE DE COMPRA E VENDA '!$E$2:$E$9317,E40,'CONTROLE DE COMPRA E VENDA '!$F$2:$F$9317)</f>
        <v>0</v>
      </c>
      <c r="H40" s="44" t="str">
        <f ca="1">IFERROR(__xludf.DUMMYFUNCTION("VLOOKUP(E40,IMPORTRANGE(""https://docs.google.com/spreadsheets/d/1twE6-cpnyykguqtenQ2Owd-uI9WHiQFG1eK6m-cZxDM/edit#gid=2089456355"",""Lista!A13:e999""),5,FALSE)"),"#REF!")</f>
        <v>#REF!</v>
      </c>
      <c r="I40" s="43" t="e">
        <f t="shared" ca="1" si="1"/>
        <v>#VALUE!</v>
      </c>
      <c r="J40" s="45" t="e">
        <f t="shared" ca="1" si="2"/>
        <v>#VALUE!</v>
      </c>
      <c r="K40" s="46" t="b">
        <f t="shared" si="3"/>
        <v>0</v>
      </c>
      <c r="L40" s="46" t="str">
        <f t="shared" si="4"/>
        <v>Verificar nome na coluna A</v>
      </c>
      <c r="M40" s="42" t="e">
        <f t="shared" ca="1" si="5"/>
        <v>#VALUE!</v>
      </c>
      <c r="N40" s="42" t="e">
        <f t="shared" ca="1" si="6"/>
        <v>#VALUE!</v>
      </c>
      <c r="O40" s="47" t="e">
        <f t="shared" ca="1" si="7"/>
        <v>#VALUE!</v>
      </c>
      <c r="P40" s="48" t="b">
        <f t="shared" si="8"/>
        <v>0</v>
      </c>
      <c r="Q40" s="24" t="e">
        <f t="shared" ca="1" si="9"/>
        <v>#VALUE!</v>
      </c>
      <c r="R40" s="24"/>
      <c r="S40" s="49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 ht="15.75" customHeight="1">
      <c r="A41" s="24"/>
      <c r="B41" s="24"/>
      <c r="C41" s="24"/>
      <c r="D41" s="40"/>
      <c r="E41" s="41" t="str">
        <f t="array" ref="E41">IFERROR(INDEX('CONTROLE DE COMPRA E VENDA '!$E$2:E$317,MATCH(0,COUNTIF($E$16:E40,'CONTROLE DE COMPRA E VENDA '!$E$2:E$317),0)),"")</f>
        <v/>
      </c>
      <c r="F41" s="42" t="e">
        <f>SUMIF('CONTROLE DE COMPRA E VENDA '!$E$2:$E$9318,E41,#REF!)/SUMIF('CONTROLE DE COMPRA E VENDA '!$E$2:$E$9318,E41,#REF!)</f>
        <v>#REF!</v>
      </c>
      <c r="G41" s="43">
        <f>SUMIF('CONTROLE DE COMPRA E VENDA '!$E$2:$E$9317,E41,'CONTROLE DE COMPRA E VENDA '!$F$2:$F$9317)</f>
        <v>0</v>
      </c>
      <c r="H41" s="44" t="str">
        <f ca="1">IFERROR(__xludf.DUMMYFUNCTION("VLOOKUP(E41,IMPORTRANGE(""https://docs.google.com/spreadsheets/d/1twE6-cpnyykguqtenQ2Owd-uI9WHiQFG1eK6m-cZxDM/edit#gid=2089456355"",""Lista!A13:e999""),5,FALSE)"),"#REF!")</f>
        <v>#REF!</v>
      </c>
      <c r="I41" s="43" t="e">
        <f t="shared" ca="1" si="1"/>
        <v>#VALUE!</v>
      </c>
      <c r="J41" s="45" t="e">
        <f t="shared" ca="1" si="2"/>
        <v>#VALUE!</v>
      </c>
      <c r="K41" s="46" t="b">
        <f t="shared" si="3"/>
        <v>0</v>
      </c>
      <c r="L41" s="46" t="str">
        <f t="shared" si="4"/>
        <v>Verificar nome na coluna A</v>
      </c>
      <c r="M41" s="42" t="e">
        <f t="shared" ca="1" si="5"/>
        <v>#VALUE!</v>
      </c>
      <c r="N41" s="42" t="e">
        <f t="shared" ca="1" si="6"/>
        <v>#VALUE!</v>
      </c>
      <c r="O41" s="47" t="e">
        <f t="shared" ca="1" si="7"/>
        <v>#VALUE!</v>
      </c>
      <c r="P41" s="48" t="b">
        <f t="shared" si="8"/>
        <v>0</v>
      </c>
      <c r="Q41" s="24" t="e">
        <f t="shared" ca="1" si="9"/>
        <v>#VALUE!</v>
      </c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 ht="15.75" customHeight="1">
      <c r="A42" s="24"/>
      <c r="B42" s="24"/>
      <c r="C42" s="24"/>
      <c r="D42" s="40"/>
      <c r="E42" s="41" t="str">
        <f t="array" ref="E42">IFERROR(INDEX('CONTROLE DE COMPRA E VENDA '!$E$2:E$317,MATCH(0,COUNTIF($E$16:E41,'CONTROLE DE COMPRA E VENDA '!$E$2:E$317),0)),"")</f>
        <v/>
      </c>
      <c r="F42" s="42" t="e">
        <f>SUMIF('CONTROLE DE COMPRA E VENDA '!$E$2:$E$9318,E42,#REF!)/SUMIF('CONTROLE DE COMPRA E VENDA '!$E$2:$E$9318,E42,#REF!)</f>
        <v>#REF!</v>
      </c>
      <c r="G42" s="43">
        <f>SUMIF('CONTROLE DE COMPRA E VENDA '!$E$2:$E$9317,E42,'CONTROLE DE COMPRA E VENDA '!$F$2:$F$9317)</f>
        <v>0</v>
      </c>
      <c r="H42" s="44" t="str">
        <f ca="1">IFERROR(__xludf.DUMMYFUNCTION("VLOOKUP(E42,IMPORTRANGE(""https://docs.google.com/spreadsheets/d/1twE6-cpnyykguqtenQ2Owd-uI9WHiQFG1eK6m-cZxDM/edit#gid=2089456355"",""Lista!A13:e999""),5,FALSE)"),"#REF!")</f>
        <v>#REF!</v>
      </c>
      <c r="I42" s="43" t="e">
        <f t="shared" ca="1" si="1"/>
        <v>#VALUE!</v>
      </c>
      <c r="J42" s="45" t="e">
        <f t="shared" ca="1" si="2"/>
        <v>#VALUE!</v>
      </c>
      <c r="K42" s="46" t="b">
        <f t="shared" si="3"/>
        <v>0</v>
      </c>
      <c r="L42" s="46" t="str">
        <f t="shared" si="4"/>
        <v>Verificar nome na coluna A</v>
      </c>
      <c r="M42" s="42" t="e">
        <f t="shared" ca="1" si="5"/>
        <v>#VALUE!</v>
      </c>
      <c r="N42" s="42" t="e">
        <f t="shared" ca="1" si="6"/>
        <v>#VALUE!</v>
      </c>
      <c r="O42" s="47" t="e">
        <f t="shared" ca="1" si="7"/>
        <v>#VALUE!</v>
      </c>
      <c r="P42" s="48" t="b">
        <f t="shared" si="8"/>
        <v>0</v>
      </c>
      <c r="Q42" s="24" t="e">
        <f t="shared" ca="1" si="9"/>
        <v>#VALUE!</v>
      </c>
      <c r="R42" s="24"/>
      <c r="S42" s="49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 ht="15.75" customHeight="1">
      <c r="A43" s="24"/>
      <c r="B43" s="24"/>
      <c r="C43" s="24"/>
      <c r="D43" s="40"/>
      <c r="E43" s="41" t="str">
        <f t="array" ref="E43">IFERROR(INDEX('CONTROLE DE COMPRA E VENDA '!$E$2:E$317,MATCH(0,COUNTIF($E$16:E42,'CONTROLE DE COMPRA E VENDA '!$E$2:E$317),0)),"")</f>
        <v/>
      </c>
      <c r="F43" s="42" t="e">
        <f>SUMIF('CONTROLE DE COMPRA E VENDA '!$E$2:$E$9318,E43,#REF!)/SUMIF('CONTROLE DE COMPRA E VENDA '!$E$2:$E$9318,E43,#REF!)</f>
        <v>#REF!</v>
      </c>
      <c r="G43" s="43">
        <f>SUMIF('CONTROLE DE COMPRA E VENDA '!$E$2:$E$9317,E43,'CONTROLE DE COMPRA E VENDA '!$F$2:$F$9317)</f>
        <v>0</v>
      </c>
      <c r="H43" s="44" t="str">
        <f ca="1">IFERROR(__xludf.DUMMYFUNCTION("VLOOKUP(E43,IMPORTRANGE(""https://docs.google.com/spreadsheets/d/1twE6-cpnyykguqtenQ2Owd-uI9WHiQFG1eK6m-cZxDM/edit#gid=2089456355"",""Lista!A13:e999""),5,FALSE)"),"#REF!")</f>
        <v>#REF!</v>
      </c>
      <c r="I43" s="43" t="e">
        <f t="shared" ca="1" si="1"/>
        <v>#VALUE!</v>
      </c>
      <c r="J43" s="45" t="e">
        <f t="shared" ca="1" si="2"/>
        <v>#VALUE!</v>
      </c>
      <c r="K43" s="46" t="b">
        <f t="shared" si="3"/>
        <v>0</v>
      </c>
      <c r="L43" s="46" t="str">
        <f t="shared" si="4"/>
        <v>Verificar nome na coluna A</v>
      </c>
      <c r="M43" s="42" t="e">
        <f t="shared" ca="1" si="5"/>
        <v>#VALUE!</v>
      </c>
      <c r="N43" s="42" t="e">
        <f t="shared" ca="1" si="6"/>
        <v>#VALUE!</v>
      </c>
      <c r="O43" s="47" t="e">
        <f t="shared" ca="1" si="7"/>
        <v>#VALUE!</v>
      </c>
      <c r="P43" s="48" t="b">
        <f t="shared" si="8"/>
        <v>0</v>
      </c>
      <c r="Q43" s="24" t="e">
        <f t="shared" ca="1" si="9"/>
        <v>#VALUE!</v>
      </c>
      <c r="R43" s="24"/>
      <c r="S43" s="49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 ht="15.75" customHeight="1">
      <c r="A44" s="24"/>
      <c r="B44" s="24"/>
      <c r="C44" s="24"/>
      <c r="D44" s="40"/>
      <c r="E44" s="41" t="str">
        <f t="array" ref="E44">IFERROR(INDEX('CONTROLE DE COMPRA E VENDA '!$E$2:E$317,MATCH(0,COUNTIF($E$16:E43,'CONTROLE DE COMPRA E VENDA '!$E$2:E$317),0)),"")</f>
        <v/>
      </c>
      <c r="F44" s="42" t="e">
        <f>SUMIF('CONTROLE DE COMPRA E VENDA '!$E$2:$E$9318,E44,#REF!)/SUMIF('CONTROLE DE COMPRA E VENDA '!$E$2:$E$9318,E44,#REF!)</f>
        <v>#REF!</v>
      </c>
      <c r="G44" s="43">
        <f>SUMIF('CONTROLE DE COMPRA E VENDA '!$E$2:$E$9317,E44,'CONTROLE DE COMPRA E VENDA '!$F$2:$F$9317)</f>
        <v>0</v>
      </c>
      <c r="H44" s="44" t="str">
        <f ca="1">IFERROR(__xludf.DUMMYFUNCTION("VLOOKUP(E44,IMPORTRANGE(""https://docs.google.com/spreadsheets/d/1twE6-cpnyykguqtenQ2Owd-uI9WHiQFG1eK6m-cZxDM/edit#gid=2089456355"",""Lista!A13:e999""),5,FALSE)"),"#REF!")</f>
        <v>#REF!</v>
      </c>
      <c r="I44" s="43" t="e">
        <f t="shared" ca="1" si="1"/>
        <v>#VALUE!</v>
      </c>
      <c r="J44" s="45" t="e">
        <f t="shared" ca="1" si="2"/>
        <v>#VALUE!</v>
      </c>
      <c r="K44" s="46" t="b">
        <f t="shared" si="3"/>
        <v>0</v>
      </c>
      <c r="L44" s="46" t="str">
        <f t="shared" si="4"/>
        <v>Verificar nome na coluna A</v>
      </c>
      <c r="M44" s="42" t="e">
        <f t="shared" ca="1" si="5"/>
        <v>#VALUE!</v>
      </c>
      <c r="N44" s="42" t="e">
        <f t="shared" ca="1" si="6"/>
        <v>#VALUE!</v>
      </c>
      <c r="O44" s="47" t="e">
        <f t="shared" ca="1" si="7"/>
        <v>#VALUE!</v>
      </c>
      <c r="P44" s="48" t="b">
        <f t="shared" si="8"/>
        <v>0</v>
      </c>
      <c r="Q44" s="24" t="e">
        <f t="shared" ca="1" si="9"/>
        <v>#VALUE!</v>
      </c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 ht="15.75" customHeight="1">
      <c r="A45" s="24"/>
      <c r="B45" s="24"/>
      <c r="C45" s="24"/>
      <c r="D45" s="40"/>
      <c r="E45" s="41" t="str">
        <f t="array" ref="E45">IFERROR(INDEX('CONTROLE DE COMPRA E VENDA '!$E$2:E$317,MATCH(0,COUNTIF($E$16:E44,'CONTROLE DE COMPRA E VENDA '!$E$2:E$317),0)),"")</f>
        <v/>
      </c>
      <c r="F45" s="42" t="e">
        <f>SUMIF('CONTROLE DE COMPRA E VENDA '!$E$2:$E$9318,E45,#REF!)/SUMIF('CONTROLE DE COMPRA E VENDA '!$E$2:$E$9318,E45,#REF!)</f>
        <v>#REF!</v>
      </c>
      <c r="G45" s="43">
        <f>SUMIF('CONTROLE DE COMPRA E VENDA '!$E$2:$E$9317,E45,'CONTROLE DE COMPRA E VENDA '!$F$2:$F$9317)</f>
        <v>0</v>
      </c>
      <c r="H45" s="44" t="str">
        <f ca="1">IFERROR(__xludf.DUMMYFUNCTION("VLOOKUP(E45,IMPORTRANGE(""https://docs.google.com/spreadsheets/d/1twE6-cpnyykguqtenQ2Owd-uI9WHiQFG1eK6m-cZxDM/edit#gid=2089456355"",""Lista!A13:e999""),5,FALSE)"),"#REF!")</f>
        <v>#REF!</v>
      </c>
      <c r="I45" s="43" t="e">
        <f t="shared" ca="1" si="1"/>
        <v>#VALUE!</v>
      </c>
      <c r="J45" s="45" t="e">
        <f t="shared" ca="1" si="2"/>
        <v>#VALUE!</v>
      </c>
      <c r="K45" s="46" t="b">
        <f t="shared" si="3"/>
        <v>0</v>
      </c>
      <c r="L45" s="46" t="str">
        <f t="shared" si="4"/>
        <v>Verificar nome na coluna A</v>
      </c>
      <c r="M45" s="42" t="e">
        <f t="shared" ca="1" si="5"/>
        <v>#VALUE!</v>
      </c>
      <c r="N45" s="42" t="e">
        <f t="shared" ca="1" si="6"/>
        <v>#VALUE!</v>
      </c>
      <c r="O45" s="47" t="e">
        <f t="shared" ca="1" si="7"/>
        <v>#VALUE!</v>
      </c>
      <c r="P45" s="48" t="b">
        <f t="shared" si="8"/>
        <v>0</v>
      </c>
      <c r="Q45" s="24" t="e">
        <f t="shared" ca="1" si="9"/>
        <v>#VALUE!</v>
      </c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 ht="15.75" customHeight="1">
      <c r="A46" s="24"/>
      <c r="B46" s="24"/>
      <c r="C46" s="24"/>
      <c r="D46" s="40"/>
      <c r="E46" s="41" t="str">
        <f t="array" ref="E46">IFERROR(INDEX('CONTROLE DE COMPRA E VENDA '!$E$2:E$317,MATCH(0,COUNTIF($E$16:E45,'CONTROLE DE COMPRA E VENDA '!$E$2:E$317),0)),"")</f>
        <v/>
      </c>
      <c r="F46" s="42" t="e">
        <f>SUMIF('CONTROLE DE COMPRA E VENDA '!$E$2:$E$9318,E46,#REF!)/SUMIF('CONTROLE DE COMPRA E VENDA '!$E$2:$E$9318,E46,#REF!)</f>
        <v>#REF!</v>
      </c>
      <c r="G46" s="43">
        <f>SUMIF('CONTROLE DE COMPRA E VENDA '!$E$2:$E$9317,E46,'CONTROLE DE COMPRA E VENDA '!$F$2:$F$9317)</f>
        <v>0</v>
      </c>
      <c r="H46" s="44" t="str">
        <f ca="1">IFERROR(__xludf.DUMMYFUNCTION("VLOOKUP(E46,IMPORTRANGE(""https://docs.google.com/spreadsheets/d/1twE6-cpnyykguqtenQ2Owd-uI9WHiQFG1eK6m-cZxDM/edit#gid=2089456355"",""Lista!A13:e999""),5,FALSE)"),"#REF!")</f>
        <v>#REF!</v>
      </c>
      <c r="I46" s="43" t="e">
        <f t="shared" ca="1" si="1"/>
        <v>#VALUE!</v>
      </c>
      <c r="J46" s="45" t="e">
        <f t="shared" ca="1" si="2"/>
        <v>#VALUE!</v>
      </c>
      <c r="K46" s="46" t="b">
        <f t="shared" si="3"/>
        <v>0</v>
      </c>
      <c r="L46" s="46" t="str">
        <f t="shared" si="4"/>
        <v>Verificar nome na coluna A</v>
      </c>
      <c r="M46" s="42" t="e">
        <f t="shared" ca="1" si="5"/>
        <v>#VALUE!</v>
      </c>
      <c r="N46" s="42" t="e">
        <f t="shared" ca="1" si="6"/>
        <v>#VALUE!</v>
      </c>
      <c r="O46" s="47" t="e">
        <f t="shared" ca="1" si="7"/>
        <v>#VALUE!</v>
      </c>
      <c r="P46" s="48" t="b">
        <f t="shared" si="8"/>
        <v>0</v>
      </c>
      <c r="Q46" s="24" t="e">
        <f t="shared" ca="1" si="9"/>
        <v>#VALUE!</v>
      </c>
      <c r="R46" s="24"/>
      <c r="S46" s="49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 ht="15.75" customHeight="1">
      <c r="A47" s="24"/>
      <c r="B47" s="24"/>
      <c r="C47" s="24"/>
      <c r="D47" s="40"/>
      <c r="E47" s="41" t="str">
        <f t="array" ref="E47">IFERROR(INDEX('CONTROLE DE COMPRA E VENDA '!$E$2:E$317,MATCH(0,COUNTIF($E$16:E46,'CONTROLE DE COMPRA E VENDA '!$E$2:E$317),0)),"")</f>
        <v/>
      </c>
      <c r="F47" s="42" t="e">
        <f>SUMIF('CONTROLE DE COMPRA E VENDA '!$E$2:$E$9318,E47,#REF!)/SUMIF('CONTROLE DE COMPRA E VENDA '!$E$2:$E$9318,E47,#REF!)</f>
        <v>#REF!</v>
      </c>
      <c r="G47" s="43">
        <f>SUMIF('CONTROLE DE COMPRA E VENDA '!$E$2:$E$9317,E47,'CONTROLE DE COMPRA E VENDA '!$F$2:$F$9317)</f>
        <v>0</v>
      </c>
      <c r="H47" s="44" t="str">
        <f ca="1">IFERROR(__xludf.DUMMYFUNCTION("VLOOKUP(E47,IMPORTRANGE(""https://docs.google.com/spreadsheets/d/1twE6-cpnyykguqtenQ2Owd-uI9WHiQFG1eK6m-cZxDM/edit#gid=2089456355"",""Lista!A13:e999""),5,FALSE)"),"#REF!")</f>
        <v>#REF!</v>
      </c>
      <c r="I47" s="43" t="e">
        <f t="shared" ca="1" si="1"/>
        <v>#VALUE!</v>
      </c>
      <c r="J47" s="45" t="e">
        <f t="shared" ca="1" si="2"/>
        <v>#VALUE!</v>
      </c>
      <c r="K47" s="46" t="b">
        <f t="shared" si="3"/>
        <v>0</v>
      </c>
      <c r="L47" s="46" t="str">
        <f t="shared" si="4"/>
        <v>Verificar nome na coluna A</v>
      </c>
      <c r="M47" s="42" t="e">
        <f t="shared" ca="1" si="5"/>
        <v>#VALUE!</v>
      </c>
      <c r="N47" s="42" t="e">
        <f t="shared" ca="1" si="6"/>
        <v>#VALUE!</v>
      </c>
      <c r="O47" s="47" t="e">
        <f t="shared" ca="1" si="7"/>
        <v>#VALUE!</v>
      </c>
      <c r="P47" s="48" t="b">
        <f t="shared" si="8"/>
        <v>0</v>
      </c>
      <c r="Q47" s="24" t="e">
        <f t="shared" ca="1" si="9"/>
        <v>#VALUE!</v>
      </c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 ht="15.75" customHeight="1">
      <c r="A48" s="24"/>
      <c r="B48" s="24"/>
      <c r="C48" s="24"/>
      <c r="D48" s="40"/>
      <c r="E48" s="41" t="str">
        <f t="array" ref="E48">IFERROR(INDEX('CONTROLE DE COMPRA E VENDA '!$E$2:E$317,MATCH(0,COUNTIF($E$16:E47,'CONTROLE DE COMPRA E VENDA '!$E$2:E$317),0)),"")</f>
        <v/>
      </c>
      <c r="F48" s="42" t="e">
        <f>SUMIF('CONTROLE DE COMPRA E VENDA '!$E$2:$E$9318,E48,#REF!)/SUMIF('CONTROLE DE COMPRA E VENDA '!$E$2:$E$9318,E48,#REF!)</f>
        <v>#REF!</v>
      </c>
      <c r="G48" s="43">
        <f>SUMIF('CONTROLE DE COMPRA E VENDA '!$E$2:$E$9317,E48,'CONTROLE DE COMPRA E VENDA '!$F$2:$F$9317)</f>
        <v>0</v>
      </c>
      <c r="H48" s="44" t="str">
        <f ca="1">IFERROR(__xludf.DUMMYFUNCTION("VLOOKUP(E48,IMPORTRANGE(""https://docs.google.com/spreadsheets/d/1twE6-cpnyykguqtenQ2Owd-uI9WHiQFG1eK6m-cZxDM/edit#gid=2089456355"",""Lista!A13:e999""),5,FALSE)"),"#REF!")</f>
        <v>#REF!</v>
      </c>
      <c r="I48" s="43" t="e">
        <f t="shared" ca="1" si="1"/>
        <v>#VALUE!</v>
      </c>
      <c r="J48" s="45" t="e">
        <f t="shared" ca="1" si="2"/>
        <v>#VALUE!</v>
      </c>
      <c r="K48" s="46" t="b">
        <f t="shared" si="3"/>
        <v>0</v>
      </c>
      <c r="L48" s="46" t="str">
        <f t="shared" si="4"/>
        <v>Verificar nome na coluna A</v>
      </c>
      <c r="M48" s="42" t="e">
        <f t="shared" ca="1" si="5"/>
        <v>#VALUE!</v>
      </c>
      <c r="N48" s="42" t="e">
        <f t="shared" ca="1" si="6"/>
        <v>#VALUE!</v>
      </c>
      <c r="O48" s="47" t="e">
        <f t="shared" ca="1" si="7"/>
        <v>#VALUE!</v>
      </c>
      <c r="P48" s="48" t="b">
        <f t="shared" si="8"/>
        <v>0</v>
      </c>
      <c r="Q48" s="24" t="e">
        <f t="shared" ca="1" si="9"/>
        <v>#VALUE!</v>
      </c>
      <c r="R48" s="24"/>
      <c r="S48" s="49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ht="15.75" customHeight="1">
      <c r="A49" s="24"/>
      <c r="B49" s="24"/>
      <c r="C49" s="24"/>
      <c r="D49" s="40"/>
      <c r="E49" s="41" t="str">
        <f t="array" ref="E49">IFERROR(INDEX('CONTROLE DE COMPRA E VENDA '!$E$2:E$317,MATCH(0,COUNTIF($E$16:E48,'CONTROLE DE COMPRA E VENDA '!$E$2:E$317),0)),"")</f>
        <v/>
      </c>
      <c r="F49" s="42" t="e">
        <f>SUMIF('CONTROLE DE COMPRA E VENDA '!$E$2:$E$9318,E49,#REF!)/SUMIF('CONTROLE DE COMPRA E VENDA '!$E$2:$E$9318,E49,#REF!)</f>
        <v>#REF!</v>
      </c>
      <c r="G49" s="43">
        <f>SUMIF('CONTROLE DE COMPRA E VENDA '!$E$2:$E$9317,E49,'CONTROLE DE COMPRA E VENDA '!$F$2:$F$9317)</f>
        <v>0</v>
      </c>
      <c r="H49" s="44" t="str">
        <f ca="1">IFERROR(__xludf.DUMMYFUNCTION("VLOOKUP(E49,IMPORTRANGE(""https://docs.google.com/spreadsheets/d/1twE6-cpnyykguqtenQ2Owd-uI9WHiQFG1eK6m-cZxDM/edit#gid=2089456355"",""Lista!A13:e999""),5,FALSE)"),"#REF!")</f>
        <v>#REF!</v>
      </c>
      <c r="I49" s="43" t="e">
        <f t="shared" ca="1" si="1"/>
        <v>#VALUE!</v>
      </c>
      <c r="J49" s="45" t="e">
        <f t="shared" ca="1" si="2"/>
        <v>#VALUE!</v>
      </c>
      <c r="K49" s="46" t="b">
        <f t="shared" si="3"/>
        <v>0</v>
      </c>
      <c r="L49" s="46" t="str">
        <f t="shared" si="4"/>
        <v>Verificar nome na coluna A</v>
      </c>
      <c r="M49" s="42" t="e">
        <f t="shared" ca="1" si="5"/>
        <v>#VALUE!</v>
      </c>
      <c r="N49" s="42" t="e">
        <f t="shared" ca="1" si="6"/>
        <v>#VALUE!</v>
      </c>
      <c r="O49" s="47" t="e">
        <f t="shared" ca="1" si="7"/>
        <v>#VALUE!</v>
      </c>
      <c r="P49" s="48" t="b">
        <f t="shared" si="8"/>
        <v>0</v>
      </c>
      <c r="Q49" s="24" t="e">
        <f t="shared" ca="1" si="9"/>
        <v>#VALUE!</v>
      </c>
      <c r="R49" s="24"/>
      <c r="S49" s="49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 ht="15.75" customHeight="1">
      <c r="A50" s="24"/>
      <c r="B50" s="24"/>
      <c r="C50" s="24"/>
      <c r="D50" s="40"/>
      <c r="E50" s="41" t="str">
        <f t="array" ref="E50">IFERROR(INDEX('CONTROLE DE COMPRA E VENDA '!$E$2:E$317,MATCH(0,COUNTIF($E$16:E49,'CONTROLE DE COMPRA E VENDA '!$E$2:E$317),0)),"")</f>
        <v/>
      </c>
      <c r="F50" s="42" t="e">
        <f>SUMIF('CONTROLE DE COMPRA E VENDA '!$E$2:$E$9318,E50,#REF!)/SUMIF('CONTROLE DE COMPRA E VENDA '!$E$2:$E$9318,E50,#REF!)</f>
        <v>#REF!</v>
      </c>
      <c r="G50" s="43">
        <f>SUMIF('CONTROLE DE COMPRA E VENDA '!$E$2:$E$9317,E50,'CONTROLE DE COMPRA E VENDA '!$F$2:$F$9317)</f>
        <v>0</v>
      </c>
      <c r="H50" s="44" t="str">
        <f ca="1">IFERROR(__xludf.DUMMYFUNCTION("VLOOKUP(E50,IMPORTRANGE(""https://docs.google.com/spreadsheets/d/1twE6-cpnyykguqtenQ2Owd-uI9WHiQFG1eK6m-cZxDM/edit#gid=2089456355"",""Lista!A13:e999""),5,FALSE)"),"#REF!")</f>
        <v>#REF!</v>
      </c>
      <c r="I50" s="43" t="e">
        <f t="shared" ca="1" si="1"/>
        <v>#VALUE!</v>
      </c>
      <c r="J50" s="45" t="e">
        <f t="shared" ca="1" si="2"/>
        <v>#VALUE!</v>
      </c>
      <c r="K50" s="46" t="b">
        <f t="shared" si="3"/>
        <v>0</v>
      </c>
      <c r="L50" s="46" t="str">
        <f t="shared" si="4"/>
        <v>Verificar nome na coluna A</v>
      </c>
      <c r="M50" s="42" t="e">
        <f t="shared" ca="1" si="5"/>
        <v>#VALUE!</v>
      </c>
      <c r="N50" s="42" t="e">
        <f t="shared" ca="1" si="6"/>
        <v>#VALUE!</v>
      </c>
      <c r="O50" s="47" t="e">
        <f t="shared" ca="1" si="7"/>
        <v>#VALUE!</v>
      </c>
      <c r="P50" s="48" t="b">
        <f t="shared" si="8"/>
        <v>0</v>
      </c>
      <c r="Q50" s="24" t="e">
        <f t="shared" ca="1" si="9"/>
        <v>#VALUE!</v>
      </c>
      <c r="R50" s="24"/>
      <c r="S50" s="49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 ht="15.75" customHeight="1">
      <c r="A51" s="24"/>
      <c r="B51" s="24"/>
      <c r="C51" s="24"/>
      <c r="D51" s="40"/>
      <c r="E51" s="41" t="str">
        <f t="array" ref="E51">IFERROR(INDEX('CONTROLE DE COMPRA E VENDA '!$E$2:E$317,MATCH(0,COUNTIF($E$16:E50,'CONTROLE DE COMPRA E VENDA '!$E$2:E$317),0)),"")</f>
        <v/>
      </c>
      <c r="F51" s="42" t="e">
        <f>SUMIF('CONTROLE DE COMPRA E VENDA '!$E$2:$E$9318,E51,#REF!)/SUMIF('CONTROLE DE COMPRA E VENDA '!$E$2:$E$9318,E51,#REF!)</f>
        <v>#REF!</v>
      </c>
      <c r="G51" s="43">
        <f>SUMIF('CONTROLE DE COMPRA E VENDA '!$E$2:$E$9317,E51,'CONTROLE DE COMPRA E VENDA '!$F$2:$F$9317)</f>
        <v>0</v>
      </c>
      <c r="H51" s="44" t="str">
        <f ca="1">IFERROR(__xludf.DUMMYFUNCTION("VLOOKUP(E51,IMPORTRANGE(""https://docs.google.com/spreadsheets/d/1twE6-cpnyykguqtenQ2Owd-uI9WHiQFG1eK6m-cZxDM/edit#gid=2089456355"",""Lista!A13:e999""),5,FALSE)"),"#REF!")</f>
        <v>#REF!</v>
      </c>
      <c r="I51" s="43" t="e">
        <f t="shared" ca="1" si="1"/>
        <v>#VALUE!</v>
      </c>
      <c r="J51" s="45" t="e">
        <f t="shared" ca="1" si="2"/>
        <v>#VALUE!</v>
      </c>
      <c r="K51" s="46" t="b">
        <f t="shared" si="3"/>
        <v>0</v>
      </c>
      <c r="L51" s="46" t="str">
        <f t="shared" si="4"/>
        <v>Verificar nome na coluna A</v>
      </c>
      <c r="M51" s="42" t="e">
        <f t="shared" ca="1" si="5"/>
        <v>#VALUE!</v>
      </c>
      <c r="N51" s="42" t="e">
        <f t="shared" ca="1" si="6"/>
        <v>#VALUE!</v>
      </c>
      <c r="O51" s="47" t="e">
        <f t="shared" ca="1" si="7"/>
        <v>#VALUE!</v>
      </c>
      <c r="P51" s="48" t="b">
        <f t="shared" si="8"/>
        <v>0</v>
      </c>
      <c r="Q51" s="24" t="e">
        <f t="shared" ca="1" si="9"/>
        <v>#VALUE!</v>
      </c>
      <c r="R51" s="24"/>
      <c r="S51" s="49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 ht="15.75" customHeight="1">
      <c r="A52" s="24"/>
      <c r="B52" s="24"/>
      <c r="C52" s="24"/>
      <c r="D52" s="40"/>
      <c r="E52" s="41" t="str">
        <f t="array" ref="E52">IFERROR(INDEX('CONTROLE DE COMPRA E VENDA '!$E$2:E$317,MATCH(0,COUNTIF($E$16:E51,'CONTROLE DE COMPRA E VENDA '!$E$2:E$317),0)),"")</f>
        <v/>
      </c>
      <c r="F52" s="42" t="e">
        <f>SUMIF('CONTROLE DE COMPRA E VENDA '!$E$2:$E$9318,E52,#REF!)/SUMIF('CONTROLE DE COMPRA E VENDA '!$E$2:$E$9318,E52,#REF!)</f>
        <v>#REF!</v>
      </c>
      <c r="G52" s="43">
        <f>SUMIF('CONTROLE DE COMPRA E VENDA '!$E$2:$E$9317,E52,'CONTROLE DE COMPRA E VENDA '!$F$2:$F$9317)</f>
        <v>0</v>
      </c>
      <c r="H52" s="44" t="str">
        <f ca="1">IFERROR(__xludf.DUMMYFUNCTION("VLOOKUP(E52,IMPORTRANGE(""https://docs.google.com/spreadsheets/d/1twE6-cpnyykguqtenQ2Owd-uI9WHiQFG1eK6m-cZxDM/edit#gid=2089456355"",""Lista!A13:e999""),5,FALSE)"),"#REF!")</f>
        <v>#REF!</v>
      </c>
      <c r="I52" s="43" t="e">
        <f t="shared" ca="1" si="1"/>
        <v>#VALUE!</v>
      </c>
      <c r="J52" s="45" t="e">
        <f t="shared" ca="1" si="2"/>
        <v>#VALUE!</v>
      </c>
      <c r="K52" s="46" t="b">
        <f t="shared" si="3"/>
        <v>0</v>
      </c>
      <c r="L52" s="46" t="str">
        <f t="shared" si="4"/>
        <v>Verificar nome na coluna A</v>
      </c>
      <c r="M52" s="42" t="e">
        <f t="shared" ca="1" si="5"/>
        <v>#VALUE!</v>
      </c>
      <c r="N52" s="42" t="e">
        <f t="shared" ca="1" si="6"/>
        <v>#VALUE!</v>
      </c>
      <c r="O52" s="47" t="e">
        <f t="shared" ca="1" si="7"/>
        <v>#VALUE!</v>
      </c>
      <c r="P52" s="48" t="b">
        <f t="shared" si="8"/>
        <v>0</v>
      </c>
      <c r="Q52" s="24" t="e">
        <f t="shared" ca="1" si="9"/>
        <v>#VALUE!</v>
      </c>
      <c r="R52" s="24"/>
      <c r="S52" s="49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 ht="15.75" customHeight="1">
      <c r="A53" s="24"/>
      <c r="B53" s="24"/>
      <c r="C53" s="24"/>
      <c r="D53" s="40"/>
      <c r="E53" s="41" t="str">
        <f t="array" ref="E53">IFERROR(INDEX('CONTROLE DE COMPRA E VENDA '!$E$2:E$317,MATCH(0,COUNTIF($E$16:E52,'CONTROLE DE COMPRA E VENDA '!$E$2:E$317),0)),"")</f>
        <v/>
      </c>
      <c r="F53" s="42" t="e">
        <f>SUMIF('CONTROLE DE COMPRA E VENDA '!$E$2:$E$9318,E53,#REF!)/SUMIF('CONTROLE DE COMPRA E VENDA '!$E$2:$E$9318,E53,#REF!)</f>
        <v>#REF!</v>
      </c>
      <c r="G53" s="43">
        <f>SUMIF('CONTROLE DE COMPRA E VENDA '!$E$2:$E$9317,E53,'CONTROLE DE COMPRA E VENDA '!$F$2:$F$9317)</f>
        <v>0</v>
      </c>
      <c r="H53" s="44" t="str">
        <f ca="1">IFERROR(__xludf.DUMMYFUNCTION("VLOOKUP(E53,IMPORTRANGE(""https://docs.google.com/spreadsheets/d/1twE6-cpnyykguqtenQ2Owd-uI9WHiQFG1eK6m-cZxDM/edit#gid=2089456355"",""Lista!A13:e999""),5,FALSE)"),"#REF!")</f>
        <v>#REF!</v>
      </c>
      <c r="I53" s="43" t="e">
        <f t="shared" ca="1" si="1"/>
        <v>#VALUE!</v>
      </c>
      <c r="J53" s="45" t="e">
        <f t="shared" ca="1" si="2"/>
        <v>#VALUE!</v>
      </c>
      <c r="K53" s="46" t="b">
        <f t="shared" si="3"/>
        <v>0</v>
      </c>
      <c r="L53" s="46" t="str">
        <f t="shared" si="4"/>
        <v>Verificar nome na coluna A</v>
      </c>
      <c r="M53" s="42" t="e">
        <f t="shared" ca="1" si="5"/>
        <v>#VALUE!</v>
      </c>
      <c r="N53" s="42" t="e">
        <f t="shared" ca="1" si="6"/>
        <v>#VALUE!</v>
      </c>
      <c r="O53" s="47" t="e">
        <f t="shared" ca="1" si="7"/>
        <v>#VALUE!</v>
      </c>
      <c r="P53" s="48" t="b">
        <f t="shared" si="8"/>
        <v>0</v>
      </c>
      <c r="Q53" s="24" t="e">
        <f t="shared" ca="1" si="9"/>
        <v>#VALUE!</v>
      </c>
      <c r="R53" s="24"/>
      <c r="S53" s="49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 ht="15.75" customHeight="1">
      <c r="A54" s="24"/>
      <c r="B54" s="24"/>
      <c r="C54" s="24"/>
      <c r="D54" s="40"/>
      <c r="E54" s="41" t="str">
        <f t="array" ref="E54">IFERROR(INDEX('CONTROLE DE COMPRA E VENDA '!$E$2:E$317,MATCH(0,COUNTIF($E$16:E53,'CONTROLE DE COMPRA E VENDA '!$E$2:E$317),0)),"")</f>
        <v/>
      </c>
      <c r="F54" s="42" t="e">
        <f>SUMIF('CONTROLE DE COMPRA E VENDA '!$E$2:$E$9318,E54,#REF!)/SUMIF('CONTROLE DE COMPRA E VENDA '!$E$2:$E$9318,E54,#REF!)</f>
        <v>#REF!</v>
      </c>
      <c r="G54" s="43">
        <f>SUMIF('CONTROLE DE COMPRA E VENDA '!$E$2:$E$9317,E54,'CONTROLE DE COMPRA E VENDA '!$F$2:$F$9317)</f>
        <v>0</v>
      </c>
      <c r="H54" s="44" t="str">
        <f ca="1">IFERROR(__xludf.DUMMYFUNCTION("VLOOKUP(E54,IMPORTRANGE(""https://docs.google.com/spreadsheets/d/1twE6-cpnyykguqtenQ2Owd-uI9WHiQFG1eK6m-cZxDM/edit#gid=2089456355"",""Lista!A13:e999""),5,FALSE)"),"#REF!")</f>
        <v>#REF!</v>
      </c>
      <c r="I54" s="43" t="e">
        <f t="shared" ca="1" si="1"/>
        <v>#VALUE!</v>
      </c>
      <c r="J54" s="45" t="e">
        <f t="shared" ca="1" si="2"/>
        <v>#VALUE!</v>
      </c>
      <c r="K54" s="46" t="b">
        <f t="shared" si="3"/>
        <v>0</v>
      </c>
      <c r="L54" s="46" t="str">
        <f t="shared" si="4"/>
        <v>Verificar nome na coluna A</v>
      </c>
      <c r="M54" s="42" t="e">
        <f t="shared" ca="1" si="5"/>
        <v>#VALUE!</v>
      </c>
      <c r="N54" s="42" t="e">
        <f t="shared" ca="1" si="6"/>
        <v>#VALUE!</v>
      </c>
      <c r="O54" s="47" t="e">
        <f t="shared" ca="1" si="7"/>
        <v>#VALUE!</v>
      </c>
      <c r="P54" s="48" t="b">
        <f t="shared" si="8"/>
        <v>0</v>
      </c>
      <c r="Q54" s="24" t="e">
        <f t="shared" ca="1" si="9"/>
        <v>#VALUE!</v>
      </c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 ht="15.75" customHeight="1">
      <c r="A55" s="24"/>
      <c r="B55" s="24"/>
      <c r="C55" s="24"/>
      <c r="D55" s="40"/>
      <c r="E55" s="41" t="str">
        <f t="array" ref="E55">IFERROR(INDEX('CONTROLE DE COMPRA E VENDA '!$E$2:E$317,MATCH(0,COUNTIF($E$16:E54,'CONTROLE DE COMPRA E VENDA '!$E$2:E$317),0)),"")</f>
        <v/>
      </c>
      <c r="F55" s="42" t="e">
        <f>SUMIF('CONTROLE DE COMPRA E VENDA '!$E$2:$E$9318,E55,#REF!)/SUMIF('CONTROLE DE COMPRA E VENDA '!$E$2:$E$9318,E55,#REF!)</f>
        <v>#REF!</v>
      </c>
      <c r="G55" s="43">
        <f>SUMIF('CONTROLE DE COMPRA E VENDA '!$E$2:$E$9317,E55,'CONTROLE DE COMPRA E VENDA '!$F$2:$F$9317)</f>
        <v>0</v>
      </c>
      <c r="H55" s="44" t="str">
        <f ca="1">IFERROR(__xludf.DUMMYFUNCTION("VLOOKUP(E55,IMPORTRANGE(""https://docs.google.com/spreadsheets/d/1twE6-cpnyykguqtenQ2Owd-uI9WHiQFG1eK6m-cZxDM/edit#gid=2089456355"",""Lista!A13:e999""),5,FALSE)"),"#REF!")</f>
        <v>#REF!</v>
      </c>
      <c r="I55" s="43" t="e">
        <f t="shared" ca="1" si="1"/>
        <v>#VALUE!</v>
      </c>
      <c r="J55" s="45" t="e">
        <f t="shared" ca="1" si="2"/>
        <v>#VALUE!</v>
      </c>
      <c r="K55" s="46" t="b">
        <f t="shared" si="3"/>
        <v>0</v>
      </c>
      <c r="L55" s="46" t="str">
        <f t="shared" si="4"/>
        <v>Verificar nome na coluna A</v>
      </c>
      <c r="M55" s="42" t="e">
        <f t="shared" ca="1" si="5"/>
        <v>#VALUE!</v>
      </c>
      <c r="N55" s="42" t="e">
        <f t="shared" ca="1" si="6"/>
        <v>#VALUE!</v>
      </c>
      <c r="O55" s="47" t="e">
        <f t="shared" ca="1" si="7"/>
        <v>#VALUE!</v>
      </c>
      <c r="P55" s="48" t="b">
        <f t="shared" si="8"/>
        <v>0</v>
      </c>
      <c r="Q55" s="24" t="e">
        <f t="shared" ca="1" si="9"/>
        <v>#VALUE!</v>
      </c>
      <c r="R55" s="24"/>
      <c r="S55" s="49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 ht="15.75" customHeight="1">
      <c r="A56" s="24"/>
      <c r="B56" s="24"/>
      <c r="C56" s="24"/>
      <c r="D56" s="40"/>
      <c r="E56" s="41" t="str">
        <f t="array" ref="E56">IFERROR(INDEX('CONTROLE DE COMPRA E VENDA '!$E$2:E$317,MATCH(0,COUNTIF($E$16:E55,'CONTROLE DE COMPRA E VENDA '!$E$2:E$317),0)),"")</f>
        <v/>
      </c>
      <c r="F56" s="42" t="e">
        <f>SUMIF('CONTROLE DE COMPRA E VENDA '!$E$2:$E$9318,E56,#REF!)/SUMIF('CONTROLE DE COMPRA E VENDA '!$E$2:$E$9318,E56,#REF!)</f>
        <v>#REF!</v>
      </c>
      <c r="G56" s="43">
        <f>SUMIF('CONTROLE DE COMPRA E VENDA '!$E$2:$E$9317,E56,'CONTROLE DE COMPRA E VENDA '!$F$2:$F$9317)</f>
        <v>0</v>
      </c>
      <c r="H56" s="44" t="str">
        <f ca="1">IFERROR(__xludf.DUMMYFUNCTION("VLOOKUP(E56,IMPORTRANGE(""https://docs.google.com/spreadsheets/d/1twE6-cpnyykguqtenQ2Owd-uI9WHiQFG1eK6m-cZxDM/edit#gid=2089456355"",""Lista!A13:e999""),5,FALSE)"),"#REF!")</f>
        <v>#REF!</v>
      </c>
      <c r="I56" s="43" t="e">
        <f t="shared" ca="1" si="1"/>
        <v>#VALUE!</v>
      </c>
      <c r="J56" s="45" t="e">
        <f t="shared" ca="1" si="2"/>
        <v>#VALUE!</v>
      </c>
      <c r="K56" s="46" t="b">
        <f t="shared" si="3"/>
        <v>0</v>
      </c>
      <c r="L56" s="46" t="str">
        <f t="shared" si="4"/>
        <v>Verificar nome na coluna A</v>
      </c>
      <c r="M56" s="42" t="e">
        <f t="shared" ca="1" si="5"/>
        <v>#VALUE!</v>
      </c>
      <c r="N56" s="42" t="e">
        <f t="shared" ca="1" si="6"/>
        <v>#VALUE!</v>
      </c>
      <c r="O56" s="47" t="e">
        <f t="shared" ca="1" si="7"/>
        <v>#VALUE!</v>
      </c>
      <c r="P56" s="48" t="b">
        <f t="shared" si="8"/>
        <v>0</v>
      </c>
      <c r="Q56" s="24" t="e">
        <f t="shared" ca="1" si="9"/>
        <v>#VALUE!</v>
      </c>
      <c r="R56" s="24"/>
      <c r="S56" s="49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 ht="15.75" customHeight="1">
      <c r="A57" s="24"/>
      <c r="B57" s="24"/>
      <c r="C57" s="24"/>
      <c r="D57" s="40"/>
      <c r="E57" s="41" t="str">
        <f t="array" ref="E57">IFERROR(INDEX('CONTROLE DE COMPRA E VENDA '!$E$2:E$317,MATCH(0,COUNTIF($E$16:E56,'CONTROLE DE COMPRA E VENDA '!$E$2:E$317),0)),"")</f>
        <v/>
      </c>
      <c r="F57" s="42" t="e">
        <f>SUMIF('CONTROLE DE COMPRA E VENDA '!$E$2:$E$9318,E57,#REF!)/SUMIF('CONTROLE DE COMPRA E VENDA '!$E$2:$E$9318,E57,#REF!)</f>
        <v>#REF!</v>
      </c>
      <c r="G57" s="43">
        <f>SUMIF('CONTROLE DE COMPRA E VENDA '!$E$2:$E$9317,E57,'CONTROLE DE COMPRA E VENDA '!$F$2:$F$9317)</f>
        <v>0</v>
      </c>
      <c r="H57" s="44" t="str">
        <f ca="1">IFERROR(__xludf.DUMMYFUNCTION("VLOOKUP(E57,IMPORTRANGE(""https://docs.google.com/spreadsheets/d/1twE6-cpnyykguqtenQ2Owd-uI9WHiQFG1eK6m-cZxDM/edit#gid=2089456355"",""Lista!A13:e999""),5,FALSE)"),"#REF!")</f>
        <v>#REF!</v>
      </c>
      <c r="I57" s="43" t="e">
        <f t="shared" ca="1" si="1"/>
        <v>#VALUE!</v>
      </c>
      <c r="J57" s="45" t="e">
        <f t="shared" ca="1" si="2"/>
        <v>#VALUE!</v>
      </c>
      <c r="K57" s="46" t="b">
        <f t="shared" si="3"/>
        <v>0</v>
      </c>
      <c r="L57" s="46" t="str">
        <f t="shared" si="4"/>
        <v>Verificar nome na coluna A</v>
      </c>
      <c r="M57" s="42" t="e">
        <f t="shared" ca="1" si="5"/>
        <v>#VALUE!</v>
      </c>
      <c r="N57" s="42" t="e">
        <f t="shared" ca="1" si="6"/>
        <v>#VALUE!</v>
      </c>
      <c r="O57" s="47" t="e">
        <f t="shared" ca="1" si="7"/>
        <v>#VALUE!</v>
      </c>
      <c r="P57" s="48" t="b">
        <f t="shared" si="8"/>
        <v>0</v>
      </c>
      <c r="Q57" s="24" t="e">
        <f t="shared" ca="1" si="9"/>
        <v>#VALUE!</v>
      </c>
      <c r="R57" s="24"/>
      <c r="S57" s="49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 ht="15.75" customHeight="1">
      <c r="A58" s="24"/>
      <c r="B58" s="24"/>
      <c r="C58" s="24"/>
      <c r="D58" s="40"/>
      <c r="E58" s="41" t="str">
        <f t="array" ref="E58">IFERROR(INDEX('CONTROLE DE COMPRA E VENDA '!$E$2:E$317,MATCH(0,COUNTIF($E$16:E57,'CONTROLE DE COMPRA E VENDA '!$E$2:E$317),0)),"")</f>
        <v/>
      </c>
      <c r="F58" s="42" t="e">
        <f>SUMIF('CONTROLE DE COMPRA E VENDA '!$E$2:$E$9318,E58,#REF!)/SUMIF('CONTROLE DE COMPRA E VENDA '!$E$2:$E$9318,E58,#REF!)</f>
        <v>#REF!</v>
      </c>
      <c r="G58" s="43">
        <f>SUMIF('CONTROLE DE COMPRA E VENDA '!$E$2:$E$9317,E58,'CONTROLE DE COMPRA E VENDA '!$F$2:$F$9317)</f>
        <v>0</v>
      </c>
      <c r="H58" s="44" t="str">
        <f ca="1">IFERROR(__xludf.DUMMYFUNCTION("VLOOKUP(E58,IMPORTRANGE(""https://docs.google.com/spreadsheets/d/1twE6-cpnyykguqtenQ2Owd-uI9WHiQFG1eK6m-cZxDM/edit#gid=2089456355"",""Lista!A13:e999""),5,FALSE)"),"#REF!")</f>
        <v>#REF!</v>
      </c>
      <c r="I58" s="43" t="e">
        <f t="shared" ca="1" si="1"/>
        <v>#VALUE!</v>
      </c>
      <c r="J58" s="45" t="e">
        <f t="shared" ca="1" si="2"/>
        <v>#VALUE!</v>
      </c>
      <c r="K58" s="46" t="b">
        <f t="shared" si="3"/>
        <v>0</v>
      </c>
      <c r="L58" s="46" t="str">
        <f t="shared" si="4"/>
        <v>Verificar nome na coluna A</v>
      </c>
      <c r="M58" s="42" t="e">
        <f t="shared" ca="1" si="5"/>
        <v>#VALUE!</v>
      </c>
      <c r="N58" s="42" t="e">
        <f t="shared" ca="1" si="6"/>
        <v>#VALUE!</v>
      </c>
      <c r="O58" s="47" t="e">
        <f t="shared" ca="1" si="7"/>
        <v>#VALUE!</v>
      </c>
      <c r="P58" s="48" t="b">
        <f t="shared" si="8"/>
        <v>0</v>
      </c>
      <c r="Q58" s="24" t="e">
        <f t="shared" ca="1" si="9"/>
        <v>#VALUE!</v>
      </c>
      <c r="R58" s="24"/>
      <c r="S58" s="49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 ht="15.75" customHeight="1">
      <c r="A59" s="24"/>
      <c r="B59" s="24"/>
      <c r="C59" s="24"/>
      <c r="D59" s="40"/>
      <c r="E59" s="41" t="str">
        <f t="array" ref="E59">IFERROR(INDEX('CONTROLE DE COMPRA E VENDA '!$E$2:E$317,MATCH(0,COUNTIF($E$16:E58,'CONTROLE DE COMPRA E VENDA '!$E$2:E$317),0)),"")</f>
        <v/>
      </c>
      <c r="F59" s="42" t="e">
        <f>SUMIF('CONTROLE DE COMPRA E VENDA '!$E$2:$E$9318,E59,#REF!)/SUMIF('CONTROLE DE COMPRA E VENDA '!$E$2:$E$9318,E59,#REF!)</f>
        <v>#REF!</v>
      </c>
      <c r="G59" s="43">
        <f>SUMIF('CONTROLE DE COMPRA E VENDA '!$E$2:$E$9317,E59,'CONTROLE DE COMPRA E VENDA '!$F$2:$F$9317)</f>
        <v>0</v>
      </c>
      <c r="H59" s="44" t="str">
        <f ca="1">IFERROR(__xludf.DUMMYFUNCTION("VLOOKUP(E59,IMPORTRANGE(""https://docs.google.com/spreadsheets/d/1twE6-cpnyykguqtenQ2Owd-uI9WHiQFG1eK6m-cZxDM/edit#gid=2089456355"",""Lista!A13:e999""),5,FALSE)"),"#REF!")</f>
        <v>#REF!</v>
      </c>
      <c r="I59" s="43" t="e">
        <f t="shared" ca="1" si="1"/>
        <v>#VALUE!</v>
      </c>
      <c r="J59" s="45" t="e">
        <f t="shared" ca="1" si="2"/>
        <v>#VALUE!</v>
      </c>
      <c r="K59" s="46" t="b">
        <f t="shared" si="3"/>
        <v>0</v>
      </c>
      <c r="L59" s="46" t="str">
        <f t="shared" si="4"/>
        <v>Verificar nome na coluna A</v>
      </c>
      <c r="M59" s="42" t="e">
        <f t="shared" ca="1" si="5"/>
        <v>#VALUE!</v>
      </c>
      <c r="N59" s="42" t="e">
        <f t="shared" ca="1" si="6"/>
        <v>#VALUE!</v>
      </c>
      <c r="O59" s="47" t="e">
        <f t="shared" ca="1" si="7"/>
        <v>#VALUE!</v>
      </c>
      <c r="P59" s="48" t="b">
        <f t="shared" si="8"/>
        <v>0</v>
      </c>
      <c r="Q59" s="24" t="e">
        <f t="shared" ca="1" si="9"/>
        <v>#VALUE!</v>
      </c>
      <c r="R59" s="24"/>
      <c r="S59" s="49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 ht="15.75" customHeight="1">
      <c r="A60" s="24"/>
      <c r="B60" s="24"/>
      <c r="C60" s="24"/>
      <c r="D60" s="40"/>
      <c r="E60" s="41" t="str">
        <f t="array" ref="E60">IFERROR(INDEX('CONTROLE DE COMPRA E VENDA '!$E$2:E$317,MATCH(0,COUNTIF($E$16:E59,'CONTROLE DE COMPRA E VENDA '!$E$2:E$317),0)),"")</f>
        <v/>
      </c>
      <c r="F60" s="42" t="e">
        <f>SUMIF('CONTROLE DE COMPRA E VENDA '!$E$2:$E$9318,E60,#REF!)/SUMIF('CONTROLE DE COMPRA E VENDA '!$E$2:$E$9318,E60,#REF!)</f>
        <v>#REF!</v>
      </c>
      <c r="G60" s="43">
        <f>SUMIF('CONTROLE DE COMPRA E VENDA '!$E$2:$E$9317,E60,'CONTROLE DE COMPRA E VENDA '!$F$2:$F$9317)</f>
        <v>0</v>
      </c>
      <c r="H60" s="44" t="str">
        <f ca="1">IFERROR(__xludf.DUMMYFUNCTION("VLOOKUP(E60,IMPORTRANGE(""https://docs.google.com/spreadsheets/d/1twE6-cpnyykguqtenQ2Owd-uI9WHiQFG1eK6m-cZxDM/edit#gid=2089456355"",""Lista!A13:e999""),5,FALSE)"),"#REF!")</f>
        <v>#REF!</v>
      </c>
      <c r="I60" s="43" t="e">
        <f t="shared" ca="1" si="1"/>
        <v>#VALUE!</v>
      </c>
      <c r="J60" s="45" t="e">
        <f t="shared" ca="1" si="2"/>
        <v>#VALUE!</v>
      </c>
      <c r="K60" s="46" t="b">
        <f t="shared" si="3"/>
        <v>0</v>
      </c>
      <c r="L60" s="46" t="str">
        <f t="shared" si="4"/>
        <v>Verificar nome na coluna A</v>
      </c>
      <c r="M60" s="42" t="e">
        <f t="shared" ca="1" si="5"/>
        <v>#VALUE!</v>
      </c>
      <c r="N60" s="42" t="e">
        <f t="shared" ca="1" si="6"/>
        <v>#VALUE!</v>
      </c>
      <c r="O60" s="47" t="e">
        <f t="shared" ca="1" si="7"/>
        <v>#VALUE!</v>
      </c>
      <c r="P60" s="48" t="b">
        <f t="shared" si="8"/>
        <v>0</v>
      </c>
      <c r="Q60" s="24" t="e">
        <f t="shared" ca="1" si="9"/>
        <v>#VALUE!</v>
      </c>
      <c r="R60" s="24"/>
      <c r="S60" s="49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 ht="15.75" customHeight="1">
      <c r="A61" s="24"/>
      <c r="B61" s="24"/>
      <c r="C61" s="24"/>
      <c r="D61" s="40"/>
      <c r="E61" s="41" t="str">
        <f t="array" ref="E61">IFERROR(INDEX('CONTROLE DE COMPRA E VENDA '!$E$2:E$317,MATCH(0,COUNTIF($E$16:E60,'CONTROLE DE COMPRA E VENDA '!$E$2:E$317),0)),"")</f>
        <v/>
      </c>
      <c r="F61" s="42" t="e">
        <f>SUMIF('CONTROLE DE COMPRA E VENDA '!$E$2:$E$9318,E61,#REF!)/SUMIF('CONTROLE DE COMPRA E VENDA '!$E$2:$E$9318,E61,#REF!)</f>
        <v>#REF!</v>
      </c>
      <c r="G61" s="43">
        <f>SUMIF('CONTROLE DE COMPRA E VENDA '!$E$2:$E$9317,E61,'CONTROLE DE COMPRA E VENDA '!$F$2:$F$9317)</f>
        <v>0</v>
      </c>
      <c r="H61" s="44" t="str">
        <f ca="1">IFERROR(__xludf.DUMMYFUNCTION("VLOOKUP(E61,IMPORTRANGE(""https://docs.google.com/spreadsheets/d/1twE6-cpnyykguqtenQ2Owd-uI9WHiQFG1eK6m-cZxDM/edit#gid=2089456355"",""Lista!A13:e999""),5,FALSE)"),"#REF!")</f>
        <v>#REF!</v>
      </c>
      <c r="I61" s="43" t="e">
        <f t="shared" ca="1" si="1"/>
        <v>#VALUE!</v>
      </c>
      <c r="J61" s="45" t="e">
        <f t="shared" ca="1" si="2"/>
        <v>#VALUE!</v>
      </c>
      <c r="K61" s="46" t="b">
        <f t="shared" si="3"/>
        <v>0</v>
      </c>
      <c r="L61" s="46" t="str">
        <f t="shared" si="4"/>
        <v>Verificar nome na coluna A</v>
      </c>
      <c r="M61" s="42" t="e">
        <f t="shared" ca="1" si="5"/>
        <v>#VALUE!</v>
      </c>
      <c r="N61" s="42" t="e">
        <f t="shared" ca="1" si="6"/>
        <v>#VALUE!</v>
      </c>
      <c r="O61" s="47" t="e">
        <f t="shared" ca="1" si="7"/>
        <v>#VALUE!</v>
      </c>
      <c r="P61" s="48" t="b">
        <f t="shared" si="8"/>
        <v>0</v>
      </c>
      <c r="Q61" s="24" t="e">
        <f t="shared" ca="1" si="9"/>
        <v>#VALUE!</v>
      </c>
      <c r="R61" s="24"/>
      <c r="S61" s="49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 ht="15.75" customHeight="1">
      <c r="A62" s="24"/>
      <c r="B62" s="24"/>
      <c r="C62" s="24"/>
      <c r="D62" s="40"/>
      <c r="E62" s="41" t="str">
        <f t="array" ref="E62">IFERROR(INDEX('CONTROLE DE COMPRA E VENDA '!$E$2:E$317,MATCH(0,COUNTIF($E$16:E61,'CONTROLE DE COMPRA E VENDA '!$E$2:E$317),0)),"")</f>
        <v/>
      </c>
      <c r="F62" s="42" t="e">
        <f>SUMIF('CONTROLE DE COMPRA E VENDA '!$E$2:$E$9318,E62,#REF!)/SUMIF('CONTROLE DE COMPRA E VENDA '!$E$2:$E$9318,E62,#REF!)</f>
        <v>#REF!</v>
      </c>
      <c r="G62" s="43">
        <f>SUMIF('CONTROLE DE COMPRA E VENDA '!$E$2:$E$9317,E62,'CONTROLE DE COMPRA E VENDA '!$F$2:$F$9317)</f>
        <v>0</v>
      </c>
      <c r="H62" s="44" t="str">
        <f ca="1">IFERROR(__xludf.DUMMYFUNCTION("VLOOKUP(E62,IMPORTRANGE(""https://docs.google.com/spreadsheets/d/1twE6-cpnyykguqtenQ2Owd-uI9WHiQFG1eK6m-cZxDM/edit#gid=2089456355"",""Lista!A13:e999""),5,FALSE)"),"#REF!")</f>
        <v>#REF!</v>
      </c>
      <c r="I62" s="43" t="e">
        <f t="shared" ca="1" si="1"/>
        <v>#VALUE!</v>
      </c>
      <c r="J62" s="45" t="e">
        <f t="shared" ca="1" si="2"/>
        <v>#VALUE!</v>
      </c>
      <c r="K62" s="46" t="b">
        <f t="shared" si="3"/>
        <v>0</v>
      </c>
      <c r="L62" s="46" t="str">
        <f t="shared" si="4"/>
        <v>Verificar nome na coluna A</v>
      </c>
      <c r="M62" s="42" t="e">
        <f t="shared" ca="1" si="5"/>
        <v>#VALUE!</v>
      </c>
      <c r="N62" s="42" t="e">
        <f t="shared" ca="1" si="6"/>
        <v>#VALUE!</v>
      </c>
      <c r="O62" s="47" t="e">
        <f t="shared" ca="1" si="7"/>
        <v>#VALUE!</v>
      </c>
      <c r="P62" s="48" t="b">
        <f t="shared" si="8"/>
        <v>0</v>
      </c>
      <c r="Q62" s="24" t="e">
        <f t="shared" ca="1" si="9"/>
        <v>#VALUE!</v>
      </c>
      <c r="R62" s="24"/>
      <c r="S62" s="49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 ht="15.75" customHeight="1">
      <c r="A63" s="24"/>
      <c r="B63" s="24"/>
      <c r="C63" s="24"/>
      <c r="D63" s="40"/>
      <c r="E63" s="41" t="str">
        <f t="array" ref="E63">IFERROR(INDEX('CONTROLE DE COMPRA E VENDA '!$E$2:E$317,MATCH(0,COUNTIF($E$16:E62,'CONTROLE DE COMPRA E VENDA '!$E$2:E$317),0)),"")</f>
        <v/>
      </c>
      <c r="F63" s="42" t="e">
        <f>SUMIF('CONTROLE DE COMPRA E VENDA '!$E$2:$E$9318,E63,#REF!)/SUMIF('CONTROLE DE COMPRA E VENDA '!$E$2:$E$9318,E63,#REF!)</f>
        <v>#REF!</v>
      </c>
      <c r="G63" s="43">
        <f>SUMIF('CONTROLE DE COMPRA E VENDA '!$E$2:$E$9317,E63,'CONTROLE DE COMPRA E VENDA '!$F$2:$F$9317)</f>
        <v>0</v>
      </c>
      <c r="H63" s="44" t="str">
        <f ca="1">IFERROR(__xludf.DUMMYFUNCTION("VLOOKUP(E63,IMPORTRANGE(""https://docs.google.com/spreadsheets/d/1twE6-cpnyykguqtenQ2Owd-uI9WHiQFG1eK6m-cZxDM/edit#gid=2089456355"",""Lista!A13:e999""),5,FALSE)"),"#REF!")</f>
        <v>#REF!</v>
      </c>
      <c r="I63" s="43" t="e">
        <f t="shared" ca="1" si="1"/>
        <v>#VALUE!</v>
      </c>
      <c r="J63" s="45" t="e">
        <f t="shared" ca="1" si="2"/>
        <v>#VALUE!</v>
      </c>
      <c r="K63" s="46" t="b">
        <f t="shared" si="3"/>
        <v>0</v>
      </c>
      <c r="L63" s="46" t="str">
        <f t="shared" si="4"/>
        <v>Verificar nome na coluna A</v>
      </c>
      <c r="M63" s="42" t="e">
        <f t="shared" ca="1" si="5"/>
        <v>#VALUE!</v>
      </c>
      <c r="N63" s="42" t="e">
        <f t="shared" ca="1" si="6"/>
        <v>#VALUE!</v>
      </c>
      <c r="O63" s="47" t="e">
        <f t="shared" ca="1" si="7"/>
        <v>#VALUE!</v>
      </c>
      <c r="P63" s="48" t="b">
        <f t="shared" si="8"/>
        <v>0</v>
      </c>
      <c r="Q63" s="24" t="e">
        <f t="shared" ca="1" si="9"/>
        <v>#VALUE!</v>
      </c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 ht="15.75" customHeight="1">
      <c r="A64" s="24"/>
      <c r="B64" s="24"/>
      <c r="C64" s="24"/>
      <c r="D64" s="40"/>
      <c r="E64" s="41" t="str">
        <f t="array" ref="E64">IFERROR(INDEX('CONTROLE DE COMPRA E VENDA '!$E$2:E$317,MATCH(0,COUNTIF($E$16:E63,'CONTROLE DE COMPRA E VENDA '!$E$2:E$317),0)),"")</f>
        <v/>
      </c>
      <c r="F64" s="42" t="e">
        <f>SUMIF('CONTROLE DE COMPRA E VENDA '!$E$2:$E$9318,E64,#REF!)/SUMIF('CONTROLE DE COMPRA E VENDA '!$E$2:$E$9318,E64,#REF!)</f>
        <v>#REF!</v>
      </c>
      <c r="G64" s="43">
        <f>SUMIF('CONTROLE DE COMPRA E VENDA '!$E$2:$E$9317,E64,'CONTROLE DE COMPRA E VENDA '!$F$2:$F$9317)</f>
        <v>0</v>
      </c>
      <c r="H64" s="44" t="str">
        <f ca="1">IFERROR(__xludf.DUMMYFUNCTION("VLOOKUP(E64,IMPORTRANGE(""https://docs.google.com/spreadsheets/d/1twE6-cpnyykguqtenQ2Owd-uI9WHiQFG1eK6m-cZxDM/edit#gid=2089456355"",""Lista!A13:e999""),5,FALSE)"),"#REF!")</f>
        <v>#REF!</v>
      </c>
      <c r="I64" s="43" t="e">
        <f t="shared" ca="1" si="1"/>
        <v>#VALUE!</v>
      </c>
      <c r="J64" s="45" t="e">
        <f t="shared" ca="1" si="2"/>
        <v>#VALUE!</v>
      </c>
      <c r="K64" s="46" t="b">
        <f t="shared" si="3"/>
        <v>0</v>
      </c>
      <c r="L64" s="46" t="str">
        <f t="shared" si="4"/>
        <v>Verificar nome na coluna A</v>
      </c>
      <c r="M64" s="42" t="e">
        <f t="shared" ca="1" si="5"/>
        <v>#VALUE!</v>
      </c>
      <c r="N64" s="42" t="e">
        <f t="shared" ca="1" si="6"/>
        <v>#VALUE!</v>
      </c>
      <c r="O64" s="47" t="e">
        <f t="shared" ca="1" si="7"/>
        <v>#VALUE!</v>
      </c>
      <c r="P64" s="48" t="b">
        <f t="shared" si="8"/>
        <v>0</v>
      </c>
      <c r="Q64" s="24" t="e">
        <f t="shared" ca="1" si="9"/>
        <v>#VALUE!</v>
      </c>
      <c r="R64" s="24"/>
      <c r="S64" s="49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 ht="15.75" customHeight="1">
      <c r="A65" s="24"/>
      <c r="B65" s="24"/>
      <c r="C65" s="24"/>
      <c r="D65" s="40"/>
      <c r="E65" s="41" t="str">
        <f t="array" ref="E65">IFERROR(INDEX('CONTROLE DE COMPRA E VENDA '!$E$2:E$317,MATCH(0,COUNTIF($E$16:E64,'CONTROLE DE COMPRA E VENDA '!$E$2:E$317),0)),"")</f>
        <v/>
      </c>
      <c r="F65" s="42" t="e">
        <f>SUMIF('CONTROLE DE COMPRA E VENDA '!$E$2:$E$9318,E65,#REF!)/SUMIF('CONTROLE DE COMPRA E VENDA '!$E$2:$E$9318,E65,#REF!)</f>
        <v>#REF!</v>
      </c>
      <c r="G65" s="43">
        <f>SUMIF('CONTROLE DE COMPRA E VENDA '!$E$2:$E$9317,E65,'CONTROLE DE COMPRA E VENDA '!$F$2:$F$9317)</f>
        <v>0</v>
      </c>
      <c r="H65" s="44" t="str">
        <f ca="1">IFERROR(__xludf.DUMMYFUNCTION("VLOOKUP(E65,IMPORTRANGE(""https://docs.google.com/spreadsheets/d/1twE6-cpnyykguqtenQ2Owd-uI9WHiQFG1eK6m-cZxDM/edit#gid=2089456355"",""Lista!A13:e999""),5,FALSE)"),"#REF!")</f>
        <v>#REF!</v>
      </c>
      <c r="I65" s="43" t="e">
        <f t="shared" ca="1" si="1"/>
        <v>#VALUE!</v>
      </c>
      <c r="J65" s="45" t="e">
        <f t="shared" ca="1" si="2"/>
        <v>#VALUE!</v>
      </c>
      <c r="K65" s="46" t="b">
        <f t="shared" si="3"/>
        <v>0</v>
      </c>
      <c r="L65" s="46" t="str">
        <f t="shared" si="4"/>
        <v>Verificar nome na coluna A</v>
      </c>
      <c r="M65" s="42" t="e">
        <f t="shared" ca="1" si="5"/>
        <v>#VALUE!</v>
      </c>
      <c r="N65" s="42" t="e">
        <f t="shared" ca="1" si="6"/>
        <v>#VALUE!</v>
      </c>
      <c r="O65" s="47" t="e">
        <f t="shared" ca="1" si="7"/>
        <v>#VALUE!</v>
      </c>
      <c r="P65" s="48" t="b">
        <f t="shared" si="8"/>
        <v>0</v>
      </c>
      <c r="Q65" s="24" t="e">
        <f t="shared" ca="1" si="9"/>
        <v>#VALUE!</v>
      </c>
      <c r="R65" s="24"/>
      <c r="S65" s="49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 ht="15.75" customHeight="1">
      <c r="A66" s="24"/>
      <c r="B66" s="24"/>
      <c r="C66" s="24"/>
      <c r="D66" s="40"/>
      <c r="E66" s="41" t="str">
        <f t="array" ref="E66">IFERROR(INDEX('CONTROLE DE COMPRA E VENDA '!$E$2:E$317,MATCH(0,COUNTIF($E$16:E65,'CONTROLE DE COMPRA E VENDA '!$E$2:E$317),0)),"")</f>
        <v/>
      </c>
      <c r="F66" s="42" t="e">
        <f>SUMIF('CONTROLE DE COMPRA E VENDA '!$E$2:$E$9318,E66,#REF!)/SUMIF('CONTROLE DE COMPRA E VENDA '!$E$2:$E$9318,E66,#REF!)</f>
        <v>#REF!</v>
      </c>
      <c r="G66" s="43">
        <f>SUMIF('CONTROLE DE COMPRA E VENDA '!$E$2:$E$9317,E66,'CONTROLE DE COMPRA E VENDA '!$F$2:$F$9317)</f>
        <v>0</v>
      </c>
      <c r="H66" s="44" t="str">
        <f ca="1">IFERROR(__xludf.DUMMYFUNCTION("VLOOKUP(E66,IMPORTRANGE(""https://docs.google.com/spreadsheets/d/1twE6-cpnyykguqtenQ2Owd-uI9WHiQFG1eK6m-cZxDM/edit#gid=2089456355"",""Lista!A13:e999""),5,FALSE)"),"#REF!")</f>
        <v>#REF!</v>
      </c>
      <c r="I66" s="43" t="e">
        <f t="shared" ca="1" si="1"/>
        <v>#VALUE!</v>
      </c>
      <c r="J66" s="45" t="e">
        <f t="shared" ca="1" si="2"/>
        <v>#VALUE!</v>
      </c>
      <c r="K66" s="46" t="b">
        <f t="shared" si="3"/>
        <v>0</v>
      </c>
      <c r="L66" s="46" t="str">
        <f t="shared" si="4"/>
        <v>Verificar nome na coluna A</v>
      </c>
      <c r="M66" s="42" t="e">
        <f t="shared" ca="1" si="5"/>
        <v>#VALUE!</v>
      </c>
      <c r="N66" s="42" t="e">
        <f t="shared" ca="1" si="6"/>
        <v>#VALUE!</v>
      </c>
      <c r="O66" s="47" t="e">
        <f t="shared" ca="1" si="7"/>
        <v>#VALUE!</v>
      </c>
      <c r="P66" s="48" t="b">
        <f t="shared" si="8"/>
        <v>0</v>
      </c>
      <c r="Q66" s="24" t="e">
        <f t="shared" ca="1" si="9"/>
        <v>#VALUE!</v>
      </c>
      <c r="R66" s="24"/>
      <c r="S66" s="49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 ht="15.75" customHeight="1">
      <c r="A67" s="24"/>
      <c r="B67" s="24"/>
      <c r="C67" s="24"/>
      <c r="D67" s="40"/>
      <c r="E67" s="41" t="str">
        <f t="array" ref="E67">IFERROR(INDEX('CONTROLE DE COMPRA E VENDA '!$E$2:E$317,MATCH(0,COUNTIF($E$16:E66,'CONTROLE DE COMPRA E VENDA '!$E$2:E$317),0)),"")</f>
        <v/>
      </c>
      <c r="F67" s="42" t="e">
        <f>SUMIF('CONTROLE DE COMPRA E VENDA '!$E$2:$E$9318,E67,#REF!)/SUMIF('CONTROLE DE COMPRA E VENDA '!$E$2:$E$9318,E67,#REF!)</f>
        <v>#REF!</v>
      </c>
      <c r="G67" s="43">
        <f>SUMIF('CONTROLE DE COMPRA E VENDA '!$E$2:$E$9317,E67,'CONTROLE DE COMPRA E VENDA '!$F$2:$F$9317)</f>
        <v>0</v>
      </c>
      <c r="H67" s="44" t="str">
        <f ca="1">IFERROR(__xludf.DUMMYFUNCTION("VLOOKUP(E67,IMPORTRANGE(""https://docs.google.com/spreadsheets/d/1twE6-cpnyykguqtenQ2Owd-uI9WHiQFG1eK6m-cZxDM/edit#gid=2089456355"",""Lista!A13:e999""),5,FALSE)"),"#REF!")</f>
        <v>#REF!</v>
      </c>
      <c r="I67" s="43" t="e">
        <f t="shared" ca="1" si="1"/>
        <v>#VALUE!</v>
      </c>
      <c r="J67" s="45" t="e">
        <f t="shared" ca="1" si="2"/>
        <v>#VALUE!</v>
      </c>
      <c r="K67" s="46" t="b">
        <f t="shared" si="3"/>
        <v>0</v>
      </c>
      <c r="L67" s="46" t="str">
        <f t="shared" si="4"/>
        <v>Verificar nome na coluna A</v>
      </c>
      <c r="M67" s="42" t="e">
        <f t="shared" ca="1" si="5"/>
        <v>#VALUE!</v>
      </c>
      <c r="N67" s="42" t="e">
        <f t="shared" ca="1" si="6"/>
        <v>#VALUE!</v>
      </c>
      <c r="O67" s="47" t="e">
        <f t="shared" ca="1" si="7"/>
        <v>#VALUE!</v>
      </c>
      <c r="P67" s="48" t="b">
        <f t="shared" si="8"/>
        <v>0</v>
      </c>
      <c r="Q67" s="24" t="e">
        <f t="shared" ca="1" si="9"/>
        <v>#VALUE!</v>
      </c>
      <c r="R67" s="24"/>
      <c r="S67" s="49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 ht="15.75" customHeight="1">
      <c r="A68" s="24"/>
      <c r="B68" s="24"/>
      <c r="C68" s="24"/>
      <c r="D68" s="40"/>
      <c r="E68" s="41" t="str">
        <f t="array" ref="E68">IFERROR(INDEX('CONTROLE DE COMPRA E VENDA '!$E$2:E$317,MATCH(0,COUNTIF($E$16:E67,'CONTROLE DE COMPRA E VENDA '!$E$2:E$317),0)),"")</f>
        <v/>
      </c>
      <c r="F68" s="42" t="e">
        <f>SUMIF('CONTROLE DE COMPRA E VENDA '!$E$2:$E$9318,E68,#REF!)/SUMIF('CONTROLE DE COMPRA E VENDA '!$E$2:$E$9318,E68,#REF!)</f>
        <v>#REF!</v>
      </c>
      <c r="G68" s="43">
        <f>SUMIF('CONTROLE DE COMPRA E VENDA '!$E$2:$E$9317,E68,'CONTROLE DE COMPRA E VENDA '!$F$2:$F$9317)</f>
        <v>0</v>
      </c>
      <c r="H68" s="44" t="str">
        <f ca="1">IFERROR(__xludf.DUMMYFUNCTION("VLOOKUP(E68,IMPORTRANGE(""https://docs.google.com/spreadsheets/d/1twE6-cpnyykguqtenQ2Owd-uI9WHiQFG1eK6m-cZxDM/edit#gid=2089456355"",""Lista!A13:e999""),5,FALSE)"),"#REF!")</f>
        <v>#REF!</v>
      </c>
      <c r="I68" s="43" t="e">
        <f t="shared" ca="1" si="1"/>
        <v>#VALUE!</v>
      </c>
      <c r="J68" s="45" t="e">
        <f t="shared" ca="1" si="2"/>
        <v>#VALUE!</v>
      </c>
      <c r="K68" s="46" t="b">
        <f t="shared" si="3"/>
        <v>0</v>
      </c>
      <c r="L68" s="46" t="str">
        <f t="shared" si="4"/>
        <v>Verificar nome na coluna A</v>
      </c>
      <c r="M68" s="42" t="e">
        <f t="shared" ca="1" si="5"/>
        <v>#VALUE!</v>
      </c>
      <c r="N68" s="42" t="e">
        <f t="shared" ca="1" si="6"/>
        <v>#VALUE!</v>
      </c>
      <c r="O68" s="47" t="e">
        <f t="shared" ca="1" si="7"/>
        <v>#VALUE!</v>
      </c>
      <c r="P68" s="48" t="b">
        <f t="shared" si="8"/>
        <v>0</v>
      </c>
      <c r="Q68" s="24" t="e">
        <f t="shared" ca="1" si="9"/>
        <v>#VALUE!</v>
      </c>
      <c r="R68" s="24"/>
      <c r="S68" s="49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 ht="15.75" customHeight="1">
      <c r="A69" s="24"/>
      <c r="B69" s="24"/>
      <c r="C69" s="24"/>
      <c r="D69" s="40"/>
      <c r="E69" s="41" t="str">
        <f t="array" ref="E69">IFERROR(INDEX('CONTROLE DE COMPRA E VENDA '!$E$2:E$317,MATCH(0,COUNTIF($E$16:E68,'CONTROLE DE COMPRA E VENDA '!$E$2:E$317),0)),"")</f>
        <v/>
      </c>
      <c r="F69" s="42" t="e">
        <f>SUMIF('CONTROLE DE COMPRA E VENDA '!$E$2:$E$9318,E69,#REF!)/SUMIF('CONTROLE DE COMPRA E VENDA '!$E$2:$E$9318,E69,#REF!)</f>
        <v>#REF!</v>
      </c>
      <c r="G69" s="43">
        <f>SUMIF('CONTROLE DE COMPRA E VENDA '!$E$2:$E$9317,E69,'CONTROLE DE COMPRA E VENDA '!$F$2:$F$9317)</f>
        <v>0</v>
      </c>
      <c r="H69" s="44" t="str">
        <f ca="1">IFERROR(__xludf.DUMMYFUNCTION("VLOOKUP(E69,IMPORTRANGE(""https://docs.google.com/spreadsheets/d/1twE6-cpnyykguqtenQ2Owd-uI9WHiQFG1eK6m-cZxDM/edit#gid=2089456355"",""Lista!A13:e999""),5,FALSE)"),"#REF!")</f>
        <v>#REF!</v>
      </c>
      <c r="I69" s="43" t="e">
        <f t="shared" ca="1" si="1"/>
        <v>#VALUE!</v>
      </c>
      <c r="J69" s="45" t="e">
        <f t="shared" ca="1" si="2"/>
        <v>#VALUE!</v>
      </c>
      <c r="K69" s="46" t="b">
        <f t="shared" si="3"/>
        <v>0</v>
      </c>
      <c r="L69" s="46" t="str">
        <f t="shared" si="4"/>
        <v>Verificar nome na coluna A</v>
      </c>
      <c r="M69" s="42" t="e">
        <f t="shared" ca="1" si="5"/>
        <v>#VALUE!</v>
      </c>
      <c r="N69" s="42" t="e">
        <f t="shared" ca="1" si="6"/>
        <v>#VALUE!</v>
      </c>
      <c r="O69" s="47" t="e">
        <f t="shared" ca="1" si="7"/>
        <v>#VALUE!</v>
      </c>
      <c r="P69" s="48" t="b">
        <f t="shared" si="8"/>
        <v>0</v>
      </c>
      <c r="Q69" s="24" t="e">
        <f t="shared" ca="1" si="9"/>
        <v>#VALUE!</v>
      </c>
      <c r="R69" s="24"/>
      <c r="S69" s="49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 ht="15.75" customHeight="1">
      <c r="A70" s="24"/>
      <c r="B70" s="24"/>
      <c r="C70" s="24"/>
      <c r="D70" s="40"/>
      <c r="E70" s="41" t="str">
        <f t="array" ref="E70">IFERROR(INDEX('CONTROLE DE COMPRA E VENDA '!$E$2:E$317,MATCH(0,COUNTIF($E$16:E69,'CONTROLE DE COMPRA E VENDA '!$E$2:E$317),0)),"")</f>
        <v/>
      </c>
      <c r="F70" s="42" t="e">
        <f>SUMIF('CONTROLE DE COMPRA E VENDA '!$E$2:$E$9318,E70,#REF!)/SUMIF('CONTROLE DE COMPRA E VENDA '!$E$2:$E$9318,E70,#REF!)</f>
        <v>#REF!</v>
      </c>
      <c r="G70" s="43">
        <f>SUMIF('CONTROLE DE COMPRA E VENDA '!$E$2:$E$9317,E70,'CONTROLE DE COMPRA E VENDA '!$F$2:$F$9317)</f>
        <v>0</v>
      </c>
      <c r="H70" s="44" t="str">
        <f ca="1">IFERROR(__xludf.DUMMYFUNCTION("VLOOKUP(E70,IMPORTRANGE(""https://docs.google.com/spreadsheets/d/1twE6-cpnyykguqtenQ2Owd-uI9WHiQFG1eK6m-cZxDM/edit#gid=2089456355"",""Lista!A13:e999""),5,FALSE)"),"#REF!")</f>
        <v>#REF!</v>
      </c>
      <c r="I70" s="43" t="e">
        <f t="shared" ca="1" si="1"/>
        <v>#VALUE!</v>
      </c>
      <c r="J70" s="45" t="e">
        <f t="shared" ca="1" si="2"/>
        <v>#VALUE!</v>
      </c>
      <c r="K70" s="46" t="b">
        <f t="shared" si="3"/>
        <v>0</v>
      </c>
      <c r="L70" s="46" t="str">
        <f t="shared" si="4"/>
        <v>Verificar nome na coluna A</v>
      </c>
      <c r="M70" s="42" t="e">
        <f t="shared" ca="1" si="5"/>
        <v>#VALUE!</v>
      </c>
      <c r="N70" s="42" t="e">
        <f t="shared" ca="1" si="6"/>
        <v>#VALUE!</v>
      </c>
      <c r="O70" s="47" t="e">
        <f t="shared" ca="1" si="7"/>
        <v>#VALUE!</v>
      </c>
      <c r="P70" s="48" t="b">
        <f t="shared" si="8"/>
        <v>0</v>
      </c>
      <c r="Q70" s="24" t="e">
        <f t="shared" ca="1" si="9"/>
        <v>#VALUE!</v>
      </c>
      <c r="R70" s="24"/>
      <c r="S70" s="49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 ht="15.75" customHeight="1">
      <c r="A71" s="24"/>
      <c r="B71" s="24"/>
      <c r="C71" s="24"/>
      <c r="D71" s="40"/>
      <c r="E71" s="41" t="str">
        <f t="array" ref="E71">IFERROR(INDEX('CONTROLE DE COMPRA E VENDA '!$E$2:E$317,MATCH(0,COUNTIF($E$16:E70,'CONTROLE DE COMPRA E VENDA '!$E$2:E$317),0)),"")</f>
        <v/>
      </c>
      <c r="F71" s="42" t="e">
        <f>SUMIF('CONTROLE DE COMPRA E VENDA '!$E$2:$E$9318,E71,#REF!)/SUMIF('CONTROLE DE COMPRA E VENDA '!$E$2:$E$9318,E71,#REF!)</f>
        <v>#REF!</v>
      </c>
      <c r="G71" s="43">
        <f>SUMIF('CONTROLE DE COMPRA E VENDA '!$E$2:$E$9317,E71,'CONTROLE DE COMPRA E VENDA '!$F$2:$F$9317)</f>
        <v>0</v>
      </c>
      <c r="H71" s="44" t="str">
        <f ca="1">IFERROR(__xludf.DUMMYFUNCTION("VLOOKUP(E71,IMPORTRANGE(""https://docs.google.com/spreadsheets/d/1twE6-cpnyykguqtenQ2Owd-uI9WHiQFG1eK6m-cZxDM/edit#gid=2089456355"",""Lista!A13:e999""),5,FALSE)"),"#REF!")</f>
        <v>#REF!</v>
      </c>
      <c r="I71" s="43" t="e">
        <f t="shared" ca="1" si="1"/>
        <v>#VALUE!</v>
      </c>
      <c r="J71" s="45" t="e">
        <f t="shared" ca="1" si="2"/>
        <v>#VALUE!</v>
      </c>
      <c r="K71" s="46" t="b">
        <f t="shared" si="3"/>
        <v>0</v>
      </c>
      <c r="L71" s="46" t="str">
        <f t="shared" si="4"/>
        <v>Verificar nome na coluna A</v>
      </c>
      <c r="M71" s="42" t="e">
        <f t="shared" ca="1" si="5"/>
        <v>#VALUE!</v>
      </c>
      <c r="N71" s="42" t="e">
        <f t="shared" ca="1" si="6"/>
        <v>#VALUE!</v>
      </c>
      <c r="O71" s="47" t="e">
        <f t="shared" ca="1" si="7"/>
        <v>#VALUE!</v>
      </c>
      <c r="P71" s="48" t="b">
        <f t="shared" si="8"/>
        <v>0</v>
      </c>
      <c r="Q71" s="24" t="e">
        <f t="shared" ca="1" si="9"/>
        <v>#VALUE!</v>
      </c>
      <c r="R71" s="24"/>
      <c r="S71" s="49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 spans="1:29" ht="15.75" customHeight="1">
      <c r="A72" s="24"/>
      <c r="B72" s="24"/>
      <c r="C72" s="24"/>
      <c r="D72" s="40"/>
      <c r="E72" s="41" t="str">
        <f t="array" ref="E72">IFERROR(INDEX('CONTROLE DE COMPRA E VENDA '!$E$2:E$317,MATCH(0,COUNTIF($E$16:E71,'CONTROLE DE COMPRA E VENDA '!$E$2:E$317),0)),"")</f>
        <v/>
      </c>
      <c r="F72" s="42" t="e">
        <f>SUMIF('CONTROLE DE COMPRA E VENDA '!$E$2:$E$9318,E72,#REF!)/SUMIF('CONTROLE DE COMPRA E VENDA '!$E$2:$E$9318,E72,#REF!)</f>
        <v>#REF!</v>
      </c>
      <c r="G72" s="43">
        <f>SUMIF('CONTROLE DE COMPRA E VENDA '!$E$2:$E$9317,E72,'CONTROLE DE COMPRA E VENDA '!$F$2:$F$9317)</f>
        <v>0</v>
      </c>
      <c r="H72" s="44" t="str">
        <f ca="1">IFERROR(__xludf.DUMMYFUNCTION("VLOOKUP(E72,IMPORTRANGE(""https://docs.google.com/spreadsheets/d/1twE6-cpnyykguqtenQ2Owd-uI9WHiQFG1eK6m-cZxDM/edit#gid=2089456355"",""Lista!A13:e999""),5,FALSE)"),"#REF!")</f>
        <v>#REF!</v>
      </c>
      <c r="I72" s="43" t="e">
        <f t="shared" ca="1" si="1"/>
        <v>#VALUE!</v>
      </c>
      <c r="J72" s="45" t="e">
        <f t="shared" ca="1" si="2"/>
        <v>#VALUE!</v>
      </c>
      <c r="K72" s="46" t="b">
        <f t="shared" si="3"/>
        <v>0</v>
      </c>
      <c r="L72" s="46" t="str">
        <f t="shared" si="4"/>
        <v>Verificar nome na coluna A</v>
      </c>
      <c r="M72" s="42" t="e">
        <f t="shared" ca="1" si="5"/>
        <v>#VALUE!</v>
      </c>
      <c r="N72" s="42" t="e">
        <f t="shared" ca="1" si="6"/>
        <v>#VALUE!</v>
      </c>
      <c r="O72" s="47" t="e">
        <f t="shared" ca="1" si="7"/>
        <v>#VALUE!</v>
      </c>
      <c r="P72" s="48" t="b">
        <f t="shared" si="8"/>
        <v>0</v>
      </c>
      <c r="Q72" s="24" t="e">
        <f t="shared" ca="1" si="9"/>
        <v>#VALUE!</v>
      </c>
      <c r="R72" s="24"/>
      <c r="S72" s="49"/>
      <c r="T72" s="24"/>
      <c r="U72" s="24"/>
      <c r="V72" s="24"/>
      <c r="W72" s="24"/>
      <c r="X72" s="24"/>
      <c r="Y72" s="24"/>
      <c r="Z72" s="24"/>
      <c r="AA72" s="24"/>
      <c r="AB72" s="24"/>
      <c r="AC72" s="24"/>
    </row>
    <row r="73" spans="1:29" ht="15.75" customHeight="1">
      <c r="A73" s="24"/>
      <c r="B73" s="24"/>
      <c r="C73" s="24"/>
      <c r="D73" s="40"/>
      <c r="E73" s="41" t="str">
        <f t="array" ref="E73">IFERROR(INDEX('CONTROLE DE COMPRA E VENDA '!$E$2:E$317,MATCH(0,COUNTIF($E$16:E72,'CONTROLE DE COMPRA E VENDA '!$E$2:E$317),0)),"")</f>
        <v/>
      </c>
      <c r="F73" s="42" t="e">
        <f>SUMIF('CONTROLE DE COMPRA E VENDA '!$E$2:$E$9318,E73,#REF!)/SUMIF('CONTROLE DE COMPRA E VENDA '!$E$2:$E$9318,E73,#REF!)</f>
        <v>#REF!</v>
      </c>
      <c r="G73" s="43">
        <f>SUMIF('CONTROLE DE COMPRA E VENDA '!$E$2:$E$9317,E73,'CONTROLE DE COMPRA E VENDA '!$F$2:$F$9317)</f>
        <v>0</v>
      </c>
      <c r="H73" s="44" t="str">
        <f ca="1">IFERROR(__xludf.DUMMYFUNCTION("VLOOKUP(E73,IMPORTRANGE(""https://docs.google.com/spreadsheets/d/1twE6-cpnyykguqtenQ2Owd-uI9WHiQFG1eK6m-cZxDM/edit#gid=2089456355"",""Lista!A13:e999""),5,FALSE)"),"#REF!")</f>
        <v>#REF!</v>
      </c>
      <c r="I73" s="43" t="e">
        <f t="shared" ca="1" si="1"/>
        <v>#VALUE!</v>
      </c>
      <c r="J73" s="45" t="e">
        <f t="shared" ca="1" si="2"/>
        <v>#VALUE!</v>
      </c>
      <c r="K73" s="46" t="b">
        <f t="shared" si="3"/>
        <v>0</v>
      </c>
      <c r="L73" s="46" t="str">
        <f t="shared" si="4"/>
        <v>Verificar nome na coluna A</v>
      </c>
      <c r="M73" s="42" t="e">
        <f t="shared" ca="1" si="5"/>
        <v>#VALUE!</v>
      </c>
      <c r="N73" s="42" t="e">
        <f t="shared" ca="1" si="6"/>
        <v>#VALUE!</v>
      </c>
      <c r="O73" s="47" t="e">
        <f t="shared" ca="1" si="7"/>
        <v>#VALUE!</v>
      </c>
      <c r="P73" s="48" t="b">
        <f t="shared" si="8"/>
        <v>0</v>
      </c>
      <c r="Q73" s="24" t="e">
        <f t="shared" ca="1" si="9"/>
        <v>#VALUE!</v>
      </c>
      <c r="R73" s="24"/>
      <c r="S73" s="49"/>
      <c r="T73" s="24"/>
      <c r="U73" s="24"/>
      <c r="V73" s="24"/>
      <c r="W73" s="24"/>
      <c r="X73" s="24"/>
      <c r="Y73" s="24"/>
      <c r="Z73" s="24"/>
      <c r="AA73" s="24"/>
      <c r="AB73" s="24"/>
      <c r="AC73" s="24"/>
    </row>
    <row r="74" spans="1:29" ht="15.75" customHeight="1">
      <c r="A74" s="24"/>
      <c r="B74" s="24"/>
      <c r="C74" s="24"/>
      <c r="D74" s="40"/>
      <c r="E74" s="41" t="str">
        <f t="array" ref="E74">IFERROR(INDEX('CONTROLE DE COMPRA E VENDA '!$E$2:E$317,MATCH(0,COUNTIF($E$16:E73,'CONTROLE DE COMPRA E VENDA '!$E$2:E$317),0)),"")</f>
        <v/>
      </c>
      <c r="F74" s="42" t="e">
        <f>SUMIF('CONTROLE DE COMPRA E VENDA '!$E$2:$E$9318,E74,#REF!)/SUMIF('CONTROLE DE COMPRA E VENDA '!$E$2:$E$9318,E74,#REF!)</f>
        <v>#REF!</v>
      </c>
      <c r="G74" s="43">
        <f>SUMIF('CONTROLE DE COMPRA E VENDA '!$E$2:$E$9317,E74,'CONTROLE DE COMPRA E VENDA '!$F$2:$F$9317)</f>
        <v>0</v>
      </c>
      <c r="H74" s="44" t="str">
        <f ca="1">IFERROR(__xludf.DUMMYFUNCTION("VLOOKUP(E74,IMPORTRANGE(""https://docs.google.com/spreadsheets/d/1twE6-cpnyykguqtenQ2Owd-uI9WHiQFG1eK6m-cZxDM/edit#gid=2089456355"",""Lista!A13:e999""),5,FALSE)"),"#REF!")</f>
        <v>#REF!</v>
      </c>
      <c r="I74" s="43" t="e">
        <f t="shared" ca="1" si="1"/>
        <v>#VALUE!</v>
      </c>
      <c r="J74" s="45" t="e">
        <f t="shared" ca="1" si="2"/>
        <v>#VALUE!</v>
      </c>
      <c r="K74" s="46" t="b">
        <f t="shared" si="3"/>
        <v>0</v>
      </c>
      <c r="L74" s="46" t="str">
        <f t="shared" si="4"/>
        <v>Verificar nome na coluna A</v>
      </c>
      <c r="M74" s="42" t="e">
        <f t="shared" ca="1" si="5"/>
        <v>#VALUE!</v>
      </c>
      <c r="N74" s="42" t="e">
        <f t="shared" ca="1" si="6"/>
        <v>#VALUE!</v>
      </c>
      <c r="O74" s="47" t="e">
        <f t="shared" ca="1" si="7"/>
        <v>#VALUE!</v>
      </c>
      <c r="P74" s="48" t="b">
        <f t="shared" si="8"/>
        <v>0</v>
      </c>
      <c r="Q74" s="24" t="e">
        <f t="shared" ca="1" si="9"/>
        <v>#VALUE!</v>
      </c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</row>
    <row r="75" spans="1:29" ht="15.75" customHeight="1">
      <c r="A75" s="24"/>
      <c r="B75" s="24"/>
      <c r="C75" s="24"/>
      <c r="D75" s="40"/>
      <c r="E75" s="41" t="str">
        <f t="array" ref="E75">IFERROR(INDEX('CONTROLE DE COMPRA E VENDA '!$E$2:E$317,MATCH(0,COUNTIF($E$16:E74,'CONTROLE DE COMPRA E VENDA '!$E$2:E$317),0)),"")</f>
        <v/>
      </c>
      <c r="F75" s="42" t="e">
        <f>SUMIF('CONTROLE DE COMPRA E VENDA '!$E$2:$E$9318,E75,#REF!)/SUMIF('CONTROLE DE COMPRA E VENDA '!$E$2:$E$9318,E75,#REF!)</f>
        <v>#REF!</v>
      </c>
      <c r="G75" s="43">
        <f>SUMIF('CONTROLE DE COMPRA E VENDA '!$E$2:$E$9317,E75,'CONTROLE DE COMPRA E VENDA '!$F$2:$F$9317)</f>
        <v>0</v>
      </c>
      <c r="H75" s="44" t="str">
        <f ca="1">IFERROR(__xludf.DUMMYFUNCTION("VLOOKUP(E75,IMPORTRANGE(""https://docs.google.com/spreadsheets/d/1twE6-cpnyykguqtenQ2Owd-uI9WHiQFG1eK6m-cZxDM/edit#gid=2089456355"",""Lista!A13:e999""),5,FALSE)"),"#REF!")</f>
        <v>#REF!</v>
      </c>
      <c r="I75" s="43" t="e">
        <f t="shared" ca="1" si="1"/>
        <v>#VALUE!</v>
      </c>
      <c r="J75" s="45" t="e">
        <f t="shared" ca="1" si="2"/>
        <v>#VALUE!</v>
      </c>
      <c r="K75" s="46" t="b">
        <f t="shared" si="3"/>
        <v>0</v>
      </c>
      <c r="L75" s="46" t="str">
        <f t="shared" si="4"/>
        <v>Verificar nome na coluna A</v>
      </c>
      <c r="M75" s="42" t="e">
        <f t="shared" ca="1" si="5"/>
        <v>#VALUE!</v>
      </c>
      <c r="N75" s="42" t="e">
        <f t="shared" ca="1" si="6"/>
        <v>#VALUE!</v>
      </c>
      <c r="O75" s="47" t="e">
        <f t="shared" ca="1" si="7"/>
        <v>#VALUE!</v>
      </c>
      <c r="P75" s="48" t="b">
        <f t="shared" si="8"/>
        <v>0</v>
      </c>
      <c r="Q75" s="24" t="e">
        <f t="shared" ca="1" si="9"/>
        <v>#VALUE!</v>
      </c>
      <c r="R75" s="24"/>
      <c r="S75" s="49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29" ht="15.75" customHeight="1">
      <c r="A76" s="24"/>
      <c r="B76" s="24"/>
      <c r="C76" s="24"/>
      <c r="D76" s="40"/>
      <c r="E76" s="41" t="str">
        <f t="array" ref="E76">IFERROR(INDEX('CONTROLE DE COMPRA E VENDA '!$E$2:E$317,MATCH(0,COUNTIF($E$16:E75,'CONTROLE DE COMPRA E VENDA '!$E$2:E$317),0)),"")</f>
        <v/>
      </c>
      <c r="F76" s="42" t="e">
        <f>SUMIF('CONTROLE DE COMPRA E VENDA '!$E$2:$E$9318,E76,#REF!)/SUMIF('CONTROLE DE COMPRA E VENDA '!$E$2:$E$9318,E76,#REF!)</f>
        <v>#REF!</v>
      </c>
      <c r="G76" s="43">
        <f>SUMIF('CONTROLE DE COMPRA E VENDA '!$E$2:$E$9317,E76,'CONTROLE DE COMPRA E VENDA '!$F$2:$F$9317)</f>
        <v>0</v>
      </c>
      <c r="H76" s="44" t="str">
        <f ca="1">IFERROR(__xludf.DUMMYFUNCTION("VLOOKUP(E76,IMPORTRANGE(""https://docs.google.com/spreadsheets/d/1twE6-cpnyykguqtenQ2Owd-uI9WHiQFG1eK6m-cZxDM/edit#gid=2089456355"",""Lista!A13:e999""),5,FALSE)"),"#REF!")</f>
        <v>#REF!</v>
      </c>
      <c r="I76" s="43" t="e">
        <f t="shared" ca="1" si="1"/>
        <v>#VALUE!</v>
      </c>
      <c r="J76" s="45" t="e">
        <f t="shared" ca="1" si="2"/>
        <v>#VALUE!</v>
      </c>
      <c r="K76" s="46" t="b">
        <f t="shared" si="3"/>
        <v>0</v>
      </c>
      <c r="L76" s="46" t="str">
        <f t="shared" si="4"/>
        <v>Verificar nome na coluna A</v>
      </c>
      <c r="M76" s="42" t="e">
        <f t="shared" ca="1" si="5"/>
        <v>#VALUE!</v>
      </c>
      <c r="N76" s="42" t="e">
        <f t="shared" ca="1" si="6"/>
        <v>#VALUE!</v>
      </c>
      <c r="O76" s="47" t="e">
        <f t="shared" ca="1" si="7"/>
        <v>#VALUE!</v>
      </c>
      <c r="P76" s="48" t="b">
        <f t="shared" si="8"/>
        <v>0</v>
      </c>
      <c r="Q76" s="24" t="e">
        <f t="shared" ca="1" si="9"/>
        <v>#VALUE!</v>
      </c>
      <c r="R76" s="24"/>
      <c r="S76" s="49"/>
      <c r="T76" s="24"/>
      <c r="U76" s="24"/>
      <c r="V76" s="24"/>
      <c r="W76" s="24"/>
      <c r="X76" s="24"/>
      <c r="Y76" s="24"/>
      <c r="Z76" s="24"/>
      <c r="AA76" s="24"/>
      <c r="AB76" s="24"/>
      <c r="AC76" s="24"/>
    </row>
    <row r="77" spans="1:29" ht="15.75" customHeight="1">
      <c r="A77" s="24"/>
      <c r="B77" s="24"/>
      <c r="C77" s="24"/>
      <c r="D77" s="40"/>
      <c r="E77" s="41" t="str">
        <f t="array" ref="E77">IFERROR(INDEX('CONTROLE DE COMPRA E VENDA '!$E$2:E$317,MATCH(0,COUNTIF($E$16:E76,'CONTROLE DE COMPRA E VENDA '!$E$2:E$317),0)),"")</f>
        <v/>
      </c>
      <c r="F77" s="42" t="e">
        <f>SUMIF('CONTROLE DE COMPRA E VENDA '!$E$2:$E$9318,E77,#REF!)/SUMIF('CONTROLE DE COMPRA E VENDA '!$E$2:$E$9318,E77,#REF!)</f>
        <v>#REF!</v>
      </c>
      <c r="G77" s="43">
        <f>SUMIF('CONTROLE DE COMPRA E VENDA '!$E$2:$E$9317,E77,'CONTROLE DE COMPRA E VENDA '!$F$2:$F$9317)</f>
        <v>0</v>
      </c>
      <c r="H77" s="44" t="str">
        <f ca="1">IFERROR(__xludf.DUMMYFUNCTION("VLOOKUP(E77,IMPORTRANGE(""https://docs.google.com/spreadsheets/d/1twE6-cpnyykguqtenQ2Owd-uI9WHiQFG1eK6m-cZxDM/edit#gid=2089456355"",""Lista!A13:e999""),5,FALSE)"),"#REF!")</f>
        <v>#REF!</v>
      </c>
      <c r="I77" s="43" t="e">
        <f t="shared" ca="1" si="1"/>
        <v>#VALUE!</v>
      </c>
      <c r="J77" s="45" t="e">
        <f t="shared" ca="1" si="2"/>
        <v>#VALUE!</v>
      </c>
      <c r="K77" s="46" t="b">
        <f t="shared" si="3"/>
        <v>0</v>
      </c>
      <c r="L77" s="46" t="str">
        <f t="shared" si="4"/>
        <v>Verificar nome na coluna A</v>
      </c>
      <c r="M77" s="42" t="e">
        <f t="shared" ca="1" si="5"/>
        <v>#VALUE!</v>
      </c>
      <c r="N77" s="42" t="e">
        <f t="shared" ca="1" si="6"/>
        <v>#VALUE!</v>
      </c>
      <c r="O77" s="47" t="e">
        <f t="shared" ca="1" si="7"/>
        <v>#VALUE!</v>
      </c>
      <c r="P77" s="48" t="b">
        <f t="shared" si="8"/>
        <v>0</v>
      </c>
      <c r="Q77" s="24" t="e">
        <f t="shared" ca="1" si="9"/>
        <v>#VALUE!</v>
      </c>
      <c r="R77" s="24"/>
      <c r="S77" s="49"/>
      <c r="T77" s="24"/>
      <c r="U77" s="24"/>
      <c r="V77" s="24"/>
      <c r="W77" s="24"/>
      <c r="X77" s="24"/>
      <c r="Y77" s="24"/>
      <c r="Z77" s="24"/>
      <c r="AA77" s="24"/>
      <c r="AB77" s="24"/>
      <c r="AC77" s="24"/>
    </row>
    <row r="78" spans="1:29" ht="15.75" customHeight="1">
      <c r="A78" s="24"/>
      <c r="B78" s="24"/>
      <c r="C78" s="24"/>
      <c r="D78" s="40"/>
      <c r="E78" s="41" t="str">
        <f t="array" ref="E78">IFERROR(INDEX('CONTROLE DE COMPRA E VENDA '!$E$2:E$317,MATCH(0,COUNTIF($E$16:E77,'CONTROLE DE COMPRA E VENDA '!$E$2:E$317),0)),"")</f>
        <v/>
      </c>
      <c r="F78" s="42" t="e">
        <f>SUMIF('CONTROLE DE COMPRA E VENDA '!$E$2:$E$9318,E78,#REF!)/SUMIF('CONTROLE DE COMPRA E VENDA '!$E$2:$E$9318,E78,#REF!)</f>
        <v>#REF!</v>
      </c>
      <c r="G78" s="43">
        <f>SUMIF('CONTROLE DE COMPRA E VENDA '!$E$2:$E$9317,E78,'CONTROLE DE COMPRA E VENDA '!$F$2:$F$9317)</f>
        <v>0</v>
      </c>
      <c r="H78" s="44" t="str">
        <f ca="1">IFERROR(__xludf.DUMMYFUNCTION("VLOOKUP(E78,IMPORTRANGE(""https://docs.google.com/spreadsheets/d/1twE6-cpnyykguqtenQ2Owd-uI9WHiQFG1eK6m-cZxDM/edit#gid=2089456355"",""Lista!A13:e999""),5,FALSE)"),"#REF!")</f>
        <v>#REF!</v>
      </c>
      <c r="I78" s="43" t="e">
        <f t="shared" ca="1" si="1"/>
        <v>#VALUE!</v>
      </c>
      <c r="J78" s="45" t="e">
        <f t="shared" ca="1" si="2"/>
        <v>#VALUE!</v>
      </c>
      <c r="K78" s="46" t="b">
        <f t="shared" si="3"/>
        <v>0</v>
      </c>
      <c r="L78" s="46" t="str">
        <f t="shared" si="4"/>
        <v>Verificar nome na coluna A</v>
      </c>
      <c r="M78" s="42" t="e">
        <f t="shared" ca="1" si="5"/>
        <v>#VALUE!</v>
      </c>
      <c r="N78" s="42" t="e">
        <f t="shared" ca="1" si="6"/>
        <v>#VALUE!</v>
      </c>
      <c r="O78" s="47" t="e">
        <f t="shared" ca="1" si="7"/>
        <v>#VALUE!</v>
      </c>
      <c r="P78" s="48" t="b">
        <f t="shared" si="8"/>
        <v>0</v>
      </c>
      <c r="Q78" s="24" t="e">
        <f t="shared" ca="1" si="9"/>
        <v>#VALUE!</v>
      </c>
      <c r="R78" s="24"/>
      <c r="S78" s="49"/>
      <c r="T78" s="24"/>
      <c r="U78" s="24"/>
      <c r="V78" s="24"/>
      <c r="W78" s="24"/>
      <c r="X78" s="24"/>
      <c r="Y78" s="24"/>
      <c r="Z78" s="24"/>
      <c r="AA78" s="24"/>
      <c r="AB78" s="24"/>
      <c r="AC78" s="24"/>
    </row>
    <row r="79" spans="1:29" ht="15.75" customHeight="1">
      <c r="A79" s="24"/>
      <c r="B79" s="24"/>
      <c r="C79" s="24"/>
      <c r="D79" s="40"/>
      <c r="E79" s="41" t="str">
        <f t="array" ref="E79">IFERROR(INDEX('CONTROLE DE COMPRA E VENDA '!$E$2:E$317,MATCH(0,COUNTIF($E$16:E78,'CONTROLE DE COMPRA E VENDA '!$E$2:E$317),0)),"")</f>
        <v/>
      </c>
      <c r="F79" s="42" t="e">
        <f>SUMIF('CONTROLE DE COMPRA E VENDA '!$E$2:$E$9318,E79,#REF!)/SUMIF('CONTROLE DE COMPRA E VENDA '!$E$2:$E$9318,E79,#REF!)</f>
        <v>#REF!</v>
      </c>
      <c r="G79" s="43">
        <f>SUMIF('CONTROLE DE COMPRA E VENDA '!$E$2:$E$9317,E79,'CONTROLE DE COMPRA E VENDA '!$F$2:$F$9317)</f>
        <v>0</v>
      </c>
      <c r="H79" s="44" t="str">
        <f ca="1">IFERROR(__xludf.DUMMYFUNCTION("VLOOKUP(E79,IMPORTRANGE(""https://docs.google.com/spreadsheets/d/1twE6-cpnyykguqtenQ2Owd-uI9WHiQFG1eK6m-cZxDM/edit#gid=2089456355"",""Lista!A13:e999""),5,FALSE)"),"#REF!")</f>
        <v>#REF!</v>
      </c>
      <c r="I79" s="43" t="e">
        <f t="shared" ca="1" si="1"/>
        <v>#VALUE!</v>
      </c>
      <c r="J79" s="45" t="e">
        <f t="shared" ca="1" si="2"/>
        <v>#VALUE!</v>
      </c>
      <c r="K79" s="46" t="b">
        <f t="shared" si="3"/>
        <v>0</v>
      </c>
      <c r="L79" s="46" t="str">
        <f t="shared" si="4"/>
        <v>Verificar nome na coluna A</v>
      </c>
      <c r="M79" s="42" t="e">
        <f t="shared" ca="1" si="5"/>
        <v>#VALUE!</v>
      </c>
      <c r="N79" s="42" t="e">
        <f t="shared" ca="1" si="6"/>
        <v>#VALUE!</v>
      </c>
      <c r="O79" s="47" t="e">
        <f t="shared" ca="1" si="7"/>
        <v>#VALUE!</v>
      </c>
      <c r="P79" s="48" t="b">
        <f t="shared" si="8"/>
        <v>0</v>
      </c>
      <c r="Q79" s="24" t="e">
        <f t="shared" ca="1" si="9"/>
        <v>#VALUE!</v>
      </c>
      <c r="R79" s="24"/>
      <c r="S79" s="49"/>
      <c r="T79" s="24"/>
      <c r="U79" s="24"/>
      <c r="V79" s="24"/>
      <c r="W79" s="24"/>
      <c r="X79" s="24"/>
      <c r="Y79" s="24"/>
      <c r="Z79" s="24"/>
      <c r="AA79" s="24"/>
      <c r="AB79" s="24"/>
      <c r="AC79" s="24"/>
    </row>
    <row r="80" spans="1:29" ht="15.75" customHeight="1">
      <c r="A80" s="24"/>
      <c r="B80" s="24"/>
      <c r="C80" s="24"/>
      <c r="D80" s="40"/>
      <c r="E80" s="41" t="str">
        <f t="array" ref="E80">IFERROR(INDEX('CONTROLE DE COMPRA E VENDA '!$E$2:E$317,MATCH(0,COUNTIF($E$16:E79,'CONTROLE DE COMPRA E VENDA '!$E$2:E$317),0)),"")</f>
        <v/>
      </c>
      <c r="F80" s="42" t="e">
        <f>SUMIF('CONTROLE DE COMPRA E VENDA '!$E$2:$E$9318,E80,#REF!)/SUMIF('CONTROLE DE COMPRA E VENDA '!$E$2:$E$9318,E80,#REF!)</f>
        <v>#REF!</v>
      </c>
      <c r="G80" s="43">
        <f>SUMIF('CONTROLE DE COMPRA E VENDA '!$E$2:$E$9317,E80,'CONTROLE DE COMPRA E VENDA '!$F$2:$F$9317)</f>
        <v>0</v>
      </c>
      <c r="H80" s="44" t="str">
        <f ca="1">IFERROR(__xludf.DUMMYFUNCTION("VLOOKUP(E80,IMPORTRANGE(""https://docs.google.com/spreadsheets/d/1twE6-cpnyykguqtenQ2Owd-uI9WHiQFG1eK6m-cZxDM/edit#gid=2089456355"",""Lista!A13:e999""),5,FALSE)"),"#REF!")</f>
        <v>#REF!</v>
      </c>
      <c r="I80" s="43" t="e">
        <f t="shared" ca="1" si="1"/>
        <v>#VALUE!</v>
      </c>
      <c r="J80" s="45" t="e">
        <f t="shared" ca="1" si="2"/>
        <v>#VALUE!</v>
      </c>
      <c r="K80" s="46" t="b">
        <f t="shared" si="3"/>
        <v>0</v>
      </c>
      <c r="L80" s="46" t="str">
        <f t="shared" si="4"/>
        <v>Verificar nome na coluna A</v>
      </c>
      <c r="M80" s="42" t="e">
        <f t="shared" ca="1" si="5"/>
        <v>#VALUE!</v>
      </c>
      <c r="N80" s="42" t="e">
        <f t="shared" ca="1" si="6"/>
        <v>#VALUE!</v>
      </c>
      <c r="O80" s="47" t="e">
        <f t="shared" ca="1" si="7"/>
        <v>#VALUE!</v>
      </c>
      <c r="P80" s="48" t="b">
        <f t="shared" si="8"/>
        <v>0</v>
      </c>
      <c r="Q80" s="24" t="e">
        <f t="shared" ca="1" si="9"/>
        <v>#VALUE!</v>
      </c>
      <c r="R80" s="24"/>
      <c r="S80" s="49"/>
      <c r="T80" s="24"/>
      <c r="U80" s="24"/>
      <c r="V80" s="24"/>
      <c r="W80" s="24"/>
      <c r="X80" s="24"/>
      <c r="Y80" s="24"/>
      <c r="Z80" s="24"/>
      <c r="AA80" s="24"/>
      <c r="AB80" s="24"/>
      <c r="AC80" s="24"/>
    </row>
    <row r="81" spans="1:29" ht="15.75" customHeight="1">
      <c r="A81" s="24"/>
      <c r="B81" s="24"/>
      <c r="C81" s="24"/>
      <c r="D81" s="40"/>
      <c r="E81" s="41" t="str">
        <f t="array" ref="E81">IFERROR(INDEX('CONTROLE DE COMPRA E VENDA '!$E$2:E$317,MATCH(0,COUNTIF($E$16:E80,'CONTROLE DE COMPRA E VENDA '!$E$2:E$317),0)),"")</f>
        <v/>
      </c>
      <c r="F81" s="42" t="e">
        <f>SUMIF('CONTROLE DE COMPRA E VENDA '!$E$2:$E$9318,E81,#REF!)/SUMIF('CONTROLE DE COMPRA E VENDA '!$E$2:$E$9318,E81,#REF!)</f>
        <v>#REF!</v>
      </c>
      <c r="G81" s="43">
        <f>SUMIF('CONTROLE DE COMPRA E VENDA '!$E$2:$E$9317,E81,'CONTROLE DE COMPRA E VENDA '!$F$2:$F$9317)</f>
        <v>0</v>
      </c>
      <c r="H81" s="44" t="str">
        <f ca="1">IFERROR(__xludf.DUMMYFUNCTION("VLOOKUP(E81,IMPORTRANGE(""https://docs.google.com/spreadsheets/d/1twE6-cpnyykguqtenQ2Owd-uI9WHiQFG1eK6m-cZxDM/edit#gid=2089456355"",""Lista!A13:e999""),5,FALSE)"),"#REF!")</f>
        <v>#REF!</v>
      </c>
      <c r="I81" s="43" t="e">
        <f t="shared" ca="1" si="1"/>
        <v>#VALUE!</v>
      </c>
      <c r="J81" s="45" t="e">
        <f t="shared" ca="1" si="2"/>
        <v>#VALUE!</v>
      </c>
      <c r="K81" s="46" t="b">
        <f t="shared" si="3"/>
        <v>0</v>
      </c>
      <c r="L81" s="46" t="str">
        <f t="shared" si="4"/>
        <v>Verificar nome na coluna A</v>
      </c>
      <c r="M81" s="42" t="e">
        <f t="shared" ca="1" si="5"/>
        <v>#VALUE!</v>
      </c>
      <c r="N81" s="42" t="e">
        <f t="shared" ca="1" si="6"/>
        <v>#VALUE!</v>
      </c>
      <c r="O81" s="47" t="e">
        <f t="shared" ca="1" si="7"/>
        <v>#VALUE!</v>
      </c>
      <c r="P81" s="48" t="b">
        <f t="shared" si="8"/>
        <v>0</v>
      </c>
      <c r="Q81" s="24" t="e">
        <f t="shared" ca="1" si="9"/>
        <v>#VALUE!</v>
      </c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</row>
    <row r="82" spans="1:29" ht="15.75" customHeight="1">
      <c r="A82" s="24"/>
      <c r="B82" s="24"/>
      <c r="C82" s="24"/>
      <c r="D82" s="40"/>
      <c r="E82" s="41" t="str">
        <f t="array" ref="E82">IFERROR(INDEX('CONTROLE DE COMPRA E VENDA '!$E$2:E$317,MATCH(0,COUNTIF($E$16:E81,'CONTROLE DE COMPRA E VENDA '!$E$2:E$317),0)),"")</f>
        <v/>
      </c>
      <c r="F82" s="42" t="e">
        <f>SUMIF('CONTROLE DE COMPRA E VENDA '!$E$2:$E$9318,E82,#REF!)/SUMIF('CONTROLE DE COMPRA E VENDA '!$E$2:$E$9318,E82,#REF!)</f>
        <v>#REF!</v>
      </c>
      <c r="G82" s="43">
        <f>SUMIF('CONTROLE DE COMPRA E VENDA '!$E$2:$E$9317,E82,'CONTROLE DE COMPRA E VENDA '!$F$2:$F$9317)</f>
        <v>0</v>
      </c>
      <c r="H82" s="44" t="str">
        <f ca="1">IFERROR(__xludf.DUMMYFUNCTION("VLOOKUP(E82,IMPORTRANGE(""https://docs.google.com/spreadsheets/d/1twE6-cpnyykguqtenQ2Owd-uI9WHiQFG1eK6m-cZxDM/edit#gid=2089456355"",""Lista!A13:e999""),5,FALSE)"),"#REF!")</f>
        <v>#REF!</v>
      </c>
      <c r="I82" s="43" t="e">
        <f t="shared" ca="1" si="1"/>
        <v>#VALUE!</v>
      </c>
      <c r="J82" s="45" t="e">
        <f t="shared" ca="1" si="2"/>
        <v>#VALUE!</v>
      </c>
      <c r="K82" s="46" t="b">
        <f t="shared" si="3"/>
        <v>0</v>
      </c>
      <c r="L82" s="46" t="str">
        <f t="shared" si="4"/>
        <v>Verificar nome na coluna A</v>
      </c>
      <c r="M82" s="42" t="e">
        <f t="shared" ca="1" si="5"/>
        <v>#VALUE!</v>
      </c>
      <c r="N82" s="42" t="e">
        <f t="shared" ca="1" si="6"/>
        <v>#VALUE!</v>
      </c>
      <c r="O82" s="47" t="e">
        <f t="shared" ca="1" si="7"/>
        <v>#VALUE!</v>
      </c>
      <c r="P82" s="48" t="b">
        <f t="shared" si="8"/>
        <v>0</v>
      </c>
      <c r="Q82" s="24" t="e">
        <f t="shared" ca="1" si="9"/>
        <v>#VALUE!</v>
      </c>
      <c r="R82" s="24"/>
      <c r="S82" s="49"/>
      <c r="T82" s="24"/>
      <c r="U82" s="24"/>
      <c r="V82" s="24"/>
      <c r="W82" s="24"/>
      <c r="X82" s="24"/>
      <c r="Y82" s="24"/>
      <c r="Z82" s="24"/>
      <c r="AA82" s="24"/>
      <c r="AB82" s="24"/>
      <c r="AC82" s="24"/>
    </row>
    <row r="83" spans="1:29" ht="15.75" customHeight="1">
      <c r="A83" s="24"/>
      <c r="B83" s="24"/>
      <c r="C83" s="24"/>
      <c r="D83" s="40"/>
      <c r="E83" s="41" t="str">
        <f t="array" ref="E83">IFERROR(INDEX('CONTROLE DE COMPRA E VENDA '!$E$2:E$317,MATCH(0,COUNTIF($E$16:E82,'CONTROLE DE COMPRA E VENDA '!$E$2:E$317),0)),"")</f>
        <v/>
      </c>
      <c r="F83" s="42" t="e">
        <f>SUMIF('CONTROLE DE COMPRA E VENDA '!$E$2:$E$9318,E83,#REF!)/SUMIF('CONTROLE DE COMPRA E VENDA '!$E$2:$E$9318,E83,#REF!)</f>
        <v>#REF!</v>
      </c>
      <c r="G83" s="43">
        <f>SUMIF('CONTROLE DE COMPRA E VENDA '!$E$2:$E$9317,E83,'CONTROLE DE COMPRA E VENDA '!$F$2:$F$9317)</f>
        <v>0</v>
      </c>
      <c r="H83" s="44" t="str">
        <f ca="1">IFERROR(__xludf.DUMMYFUNCTION("VLOOKUP(E83,IMPORTRANGE(""https://docs.google.com/spreadsheets/d/1twE6-cpnyykguqtenQ2Owd-uI9WHiQFG1eK6m-cZxDM/edit#gid=2089456355"",""Lista!A13:e999""),5,FALSE)"),"#REF!")</f>
        <v>#REF!</v>
      </c>
      <c r="I83" s="43" t="e">
        <f t="shared" ca="1" si="1"/>
        <v>#VALUE!</v>
      </c>
      <c r="J83" s="45" t="e">
        <f t="shared" ca="1" si="2"/>
        <v>#VALUE!</v>
      </c>
      <c r="K83" s="46" t="b">
        <f t="shared" si="3"/>
        <v>0</v>
      </c>
      <c r="L83" s="46" t="str">
        <f t="shared" si="4"/>
        <v>Verificar nome na coluna A</v>
      </c>
      <c r="M83" s="42" t="e">
        <f t="shared" ca="1" si="5"/>
        <v>#VALUE!</v>
      </c>
      <c r="N83" s="42" t="e">
        <f t="shared" ca="1" si="6"/>
        <v>#VALUE!</v>
      </c>
      <c r="O83" s="47" t="e">
        <f t="shared" ca="1" si="7"/>
        <v>#VALUE!</v>
      </c>
      <c r="P83" s="48" t="b">
        <f t="shared" si="8"/>
        <v>0</v>
      </c>
      <c r="Q83" s="24" t="e">
        <f t="shared" ca="1" si="9"/>
        <v>#VALUE!</v>
      </c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</row>
    <row r="84" spans="1:29" ht="15.75" customHeight="1">
      <c r="A84" s="24"/>
      <c r="B84" s="24"/>
      <c r="C84" s="24"/>
      <c r="D84" s="40"/>
      <c r="E84" s="41" t="str">
        <f t="array" ref="E84">IFERROR(INDEX('CONTROLE DE COMPRA E VENDA '!$E$2:E$317,MATCH(0,COUNTIF($E$16:E83,'CONTROLE DE COMPRA E VENDA '!$E$2:E$317),0)),"")</f>
        <v/>
      </c>
      <c r="F84" s="42" t="e">
        <f>SUMIF('CONTROLE DE COMPRA E VENDA '!$E$2:$E$9318,E84,#REF!)/SUMIF('CONTROLE DE COMPRA E VENDA '!$E$2:$E$9318,E84,#REF!)</f>
        <v>#REF!</v>
      </c>
      <c r="G84" s="43">
        <f>SUMIF('CONTROLE DE COMPRA E VENDA '!$E$2:$E$9317,E84,'CONTROLE DE COMPRA E VENDA '!$F$2:$F$9317)</f>
        <v>0</v>
      </c>
      <c r="H84" s="44" t="str">
        <f ca="1">IFERROR(__xludf.DUMMYFUNCTION("VLOOKUP(E84,IMPORTRANGE(""https://docs.google.com/spreadsheets/d/1twE6-cpnyykguqtenQ2Owd-uI9WHiQFG1eK6m-cZxDM/edit#gid=2089456355"",""Lista!A13:e999""),5,FALSE)"),"#REF!")</f>
        <v>#REF!</v>
      </c>
      <c r="I84" s="43" t="e">
        <f t="shared" ca="1" si="1"/>
        <v>#VALUE!</v>
      </c>
      <c r="J84" s="45" t="e">
        <f t="shared" ca="1" si="2"/>
        <v>#VALUE!</v>
      </c>
      <c r="K84" s="46" t="b">
        <f t="shared" si="3"/>
        <v>0</v>
      </c>
      <c r="L84" s="46" t="str">
        <f t="shared" si="4"/>
        <v>Verificar nome na coluna A</v>
      </c>
      <c r="M84" s="42" t="e">
        <f t="shared" ca="1" si="5"/>
        <v>#VALUE!</v>
      </c>
      <c r="N84" s="42" t="e">
        <f t="shared" ca="1" si="6"/>
        <v>#VALUE!</v>
      </c>
      <c r="O84" s="47" t="e">
        <f t="shared" ca="1" si="7"/>
        <v>#VALUE!</v>
      </c>
      <c r="P84" s="48" t="b">
        <f t="shared" si="8"/>
        <v>0</v>
      </c>
      <c r="Q84" s="24" t="e">
        <f t="shared" ca="1" si="9"/>
        <v>#VALUE!</v>
      </c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</row>
    <row r="85" spans="1:29" ht="15.75" customHeight="1">
      <c r="A85" s="24"/>
      <c r="B85" s="24"/>
      <c r="C85" s="24"/>
      <c r="D85" s="40"/>
      <c r="E85" s="41" t="str">
        <f t="array" ref="E85">IFERROR(INDEX('CONTROLE DE COMPRA E VENDA '!$E$2:E$317,MATCH(0,COUNTIF($E$16:E84,'CONTROLE DE COMPRA E VENDA '!$E$2:E$317),0)),"")</f>
        <v/>
      </c>
      <c r="F85" s="42" t="e">
        <f>SUMIF('CONTROLE DE COMPRA E VENDA '!$E$2:$E$9318,E85,#REF!)/SUMIF('CONTROLE DE COMPRA E VENDA '!$E$2:$E$9318,E85,#REF!)</f>
        <v>#REF!</v>
      </c>
      <c r="G85" s="43">
        <f>SUMIF('CONTROLE DE COMPRA E VENDA '!$E$2:$E$9317,E85,'CONTROLE DE COMPRA E VENDA '!$F$2:$F$9317)</f>
        <v>0</v>
      </c>
      <c r="H85" s="44" t="str">
        <f ca="1">IFERROR(__xludf.DUMMYFUNCTION("VLOOKUP(E85,IMPORTRANGE(""https://docs.google.com/spreadsheets/d/1twE6-cpnyykguqtenQ2Owd-uI9WHiQFG1eK6m-cZxDM/edit#gid=2089456355"",""Lista!A13:e999""),5,FALSE)"),"#REF!")</f>
        <v>#REF!</v>
      </c>
      <c r="I85" s="43" t="e">
        <f t="shared" ca="1" si="1"/>
        <v>#VALUE!</v>
      </c>
      <c r="J85" s="45" t="e">
        <f t="shared" ca="1" si="2"/>
        <v>#VALUE!</v>
      </c>
      <c r="K85" s="46" t="b">
        <f t="shared" si="3"/>
        <v>0</v>
      </c>
      <c r="L85" s="46" t="str">
        <f t="shared" si="4"/>
        <v>Verificar nome na coluna A</v>
      </c>
      <c r="M85" s="42" t="e">
        <f t="shared" ca="1" si="5"/>
        <v>#VALUE!</v>
      </c>
      <c r="N85" s="42" t="e">
        <f t="shared" ca="1" si="6"/>
        <v>#VALUE!</v>
      </c>
      <c r="O85" s="47" t="e">
        <f t="shared" ca="1" si="7"/>
        <v>#VALUE!</v>
      </c>
      <c r="P85" s="48" t="b">
        <f t="shared" si="8"/>
        <v>0</v>
      </c>
      <c r="Q85" s="24" t="e">
        <f t="shared" ca="1" si="9"/>
        <v>#VALUE!</v>
      </c>
      <c r="R85" s="24"/>
      <c r="S85" s="49"/>
      <c r="T85" s="24"/>
      <c r="U85" s="24"/>
      <c r="V85" s="24"/>
      <c r="W85" s="24"/>
      <c r="X85" s="24"/>
      <c r="Y85" s="24"/>
      <c r="Z85" s="24"/>
      <c r="AA85" s="24"/>
      <c r="AB85" s="24"/>
      <c r="AC85" s="24"/>
    </row>
    <row r="86" spans="1:29" ht="15.75" customHeight="1">
      <c r="A86" s="24"/>
      <c r="B86" s="24"/>
      <c r="C86" s="24"/>
      <c r="D86" s="40"/>
      <c r="E86" s="41" t="str">
        <f t="array" ref="E86">IFERROR(INDEX('CONTROLE DE COMPRA E VENDA '!$E$2:E$317,MATCH(0,COUNTIF($E$16:E85,'CONTROLE DE COMPRA E VENDA '!$E$2:E$317),0)),"")</f>
        <v/>
      </c>
      <c r="F86" s="42" t="e">
        <f>SUMIF('CONTROLE DE COMPRA E VENDA '!$E$2:$E$9318,E86,#REF!)/SUMIF('CONTROLE DE COMPRA E VENDA '!$E$2:$E$9318,E86,#REF!)</f>
        <v>#REF!</v>
      </c>
      <c r="G86" s="43">
        <f>SUMIF('CONTROLE DE COMPRA E VENDA '!$E$2:$E$9317,E86,'CONTROLE DE COMPRA E VENDA '!$F$2:$F$9317)</f>
        <v>0</v>
      </c>
      <c r="H86" s="44" t="str">
        <f ca="1">IFERROR(__xludf.DUMMYFUNCTION("VLOOKUP(E86,IMPORTRANGE(""https://docs.google.com/spreadsheets/d/1twE6-cpnyykguqtenQ2Owd-uI9WHiQFG1eK6m-cZxDM/edit#gid=2089456355"",""Lista!A13:e999""),5,FALSE)"),"#REF!")</f>
        <v>#REF!</v>
      </c>
      <c r="I86" s="43" t="e">
        <f t="shared" ca="1" si="1"/>
        <v>#VALUE!</v>
      </c>
      <c r="J86" s="45" t="e">
        <f t="shared" ca="1" si="2"/>
        <v>#VALUE!</v>
      </c>
      <c r="K86" s="46" t="b">
        <f t="shared" si="3"/>
        <v>0</v>
      </c>
      <c r="L86" s="46" t="str">
        <f t="shared" si="4"/>
        <v>Verificar nome na coluna A</v>
      </c>
      <c r="M86" s="42" t="e">
        <f t="shared" ca="1" si="5"/>
        <v>#VALUE!</v>
      </c>
      <c r="N86" s="42" t="e">
        <f t="shared" ca="1" si="6"/>
        <v>#VALUE!</v>
      </c>
      <c r="O86" s="47" t="e">
        <f t="shared" ca="1" si="7"/>
        <v>#VALUE!</v>
      </c>
      <c r="P86" s="48" t="b">
        <f t="shared" si="8"/>
        <v>0</v>
      </c>
      <c r="Q86" s="24" t="e">
        <f t="shared" ca="1" si="9"/>
        <v>#VALUE!</v>
      </c>
      <c r="R86" s="24"/>
      <c r="S86" s="49"/>
      <c r="T86" s="24"/>
      <c r="U86" s="24"/>
      <c r="V86" s="24"/>
      <c r="W86" s="24"/>
      <c r="X86" s="24"/>
      <c r="Y86" s="24"/>
      <c r="Z86" s="24"/>
      <c r="AA86" s="24"/>
      <c r="AB86" s="24"/>
      <c r="AC86" s="24"/>
    </row>
    <row r="87" spans="1:29" ht="15.75" customHeight="1">
      <c r="A87" s="24"/>
      <c r="B87" s="24"/>
      <c r="C87" s="24"/>
      <c r="D87" s="40"/>
      <c r="E87" s="41" t="str">
        <f t="array" ref="E87">IFERROR(INDEX('CONTROLE DE COMPRA E VENDA '!$E$2:E$317,MATCH(0,COUNTIF($E$16:E86,'CONTROLE DE COMPRA E VENDA '!$E$2:E$317),0)),"")</f>
        <v/>
      </c>
      <c r="F87" s="42" t="e">
        <f>SUMIF('CONTROLE DE COMPRA E VENDA '!$E$2:$E$9318,E87,#REF!)/SUMIF('CONTROLE DE COMPRA E VENDA '!$E$2:$E$9318,E87,#REF!)</f>
        <v>#REF!</v>
      </c>
      <c r="G87" s="43">
        <f>SUMIF('CONTROLE DE COMPRA E VENDA '!$E$2:$E$9317,E87,'CONTROLE DE COMPRA E VENDA '!$F$2:$F$9317)</f>
        <v>0</v>
      </c>
      <c r="H87" s="44" t="str">
        <f ca="1">IFERROR(__xludf.DUMMYFUNCTION("VLOOKUP(E87,IMPORTRANGE(""https://docs.google.com/spreadsheets/d/1twE6-cpnyykguqtenQ2Owd-uI9WHiQFG1eK6m-cZxDM/edit#gid=2089456355"",""Lista!A13:e999""),5,FALSE)"),"#REF!")</f>
        <v>#REF!</v>
      </c>
      <c r="I87" s="43" t="e">
        <f t="shared" ca="1" si="1"/>
        <v>#VALUE!</v>
      </c>
      <c r="J87" s="45" t="e">
        <f t="shared" ca="1" si="2"/>
        <v>#VALUE!</v>
      </c>
      <c r="K87" s="46" t="b">
        <f t="shared" si="3"/>
        <v>0</v>
      </c>
      <c r="L87" s="46" t="str">
        <f t="shared" si="4"/>
        <v>Verificar nome na coluna A</v>
      </c>
      <c r="M87" s="42" t="e">
        <f t="shared" ca="1" si="5"/>
        <v>#VALUE!</v>
      </c>
      <c r="N87" s="42" t="e">
        <f t="shared" ca="1" si="6"/>
        <v>#VALUE!</v>
      </c>
      <c r="O87" s="47" t="e">
        <f t="shared" ca="1" si="7"/>
        <v>#VALUE!</v>
      </c>
      <c r="P87" s="48" t="b">
        <f t="shared" si="8"/>
        <v>0</v>
      </c>
      <c r="Q87" s="24" t="e">
        <f t="shared" ca="1" si="9"/>
        <v>#VALUE!</v>
      </c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</row>
    <row r="88" spans="1:29" ht="15.75" customHeight="1">
      <c r="A88" s="24"/>
      <c r="B88" s="24"/>
      <c r="C88" s="24"/>
      <c r="D88" s="40"/>
      <c r="E88" s="41" t="str">
        <f t="array" ref="E88">IFERROR(INDEX('CONTROLE DE COMPRA E VENDA '!$E$2:E$317,MATCH(0,COUNTIF($E$16:E87,'CONTROLE DE COMPRA E VENDA '!$E$2:E$317),0)),"")</f>
        <v/>
      </c>
      <c r="F88" s="42" t="e">
        <f>SUMIF('CONTROLE DE COMPRA E VENDA '!$E$2:$E$9318,E88,#REF!)/SUMIF('CONTROLE DE COMPRA E VENDA '!$E$2:$E$9318,E88,#REF!)</f>
        <v>#REF!</v>
      </c>
      <c r="G88" s="43">
        <f>SUMIF('CONTROLE DE COMPRA E VENDA '!$E$2:$E$9317,E88,'CONTROLE DE COMPRA E VENDA '!$F$2:$F$9317)</f>
        <v>0</v>
      </c>
      <c r="H88" s="44" t="str">
        <f ca="1">IFERROR(__xludf.DUMMYFUNCTION("VLOOKUP(E88,IMPORTRANGE(""https://docs.google.com/spreadsheets/d/1twE6-cpnyykguqtenQ2Owd-uI9WHiQFG1eK6m-cZxDM/edit#gid=2089456355"",""Lista!A13:e999""),5,FALSE)"),"#REF!")</f>
        <v>#REF!</v>
      </c>
      <c r="I88" s="43" t="e">
        <f t="shared" ca="1" si="1"/>
        <v>#VALUE!</v>
      </c>
      <c r="J88" s="45" t="e">
        <f t="shared" ca="1" si="2"/>
        <v>#VALUE!</v>
      </c>
      <c r="K88" s="46" t="b">
        <f t="shared" si="3"/>
        <v>0</v>
      </c>
      <c r="L88" s="46" t="str">
        <f t="shared" si="4"/>
        <v>Verificar nome na coluna A</v>
      </c>
      <c r="M88" s="42" t="e">
        <f t="shared" ca="1" si="5"/>
        <v>#VALUE!</v>
      </c>
      <c r="N88" s="42" t="e">
        <f t="shared" ca="1" si="6"/>
        <v>#VALUE!</v>
      </c>
      <c r="O88" s="47" t="e">
        <f t="shared" ca="1" si="7"/>
        <v>#VALUE!</v>
      </c>
      <c r="P88" s="48" t="b">
        <f t="shared" si="8"/>
        <v>0</v>
      </c>
      <c r="Q88" s="24" t="e">
        <f t="shared" ca="1" si="9"/>
        <v>#VALUE!</v>
      </c>
      <c r="R88" s="24"/>
      <c r="S88" s="49"/>
      <c r="T88" s="24"/>
      <c r="U88" s="24"/>
      <c r="V88" s="24"/>
      <c r="W88" s="24"/>
      <c r="X88" s="24"/>
      <c r="Y88" s="24"/>
      <c r="Z88" s="24"/>
      <c r="AA88" s="24"/>
      <c r="AB88" s="24"/>
      <c r="AC88" s="24"/>
    </row>
    <row r="89" spans="1:29" ht="15.75" customHeight="1">
      <c r="A89" s="24"/>
      <c r="B89" s="24"/>
      <c r="C89" s="24"/>
      <c r="D89" s="40"/>
      <c r="E89" s="41" t="str">
        <f t="array" ref="E89">IFERROR(INDEX('CONTROLE DE COMPRA E VENDA '!$E$2:E$317,MATCH(0,COUNTIF($E$16:E88,'CONTROLE DE COMPRA E VENDA '!$E$2:E$317),0)),"")</f>
        <v/>
      </c>
      <c r="F89" s="42" t="e">
        <f>SUMIF('CONTROLE DE COMPRA E VENDA '!$E$2:$E$9318,E89,#REF!)/SUMIF('CONTROLE DE COMPRA E VENDA '!$E$2:$E$9318,E89,#REF!)</f>
        <v>#REF!</v>
      </c>
      <c r="G89" s="43">
        <f>SUMIF('CONTROLE DE COMPRA E VENDA '!$E$2:$E$9317,E89,'CONTROLE DE COMPRA E VENDA '!$F$2:$F$9317)</f>
        <v>0</v>
      </c>
      <c r="H89" s="44" t="str">
        <f ca="1">IFERROR(__xludf.DUMMYFUNCTION("VLOOKUP(E89,IMPORTRANGE(""https://docs.google.com/spreadsheets/d/1twE6-cpnyykguqtenQ2Owd-uI9WHiQFG1eK6m-cZxDM/edit#gid=2089456355"",""Lista!A13:e999""),5,FALSE)"),"#REF!")</f>
        <v>#REF!</v>
      </c>
      <c r="I89" s="43" t="e">
        <f t="shared" ca="1" si="1"/>
        <v>#VALUE!</v>
      </c>
      <c r="J89" s="45" t="e">
        <f t="shared" ca="1" si="2"/>
        <v>#VALUE!</v>
      </c>
      <c r="K89" s="46" t="b">
        <f t="shared" si="3"/>
        <v>0</v>
      </c>
      <c r="L89" s="46" t="str">
        <f t="shared" si="4"/>
        <v>Verificar nome na coluna A</v>
      </c>
      <c r="M89" s="42" t="e">
        <f t="shared" ca="1" si="5"/>
        <v>#VALUE!</v>
      </c>
      <c r="N89" s="42" t="e">
        <f t="shared" ca="1" si="6"/>
        <v>#VALUE!</v>
      </c>
      <c r="O89" s="47" t="e">
        <f t="shared" ca="1" si="7"/>
        <v>#VALUE!</v>
      </c>
      <c r="P89" s="48" t="b">
        <f t="shared" si="8"/>
        <v>0</v>
      </c>
      <c r="Q89" s="24" t="e">
        <f t="shared" ca="1" si="9"/>
        <v>#VALUE!</v>
      </c>
      <c r="R89" s="24"/>
      <c r="S89" s="49"/>
      <c r="T89" s="24"/>
      <c r="U89" s="24"/>
      <c r="V89" s="24"/>
      <c r="W89" s="24"/>
      <c r="X89" s="24"/>
      <c r="Y89" s="24"/>
      <c r="Z89" s="24"/>
      <c r="AA89" s="24"/>
      <c r="AB89" s="24"/>
      <c r="AC89" s="24"/>
    </row>
    <row r="90" spans="1:29" ht="15.75" customHeight="1">
      <c r="A90" s="24"/>
      <c r="B90" s="24"/>
      <c r="C90" s="24"/>
      <c r="D90" s="40"/>
      <c r="E90" s="41" t="str">
        <f t="array" ref="E90">IFERROR(INDEX('CONTROLE DE COMPRA E VENDA '!$E$2:E$317,MATCH(0,COUNTIF($E$16:E89,'CONTROLE DE COMPRA E VENDA '!$E$2:E$317),0)),"")</f>
        <v/>
      </c>
      <c r="F90" s="42" t="e">
        <f>SUMIF('CONTROLE DE COMPRA E VENDA '!$E$2:$E$9318,E90,#REF!)/SUMIF('CONTROLE DE COMPRA E VENDA '!$E$2:$E$9318,E90,#REF!)</f>
        <v>#REF!</v>
      </c>
      <c r="G90" s="43">
        <f>SUMIF('CONTROLE DE COMPRA E VENDA '!$E$2:$E$9317,E90,'CONTROLE DE COMPRA E VENDA '!$F$2:$F$9317)</f>
        <v>0</v>
      </c>
      <c r="H90" s="44" t="str">
        <f ca="1">IFERROR(__xludf.DUMMYFUNCTION("VLOOKUP(E90,IMPORTRANGE(""https://docs.google.com/spreadsheets/d/1twE6-cpnyykguqtenQ2Owd-uI9WHiQFG1eK6m-cZxDM/edit#gid=2089456355"",""Lista!A13:e999""),5,FALSE)"),"#REF!")</f>
        <v>#REF!</v>
      </c>
      <c r="I90" s="43" t="e">
        <f t="shared" ca="1" si="1"/>
        <v>#VALUE!</v>
      </c>
      <c r="J90" s="45" t="e">
        <f t="shared" ca="1" si="2"/>
        <v>#VALUE!</v>
      </c>
      <c r="K90" s="46" t="b">
        <f t="shared" si="3"/>
        <v>0</v>
      </c>
      <c r="L90" s="46" t="str">
        <f t="shared" si="4"/>
        <v>Verificar nome na coluna A</v>
      </c>
      <c r="M90" s="42" t="e">
        <f t="shared" ca="1" si="5"/>
        <v>#VALUE!</v>
      </c>
      <c r="N90" s="42" t="e">
        <f t="shared" ca="1" si="6"/>
        <v>#VALUE!</v>
      </c>
      <c r="O90" s="47" t="e">
        <f t="shared" ca="1" si="7"/>
        <v>#VALUE!</v>
      </c>
      <c r="P90" s="48" t="b">
        <f t="shared" si="8"/>
        <v>0</v>
      </c>
      <c r="Q90" s="24" t="e">
        <f t="shared" ca="1" si="9"/>
        <v>#VALUE!</v>
      </c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</row>
    <row r="91" spans="1:29" ht="15.75" customHeight="1">
      <c r="A91" s="24"/>
      <c r="B91" s="24"/>
      <c r="C91" s="24"/>
      <c r="D91" s="40"/>
      <c r="E91" s="41" t="str">
        <f t="array" ref="E91">IFERROR(INDEX('CONTROLE DE COMPRA E VENDA '!$E$2:E$317,MATCH(0,COUNTIF($E$16:E90,'CONTROLE DE COMPRA E VENDA '!$E$2:E$317),0)),"")</f>
        <v/>
      </c>
      <c r="F91" s="42" t="e">
        <f>SUMIF('CONTROLE DE COMPRA E VENDA '!$E$2:$E$9318,E91,#REF!)/SUMIF('CONTROLE DE COMPRA E VENDA '!$E$2:$E$9318,E91,#REF!)</f>
        <v>#REF!</v>
      </c>
      <c r="G91" s="43">
        <f>SUMIF('CONTROLE DE COMPRA E VENDA '!$E$2:$E$9317,E91,'CONTROLE DE COMPRA E VENDA '!$F$2:$F$9317)</f>
        <v>0</v>
      </c>
      <c r="H91" s="44" t="str">
        <f ca="1">IFERROR(__xludf.DUMMYFUNCTION("VLOOKUP(E91,IMPORTRANGE(""https://docs.google.com/spreadsheets/d/1twE6-cpnyykguqtenQ2Owd-uI9WHiQFG1eK6m-cZxDM/edit#gid=2089456355"",""Lista!A13:e999""),5,FALSE)"),"#REF!")</f>
        <v>#REF!</v>
      </c>
      <c r="I91" s="43" t="e">
        <f t="shared" ca="1" si="1"/>
        <v>#VALUE!</v>
      </c>
      <c r="J91" s="45" t="e">
        <f t="shared" ca="1" si="2"/>
        <v>#VALUE!</v>
      </c>
      <c r="K91" s="46" t="b">
        <f t="shared" si="3"/>
        <v>0</v>
      </c>
      <c r="L91" s="46" t="str">
        <f t="shared" si="4"/>
        <v>Verificar nome na coluna A</v>
      </c>
      <c r="M91" s="42" t="e">
        <f t="shared" ca="1" si="5"/>
        <v>#VALUE!</v>
      </c>
      <c r="N91" s="42" t="e">
        <f t="shared" ca="1" si="6"/>
        <v>#VALUE!</v>
      </c>
      <c r="O91" s="47" t="e">
        <f t="shared" ca="1" si="7"/>
        <v>#VALUE!</v>
      </c>
      <c r="P91" s="48" t="b">
        <f t="shared" si="8"/>
        <v>0</v>
      </c>
      <c r="Q91" s="24" t="e">
        <f t="shared" ca="1" si="9"/>
        <v>#VALUE!</v>
      </c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</row>
    <row r="92" spans="1:29" ht="15.75" customHeight="1">
      <c r="A92" s="24"/>
      <c r="B92" s="24"/>
      <c r="C92" s="24"/>
      <c r="D92" s="40"/>
      <c r="E92" s="41" t="str">
        <f t="array" ref="E92">IFERROR(INDEX('CONTROLE DE COMPRA E VENDA '!$E$2:E$317,MATCH(0,COUNTIF($E$16:E91,'CONTROLE DE COMPRA E VENDA '!$E$2:E$317),0)),"")</f>
        <v/>
      </c>
      <c r="F92" s="42" t="e">
        <f>SUMIF('CONTROLE DE COMPRA E VENDA '!$E$2:$E$9318,E92,#REF!)/SUMIF('CONTROLE DE COMPRA E VENDA '!$E$2:$E$9318,E92,#REF!)</f>
        <v>#REF!</v>
      </c>
      <c r="G92" s="43">
        <f>SUMIF('CONTROLE DE COMPRA E VENDA '!$E$2:$E$9317,E92,'CONTROLE DE COMPRA E VENDA '!$F$2:$F$9317)</f>
        <v>0</v>
      </c>
      <c r="H92" s="44" t="str">
        <f ca="1">IFERROR(__xludf.DUMMYFUNCTION("VLOOKUP(E92,IMPORTRANGE(""https://docs.google.com/spreadsheets/d/1twE6-cpnyykguqtenQ2Owd-uI9WHiQFG1eK6m-cZxDM/edit#gid=2089456355"",""Lista!A13:e999""),5,FALSE)"),"#REF!")</f>
        <v>#REF!</v>
      </c>
      <c r="I92" s="43" t="e">
        <f t="shared" ca="1" si="1"/>
        <v>#VALUE!</v>
      </c>
      <c r="J92" s="45" t="e">
        <f t="shared" ca="1" si="2"/>
        <v>#VALUE!</v>
      </c>
      <c r="K92" s="46" t="b">
        <f t="shared" si="3"/>
        <v>0</v>
      </c>
      <c r="L92" s="46" t="str">
        <f t="shared" si="4"/>
        <v>Verificar nome na coluna A</v>
      </c>
      <c r="M92" s="42" t="e">
        <f t="shared" ca="1" si="5"/>
        <v>#VALUE!</v>
      </c>
      <c r="N92" s="42" t="e">
        <f t="shared" ca="1" si="6"/>
        <v>#VALUE!</v>
      </c>
      <c r="O92" s="47" t="e">
        <f t="shared" ca="1" si="7"/>
        <v>#VALUE!</v>
      </c>
      <c r="P92" s="48" t="b">
        <f t="shared" si="8"/>
        <v>0</v>
      </c>
      <c r="Q92" s="24" t="e">
        <f t="shared" ca="1" si="9"/>
        <v>#VALUE!</v>
      </c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</row>
    <row r="93" spans="1:29" ht="15.75" customHeight="1">
      <c r="A93" s="24"/>
      <c r="B93" s="24"/>
      <c r="C93" s="24"/>
      <c r="D93" s="40"/>
      <c r="E93" s="41" t="str">
        <f t="array" ref="E93">IFERROR(INDEX('CONTROLE DE COMPRA E VENDA '!$E$2:E$317,MATCH(0,COUNTIF($E$16:E92,'CONTROLE DE COMPRA E VENDA '!$E$2:E$317),0)),"")</f>
        <v/>
      </c>
      <c r="F93" s="42" t="e">
        <f>SUMIF('CONTROLE DE COMPRA E VENDA '!$E$2:$E$9318,E93,#REF!)/SUMIF('CONTROLE DE COMPRA E VENDA '!$E$2:$E$9318,E93,#REF!)</f>
        <v>#REF!</v>
      </c>
      <c r="G93" s="43">
        <f>SUMIF('CONTROLE DE COMPRA E VENDA '!$E$2:$E$9317,E93,'CONTROLE DE COMPRA E VENDA '!$F$2:$F$9317)</f>
        <v>0</v>
      </c>
      <c r="H93" s="44" t="str">
        <f ca="1">IFERROR(__xludf.DUMMYFUNCTION("VLOOKUP(E93,IMPORTRANGE(""https://docs.google.com/spreadsheets/d/1twE6-cpnyykguqtenQ2Owd-uI9WHiQFG1eK6m-cZxDM/edit#gid=2089456355"",""Lista!A13:e999""),5,FALSE)"),"#REF!")</f>
        <v>#REF!</v>
      </c>
      <c r="I93" s="43" t="e">
        <f t="shared" ca="1" si="1"/>
        <v>#VALUE!</v>
      </c>
      <c r="J93" s="45" t="e">
        <f t="shared" ca="1" si="2"/>
        <v>#VALUE!</v>
      </c>
      <c r="K93" s="46" t="b">
        <f t="shared" si="3"/>
        <v>0</v>
      </c>
      <c r="L93" s="46" t="str">
        <f t="shared" si="4"/>
        <v>Verificar nome na coluna A</v>
      </c>
      <c r="M93" s="42" t="e">
        <f t="shared" ca="1" si="5"/>
        <v>#VALUE!</v>
      </c>
      <c r="N93" s="42" t="e">
        <f t="shared" ca="1" si="6"/>
        <v>#VALUE!</v>
      </c>
      <c r="O93" s="47" t="e">
        <f t="shared" ca="1" si="7"/>
        <v>#VALUE!</v>
      </c>
      <c r="P93" s="48" t="b">
        <f t="shared" si="8"/>
        <v>0</v>
      </c>
      <c r="Q93" s="24" t="e">
        <f t="shared" ca="1" si="9"/>
        <v>#VALUE!</v>
      </c>
      <c r="R93" s="50"/>
      <c r="S93" s="50"/>
      <c r="T93" s="50"/>
      <c r="U93" s="50"/>
      <c r="V93" s="24"/>
      <c r="W93" s="24"/>
      <c r="X93" s="24"/>
      <c r="Y93" s="24"/>
      <c r="Z93" s="24"/>
      <c r="AA93" s="24"/>
      <c r="AB93" s="24"/>
      <c r="AC93" s="24"/>
    </row>
    <row r="94" spans="1:29" ht="15.75" customHeight="1">
      <c r="A94" s="24"/>
      <c r="B94" s="24"/>
      <c r="C94" s="24"/>
      <c r="D94" s="40"/>
      <c r="E94" s="41" t="str">
        <f t="array" ref="E94">IFERROR(INDEX('CONTROLE DE COMPRA E VENDA '!$E$2:E$317,MATCH(0,COUNTIF($E$16:E93,'CONTROLE DE COMPRA E VENDA '!$E$2:E$317),0)),"")</f>
        <v/>
      </c>
      <c r="F94" s="42" t="e">
        <f>SUMIF('CONTROLE DE COMPRA E VENDA '!$E$2:$E$9318,E94,#REF!)/SUMIF('CONTROLE DE COMPRA E VENDA '!$E$2:$E$9318,E94,#REF!)</f>
        <v>#REF!</v>
      </c>
      <c r="G94" s="43">
        <f>SUMIF('CONTROLE DE COMPRA E VENDA '!$E$2:$E$9317,E94,'CONTROLE DE COMPRA E VENDA '!$F$2:$F$9317)</f>
        <v>0</v>
      </c>
      <c r="H94" s="44" t="str">
        <f ca="1">IFERROR(__xludf.DUMMYFUNCTION("VLOOKUP(E94,IMPORTRANGE(""https://docs.google.com/spreadsheets/d/1twE6-cpnyykguqtenQ2Owd-uI9WHiQFG1eK6m-cZxDM/edit#gid=2089456355"",""Lista!A13:e999""),5,FALSE)"),"#REF!")</f>
        <v>#REF!</v>
      </c>
      <c r="I94" s="43" t="e">
        <f t="shared" ca="1" si="1"/>
        <v>#VALUE!</v>
      </c>
      <c r="J94" s="45" t="e">
        <f t="shared" ca="1" si="2"/>
        <v>#VALUE!</v>
      </c>
      <c r="K94" s="46" t="b">
        <f t="shared" si="3"/>
        <v>0</v>
      </c>
      <c r="L94" s="46" t="str">
        <f t="shared" si="4"/>
        <v>Verificar nome na coluna A</v>
      </c>
      <c r="M94" s="42" t="e">
        <f t="shared" ca="1" si="5"/>
        <v>#VALUE!</v>
      </c>
      <c r="N94" s="42" t="e">
        <f t="shared" ca="1" si="6"/>
        <v>#VALUE!</v>
      </c>
      <c r="O94" s="47" t="e">
        <f t="shared" ca="1" si="7"/>
        <v>#VALUE!</v>
      </c>
      <c r="P94" s="48" t="b">
        <f t="shared" si="8"/>
        <v>0</v>
      </c>
      <c r="Q94" s="24" t="e">
        <f t="shared" ca="1" si="9"/>
        <v>#VALUE!</v>
      </c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</row>
    <row r="95" spans="1:29" ht="15.75" customHeight="1">
      <c r="A95" s="24"/>
      <c r="B95" s="24"/>
      <c r="C95" s="24"/>
      <c r="D95" s="40"/>
      <c r="E95" s="41" t="str">
        <f t="array" ref="E95">IFERROR(INDEX('CONTROLE DE COMPRA E VENDA '!$E$2:E$317,MATCH(0,COUNTIF($E$16:E94,'CONTROLE DE COMPRA E VENDA '!$E$2:E$317),0)),"")</f>
        <v/>
      </c>
      <c r="F95" s="42" t="e">
        <f>SUMIF('CONTROLE DE COMPRA E VENDA '!$E$2:$E$9318,E95,#REF!)/SUMIF('CONTROLE DE COMPRA E VENDA '!$E$2:$E$9318,E95,#REF!)</f>
        <v>#REF!</v>
      </c>
      <c r="G95" s="43">
        <f>SUMIF('CONTROLE DE COMPRA E VENDA '!$E$2:$E$9317,E95,'CONTROLE DE COMPRA E VENDA '!$F$2:$F$9317)</f>
        <v>0</v>
      </c>
      <c r="H95" s="44" t="str">
        <f ca="1">IFERROR(__xludf.DUMMYFUNCTION("VLOOKUP(E95,IMPORTRANGE(""https://docs.google.com/spreadsheets/d/1twE6-cpnyykguqtenQ2Owd-uI9WHiQFG1eK6m-cZxDM/edit#gid=2089456355"",""Lista!A13:e999""),5,FALSE)"),"#REF!")</f>
        <v>#REF!</v>
      </c>
      <c r="I95" s="43" t="e">
        <f t="shared" ca="1" si="1"/>
        <v>#VALUE!</v>
      </c>
      <c r="J95" s="45" t="e">
        <f t="shared" ca="1" si="2"/>
        <v>#VALUE!</v>
      </c>
      <c r="K95" s="46" t="b">
        <f t="shared" si="3"/>
        <v>0</v>
      </c>
      <c r="L95" s="46" t="str">
        <f t="shared" si="4"/>
        <v>Verificar nome na coluna A</v>
      </c>
      <c r="M95" s="42" t="e">
        <f t="shared" ca="1" si="5"/>
        <v>#VALUE!</v>
      </c>
      <c r="N95" s="42" t="e">
        <f t="shared" ca="1" si="6"/>
        <v>#VALUE!</v>
      </c>
      <c r="O95" s="47" t="e">
        <f t="shared" ca="1" si="7"/>
        <v>#VALUE!</v>
      </c>
      <c r="P95" s="48" t="b">
        <f t="shared" si="8"/>
        <v>0</v>
      </c>
      <c r="Q95" s="24" t="e">
        <f t="shared" ca="1" si="9"/>
        <v>#VALUE!</v>
      </c>
      <c r="R95" s="24"/>
      <c r="S95" s="49"/>
      <c r="T95" s="24"/>
      <c r="U95" s="24"/>
      <c r="V95" s="24"/>
      <c r="W95" s="24"/>
      <c r="X95" s="24"/>
      <c r="Y95" s="24"/>
      <c r="Z95" s="24"/>
      <c r="AA95" s="24"/>
      <c r="AB95" s="24"/>
      <c r="AC95" s="24"/>
    </row>
    <row r="96" spans="1:29" ht="15.75" customHeight="1">
      <c r="A96" s="24"/>
      <c r="B96" s="24"/>
      <c r="C96" s="24"/>
      <c r="D96" s="40"/>
      <c r="E96" s="41" t="str">
        <f t="array" ref="E96">IFERROR(INDEX('CONTROLE DE COMPRA E VENDA '!$E$2:E$317,MATCH(0,COUNTIF($E$16:E95,'CONTROLE DE COMPRA E VENDA '!$E$2:E$317),0)),"")</f>
        <v/>
      </c>
      <c r="F96" s="42" t="e">
        <f>SUMIF('CONTROLE DE COMPRA E VENDA '!$E$2:$E$9318,E96,#REF!)/SUMIF('CONTROLE DE COMPRA E VENDA '!$E$2:$E$9318,E96,#REF!)</f>
        <v>#REF!</v>
      </c>
      <c r="G96" s="43">
        <f>SUMIF('CONTROLE DE COMPRA E VENDA '!$E$2:$E$9317,E96,'CONTROLE DE COMPRA E VENDA '!$F$2:$F$9317)</f>
        <v>0</v>
      </c>
      <c r="H96" s="44" t="str">
        <f ca="1">IFERROR(__xludf.DUMMYFUNCTION("VLOOKUP(E96,IMPORTRANGE(""https://docs.google.com/spreadsheets/d/1twE6-cpnyykguqtenQ2Owd-uI9WHiQFG1eK6m-cZxDM/edit#gid=2089456355"",""Lista!A13:e999""),5,FALSE)"),"#REF!")</f>
        <v>#REF!</v>
      </c>
      <c r="I96" s="43" t="e">
        <f t="shared" ca="1" si="1"/>
        <v>#VALUE!</v>
      </c>
      <c r="J96" s="45" t="e">
        <f t="shared" ca="1" si="2"/>
        <v>#VALUE!</v>
      </c>
      <c r="K96" s="46" t="b">
        <f t="shared" si="3"/>
        <v>0</v>
      </c>
      <c r="L96" s="46" t="str">
        <f t="shared" si="4"/>
        <v>Verificar nome na coluna A</v>
      </c>
      <c r="M96" s="42" t="e">
        <f t="shared" ca="1" si="5"/>
        <v>#VALUE!</v>
      </c>
      <c r="N96" s="42" t="e">
        <f t="shared" ca="1" si="6"/>
        <v>#VALUE!</v>
      </c>
      <c r="O96" s="47" t="e">
        <f t="shared" ca="1" si="7"/>
        <v>#VALUE!</v>
      </c>
      <c r="P96" s="48" t="b">
        <f t="shared" si="8"/>
        <v>0</v>
      </c>
      <c r="Q96" s="24" t="e">
        <f t="shared" ca="1" si="9"/>
        <v>#VALUE!</v>
      </c>
      <c r="R96" s="24"/>
      <c r="S96" s="49"/>
      <c r="T96" s="24"/>
      <c r="U96" s="24"/>
      <c r="V96" s="24"/>
      <c r="W96" s="24"/>
      <c r="X96" s="24"/>
      <c r="Y96" s="24"/>
      <c r="Z96" s="24"/>
      <c r="AA96" s="24"/>
      <c r="AB96" s="24"/>
      <c r="AC96" s="24"/>
    </row>
    <row r="97" spans="1:29" ht="15.75" customHeight="1">
      <c r="A97" s="24"/>
      <c r="B97" s="24"/>
      <c r="C97" s="24"/>
      <c r="D97" s="40"/>
      <c r="E97" s="41" t="str">
        <f t="array" ref="E97">IFERROR(INDEX('CONTROLE DE COMPRA E VENDA '!$E$2:E$317,MATCH(0,COUNTIF($E$16:E96,'CONTROLE DE COMPRA E VENDA '!$E$2:E$317),0)),"")</f>
        <v/>
      </c>
      <c r="F97" s="42" t="e">
        <f>SUMIF('CONTROLE DE COMPRA E VENDA '!$E$2:$E$9318,E97,#REF!)/SUMIF('CONTROLE DE COMPRA E VENDA '!$E$2:$E$9318,E97,#REF!)</f>
        <v>#REF!</v>
      </c>
      <c r="G97" s="43">
        <f>SUMIF('CONTROLE DE COMPRA E VENDA '!$E$2:$E$9317,E97,'CONTROLE DE COMPRA E VENDA '!$F$2:$F$9317)</f>
        <v>0</v>
      </c>
      <c r="H97" s="44" t="str">
        <f ca="1">IFERROR(__xludf.DUMMYFUNCTION("VLOOKUP(E97,IMPORTRANGE(""https://docs.google.com/spreadsheets/d/1twE6-cpnyykguqtenQ2Owd-uI9WHiQFG1eK6m-cZxDM/edit#gid=2089456355"",""Lista!A13:e999""),5,FALSE)"),"#REF!")</f>
        <v>#REF!</v>
      </c>
      <c r="I97" s="43" t="e">
        <f t="shared" ca="1" si="1"/>
        <v>#VALUE!</v>
      </c>
      <c r="J97" s="45" t="e">
        <f t="shared" ca="1" si="2"/>
        <v>#VALUE!</v>
      </c>
      <c r="K97" s="46" t="b">
        <f t="shared" si="3"/>
        <v>0</v>
      </c>
      <c r="L97" s="46" t="str">
        <f t="shared" si="4"/>
        <v>Verificar nome na coluna A</v>
      </c>
      <c r="M97" s="42" t="e">
        <f t="shared" ca="1" si="5"/>
        <v>#VALUE!</v>
      </c>
      <c r="N97" s="42" t="e">
        <f t="shared" ca="1" si="6"/>
        <v>#VALUE!</v>
      </c>
      <c r="O97" s="47" t="e">
        <f t="shared" ca="1" si="7"/>
        <v>#VALUE!</v>
      </c>
      <c r="P97" s="48" t="b">
        <f t="shared" si="8"/>
        <v>0</v>
      </c>
      <c r="Q97" s="24" t="e">
        <f t="shared" ca="1" si="9"/>
        <v>#VALUE!</v>
      </c>
      <c r="R97" s="24"/>
      <c r="S97" s="49"/>
      <c r="T97" s="24"/>
      <c r="U97" s="24"/>
      <c r="V97" s="24"/>
      <c r="W97" s="24"/>
      <c r="X97" s="24"/>
      <c r="Y97" s="24"/>
      <c r="Z97" s="24"/>
      <c r="AA97" s="24"/>
      <c r="AB97" s="24"/>
      <c r="AC97" s="24"/>
    </row>
    <row r="98" spans="1:29" ht="15.75" customHeight="1">
      <c r="A98" s="24"/>
      <c r="B98" s="24"/>
      <c r="C98" s="24"/>
      <c r="D98" s="40"/>
      <c r="E98" s="41" t="str">
        <f t="array" ref="E98">IFERROR(INDEX('CONTROLE DE COMPRA E VENDA '!$E$2:E$317,MATCH(0,COUNTIF($E$16:E97,'CONTROLE DE COMPRA E VENDA '!$E$2:E$317),0)),"")</f>
        <v/>
      </c>
      <c r="F98" s="42" t="e">
        <f>SUMIF('CONTROLE DE COMPRA E VENDA '!$E$2:$E$9318,E98,#REF!)/SUMIF('CONTROLE DE COMPRA E VENDA '!$E$2:$E$9318,E98,#REF!)</f>
        <v>#REF!</v>
      </c>
      <c r="G98" s="43">
        <f>SUMIF('CONTROLE DE COMPRA E VENDA '!$E$2:$E$9317,E98,'CONTROLE DE COMPRA E VENDA '!$F$2:$F$9317)</f>
        <v>0</v>
      </c>
      <c r="H98" s="44" t="str">
        <f ca="1">IFERROR(__xludf.DUMMYFUNCTION("VLOOKUP(E98,IMPORTRANGE(""https://docs.google.com/spreadsheets/d/1twE6-cpnyykguqtenQ2Owd-uI9WHiQFG1eK6m-cZxDM/edit#gid=2089456355"",""Lista!A13:e999""),5,FALSE)"),"#REF!")</f>
        <v>#REF!</v>
      </c>
      <c r="I98" s="43" t="e">
        <f t="shared" ca="1" si="1"/>
        <v>#VALUE!</v>
      </c>
      <c r="J98" s="45" t="e">
        <f t="shared" ca="1" si="2"/>
        <v>#VALUE!</v>
      </c>
      <c r="K98" s="46" t="b">
        <f t="shared" si="3"/>
        <v>0</v>
      </c>
      <c r="L98" s="46" t="str">
        <f t="shared" si="4"/>
        <v>Verificar nome na coluna A</v>
      </c>
      <c r="M98" s="42" t="e">
        <f t="shared" ca="1" si="5"/>
        <v>#VALUE!</v>
      </c>
      <c r="N98" s="42" t="e">
        <f t="shared" ca="1" si="6"/>
        <v>#VALUE!</v>
      </c>
      <c r="O98" s="47" t="e">
        <f t="shared" ca="1" si="7"/>
        <v>#VALUE!</v>
      </c>
      <c r="P98" s="48" t="b">
        <f t="shared" si="8"/>
        <v>0</v>
      </c>
      <c r="Q98" s="24" t="e">
        <f t="shared" ca="1" si="9"/>
        <v>#VALUE!</v>
      </c>
      <c r="R98" s="24"/>
      <c r="S98" s="49"/>
      <c r="T98" s="24"/>
      <c r="U98" s="24"/>
      <c r="V98" s="24"/>
      <c r="W98" s="24"/>
      <c r="X98" s="24"/>
      <c r="Y98" s="24"/>
      <c r="Z98" s="24"/>
      <c r="AA98" s="24"/>
      <c r="AB98" s="24"/>
      <c r="AC98" s="24"/>
    </row>
    <row r="99" spans="1:29" ht="15.75" customHeight="1">
      <c r="A99" s="24"/>
      <c r="B99" s="24"/>
      <c r="C99" s="24"/>
      <c r="D99" s="40"/>
      <c r="E99" s="41" t="str">
        <f t="array" ref="E99">IFERROR(INDEX('CONTROLE DE COMPRA E VENDA '!$E$2:E$317,MATCH(0,COUNTIF($E$16:E98,'CONTROLE DE COMPRA E VENDA '!$E$2:E$317),0)),"")</f>
        <v/>
      </c>
      <c r="F99" s="42" t="e">
        <f>SUMIF('CONTROLE DE COMPRA E VENDA '!$E$2:$E$9318,E99,#REF!)/SUMIF('CONTROLE DE COMPRA E VENDA '!$E$2:$E$9318,E99,#REF!)</f>
        <v>#REF!</v>
      </c>
      <c r="G99" s="43">
        <f>SUMIF('CONTROLE DE COMPRA E VENDA '!$E$2:$E$9317,E99,'CONTROLE DE COMPRA E VENDA '!$F$2:$F$9317)</f>
        <v>0</v>
      </c>
      <c r="H99" s="44" t="str">
        <f ca="1">IFERROR(__xludf.DUMMYFUNCTION("VLOOKUP(E99,IMPORTRANGE(""https://docs.google.com/spreadsheets/d/1twE6-cpnyykguqtenQ2Owd-uI9WHiQFG1eK6m-cZxDM/edit#gid=2089456355"",""Lista!A13:e999""),5,FALSE)"),"#REF!")</f>
        <v>#REF!</v>
      </c>
      <c r="I99" s="43" t="e">
        <f t="shared" ca="1" si="1"/>
        <v>#VALUE!</v>
      </c>
      <c r="J99" s="45" t="e">
        <f t="shared" ca="1" si="2"/>
        <v>#VALUE!</v>
      </c>
      <c r="K99" s="46" t="b">
        <f t="shared" si="3"/>
        <v>0</v>
      </c>
      <c r="L99" s="46" t="str">
        <f t="shared" si="4"/>
        <v>Verificar nome na coluna A</v>
      </c>
      <c r="M99" s="42" t="e">
        <f t="shared" ca="1" si="5"/>
        <v>#VALUE!</v>
      </c>
      <c r="N99" s="42" t="e">
        <f t="shared" ca="1" si="6"/>
        <v>#VALUE!</v>
      </c>
      <c r="O99" s="47" t="e">
        <f t="shared" ca="1" si="7"/>
        <v>#VALUE!</v>
      </c>
      <c r="P99" s="48" t="b">
        <f t="shared" si="8"/>
        <v>0</v>
      </c>
      <c r="Q99" s="24" t="e">
        <f t="shared" ca="1" si="9"/>
        <v>#VALUE!</v>
      </c>
      <c r="R99" s="24"/>
      <c r="S99" s="49"/>
      <c r="T99" s="24"/>
      <c r="U99" s="24"/>
      <c r="V99" s="24"/>
      <c r="W99" s="24"/>
      <c r="X99" s="24"/>
      <c r="Y99" s="24"/>
      <c r="Z99" s="24"/>
      <c r="AA99" s="24"/>
      <c r="AB99" s="24"/>
      <c r="AC99" s="24"/>
    </row>
    <row r="100" spans="1:29" ht="15.75" customHeight="1">
      <c r="A100" s="24"/>
      <c r="B100" s="24"/>
      <c r="C100" s="24"/>
      <c r="D100" s="40"/>
      <c r="E100" s="41" t="str">
        <f t="array" ref="E100">IFERROR(INDEX('CONTROLE DE COMPRA E VENDA '!$E$2:E$317,MATCH(0,COUNTIF($E$16:E99,'CONTROLE DE COMPRA E VENDA '!$E$2:E$317),0)),"")</f>
        <v/>
      </c>
      <c r="F100" s="42" t="e">
        <f>SUMIF('CONTROLE DE COMPRA E VENDA '!$E$2:$E$9318,E100,#REF!)/SUMIF('CONTROLE DE COMPRA E VENDA '!$E$2:$E$9318,E100,#REF!)</f>
        <v>#REF!</v>
      </c>
      <c r="G100" s="43">
        <f>SUMIF('CONTROLE DE COMPRA E VENDA '!$E$2:$E$9317,E100,'CONTROLE DE COMPRA E VENDA '!$F$2:$F$9317)</f>
        <v>0</v>
      </c>
      <c r="H100" s="44" t="str">
        <f ca="1">IFERROR(__xludf.DUMMYFUNCTION("VLOOKUP(E100,IMPORTRANGE(""https://docs.google.com/spreadsheets/d/1twE6-cpnyykguqtenQ2Owd-uI9WHiQFG1eK6m-cZxDM/edit#gid=2089456355"",""Lista!A13:e999""),5,FALSE)"),"#REF!")</f>
        <v>#REF!</v>
      </c>
      <c r="I100" s="43" t="e">
        <f t="shared" ca="1" si="1"/>
        <v>#VALUE!</v>
      </c>
      <c r="J100" s="45" t="e">
        <f t="shared" ca="1" si="2"/>
        <v>#VALUE!</v>
      </c>
      <c r="K100" s="46" t="b">
        <f t="shared" si="3"/>
        <v>0</v>
      </c>
      <c r="L100" s="46" t="str">
        <f t="shared" si="4"/>
        <v>Verificar nome na coluna A</v>
      </c>
      <c r="M100" s="42" t="e">
        <f t="shared" ca="1" si="5"/>
        <v>#VALUE!</v>
      </c>
      <c r="N100" s="42" t="e">
        <f t="shared" ca="1" si="6"/>
        <v>#VALUE!</v>
      </c>
      <c r="O100" s="47" t="e">
        <f t="shared" ca="1" si="7"/>
        <v>#VALUE!</v>
      </c>
      <c r="P100" s="48" t="b">
        <f t="shared" si="8"/>
        <v>0</v>
      </c>
      <c r="Q100" s="24" t="e">
        <f t="shared" ca="1" si="9"/>
        <v>#VALUE!</v>
      </c>
      <c r="R100" s="24"/>
      <c r="S100" s="49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</row>
    <row r="101" spans="1:29" ht="15.75" customHeight="1">
      <c r="A101" s="24"/>
      <c r="B101" s="24"/>
      <c r="C101" s="24"/>
      <c r="D101" s="40"/>
      <c r="E101" s="41" t="str">
        <f t="array" ref="E101">IFERROR(INDEX('CONTROLE DE COMPRA E VENDA '!$E$2:E$317,MATCH(0,COUNTIF($E$16:E100,'CONTROLE DE COMPRA E VENDA '!$E$2:E$317),0)),"")</f>
        <v/>
      </c>
      <c r="F101" s="42" t="e">
        <f>SUMIF('CONTROLE DE COMPRA E VENDA '!$E$2:$E$9318,E101,#REF!)/SUMIF('CONTROLE DE COMPRA E VENDA '!$E$2:$E$9318,E101,#REF!)</f>
        <v>#REF!</v>
      </c>
      <c r="G101" s="43">
        <f>SUMIF('CONTROLE DE COMPRA E VENDA '!$E$2:$E$9317,E101,'CONTROLE DE COMPRA E VENDA '!$F$2:$F$9317)</f>
        <v>0</v>
      </c>
      <c r="H101" s="44" t="str">
        <f ca="1">IFERROR(__xludf.DUMMYFUNCTION("VLOOKUP(E101,IMPORTRANGE(""https://docs.google.com/spreadsheets/d/1twE6-cpnyykguqtenQ2Owd-uI9WHiQFG1eK6m-cZxDM/edit#gid=2089456355"",""Lista!A13:e999""),5,FALSE)"),"#REF!")</f>
        <v>#REF!</v>
      </c>
      <c r="I101" s="43" t="e">
        <f t="shared" ca="1" si="1"/>
        <v>#VALUE!</v>
      </c>
      <c r="J101" s="45" t="e">
        <f t="shared" ca="1" si="2"/>
        <v>#VALUE!</v>
      </c>
      <c r="K101" s="46" t="b">
        <f t="shared" si="3"/>
        <v>0</v>
      </c>
      <c r="L101" s="46" t="str">
        <f t="shared" si="4"/>
        <v>Verificar nome na coluna A</v>
      </c>
      <c r="M101" s="42" t="e">
        <f t="shared" ca="1" si="5"/>
        <v>#VALUE!</v>
      </c>
      <c r="N101" s="42" t="e">
        <f t="shared" ca="1" si="6"/>
        <v>#VALUE!</v>
      </c>
      <c r="O101" s="47" t="e">
        <f t="shared" ca="1" si="7"/>
        <v>#VALUE!</v>
      </c>
      <c r="P101" s="48" t="b">
        <f t="shared" si="8"/>
        <v>0</v>
      </c>
      <c r="Q101" s="24" t="e">
        <f t="shared" ca="1" si="9"/>
        <v>#VALUE!</v>
      </c>
      <c r="R101" s="24"/>
      <c r="S101" s="49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</row>
    <row r="102" spans="1:29" ht="15.75" customHeight="1">
      <c r="A102" s="24"/>
      <c r="B102" s="24"/>
      <c r="C102" s="24"/>
      <c r="D102" s="40"/>
      <c r="E102" s="41" t="str">
        <f t="array" ref="E102">IFERROR(INDEX('CONTROLE DE COMPRA E VENDA '!$E$2:E$317,MATCH(0,COUNTIF($E$16:E101,'CONTROLE DE COMPRA E VENDA '!$E$2:E$317),0)),"")</f>
        <v/>
      </c>
      <c r="F102" s="42" t="e">
        <f>SUMIF('CONTROLE DE COMPRA E VENDA '!$E$2:$E$9318,E102,#REF!)/SUMIF('CONTROLE DE COMPRA E VENDA '!$E$2:$E$9318,E102,#REF!)</f>
        <v>#REF!</v>
      </c>
      <c r="G102" s="43">
        <f>SUMIF('CONTROLE DE COMPRA E VENDA '!$E$2:$E$9317,E102,'CONTROLE DE COMPRA E VENDA '!$F$2:$F$9317)</f>
        <v>0</v>
      </c>
      <c r="H102" s="44" t="str">
        <f ca="1">IFERROR(__xludf.DUMMYFUNCTION("VLOOKUP(E102,IMPORTRANGE(""https://docs.google.com/spreadsheets/d/1twE6-cpnyykguqtenQ2Owd-uI9WHiQFG1eK6m-cZxDM/edit#gid=2089456355"",""Lista!A13:e999""),5,FALSE)"),"#REF!")</f>
        <v>#REF!</v>
      </c>
      <c r="I102" s="43" t="e">
        <f t="shared" ca="1" si="1"/>
        <v>#VALUE!</v>
      </c>
      <c r="J102" s="45" t="e">
        <f t="shared" ca="1" si="2"/>
        <v>#VALUE!</v>
      </c>
      <c r="K102" s="46" t="b">
        <f t="shared" si="3"/>
        <v>0</v>
      </c>
      <c r="L102" s="46" t="str">
        <f t="shared" si="4"/>
        <v>Verificar nome na coluna A</v>
      </c>
      <c r="M102" s="42" t="e">
        <f t="shared" ca="1" si="5"/>
        <v>#VALUE!</v>
      </c>
      <c r="N102" s="42" t="e">
        <f t="shared" ca="1" si="6"/>
        <v>#VALUE!</v>
      </c>
      <c r="O102" s="47" t="e">
        <f t="shared" ca="1" si="7"/>
        <v>#VALUE!</v>
      </c>
      <c r="P102" s="48" t="b">
        <f t="shared" si="8"/>
        <v>0</v>
      </c>
      <c r="Q102" s="24" t="e">
        <f t="shared" ca="1" si="9"/>
        <v>#VALUE!</v>
      </c>
      <c r="R102" s="24"/>
      <c r="S102" s="49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</row>
    <row r="103" spans="1:29" ht="15.75" customHeight="1">
      <c r="A103" s="24"/>
      <c r="B103" s="24"/>
      <c r="C103" s="24"/>
      <c r="D103" s="40"/>
      <c r="E103" s="41" t="str">
        <f t="array" ref="E103">IFERROR(INDEX('CONTROLE DE COMPRA E VENDA '!$E$2:E$317,MATCH(0,COUNTIF($E$16:E102,'CONTROLE DE COMPRA E VENDA '!$E$2:E$317),0)),"")</f>
        <v/>
      </c>
      <c r="F103" s="42" t="e">
        <f>SUMIF('CONTROLE DE COMPRA E VENDA '!$E$2:$E$9318,E103,#REF!)/SUMIF('CONTROLE DE COMPRA E VENDA '!$E$2:$E$9318,E103,#REF!)</f>
        <v>#REF!</v>
      </c>
      <c r="G103" s="43">
        <f>SUMIF('CONTROLE DE COMPRA E VENDA '!$E$2:$E$9317,E103,'CONTROLE DE COMPRA E VENDA '!$F$2:$F$9317)</f>
        <v>0</v>
      </c>
      <c r="H103" s="44" t="str">
        <f ca="1">IFERROR(__xludf.DUMMYFUNCTION("VLOOKUP(E103,IMPORTRANGE(""https://docs.google.com/spreadsheets/d/1twE6-cpnyykguqtenQ2Owd-uI9WHiQFG1eK6m-cZxDM/edit#gid=2089456355"",""Lista!A13:e999""),5,FALSE)"),"#REF!")</f>
        <v>#REF!</v>
      </c>
      <c r="I103" s="43" t="e">
        <f t="shared" ca="1" si="1"/>
        <v>#VALUE!</v>
      </c>
      <c r="J103" s="45" t="e">
        <f t="shared" ca="1" si="2"/>
        <v>#VALUE!</v>
      </c>
      <c r="K103" s="46" t="b">
        <f t="shared" si="3"/>
        <v>0</v>
      </c>
      <c r="L103" s="46" t="str">
        <f t="shared" si="4"/>
        <v>Verificar nome na coluna A</v>
      </c>
      <c r="M103" s="42" t="e">
        <f t="shared" ca="1" si="5"/>
        <v>#VALUE!</v>
      </c>
      <c r="N103" s="42" t="e">
        <f t="shared" ca="1" si="6"/>
        <v>#VALUE!</v>
      </c>
      <c r="O103" s="47" t="e">
        <f t="shared" ca="1" si="7"/>
        <v>#VALUE!</v>
      </c>
      <c r="P103" s="48" t="b">
        <f t="shared" si="8"/>
        <v>0</v>
      </c>
      <c r="Q103" s="24" t="e">
        <f t="shared" ca="1" si="9"/>
        <v>#VALUE!</v>
      </c>
      <c r="R103" s="24"/>
      <c r="S103" s="49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</row>
    <row r="104" spans="1:29" ht="15.75" customHeight="1">
      <c r="A104" s="24"/>
      <c r="B104" s="24"/>
      <c r="C104" s="24"/>
      <c r="D104" s="40"/>
      <c r="E104" s="41" t="str">
        <f t="array" ref="E104">IFERROR(INDEX('CONTROLE DE COMPRA E VENDA '!$E$2:E$317,MATCH(0,COUNTIF($E$16:E103,'CONTROLE DE COMPRA E VENDA '!$E$2:E$317),0)),"")</f>
        <v/>
      </c>
      <c r="F104" s="42" t="e">
        <f>SUMIF('CONTROLE DE COMPRA E VENDA '!$E$2:$E$9318,E104,#REF!)/SUMIF('CONTROLE DE COMPRA E VENDA '!$E$2:$E$9318,E104,#REF!)</f>
        <v>#REF!</v>
      </c>
      <c r="G104" s="43">
        <f>SUMIF('CONTROLE DE COMPRA E VENDA '!$E$2:$E$9317,E104,'CONTROLE DE COMPRA E VENDA '!$F$2:$F$9317)</f>
        <v>0</v>
      </c>
      <c r="H104" s="44" t="str">
        <f ca="1">IFERROR(__xludf.DUMMYFUNCTION("VLOOKUP(E104,IMPORTRANGE(""https://docs.google.com/spreadsheets/d/1twE6-cpnyykguqtenQ2Owd-uI9WHiQFG1eK6m-cZxDM/edit#gid=2089456355"",""Lista!A13:e999""),5,FALSE)"),"#REF!")</f>
        <v>#REF!</v>
      </c>
      <c r="I104" s="43" t="e">
        <f t="shared" ca="1" si="1"/>
        <v>#VALUE!</v>
      </c>
      <c r="J104" s="45" t="e">
        <f t="shared" ca="1" si="2"/>
        <v>#VALUE!</v>
      </c>
      <c r="K104" s="46" t="b">
        <f t="shared" si="3"/>
        <v>0</v>
      </c>
      <c r="L104" s="46" t="str">
        <f t="shared" si="4"/>
        <v>Verificar nome na coluna A</v>
      </c>
      <c r="M104" s="42" t="e">
        <f t="shared" ca="1" si="5"/>
        <v>#VALUE!</v>
      </c>
      <c r="N104" s="42" t="e">
        <f t="shared" ca="1" si="6"/>
        <v>#VALUE!</v>
      </c>
      <c r="O104" s="47" t="e">
        <f t="shared" ca="1" si="7"/>
        <v>#VALUE!</v>
      </c>
      <c r="P104" s="48" t="b">
        <f t="shared" si="8"/>
        <v>0</v>
      </c>
      <c r="Q104" s="24" t="e">
        <f t="shared" ca="1" si="9"/>
        <v>#VALUE!</v>
      </c>
      <c r="R104" s="24"/>
      <c r="S104" s="49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</row>
    <row r="105" spans="1:29" ht="15.75" customHeight="1">
      <c r="A105" s="24"/>
      <c r="B105" s="24"/>
      <c r="C105" s="24"/>
      <c r="D105" s="40"/>
      <c r="E105" s="41" t="str">
        <f t="array" ref="E105">IFERROR(INDEX('CONTROLE DE COMPRA E VENDA '!$E$2:E$317,MATCH(0,COUNTIF($E$16:E104,'CONTROLE DE COMPRA E VENDA '!$E$2:E$317),0)),"")</f>
        <v/>
      </c>
      <c r="F105" s="42" t="e">
        <f>SUMIF('CONTROLE DE COMPRA E VENDA '!$E$2:$E$9318,E105,#REF!)/SUMIF('CONTROLE DE COMPRA E VENDA '!$E$2:$E$9318,E105,#REF!)</f>
        <v>#REF!</v>
      </c>
      <c r="G105" s="43">
        <f>SUMIF('CONTROLE DE COMPRA E VENDA '!$E$2:$E$9317,E105,'CONTROLE DE COMPRA E VENDA '!$F$2:$F$9317)</f>
        <v>0</v>
      </c>
      <c r="H105" s="44" t="str">
        <f ca="1">IFERROR(__xludf.DUMMYFUNCTION("VLOOKUP(E105,IMPORTRANGE(""https://docs.google.com/spreadsheets/d/1twE6-cpnyykguqtenQ2Owd-uI9WHiQFG1eK6m-cZxDM/edit#gid=2089456355"",""Lista!A13:e999""),5,FALSE)"),"#REF!")</f>
        <v>#REF!</v>
      </c>
      <c r="I105" s="43" t="e">
        <f t="shared" ca="1" si="1"/>
        <v>#VALUE!</v>
      </c>
      <c r="J105" s="45" t="e">
        <f t="shared" ca="1" si="2"/>
        <v>#VALUE!</v>
      </c>
      <c r="K105" s="46" t="b">
        <f t="shared" si="3"/>
        <v>0</v>
      </c>
      <c r="L105" s="46" t="str">
        <f t="shared" si="4"/>
        <v>Verificar nome na coluna A</v>
      </c>
      <c r="M105" s="42" t="e">
        <f t="shared" ca="1" si="5"/>
        <v>#VALUE!</v>
      </c>
      <c r="N105" s="42" t="e">
        <f t="shared" ca="1" si="6"/>
        <v>#VALUE!</v>
      </c>
      <c r="O105" s="47" t="e">
        <f t="shared" ca="1" si="7"/>
        <v>#VALUE!</v>
      </c>
      <c r="P105" s="48" t="b">
        <f t="shared" si="8"/>
        <v>0</v>
      </c>
      <c r="Q105" s="24" t="e">
        <f t="shared" ca="1" si="9"/>
        <v>#VALUE!</v>
      </c>
      <c r="R105" s="24"/>
      <c r="S105" s="49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</row>
    <row r="106" spans="1:29" ht="15.75" customHeight="1">
      <c r="A106" s="24"/>
      <c r="B106" s="24"/>
      <c r="C106" s="24"/>
      <c r="D106" s="40"/>
      <c r="E106" s="41" t="str">
        <f t="array" ref="E106">IFERROR(INDEX('CONTROLE DE COMPRA E VENDA '!$E$2:E$317,MATCH(0,COUNTIF($E$16:E105,'CONTROLE DE COMPRA E VENDA '!$E$2:E$317),0)),"")</f>
        <v/>
      </c>
      <c r="F106" s="42" t="e">
        <f>SUMIF('CONTROLE DE COMPRA E VENDA '!$E$2:$E$9318,E106,#REF!)/SUMIF('CONTROLE DE COMPRA E VENDA '!$E$2:$E$9318,E106,#REF!)</f>
        <v>#REF!</v>
      </c>
      <c r="G106" s="43">
        <f>SUMIF('CONTROLE DE COMPRA E VENDA '!$E$2:$E$9317,E106,'CONTROLE DE COMPRA E VENDA '!$F$2:$F$9317)</f>
        <v>0</v>
      </c>
      <c r="H106" s="44" t="str">
        <f ca="1">IFERROR(__xludf.DUMMYFUNCTION("VLOOKUP(E106,IMPORTRANGE(""https://docs.google.com/spreadsheets/d/1twE6-cpnyykguqtenQ2Owd-uI9WHiQFG1eK6m-cZxDM/edit#gid=2089456355"",""Lista!A13:e999""),5,FALSE)"),"#REF!")</f>
        <v>#REF!</v>
      </c>
      <c r="I106" s="43" t="e">
        <f t="shared" ca="1" si="1"/>
        <v>#VALUE!</v>
      </c>
      <c r="J106" s="45" t="e">
        <f t="shared" ca="1" si="2"/>
        <v>#VALUE!</v>
      </c>
      <c r="K106" s="46" t="b">
        <f t="shared" si="3"/>
        <v>0</v>
      </c>
      <c r="L106" s="46" t="str">
        <f t="shared" si="4"/>
        <v>Verificar nome na coluna A</v>
      </c>
      <c r="M106" s="42" t="e">
        <f t="shared" ca="1" si="5"/>
        <v>#VALUE!</v>
      </c>
      <c r="N106" s="42" t="e">
        <f t="shared" ca="1" si="6"/>
        <v>#VALUE!</v>
      </c>
      <c r="O106" s="47" t="e">
        <f t="shared" ca="1" si="7"/>
        <v>#VALUE!</v>
      </c>
      <c r="P106" s="48" t="b">
        <f t="shared" si="8"/>
        <v>0</v>
      </c>
      <c r="Q106" s="24" t="e">
        <f t="shared" ca="1" si="9"/>
        <v>#VALUE!</v>
      </c>
      <c r="R106" s="24"/>
      <c r="S106" s="49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</row>
    <row r="107" spans="1:29" ht="15.75" customHeight="1">
      <c r="A107" s="24"/>
      <c r="B107" s="24"/>
      <c r="C107" s="24"/>
      <c r="D107" s="40"/>
      <c r="E107" s="41" t="str">
        <f t="array" ref="E107">IFERROR(INDEX('CONTROLE DE COMPRA E VENDA '!$E$2:E$317,MATCH(0,COUNTIF($E$16:E106,'CONTROLE DE COMPRA E VENDA '!$E$2:E$317),0)),"")</f>
        <v/>
      </c>
      <c r="F107" s="42" t="e">
        <f>SUMIF('CONTROLE DE COMPRA E VENDA '!$E$2:$E$9318,E107,#REF!)/SUMIF('CONTROLE DE COMPRA E VENDA '!$E$2:$E$9318,E107,#REF!)</f>
        <v>#REF!</v>
      </c>
      <c r="G107" s="43">
        <f>SUMIF('CONTROLE DE COMPRA E VENDA '!$E$2:$E$9317,E107,'CONTROLE DE COMPRA E VENDA '!$F$2:$F$9317)</f>
        <v>0</v>
      </c>
      <c r="H107" s="44" t="str">
        <f ca="1">IFERROR(__xludf.DUMMYFUNCTION("VLOOKUP(E107,IMPORTRANGE(""https://docs.google.com/spreadsheets/d/1twE6-cpnyykguqtenQ2Owd-uI9WHiQFG1eK6m-cZxDM/edit#gid=2089456355"",""Lista!A13:e999""),5,FALSE)"),"#REF!")</f>
        <v>#REF!</v>
      </c>
      <c r="I107" s="43" t="e">
        <f t="shared" ca="1" si="1"/>
        <v>#VALUE!</v>
      </c>
      <c r="J107" s="45" t="e">
        <f t="shared" ca="1" si="2"/>
        <v>#VALUE!</v>
      </c>
      <c r="K107" s="46" t="b">
        <f t="shared" si="3"/>
        <v>0</v>
      </c>
      <c r="L107" s="46" t="str">
        <f t="shared" si="4"/>
        <v>Verificar nome na coluna A</v>
      </c>
      <c r="M107" s="42" t="e">
        <f t="shared" ca="1" si="5"/>
        <v>#VALUE!</v>
      </c>
      <c r="N107" s="42" t="e">
        <f t="shared" ca="1" si="6"/>
        <v>#VALUE!</v>
      </c>
      <c r="O107" s="47" t="e">
        <f t="shared" ca="1" si="7"/>
        <v>#VALUE!</v>
      </c>
      <c r="P107" s="48" t="b">
        <f t="shared" si="8"/>
        <v>0</v>
      </c>
      <c r="Q107" s="24" t="e">
        <f t="shared" ca="1" si="9"/>
        <v>#VALUE!</v>
      </c>
      <c r="R107" s="24"/>
      <c r="S107" s="49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</row>
    <row r="108" spans="1:29" ht="15.75" customHeight="1">
      <c r="A108" s="24"/>
      <c r="B108" s="24"/>
      <c r="C108" s="24"/>
      <c r="D108" s="40"/>
      <c r="E108" s="41" t="str">
        <f t="array" ref="E108">IFERROR(INDEX('CONTROLE DE COMPRA E VENDA '!$E$2:E$317,MATCH(0,COUNTIF($E$16:E107,'CONTROLE DE COMPRA E VENDA '!$E$2:E$317),0)),"")</f>
        <v/>
      </c>
      <c r="F108" s="42" t="e">
        <f>SUMIF('CONTROLE DE COMPRA E VENDA '!$E$2:$E$9318,E108,#REF!)/SUMIF('CONTROLE DE COMPRA E VENDA '!$E$2:$E$9318,E108,#REF!)</f>
        <v>#REF!</v>
      </c>
      <c r="G108" s="43">
        <f>SUMIF('CONTROLE DE COMPRA E VENDA '!$E$2:$E$9317,E108,'CONTROLE DE COMPRA E VENDA '!$F$2:$F$9317)</f>
        <v>0</v>
      </c>
      <c r="H108" s="44" t="str">
        <f ca="1">IFERROR(__xludf.DUMMYFUNCTION("VLOOKUP(E108,IMPORTRANGE(""https://docs.google.com/spreadsheets/d/1twE6-cpnyykguqtenQ2Owd-uI9WHiQFG1eK6m-cZxDM/edit#gid=2089456355"",""Lista!A13:e999""),5,FALSE)"),"#REF!")</f>
        <v>#REF!</v>
      </c>
      <c r="I108" s="43" t="e">
        <f t="shared" ca="1" si="1"/>
        <v>#VALUE!</v>
      </c>
      <c r="J108" s="45" t="e">
        <f t="shared" ca="1" si="2"/>
        <v>#VALUE!</v>
      </c>
      <c r="K108" s="46" t="b">
        <f t="shared" si="3"/>
        <v>0</v>
      </c>
      <c r="L108" s="46" t="str">
        <f t="shared" si="4"/>
        <v>Verificar nome na coluna A</v>
      </c>
      <c r="M108" s="42" t="e">
        <f t="shared" ca="1" si="5"/>
        <v>#VALUE!</v>
      </c>
      <c r="N108" s="42" t="e">
        <f t="shared" ca="1" si="6"/>
        <v>#VALUE!</v>
      </c>
      <c r="O108" s="47" t="e">
        <f t="shared" ca="1" si="7"/>
        <v>#VALUE!</v>
      </c>
      <c r="P108" s="48" t="b">
        <f t="shared" si="8"/>
        <v>0</v>
      </c>
      <c r="Q108" s="24" t="e">
        <f t="shared" ca="1" si="9"/>
        <v>#VALUE!</v>
      </c>
      <c r="R108" s="24"/>
      <c r="S108" s="49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</row>
    <row r="109" spans="1:29" ht="15.75" customHeight="1">
      <c r="A109" s="24"/>
      <c r="B109" s="24"/>
      <c r="C109" s="24"/>
      <c r="D109" s="40"/>
      <c r="E109" s="41" t="str">
        <f t="array" ref="E109">IFERROR(INDEX('CONTROLE DE COMPRA E VENDA '!$E$2:E$317,MATCH(0,COUNTIF($E$16:E108,'CONTROLE DE COMPRA E VENDA '!$E$2:E$317),0)),"")</f>
        <v/>
      </c>
      <c r="F109" s="42" t="e">
        <f>SUMIF('CONTROLE DE COMPRA E VENDA '!$E$2:$E$9318,E109,#REF!)/SUMIF('CONTROLE DE COMPRA E VENDA '!$E$2:$E$9318,E109,#REF!)</f>
        <v>#REF!</v>
      </c>
      <c r="G109" s="43">
        <f>SUMIF('CONTROLE DE COMPRA E VENDA '!$E$2:$E$9317,E109,'CONTROLE DE COMPRA E VENDA '!$F$2:$F$9317)</f>
        <v>0</v>
      </c>
      <c r="H109" s="44" t="str">
        <f ca="1">IFERROR(__xludf.DUMMYFUNCTION("VLOOKUP(E109,IMPORTRANGE(""https://docs.google.com/spreadsheets/d/1twE6-cpnyykguqtenQ2Owd-uI9WHiQFG1eK6m-cZxDM/edit#gid=2089456355"",""Lista!A13:e999""),5,FALSE)"),"#REF!")</f>
        <v>#REF!</v>
      </c>
      <c r="I109" s="43" t="e">
        <f t="shared" ca="1" si="1"/>
        <v>#VALUE!</v>
      </c>
      <c r="J109" s="45" t="e">
        <f t="shared" ca="1" si="2"/>
        <v>#VALUE!</v>
      </c>
      <c r="K109" s="46" t="b">
        <f t="shared" si="3"/>
        <v>0</v>
      </c>
      <c r="L109" s="46" t="str">
        <f t="shared" si="4"/>
        <v>Verificar nome na coluna A</v>
      </c>
      <c r="M109" s="42" t="e">
        <f t="shared" ca="1" si="5"/>
        <v>#VALUE!</v>
      </c>
      <c r="N109" s="42" t="e">
        <f t="shared" ca="1" si="6"/>
        <v>#VALUE!</v>
      </c>
      <c r="O109" s="47" t="e">
        <f t="shared" ca="1" si="7"/>
        <v>#VALUE!</v>
      </c>
      <c r="P109" s="48" t="b">
        <f t="shared" si="8"/>
        <v>0</v>
      </c>
      <c r="Q109" s="24" t="e">
        <f t="shared" ca="1" si="9"/>
        <v>#VALUE!</v>
      </c>
      <c r="R109" s="24"/>
      <c r="S109" s="49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</row>
    <row r="110" spans="1:29" ht="15.75" customHeight="1">
      <c r="A110" s="24"/>
      <c r="B110" s="24"/>
      <c r="C110" s="24"/>
      <c r="D110" s="40"/>
      <c r="E110" s="41" t="str">
        <f t="array" ref="E110">IFERROR(INDEX('CONTROLE DE COMPRA E VENDA '!$E$2:E$317,MATCH(0,COUNTIF($E$16:E109,'CONTROLE DE COMPRA E VENDA '!$E$2:E$317),0)),"")</f>
        <v/>
      </c>
      <c r="F110" s="42" t="e">
        <f>SUMIF('CONTROLE DE COMPRA E VENDA '!$E$2:$E$9318,E110,#REF!)/SUMIF('CONTROLE DE COMPRA E VENDA '!$E$2:$E$9318,E110,#REF!)</f>
        <v>#REF!</v>
      </c>
      <c r="G110" s="43">
        <f>SUMIF('CONTROLE DE COMPRA E VENDA '!$E$2:$E$9317,E110,'CONTROLE DE COMPRA E VENDA '!$F$2:$F$9317)</f>
        <v>0</v>
      </c>
      <c r="H110" s="44" t="str">
        <f ca="1">IFERROR(__xludf.DUMMYFUNCTION("VLOOKUP(E110,IMPORTRANGE(""https://docs.google.com/spreadsheets/d/1twE6-cpnyykguqtenQ2Owd-uI9WHiQFG1eK6m-cZxDM/edit#gid=2089456355"",""Lista!A13:e999""),5,FALSE)"),"#REF!")</f>
        <v>#REF!</v>
      </c>
      <c r="I110" s="43" t="e">
        <f t="shared" ca="1" si="1"/>
        <v>#VALUE!</v>
      </c>
      <c r="J110" s="45" t="e">
        <f t="shared" ca="1" si="2"/>
        <v>#VALUE!</v>
      </c>
      <c r="K110" s="46" t="b">
        <f t="shared" si="3"/>
        <v>0</v>
      </c>
      <c r="L110" s="46" t="str">
        <f t="shared" si="4"/>
        <v>Verificar nome na coluna A</v>
      </c>
      <c r="M110" s="42" t="e">
        <f t="shared" ca="1" si="5"/>
        <v>#VALUE!</v>
      </c>
      <c r="N110" s="42" t="e">
        <f t="shared" ca="1" si="6"/>
        <v>#VALUE!</v>
      </c>
      <c r="O110" s="47" t="e">
        <f t="shared" ca="1" si="7"/>
        <v>#VALUE!</v>
      </c>
      <c r="P110" s="48" t="b">
        <f t="shared" si="8"/>
        <v>0</v>
      </c>
      <c r="Q110" s="24" t="e">
        <f t="shared" ca="1" si="9"/>
        <v>#VALUE!</v>
      </c>
      <c r="R110" s="24"/>
      <c r="S110" s="49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</row>
    <row r="111" spans="1:29" ht="15.75" customHeight="1">
      <c r="A111" s="24"/>
      <c r="B111" s="24"/>
      <c r="C111" s="24"/>
      <c r="D111" s="40"/>
      <c r="E111" s="41" t="str">
        <f t="array" ref="E111">IFERROR(INDEX('CONTROLE DE COMPRA E VENDA '!$E$2:E$317,MATCH(0,COUNTIF($E$16:E110,'CONTROLE DE COMPRA E VENDA '!$E$2:E$317),0)),"")</f>
        <v/>
      </c>
      <c r="F111" s="42" t="e">
        <f>SUMIF('CONTROLE DE COMPRA E VENDA '!$E$2:$E$9318,E111,#REF!)/SUMIF('CONTROLE DE COMPRA E VENDA '!$E$2:$E$9318,E111,#REF!)</f>
        <v>#REF!</v>
      </c>
      <c r="G111" s="43">
        <f>SUMIF('CONTROLE DE COMPRA E VENDA '!$E$2:$E$9317,E111,'CONTROLE DE COMPRA E VENDA '!$F$2:$F$9317)</f>
        <v>0</v>
      </c>
      <c r="H111" s="44" t="str">
        <f ca="1">IFERROR(__xludf.DUMMYFUNCTION("VLOOKUP(E111,IMPORTRANGE(""https://docs.google.com/spreadsheets/d/1twE6-cpnyykguqtenQ2Owd-uI9WHiQFG1eK6m-cZxDM/edit#gid=2089456355"",""Lista!A13:e999""),5,FALSE)"),"#REF!")</f>
        <v>#REF!</v>
      </c>
      <c r="I111" s="43" t="e">
        <f t="shared" ca="1" si="1"/>
        <v>#VALUE!</v>
      </c>
      <c r="J111" s="45" t="e">
        <f t="shared" ca="1" si="2"/>
        <v>#VALUE!</v>
      </c>
      <c r="K111" s="46" t="b">
        <f t="shared" si="3"/>
        <v>0</v>
      </c>
      <c r="L111" s="46" t="str">
        <f t="shared" si="4"/>
        <v>Verificar nome na coluna A</v>
      </c>
      <c r="M111" s="42" t="e">
        <f t="shared" ca="1" si="5"/>
        <v>#VALUE!</v>
      </c>
      <c r="N111" s="42" t="e">
        <f t="shared" ca="1" si="6"/>
        <v>#VALUE!</v>
      </c>
      <c r="O111" s="47" t="e">
        <f t="shared" ca="1" si="7"/>
        <v>#VALUE!</v>
      </c>
      <c r="P111" s="48" t="b">
        <f t="shared" si="8"/>
        <v>0</v>
      </c>
      <c r="Q111" s="24" t="e">
        <f t="shared" ca="1" si="9"/>
        <v>#VALUE!</v>
      </c>
      <c r="R111" s="24"/>
      <c r="S111" s="49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</row>
    <row r="112" spans="1:29" ht="15.75" customHeight="1">
      <c r="A112" s="24"/>
      <c r="B112" s="24"/>
      <c r="C112" s="24"/>
      <c r="D112" s="40"/>
      <c r="E112" s="41" t="str">
        <f t="array" ref="E112">IFERROR(INDEX('CONTROLE DE COMPRA E VENDA '!$E$2:E$317,MATCH(0,COUNTIF($E$16:E111,'CONTROLE DE COMPRA E VENDA '!$E$2:E$317),0)),"")</f>
        <v/>
      </c>
      <c r="F112" s="42" t="e">
        <f>SUMIF('CONTROLE DE COMPRA E VENDA '!$E$2:$E$9318,E112,#REF!)/SUMIF('CONTROLE DE COMPRA E VENDA '!$E$2:$E$9318,E112,#REF!)</f>
        <v>#REF!</v>
      </c>
      <c r="G112" s="43">
        <f>SUMIF('CONTROLE DE COMPRA E VENDA '!$E$2:$E$9317,E112,'CONTROLE DE COMPRA E VENDA '!$F$2:$F$9317)</f>
        <v>0</v>
      </c>
      <c r="H112" s="44" t="str">
        <f ca="1">IFERROR(__xludf.DUMMYFUNCTION("VLOOKUP(E112,IMPORTRANGE(""https://docs.google.com/spreadsheets/d/1twE6-cpnyykguqtenQ2Owd-uI9WHiQFG1eK6m-cZxDM/edit#gid=2089456355"",""Lista!A13:e999""),5,FALSE)"),"#REF!")</f>
        <v>#REF!</v>
      </c>
      <c r="I112" s="43" t="e">
        <f t="shared" ca="1" si="1"/>
        <v>#VALUE!</v>
      </c>
      <c r="J112" s="45" t="e">
        <f t="shared" ca="1" si="2"/>
        <v>#VALUE!</v>
      </c>
      <c r="K112" s="46" t="b">
        <f t="shared" si="3"/>
        <v>0</v>
      </c>
      <c r="L112" s="46" t="str">
        <f t="shared" si="4"/>
        <v>Verificar nome na coluna A</v>
      </c>
      <c r="M112" s="42" t="e">
        <f t="shared" ca="1" si="5"/>
        <v>#VALUE!</v>
      </c>
      <c r="N112" s="42" t="e">
        <f t="shared" ca="1" si="6"/>
        <v>#VALUE!</v>
      </c>
      <c r="O112" s="47" t="e">
        <f t="shared" ca="1" si="7"/>
        <v>#VALUE!</v>
      </c>
      <c r="P112" s="48" t="b">
        <f t="shared" si="8"/>
        <v>0</v>
      </c>
      <c r="Q112" s="24" t="e">
        <f t="shared" ca="1" si="9"/>
        <v>#VALUE!</v>
      </c>
      <c r="R112" s="24"/>
      <c r="S112" s="49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</row>
    <row r="113" spans="1:29" ht="15.75" customHeight="1">
      <c r="A113" s="24"/>
      <c r="B113" s="24"/>
      <c r="C113" s="24"/>
      <c r="D113" s="40"/>
      <c r="E113" s="41" t="str">
        <f t="array" ref="E113">IFERROR(INDEX('CONTROLE DE COMPRA E VENDA '!$E$2:E$317,MATCH(0,COUNTIF($E$16:E112,'CONTROLE DE COMPRA E VENDA '!$E$2:E$317),0)),"")</f>
        <v/>
      </c>
      <c r="F113" s="42" t="e">
        <f>SUMIF('CONTROLE DE COMPRA E VENDA '!$E$2:$E$9318,E113,#REF!)/SUMIF('CONTROLE DE COMPRA E VENDA '!$E$2:$E$9318,E113,#REF!)</f>
        <v>#REF!</v>
      </c>
      <c r="G113" s="43">
        <f>SUMIF('CONTROLE DE COMPRA E VENDA '!$E$2:$E$9317,E113,'CONTROLE DE COMPRA E VENDA '!$F$2:$F$9317)</f>
        <v>0</v>
      </c>
      <c r="H113" s="44" t="str">
        <f ca="1">IFERROR(__xludf.DUMMYFUNCTION("VLOOKUP(E113,IMPORTRANGE(""https://docs.google.com/spreadsheets/d/1twE6-cpnyykguqtenQ2Owd-uI9WHiQFG1eK6m-cZxDM/edit#gid=2089456355"",""Lista!A13:e999""),5,FALSE)"),"#REF!")</f>
        <v>#REF!</v>
      </c>
      <c r="I113" s="43" t="e">
        <f t="shared" ca="1" si="1"/>
        <v>#VALUE!</v>
      </c>
      <c r="J113" s="45" t="e">
        <f t="shared" ca="1" si="2"/>
        <v>#VALUE!</v>
      </c>
      <c r="K113" s="46" t="b">
        <f t="shared" si="3"/>
        <v>0</v>
      </c>
      <c r="L113" s="46" t="str">
        <f t="shared" si="4"/>
        <v>Verificar nome na coluna A</v>
      </c>
      <c r="M113" s="42" t="e">
        <f t="shared" ca="1" si="5"/>
        <v>#VALUE!</v>
      </c>
      <c r="N113" s="42" t="e">
        <f t="shared" ca="1" si="6"/>
        <v>#VALUE!</v>
      </c>
      <c r="O113" s="47" t="e">
        <f t="shared" ca="1" si="7"/>
        <v>#VALUE!</v>
      </c>
      <c r="P113" s="48" t="b">
        <f t="shared" si="8"/>
        <v>0</v>
      </c>
      <c r="Q113" s="24" t="e">
        <f t="shared" ca="1" si="9"/>
        <v>#VALUE!</v>
      </c>
      <c r="R113" s="24"/>
      <c r="S113" s="49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</row>
    <row r="114" spans="1:29" ht="15.75" customHeight="1">
      <c r="A114" s="24"/>
      <c r="B114" s="24"/>
      <c r="C114" s="24"/>
      <c r="D114" s="40"/>
      <c r="E114" s="41" t="str">
        <f t="array" ref="E114">IFERROR(INDEX('CONTROLE DE COMPRA E VENDA '!$E$2:E$317,MATCH(0,COUNTIF($E$16:E113,'CONTROLE DE COMPRA E VENDA '!$E$2:E$317),0)),"")</f>
        <v/>
      </c>
      <c r="F114" s="42" t="e">
        <f>SUMIF('CONTROLE DE COMPRA E VENDA '!$E$2:$E$9318,E114,#REF!)/SUMIF('CONTROLE DE COMPRA E VENDA '!$E$2:$E$9318,E114,#REF!)</f>
        <v>#REF!</v>
      </c>
      <c r="G114" s="43">
        <f>SUMIF('CONTROLE DE COMPRA E VENDA '!$E$2:$E$9317,E114,'CONTROLE DE COMPRA E VENDA '!$F$2:$F$9317)</f>
        <v>0</v>
      </c>
      <c r="H114" s="44" t="str">
        <f ca="1">IFERROR(__xludf.DUMMYFUNCTION("VLOOKUP(E114,IMPORTRANGE(""https://docs.google.com/spreadsheets/d/1twE6-cpnyykguqtenQ2Owd-uI9WHiQFG1eK6m-cZxDM/edit#gid=2089456355"",""Lista!A13:e999""),5,FALSE)"),"#REF!")</f>
        <v>#REF!</v>
      </c>
      <c r="I114" s="43" t="e">
        <f t="shared" ca="1" si="1"/>
        <v>#VALUE!</v>
      </c>
      <c r="J114" s="45" t="e">
        <f t="shared" ca="1" si="2"/>
        <v>#VALUE!</v>
      </c>
      <c r="K114" s="46" t="b">
        <f t="shared" si="3"/>
        <v>0</v>
      </c>
      <c r="L114" s="46" t="str">
        <f t="shared" si="4"/>
        <v>Verificar nome na coluna A</v>
      </c>
      <c r="M114" s="42" t="e">
        <f t="shared" ca="1" si="5"/>
        <v>#VALUE!</v>
      </c>
      <c r="N114" s="42" t="e">
        <f t="shared" ca="1" si="6"/>
        <v>#VALUE!</v>
      </c>
      <c r="O114" s="47" t="e">
        <f t="shared" ca="1" si="7"/>
        <v>#VALUE!</v>
      </c>
      <c r="P114" s="48" t="b">
        <f t="shared" si="8"/>
        <v>0</v>
      </c>
      <c r="Q114" s="24" t="e">
        <f t="shared" ca="1" si="9"/>
        <v>#VALUE!</v>
      </c>
      <c r="R114" s="24"/>
      <c r="S114" s="49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</row>
    <row r="115" spans="1:29" ht="15.75" customHeight="1">
      <c r="A115" s="24"/>
      <c r="B115" s="24"/>
      <c r="C115" s="24"/>
      <c r="D115" s="40"/>
      <c r="E115" s="41" t="str">
        <f t="array" ref="E115">IFERROR(INDEX('CONTROLE DE COMPRA E VENDA '!$E$2:E$317,MATCH(0,COUNTIF($E$16:E114,'CONTROLE DE COMPRA E VENDA '!$E$2:E$317),0)),"")</f>
        <v/>
      </c>
      <c r="F115" s="42" t="e">
        <f>SUMIF('CONTROLE DE COMPRA E VENDA '!$E$2:$E$9318,E115,#REF!)/SUMIF('CONTROLE DE COMPRA E VENDA '!$E$2:$E$9318,E115,#REF!)</f>
        <v>#REF!</v>
      </c>
      <c r="G115" s="43">
        <f>SUMIF('CONTROLE DE COMPRA E VENDA '!$E$2:$E$9317,E115,'CONTROLE DE COMPRA E VENDA '!$F$2:$F$9317)</f>
        <v>0</v>
      </c>
      <c r="H115" s="44" t="str">
        <f ca="1">IFERROR(__xludf.DUMMYFUNCTION("VLOOKUP(E115,IMPORTRANGE(""https://docs.google.com/spreadsheets/d/1twE6-cpnyykguqtenQ2Owd-uI9WHiQFG1eK6m-cZxDM/edit#gid=2089456355"",""Lista!A13:e999""),5,FALSE)"),"#REF!")</f>
        <v>#REF!</v>
      </c>
      <c r="I115" s="43" t="e">
        <f t="shared" ca="1" si="1"/>
        <v>#VALUE!</v>
      </c>
      <c r="J115" s="45" t="e">
        <f t="shared" ca="1" si="2"/>
        <v>#VALUE!</v>
      </c>
      <c r="K115" s="46" t="b">
        <f t="shared" si="3"/>
        <v>0</v>
      </c>
      <c r="L115" s="46" t="str">
        <f t="shared" si="4"/>
        <v>Verificar nome na coluna A</v>
      </c>
      <c r="M115" s="42" t="e">
        <f t="shared" ca="1" si="5"/>
        <v>#VALUE!</v>
      </c>
      <c r="N115" s="42" t="e">
        <f t="shared" ca="1" si="6"/>
        <v>#VALUE!</v>
      </c>
      <c r="O115" s="47" t="e">
        <f t="shared" ca="1" si="7"/>
        <v>#VALUE!</v>
      </c>
      <c r="P115" s="48" t="b">
        <f t="shared" si="8"/>
        <v>0</v>
      </c>
      <c r="Q115" s="24" t="e">
        <f t="shared" ca="1" si="9"/>
        <v>#VALUE!</v>
      </c>
      <c r="R115" s="24"/>
      <c r="S115" s="49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</row>
    <row r="116" spans="1:29" ht="15.75" customHeight="1">
      <c r="A116" s="24"/>
      <c r="B116" s="24"/>
      <c r="C116" s="24"/>
      <c r="D116" s="40"/>
      <c r="E116" s="41" t="str">
        <f t="array" ref="E116">IFERROR(INDEX('CONTROLE DE COMPRA E VENDA '!$E$2:E$317,MATCH(0,COUNTIF($E$16:E115,'CONTROLE DE COMPRA E VENDA '!$E$2:E$317),0)),"")</f>
        <v/>
      </c>
      <c r="F116" s="42" t="e">
        <f>SUMIF('CONTROLE DE COMPRA E VENDA '!$E$2:$E$9318,E116,#REF!)/SUMIF('CONTROLE DE COMPRA E VENDA '!$E$2:$E$9318,E116,#REF!)</f>
        <v>#REF!</v>
      </c>
      <c r="G116" s="43">
        <f>SUMIF('CONTROLE DE COMPRA E VENDA '!$E$2:$E$9317,E116,'CONTROLE DE COMPRA E VENDA '!$F$2:$F$9317)</f>
        <v>0</v>
      </c>
      <c r="H116" s="44" t="str">
        <f ca="1">IFERROR(__xludf.DUMMYFUNCTION("VLOOKUP(E116,IMPORTRANGE(""https://docs.google.com/spreadsheets/d/1twE6-cpnyykguqtenQ2Owd-uI9WHiQFG1eK6m-cZxDM/edit#gid=2089456355"",""Lista!A13:e999""),5,FALSE)"),"#REF!")</f>
        <v>#REF!</v>
      </c>
      <c r="I116" s="43" t="e">
        <f t="shared" ca="1" si="1"/>
        <v>#VALUE!</v>
      </c>
      <c r="J116" s="45" t="e">
        <f t="shared" ca="1" si="2"/>
        <v>#VALUE!</v>
      </c>
      <c r="K116" s="46" t="b">
        <f t="shared" si="3"/>
        <v>0</v>
      </c>
      <c r="L116" s="46" t="str">
        <f t="shared" si="4"/>
        <v>Verificar nome na coluna A</v>
      </c>
      <c r="M116" s="42" t="e">
        <f t="shared" ca="1" si="5"/>
        <v>#VALUE!</v>
      </c>
      <c r="N116" s="42" t="e">
        <f t="shared" ca="1" si="6"/>
        <v>#VALUE!</v>
      </c>
      <c r="O116" s="47" t="e">
        <f t="shared" ca="1" si="7"/>
        <v>#VALUE!</v>
      </c>
      <c r="P116" s="48" t="b">
        <f t="shared" si="8"/>
        <v>0</v>
      </c>
      <c r="Q116" s="24" t="e">
        <f t="shared" ca="1" si="9"/>
        <v>#VALUE!</v>
      </c>
      <c r="R116" s="24"/>
      <c r="S116" s="49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</row>
    <row r="117" spans="1:29" ht="15.75" customHeight="1">
      <c r="A117" s="24"/>
      <c r="B117" s="24"/>
      <c r="C117" s="24"/>
      <c r="D117" s="40"/>
      <c r="E117" s="41" t="str">
        <f t="array" ref="E117">IFERROR(INDEX('CONTROLE DE COMPRA E VENDA '!$E$2:E$317,MATCH(0,COUNTIF($E$16:E116,'CONTROLE DE COMPRA E VENDA '!$E$2:E$317),0)),"")</f>
        <v/>
      </c>
      <c r="F117" s="42" t="e">
        <f>SUMIF('CONTROLE DE COMPRA E VENDA '!$E$2:$E$9318,E117,#REF!)/SUMIF('CONTROLE DE COMPRA E VENDA '!$E$2:$E$9318,E117,#REF!)</f>
        <v>#REF!</v>
      </c>
      <c r="G117" s="43">
        <f>SUMIF('CONTROLE DE COMPRA E VENDA '!$E$2:$E$9317,E117,'CONTROLE DE COMPRA E VENDA '!$F$2:$F$9317)</f>
        <v>0</v>
      </c>
      <c r="H117" s="44" t="str">
        <f ca="1">IFERROR(__xludf.DUMMYFUNCTION("VLOOKUP(E117,IMPORTRANGE(""https://docs.google.com/spreadsheets/d/1twE6-cpnyykguqtenQ2Owd-uI9WHiQFG1eK6m-cZxDM/edit#gid=2089456355"",""Lista!A13:e999""),5,FALSE)"),"#REF!")</f>
        <v>#REF!</v>
      </c>
      <c r="I117" s="43" t="e">
        <f t="shared" ca="1" si="1"/>
        <v>#VALUE!</v>
      </c>
      <c r="J117" s="45" t="e">
        <f t="shared" ca="1" si="2"/>
        <v>#VALUE!</v>
      </c>
      <c r="K117" s="46" t="b">
        <f t="shared" si="3"/>
        <v>0</v>
      </c>
      <c r="L117" s="46" t="str">
        <f t="shared" si="4"/>
        <v>Verificar nome na coluna A</v>
      </c>
      <c r="M117" s="42" t="e">
        <f t="shared" ca="1" si="5"/>
        <v>#VALUE!</v>
      </c>
      <c r="N117" s="42" t="e">
        <f t="shared" ca="1" si="6"/>
        <v>#VALUE!</v>
      </c>
      <c r="O117" s="47" t="e">
        <f t="shared" ca="1" si="7"/>
        <v>#VALUE!</v>
      </c>
      <c r="P117" s="48" t="b">
        <f t="shared" si="8"/>
        <v>0</v>
      </c>
      <c r="Q117" s="24" t="e">
        <f t="shared" ca="1" si="9"/>
        <v>#VALUE!</v>
      </c>
      <c r="R117" s="24"/>
      <c r="S117" s="49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</row>
    <row r="118" spans="1:29" ht="15.75" customHeight="1">
      <c r="A118" s="24"/>
      <c r="B118" s="24"/>
      <c r="C118" s="24"/>
      <c r="D118" s="40"/>
      <c r="E118" s="41" t="str">
        <f t="array" ref="E118">IFERROR(INDEX('CONTROLE DE COMPRA E VENDA '!$E$2:E$317,MATCH(0,COUNTIF($E$16:E117,'CONTROLE DE COMPRA E VENDA '!$E$2:E$317),0)),"")</f>
        <v/>
      </c>
      <c r="F118" s="42" t="e">
        <f>SUMIF('CONTROLE DE COMPRA E VENDA '!$E$2:$E$9318,E118,#REF!)/SUMIF('CONTROLE DE COMPRA E VENDA '!$E$2:$E$9318,E118,#REF!)</f>
        <v>#REF!</v>
      </c>
      <c r="G118" s="43">
        <f>SUMIF('CONTROLE DE COMPRA E VENDA '!$E$2:$E$9317,E118,'CONTROLE DE COMPRA E VENDA '!$F$2:$F$9317)</f>
        <v>0</v>
      </c>
      <c r="H118" s="44" t="str">
        <f ca="1">IFERROR(__xludf.DUMMYFUNCTION("VLOOKUP(E118,IMPORTRANGE(""https://docs.google.com/spreadsheets/d/1twE6-cpnyykguqtenQ2Owd-uI9WHiQFG1eK6m-cZxDM/edit#gid=2089456355"",""Lista!A13:e999""),5,FALSE)"),"#REF!")</f>
        <v>#REF!</v>
      </c>
      <c r="I118" s="43" t="e">
        <f t="shared" ca="1" si="1"/>
        <v>#VALUE!</v>
      </c>
      <c r="J118" s="45" t="e">
        <f t="shared" ca="1" si="2"/>
        <v>#VALUE!</v>
      </c>
      <c r="K118" s="46" t="b">
        <f t="shared" si="3"/>
        <v>0</v>
      </c>
      <c r="L118" s="46" t="str">
        <f t="shared" si="4"/>
        <v>Verificar nome na coluna A</v>
      </c>
      <c r="M118" s="42" t="e">
        <f t="shared" ca="1" si="5"/>
        <v>#VALUE!</v>
      </c>
      <c r="N118" s="42" t="e">
        <f t="shared" ca="1" si="6"/>
        <v>#VALUE!</v>
      </c>
      <c r="O118" s="47" t="e">
        <f t="shared" ca="1" si="7"/>
        <v>#VALUE!</v>
      </c>
      <c r="P118" s="48" t="b">
        <f t="shared" si="8"/>
        <v>0</v>
      </c>
      <c r="Q118" s="24" t="e">
        <f t="shared" ca="1" si="9"/>
        <v>#VALUE!</v>
      </c>
      <c r="R118" s="24"/>
      <c r="S118" s="49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</row>
    <row r="119" spans="1:29" ht="15.75" customHeight="1">
      <c r="A119" s="24"/>
      <c r="B119" s="24"/>
      <c r="C119" s="24"/>
      <c r="D119" s="40"/>
      <c r="E119" s="41" t="str">
        <f t="array" ref="E119">IFERROR(INDEX('CONTROLE DE COMPRA E VENDA '!$E$2:E$317,MATCH(0,COUNTIF($E$16:E118,'CONTROLE DE COMPRA E VENDA '!$E$2:E$317),0)),"")</f>
        <v/>
      </c>
      <c r="F119" s="42" t="e">
        <f>SUMIF('CONTROLE DE COMPRA E VENDA '!$E$2:$E$9318,E119,#REF!)/SUMIF('CONTROLE DE COMPRA E VENDA '!$E$2:$E$9318,E119,#REF!)</f>
        <v>#REF!</v>
      </c>
      <c r="G119" s="43">
        <f>SUMIF('CONTROLE DE COMPRA E VENDA '!$E$2:$E$9317,E119,'CONTROLE DE COMPRA E VENDA '!$F$2:$F$9317)</f>
        <v>0</v>
      </c>
      <c r="H119" s="44" t="str">
        <f ca="1">IFERROR(__xludf.DUMMYFUNCTION("VLOOKUP(E119,IMPORTRANGE(""https://docs.google.com/spreadsheets/d/1twE6-cpnyykguqtenQ2Owd-uI9WHiQFG1eK6m-cZxDM/edit#gid=2089456355"",""Lista!A13:e999""),5,FALSE)"),"#REF!")</f>
        <v>#REF!</v>
      </c>
      <c r="I119" s="43" t="e">
        <f t="shared" ca="1" si="1"/>
        <v>#VALUE!</v>
      </c>
      <c r="J119" s="45" t="e">
        <f t="shared" ca="1" si="2"/>
        <v>#VALUE!</v>
      </c>
      <c r="K119" s="46" t="b">
        <f t="shared" si="3"/>
        <v>0</v>
      </c>
      <c r="L119" s="46" t="str">
        <f t="shared" si="4"/>
        <v>Verificar nome na coluna A</v>
      </c>
      <c r="M119" s="42" t="e">
        <f t="shared" ca="1" si="5"/>
        <v>#VALUE!</v>
      </c>
      <c r="N119" s="42" t="e">
        <f t="shared" ca="1" si="6"/>
        <v>#VALUE!</v>
      </c>
      <c r="O119" s="47" t="e">
        <f t="shared" ca="1" si="7"/>
        <v>#VALUE!</v>
      </c>
      <c r="P119" s="48" t="b">
        <f t="shared" si="8"/>
        <v>0</v>
      </c>
      <c r="Q119" s="24" t="e">
        <f t="shared" ca="1" si="9"/>
        <v>#VALUE!</v>
      </c>
      <c r="R119" s="24"/>
      <c r="S119" s="49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</row>
    <row r="120" spans="1:29" ht="15.75" customHeight="1">
      <c r="A120" s="24"/>
      <c r="B120" s="24"/>
      <c r="C120" s="24"/>
      <c r="D120" s="40"/>
      <c r="E120" s="41" t="str">
        <f t="array" ref="E120">IFERROR(INDEX('CONTROLE DE COMPRA E VENDA '!$E$2:E$317,MATCH(0,COUNTIF($E$16:E119,'CONTROLE DE COMPRA E VENDA '!$E$2:E$317),0)),"")</f>
        <v/>
      </c>
      <c r="F120" s="42" t="e">
        <f>SUMIF('CONTROLE DE COMPRA E VENDA '!$E$2:$E$9318,E120,#REF!)/SUMIF('CONTROLE DE COMPRA E VENDA '!$E$2:$E$9318,E120,#REF!)</f>
        <v>#REF!</v>
      </c>
      <c r="G120" s="43">
        <f>SUMIF('CONTROLE DE COMPRA E VENDA '!$E$2:$E$9317,E120,'CONTROLE DE COMPRA E VENDA '!$F$2:$F$9317)</f>
        <v>0</v>
      </c>
      <c r="H120" s="44" t="str">
        <f ca="1">IFERROR(__xludf.DUMMYFUNCTION("VLOOKUP(E120,IMPORTRANGE(""https://docs.google.com/spreadsheets/d/1twE6-cpnyykguqtenQ2Owd-uI9WHiQFG1eK6m-cZxDM/edit#gid=2089456355"",""Lista!A13:e999""),5,FALSE)"),"#REF!")</f>
        <v>#REF!</v>
      </c>
      <c r="I120" s="43" t="e">
        <f t="shared" ca="1" si="1"/>
        <v>#VALUE!</v>
      </c>
      <c r="J120" s="45" t="e">
        <f t="shared" ca="1" si="2"/>
        <v>#VALUE!</v>
      </c>
      <c r="K120" s="46" t="b">
        <f t="shared" si="3"/>
        <v>0</v>
      </c>
      <c r="L120" s="46" t="str">
        <f t="shared" si="4"/>
        <v>Verificar nome na coluna A</v>
      </c>
      <c r="M120" s="42" t="e">
        <f t="shared" ca="1" si="5"/>
        <v>#VALUE!</v>
      </c>
      <c r="N120" s="42" t="e">
        <f t="shared" ca="1" si="6"/>
        <v>#VALUE!</v>
      </c>
      <c r="O120" s="47" t="e">
        <f t="shared" ca="1" si="7"/>
        <v>#VALUE!</v>
      </c>
      <c r="P120" s="48" t="b">
        <f t="shared" si="8"/>
        <v>0</v>
      </c>
      <c r="Q120" s="24" t="e">
        <f t="shared" ca="1" si="9"/>
        <v>#VALUE!</v>
      </c>
      <c r="R120" s="24"/>
      <c r="S120" s="49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</row>
    <row r="121" spans="1:29" ht="15.75" customHeight="1">
      <c r="A121" s="24"/>
      <c r="B121" s="24"/>
      <c r="C121" s="24"/>
      <c r="D121" s="40"/>
      <c r="E121" s="41" t="str">
        <f t="array" ref="E121">IFERROR(INDEX('CONTROLE DE COMPRA E VENDA '!$E$2:E$317,MATCH(0,COUNTIF($E$16:E120,'CONTROLE DE COMPRA E VENDA '!$E$2:E$317),0)),"")</f>
        <v/>
      </c>
      <c r="F121" s="42" t="e">
        <f>SUMIF('CONTROLE DE COMPRA E VENDA '!$E$2:$E$9318,E121,#REF!)/SUMIF('CONTROLE DE COMPRA E VENDA '!$E$2:$E$9318,E121,#REF!)</f>
        <v>#REF!</v>
      </c>
      <c r="G121" s="43">
        <f>SUMIF('CONTROLE DE COMPRA E VENDA '!$E$2:$E$9317,E121,'CONTROLE DE COMPRA E VENDA '!$F$2:$F$9317)</f>
        <v>0</v>
      </c>
      <c r="H121" s="44" t="str">
        <f ca="1">IFERROR(__xludf.DUMMYFUNCTION("VLOOKUP(E121,IMPORTRANGE(""https://docs.google.com/spreadsheets/d/1twE6-cpnyykguqtenQ2Owd-uI9WHiQFG1eK6m-cZxDM/edit#gid=2089456355"",""Lista!A13:e999""),5,FALSE)"),"#REF!")</f>
        <v>#REF!</v>
      </c>
      <c r="I121" s="43" t="e">
        <f t="shared" ca="1" si="1"/>
        <v>#VALUE!</v>
      </c>
      <c r="J121" s="45" t="e">
        <f t="shared" ca="1" si="2"/>
        <v>#VALUE!</v>
      </c>
      <c r="K121" s="46" t="b">
        <f t="shared" si="3"/>
        <v>0</v>
      </c>
      <c r="L121" s="46" t="str">
        <f t="shared" si="4"/>
        <v>Verificar nome na coluna A</v>
      </c>
      <c r="M121" s="42" t="e">
        <f t="shared" ca="1" si="5"/>
        <v>#VALUE!</v>
      </c>
      <c r="N121" s="42" t="e">
        <f t="shared" ca="1" si="6"/>
        <v>#VALUE!</v>
      </c>
      <c r="O121" s="47" t="e">
        <f t="shared" ca="1" si="7"/>
        <v>#VALUE!</v>
      </c>
      <c r="P121" s="48" t="b">
        <f t="shared" si="8"/>
        <v>0</v>
      </c>
      <c r="Q121" s="24" t="e">
        <f t="shared" ca="1" si="9"/>
        <v>#VALUE!</v>
      </c>
      <c r="R121" s="24"/>
      <c r="S121" s="49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</row>
    <row r="122" spans="1:29" ht="15.75" customHeight="1">
      <c r="A122" s="24"/>
      <c r="B122" s="24"/>
      <c r="C122" s="24"/>
      <c r="D122" s="40"/>
      <c r="E122" s="41" t="str">
        <f t="array" ref="E122">IFERROR(INDEX('CONTROLE DE COMPRA E VENDA '!$E$2:E$317,MATCH(0,COUNTIF($E$16:E121,'CONTROLE DE COMPRA E VENDA '!$E$2:E$317),0)),"")</f>
        <v/>
      </c>
      <c r="F122" s="42" t="e">
        <f>SUMIF('CONTROLE DE COMPRA E VENDA '!$E$2:$E$9318,E122,#REF!)/SUMIF('CONTROLE DE COMPRA E VENDA '!$E$2:$E$9318,E122,#REF!)</f>
        <v>#REF!</v>
      </c>
      <c r="G122" s="43">
        <f>SUMIF('CONTROLE DE COMPRA E VENDA '!$E$2:$E$9317,E122,'CONTROLE DE COMPRA E VENDA '!$F$2:$F$9317)</f>
        <v>0</v>
      </c>
      <c r="H122" s="44" t="str">
        <f ca="1">IFERROR(__xludf.DUMMYFUNCTION("VLOOKUP(E122,IMPORTRANGE(""https://docs.google.com/spreadsheets/d/1twE6-cpnyykguqtenQ2Owd-uI9WHiQFG1eK6m-cZxDM/edit#gid=2089456355"",""Lista!A13:e999""),5,FALSE)"),"#REF!")</f>
        <v>#REF!</v>
      </c>
      <c r="I122" s="43" t="e">
        <f t="shared" ca="1" si="1"/>
        <v>#VALUE!</v>
      </c>
      <c r="J122" s="45" t="e">
        <f t="shared" ca="1" si="2"/>
        <v>#VALUE!</v>
      </c>
      <c r="K122" s="46" t="b">
        <f t="shared" si="3"/>
        <v>0</v>
      </c>
      <c r="L122" s="46" t="str">
        <f t="shared" si="4"/>
        <v>Verificar nome na coluna A</v>
      </c>
      <c r="M122" s="42" t="e">
        <f t="shared" ca="1" si="5"/>
        <v>#VALUE!</v>
      </c>
      <c r="N122" s="42" t="e">
        <f t="shared" ca="1" si="6"/>
        <v>#VALUE!</v>
      </c>
      <c r="O122" s="47" t="e">
        <f t="shared" ca="1" si="7"/>
        <v>#VALUE!</v>
      </c>
      <c r="P122" s="48" t="b">
        <f t="shared" si="8"/>
        <v>0</v>
      </c>
      <c r="Q122" s="24" t="e">
        <f t="shared" ca="1" si="9"/>
        <v>#VALUE!</v>
      </c>
      <c r="R122" s="24"/>
      <c r="S122" s="49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</row>
    <row r="123" spans="1:29" ht="15.75" customHeight="1">
      <c r="A123" s="24"/>
      <c r="B123" s="24"/>
      <c r="C123" s="24"/>
      <c r="D123" s="40"/>
      <c r="E123" s="41" t="str">
        <f t="array" ref="E123">IFERROR(INDEX('CONTROLE DE COMPRA E VENDA '!$E$2:E$317,MATCH(0,COUNTIF($E$16:E122,'CONTROLE DE COMPRA E VENDA '!$E$2:E$317),0)),"")</f>
        <v/>
      </c>
      <c r="F123" s="42" t="e">
        <f>SUMIF('CONTROLE DE COMPRA E VENDA '!$E$2:$E$9318,E123,#REF!)/SUMIF('CONTROLE DE COMPRA E VENDA '!$E$2:$E$9318,E123,#REF!)</f>
        <v>#REF!</v>
      </c>
      <c r="G123" s="43">
        <f>SUMIF('CONTROLE DE COMPRA E VENDA '!$E$2:$E$9317,E123,'CONTROLE DE COMPRA E VENDA '!$F$2:$F$9317)</f>
        <v>0</v>
      </c>
      <c r="H123" s="44" t="str">
        <f ca="1">IFERROR(__xludf.DUMMYFUNCTION("VLOOKUP(E123,IMPORTRANGE(""https://docs.google.com/spreadsheets/d/1twE6-cpnyykguqtenQ2Owd-uI9WHiQFG1eK6m-cZxDM/edit#gid=2089456355"",""Lista!A13:e999""),5,FALSE)"),"#REF!")</f>
        <v>#REF!</v>
      </c>
      <c r="I123" s="43" t="e">
        <f t="shared" ca="1" si="1"/>
        <v>#VALUE!</v>
      </c>
      <c r="J123" s="45" t="e">
        <f t="shared" ca="1" si="2"/>
        <v>#VALUE!</v>
      </c>
      <c r="K123" s="46" t="b">
        <f t="shared" si="3"/>
        <v>0</v>
      </c>
      <c r="L123" s="46" t="str">
        <f t="shared" si="4"/>
        <v>Verificar nome na coluna A</v>
      </c>
      <c r="M123" s="42" t="e">
        <f t="shared" ca="1" si="5"/>
        <v>#VALUE!</v>
      </c>
      <c r="N123" s="42" t="e">
        <f t="shared" ca="1" si="6"/>
        <v>#VALUE!</v>
      </c>
      <c r="O123" s="47" t="e">
        <f t="shared" ca="1" si="7"/>
        <v>#VALUE!</v>
      </c>
      <c r="P123" s="48" t="b">
        <f t="shared" si="8"/>
        <v>0</v>
      </c>
      <c r="Q123" s="24" t="e">
        <f t="shared" ca="1" si="9"/>
        <v>#VALUE!</v>
      </c>
      <c r="R123" s="24"/>
      <c r="S123" s="49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</row>
    <row r="124" spans="1:29" ht="15.75" customHeight="1">
      <c r="A124" s="24"/>
      <c r="B124" s="24"/>
      <c r="C124" s="24"/>
      <c r="D124" s="40"/>
      <c r="E124" s="41" t="str">
        <f t="array" ref="E124">IFERROR(INDEX('CONTROLE DE COMPRA E VENDA '!$E$2:E$317,MATCH(0,COUNTIF($E$16:E123,'CONTROLE DE COMPRA E VENDA '!$E$2:E$317),0)),"")</f>
        <v/>
      </c>
      <c r="F124" s="42" t="e">
        <f>SUMIF('CONTROLE DE COMPRA E VENDA '!$E$2:$E$9318,E124,#REF!)/SUMIF('CONTROLE DE COMPRA E VENDA '!$E$2:$E$9318,E124,#REF!)</f>
        <v>#REF!</v>
      </c>
      <c r="G124" s="43">
        <f>SUMIF('CONTROLE DE COMPRA E VENDA '!$E$2:$E$9317,E124,'CONTROLE DE COMPRA E VENDA '!$F$2:$F$9317)</f>
        <v>0</v>
      </c>
      <c r="H124" s="44" t="str">
        <f ca="1">IFERROR(__xludf.DUMMYFUNCTION("VLOOKUP(E124,IMPORTRANGE(""https://docs.google.com/spreadsheets/d/1twE6-cpnyykguqtenQ2Owd-uI9WHiQFG1eK6m-cZxDM/edit#gid=2089456355"",""Lista!A13:e999""),5,FALSE)"),"#REF!")</f>
        <v>#REF!</v>
      </c>
      <c r="I124" s="43" t="e">
        <f t="shared" ca="1" si="1"/>
        <v>#VALUE!</v>
      </c>
      <c r="J124" s="45" t="e">
        <f t="shared" ca="1" si="2"/>
        <v>#VALUE!</v>
      </c>
      <c r="K124" s="46" t="b">
        <f t="shared" si="3"/>
        <v>0</v>
      </c>
      <c r="L124" s="46" t="str">
        <f t="shared" si="4"/>
        <v>Verificar nome na coluna A</v>
      </c>
      <c r="M124" s="42" t="e">
        <f t="shared" ca="1" si="5"/>
        <v>#VALUE!</v>
      </c>
      <c r="N124" s="42" t="e">
        <f t="shared" ca="1" si="6"/>
        <v>#VALUE!</v>
      </c>
      <c r="O124" s="47" t="e">
        <f t="shared" ca="1" si="7"/>
        <v>#VALUE!</v>
      </c>
      <c r="P124" s="48" t="b">
        <f t="shared" si="8"/>
        <v>0</v>
      </c>
      <c r="Q124" s="24" t="e">
        <f t="shared" ca="1" si="9"/>
        <v>#VALUE!</v>
      </c>
      <c r="R124" s="24"/>
      <c r="S124" s="49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</row>
    <row r="125" spans="1:29" ht="15.75" customHeight="1">
      <c r="A125" s="24"/>
      <c r="B125" s="24"/>
      <c r="C125" s="24"/>
      <c r="D125" s="40"/>
      <c r="E125" s="41" t="str">
        <f t="array" ref="E125">IFERROR(INDEX('CONTROLE DE COMPRA E VENDA '!$E$2:E$317,MATCH(0,COUNTIF($E$16:E124,'CONTROLE DE COMPRA E VENDA '!$E$2:E$317),0)),"")</f>
        <v/>
      </c>
      <c r="F125" s="42" t="e">
        <f>SUMIF('CONTROLE DE COMPRA E VENDA '!$E$2:$E$9318,E125,#REF!)/SUMIF('CONTROLE DE COMPRA E VENDA '!$E$2:$E$9318,E125,#REF!)</f>
        <v>#REF!</v>
      </c>
      <c r="G125" s="43">
        <f>SUMIF('CONTROLE DE COMPRA E VENDA '!$E$2:$E$9317,E125,'CONTROLE DE COMPRA E VENDA '!$F$2:$F$9317)</f>
        <v>0</v>
      </c>
      <c r="H125" s="44" t="str">
        <f ca="1">IFERROR(__xludf.DUMMYFUNCTION("VLOOKUP(E125,IMPORTRANGE(""https://docs.google.com/spreadsheets/d/1twE6-cpnyykguqtenQ2Owd-uI9WHiQFG1eK6m-cZxDM/edit#gid=2089456355"",""Lista!A13:e999""),5,FALSE)"),"#REF!")</f>
        <v>#REF!</v>
      </c>
      <c r="I125" s="43" t="e">
        <f t="shared" ca="1" si="1"/>
        <v>#VALUE!</v>
      </c>
      <c r="J125" s="45" t="e">
        <f t="shared" ca="1" si="2"/>
        <v>#VALUE!</v>
      </c>
      <c r="K125" s="46" t="b">
        <f t="shared" si="3"/>
        <v>0</v>
      </c>
      <c r="L125" s="46" t="str">
        <f t="shared" si="4"/>
        <v>Verificar nome na coluna A</v>
      </c>
      <c r="M125" s="42" t="e">
        <f t="shared" ca="1" si="5"/>
        <v>#VALUE!</v>
      </c>
      <c r="N125" s="42" t="e">
        <f t="shared" ca="1" si="6"/>
        <v>#VALUE!</v>
      </c>
      <c r="O125" s="47" t="e">
        <f t="shared" ca="1" si="7"/>
        <v>#VALUE!</v>
      </c>
      <c r="P125" s="48" t="b">
        <f t="shared" si="8"/>
        <v>0</v>
      </c>
      <c r="Q125" s="24" t="e">
        <f t="shared" ca="1" si="9"/>
        <v>#VALUE!</v>
      </c>
      <c r="R125" s="24"/>
      <c r="S125" s="49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</row>
    <row r="126" spans="1:29" ht="15.75" customHeight="1">
      <c r="A126" s="24"/>
      <c r="B126" s="24"/>
      <c r="C126" s="24"/>
      <c r="D126" s="40"/>
      <c r="E126" s="41" t="str">
        <f t="array" ref="E126">IFERROR(INDEX('CONTROLE DE COMPRA E VENDA '!$E$2:E$317,MATCH(0,COUNTIF($E$16:E125,'CONTROLE DE COMPRA E VENDA '!$E$2:E$317),0)),"")</f>
        <v/>
      </c>
      <c r="F126" s="42" t="e">
        <f>SUMIF('CONTROLE DE COMPRA E VENDA '!$E$2:$E$9318,E126,#REF!)/SUMIF('CONTROLE DE COMPRA E VENDA '!$E$2:$E$9318,E126,#REF!)</f>
        <v>#REF!</v>
      </c>
      <c r="G126" s="43">
        <f>SUMIF('CONTROLE DE COMPRA E VENDA '!$E$2:$E$9317,E126,'CONTROLE DE COMPRA E VENDA '!$F$2:$F$9317)</f>
        <v>0</v>
      </c>
      <c r="H126" s="44" t="str">
        <f ca="1">IFERROR(__xludf.DUMMYFUNCTION("VLOOKUP(E126,IMPORTRANGE(""https://docs.google.com/spreadsheets/d/1twE6-cpnyykguqtenQ2Owd-uI9WHiQFG1eK6m-cZxDM/edit#gid=2089456355"",""Lista!A13:e999""),5,FALSE)"),"#REF!")</f>
        <v>#REF!</v>
      </c>
      <c r="I126" s="43" t="e">
        <f t="shared" ca="1" si="1"/>
        <v>#VALUE!</v>
      </c>
      <c r="J126" s="45" t="e">
        <f t="shared" ca="1" si="2"/>
        <v>#VALUE!</v>
      </c>
      <c r="K126" s="46" t="b">
        <f t="shared" si="3"/>
        <v>0</v>
      </c>
      <c r="L126" s="46" t="str">
        <f t="shared" si="4"/>
        <v>Verificar nome na coluna A</v>
      </c>
      <c r="M126" s="42" t="e">
        <f t="shared" ca="1" si="5"/>
        <v>#VALUE!</v>
      </c>
      <c r="N126" s="42" t="e">
        <f t="shared" ca="1" si="6"/>
        <v>#VALUE!</v>
      </c>
      <c r="O126" s="47" t="e">
        <f t="shared" ca="1" si="7"/>
        <v>#VALUE!</v>
      </c>
      <c r="P126" s="48" t="b">
        <f t="shared" si="8"/>
        <v>0</v>
      </c>
      <c r="Q126" s="24" t="e">
        <f t="shared" ca="1" si="9"/>
        <v>#VALUE!</v>
      </c>
      <c r="R126" s="24"/>
      <c r="S126" s="49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</row>
    <row r="127" spans="1:29" ht="15.75" customHeight="1">
      <c r="A127" s="24"/>
      <c r="B127" s="24"/>
      <c r="C127" s="24"/>
      <c r="D127" s="40"/>
      <c r="E127" s="41" t="str">
        <f t="array" ref="E127">IFERROR(INDEX('CONTROLE DE COMPRA E VENDA '!$E$2:E$317,MATCH(0,COUNTIF($E$16:E126,'CONTROLE DE COMPRA E VENDA '!$E$2:E$317),0)),"")</f>
        <v/>
      </c>
      <c r="F127" s="42" t="e">
        <f>SUMIF('CONTROLE DE COMPRA E VENDA '!$E$2:$E$9318,E127,#REF!)/SUMIF('CONTROLE DE COMPRA E VENDA '!$E$2:$E$9318,E127,#REF!)</f>
        <v>#REF!</v>
      </c>
      <c r="G127" s="43">
        <f>SUMIF('CONTROLE DE COMPRA E VENDA '!$E$2:$E$9317,E127,'CONTROLE DE COMPRA E VENDA '!$F$2:$F$9317)</f>
        <v>0</v>
      </c>
      <c r="H127" s="44" t="str">
        <f ca="1">IFERROR(__xludf.DUMMYFUNCTION("VLOOKUP(E127,IMPORTRANGE(""https://docs.google.com/spreadsheets/d/1twE6-cpnyykguqtenQ2Owd-uI9WHiQFG1eK6m-cZxDM/edit#gid=2089456355"",""Lista!A13:e999""),5,FALSE)"),"#REF!")</f>
        <v>#REF!</v>
      </c>
      <c r="I127" s="43" t="e">
        <f t="shared" ca="1" si="1"/>
        <v>#VALUE!</v>
      </c>
      <c r="J127" s="45" t="e">
        <f t="shared" ca="1" si="2"/>
        <v>#VALUE!</v>
      </c>
      <c r="K127" s="46" t="b">
        <f t="shared" si="3"/>
        <v>0</v>
      </c>
      <c r="L127" s="46" t="str">
        <f t="shared" si="4"/>
        <v>Verificar nome na coluna A</v>
      </c>
      <c r="M127" s="42" t="e">
        <f t="shared" ca="1" si="5"/>
        <v>#VALUE!</v>
      </c>
      <c r="N127" s="42" t="e">
        <f t="shared" ca="1" si="6"/>
        <v>#VALUE!</v>
      </c>
      <c r="O127" s="47" t="e">
        <f t="shared" ca="1" si="7"/>
        <v>#VALUE!</v>
      </c>
      <c r="P127" s="48" t="b">
        <f t="shared" si="8"/>
        <v>0</v>
      </c>
      <c r="Q127" s="24" t="e">
        <f t="shared" ca="1" si="9"/>
        <v>#VALUE!</v>
      </c>
      <c r="R127" s="24"/>
      <c r="S127" s="49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</row>
    <row r="128" spans="1:29" ht="15.75" customHeight="1">
      <c r="A128" s="24"/>
      <c r="B128" s="24"/>
      <c r="C128" s="24"/>
      <c r="D128" s="40"/>
      <c r="E128" s="41" t="str">
        <f t="array" ref="E128">IFERROR(INDEX('CONTROLE DE COMPRA E VENDA '!$E$2:E$317,MATCH(0,COUNTIF($E$16:E127,'CONTROLE DE COMPRA E VENDA '!$E$2:E$317),0)),"")</f>
        <v/>
      </c>
      <c r="F128" s="42" t="e">
        <f>SUMIF('CONTROLE DE COMPRA E VENDA '!$E$2:$E$9318,E128,#REF!)/SUMIF('CONTROLE DE COMPRA E VENDA '!$E$2:$E$9318,E128,#REF!)</f>
        <v>#REF!</v>
      </c>
      <c r="G128" s="43">
        <f>SUMIF('CONTROLE DE COMPRA E VENDA '!$E$2:$E$9317,E128,'CONTROLE DE COMPRA E VENDA '!$F$2:$F$9317)</f>
        <v>0</v>
      </c>
      <c r="H128" s="44" t="str">
        <f ca="1">IFERROR(__xludf.DUMMYFUNCTION("VLOOKUP(E128,IMPORTRANGE(""https://docs.google.com/spreadsheets/d/1twE6-cpnyykguqtenQ2Owd-uI9WHiQFG1eK6m-cZxDM/edit#gid=2089456355"",""Lista!A13:e999""),5,FALSE)"),"#REF!")</f>
        <v>#REF!</v>
      </c>
      <c r="I128" s="43" t="e">
        <f t="shared" ca="1" si="1"/>
        <v>#VALUE!</v>
      </c>
      <c r="J128" s="45" t="e">
        <f t="shared" ca="1" si="2"/>
        <v>#VALUE!</v>
      </c>
      <c r="K128" s="46" t="b">
        <f t="shared" si="3"/>
        <v>0</v>
      </c>
      <c r="L128" s="46" t="str">
        <f t="shared" si="4"/>
        <v>Verificar nome na coluna A</v>
      </c>
      <c r="M128" s="42" t="e">
        <f t="shared" ca="1" si="5"/>
        <v>#VALUE!</v>
      </c>
      <c r="N128" s="42" t="e">
        <f t="shared" ca="1" si="6"/>
        <v>#VALUE!</v>
      </c>
      <c r="O128" s="47" t="e">
        <f t="shared" ca="1" si="7"/>
        <v>#VALUE!</v>
      </c>
      <c r="P128" s="48" t="b">
        <f t="shared" si="8"/>
        <v>0</v>
      </c>
      <c r="Q128" s="24" t="e">
        <f t="shared" ca="1" si="9"/>
        <v>#VALUE!</v>
      </c>
      <c r="R128" s="24"/>
      <c r="S128" s="49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</row>
    <row r="129" spans="1:29" ht="15.75" customHeight="1">
      <c r="A129" s="24"/>
      <c r="B129" s="24"/>
      <c r="C129" s="24"/>
      <c r="D129" s="40"/>
      <c r="E129" s="41" t="str">
        <f t="array" ref="E129">IFERROR(INDEX('CONTROLE DE COMPRA E VENDA '!$E$2:E$317,MATCH(0,COUNTIF($E$16:E128,'CONTROLE DE COMPRA E VENDA '!$E$2:E$317),0)),"")</f>
        <v/>
      </c>
      <c r="F129" s="42" t="e">
        <f>SUMIF('CONTROLE DE COMPRA E VENDA '!$E$2:$E$9318,E129,#REF!)/SUMIF('CONTROLE DE COMPRA E VENDA '!$E$2:$E$9318,E129,#REF!)</f>
        <v>#REF!</v>
      </c>
      <c r="G129" s="43">
        <f>SUMIF('CONTROLE DE COMPRA E VENDA '!$E$2:$E$9317,E129,'CONTROLE DE COMPRA E VENDA '!$F$2:$F$9317)</f>
        <v>0</v>
      </c>
      <c r="H129" s="44" t="str">
        <f ca="1">IFERROR(__xludf.DUMMYFUNCTION("VLOOKUP(E129,IMPORTRANGE(""https://docs.google.com/spreadsheets/d/1twE6-cpnyykguqtenQ2Owd-uI9WHiQFG1eK6m-cZxDM/edit#gid=2089456355"",""Lista!A13:e999""),5,FALSE)"),"#REF!")</f>
        <v>#REF!</v>
      </c>
      <c r="I129" s="43" t="e">
        <f t="shared" ca="1" si="1"/>
        <v>#VALUE!</v>
      </c>
      <c r="J129" s="45" t="e">
        <f t="shared" ca="1" si="2"/>
        <v>#VALUE!</v>
      </c>
      <c r="K129" s="46" t="b">
        <f t="shared" si="3"/>
        <v>0</v>
      </c>
      <c r="L129" s="46" t="str">
        <f t="shared" si="4"/>
        <v>Verificar nome na coluna A</v>
      </c>
      <c r="M129" s="42" t="e">
        <f t="shared" ca="1" si="5"/>
        <v>#VALUE!</v>
      </c>
      <c r="N129" s="42" t="e">
        <f t="shared" ca="1" si="6"/>
        <v>#VALUE!</v>
      </c>
      <c r="O129" s="47" t="e">
        <f t="shared" ca="1" si="7"/>
        <v>#VALUE!</v>
      </c>
      <c r="P129" s="48" t="b">
        <f t="shared" si="8"/>
        <v>0</v>
      </c>
      <c r="Q129" s="24" t="e">
        <f t="shared" ca="1" si="9"/>
        <v>#VALUE!</v>
      </c>
      <c r="R129" s="24"/>
      <c r="S129" s="49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</row>
    <row r="130" spans="1:29" ht="15.75" customHeight="1">
      <c r="A130" s="24"/>
      <c r="B130" s="24"/>
      <c r="C130" s="24"/>
      <c r="D130" s="40"/>
      <c r="E130" s="41" t="str">
        <f t="array" ref="E130">IFERROR(INDEX('CONTROLE DE COMPRA E VENDA '!$E$2:E$317,MATCH(0,COUNTIF($E$16:E129,'CONTROLE DE COMPRA E VENDA '!$E$2:E$317),0)),"")</f>
        <v/>
      </c>
      <c r="F130" s="42" t="e">
        <f>SUMIF('CONTROLE DE COMPRA E VENDA '!$E$2:$E$9318,E130,#REF!)/SUMIF('CONTROLE DE COMPRA E VENDA '!$E$2:$E$9318,E130,#REF!)</f>
        <v>#REF!</v>
      </c>
      <c r="G130" s="43">
        <f>SUMIF('CONTROLE DE COMPRA E VENDA '!$E$2:$E$9317,E130,'CONTROLE DE COMPRA E VENDA '!$F$2:$F$9317)</f>
        <v>0</v>
      </c>
      <c r="H130" s="44" t="str">
        <f ca="1">IFERROR(__xludf.DUMMYFUNCTION("VLOOKUP(E130,IMPORTRANGE(""https://docs.google.com/spreadsheets/d/1twE6-cpnyykguqtenQ2Owd-uI9WHiQFG1eK6m-cZxDM/edit#gid=2089456355"",""Lista!A13:e999""),5,FALSE)"),"#REF!")</f>
        <v>#REF!</v>
      </c>
      <c r="I130" s="43" t="e">
        <f t="shared" ca="1" si="1"/>
        <v>#VALUE!</v>
      </c>
      <c r="J130" s="45" t="e">
        <f t="shared" ca="1" si="2"/>
        <v>#VALUE!</v>
      </c>
      <c r="K130" s="46" t="b">
        <f t="shared" si="3"/>
        <v>0</v>
      </c>
      <c r="L130" s="46" t="str">
        <f t="shared" si="4"/>
        <v>Verificar nome na coluna A</v>
      </c>
      <c r="M130" s="42" t="e">
        <f t="shared" ca="1" si="5"/>
        <v>#VALUE!</v>
      </c>
      <c r="N130" s="42" t="e">
        <f t="shared" ca="1" si="6"/>
        <v>#VALUE!</v>
      </c>
      <c r="O130" s="47" t="e">
        <f t="shared" ca="1" si="7"/>
        <v>#VALUE!</v>
      </c>
      <c r="P130" s="48" t="b">
        <f t="shared" si="8"/>
        <v>0</v>
      </c>
      <c r="Q130" s="24" t="e">
        <f t="shared" ca="1" si="9"/>
        <v>#VALUE!</v>
      </c>
      <c r="R130" s="24"/>
      <c r="S130" s="49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</row>
    <row r="131" spans="1:29" ht="15.75" customHeight="1">
      <c r="A131" s="24"/>
      <c r="B131" s="24"/>
      <c r="C131" s="24"/>
      <c r="D131" s="40"/>
      <c r="E131" s="41" t="str">
        <f t="array" ref="E131">IFERROR(INDEX('CONTROLE DE COMPRA E VENDA '!$E$2:E$317,MATCH(0,COUNTIF($E$16:E130,'CONTROLE DE COMPRA E VENDA '!$E$2:E$317),0)),"")</f>
        <v/>
      </c>
      <c r="F131" s="42" t="e">
        <f>SUMIF('CONTROLE DE COMPRA E VENDA '!$E$2:$E$9318,E131,#REF!)/SUMIF('CONTROLE DE COMPRA E VENDA '!$E$2:$E$9318,E131,#REF!)</f>
        <v>#REF!</v>
      </c>
      <c r="G131" s="43">
        <f>SUMIF('CONTROLE DE COMPRA E VENDA '!$E$2:$E$9317,E131,'CONTROLE DE COMPRA E VENDA '!$F$2:$F$9317)</f>
        <v>0</v>
      </c>
      <c r="H131" s="44" t="str">
        <f ca="1">IFERROR(__xludf.DUMMYFUNCTION("VLOOKUP(E131,IMPORTRANGE(""https://docs.google.com/spreadsheets/d/1twE6-cpnyykguqtenQ2Owd-uI9WHiQFG1eK6m-cZxDM/edit#gid=2089456355"",""Lista!A13:e999""),5,FALSE)"),"#REF!")</f>
        <v>#REF!</v>
      </c>
      <c r="I131" s="43" t="e">
        <f t="shared" ca="1" si="1"/>
        <v>#VALUE!</v>
      </c>
      <c r="J131" s="45" t="e">
        <f t="shared" ca="1" si="2"/>
        <v>#VALUE!</v>
      </c>
      <c r="K131" s="46" t="b">
        <f t="shared" si="3"/>
        <v>0</v>
      </c>
      <c r="L131" s="46" t="str">
        <f t="shared" si="4"/>
        <v>Verificar nome na coluna A</v>
      </c>
      <c r="M131" s="42" t="e">
        <f t="shared" ca="1" si="5"/>
        <v>#VALUE!</v>
      </c>
      <c r="N131" s="42" t="e">
        <f t="shared" ca="1" si="6"/>
        <v>#VALUE!</v>
      </c>
      <c r="O131" s="47" t="e">
        <f t="shared" ca="1" si="7"/>
        <v>#VALUE!</v>
      </c>
      <c r="P131" s="48" t="b">
        <f t="shared" si="8"/>
        <v>0</v>
      </c>
      <c r="Q131" s="24" t="e">
        <f t="shared" ca="1" si="9"/>
        <v>#VALUE!</v>
      </c>
      <c r="R131" s="24"/>
      <c r="S131" s="49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</row>
    <row r="132" spans="1:29" ht="15.75" customHeight="1">
      <c r="A132" s="24"/>
      <c r="B132" s="24"/>
      <c r="C132" s="24"/>
      <c r="D132" s="40"/>
      <c r="E132" s="41" t="str">
        <f t="array" ref="E132">IFERROR(INDEX('CONTROLE DE COMPRA E VENDA '!$E$2:E$317,MATCH(0,COUNTIF($E$16:E131,'CONTROLE DE COMPRA E VENDA '!$E$2:E$317),0)),"")</f>
        <v/>
      </c>
      <c r="F132" s="42" t="e">
        <f>SUMIF('CONTROLE DE COMPRA E VENDA '!$E$2:$E$9318,E132,#REF!)/SUMIF('CONTROLE DE COMPRA E VENDA '!$E$2:$E$9318,E132,#REF!)</f>
        <v>#REF!</v>
      </c>
      <c r="G132" s="43">
        <f>SUMIF('CONTROLE DE COMPRA E VENDA '!$E$2:$E$9317,E132,'CONTROLE DE COMPRA E VENDA '!$F$2:$F$9317)</f>
        <v>0</v>
      </c>
      <c r="H132" s="44" t="str">
        <f ca="1">IFERROR(__xludf.DUMMYFUNCTION("VLOOKUP(E132,IMPORTRANGE(""https://docs.google.com/spreadsheets/d/1twE6-cpnyykguqtenQ2Owd-uI9WHiQFG1eK6m-cZxDM/edit#gid=2089456355"",""Lista!A13:e999""),5,FALSE)"),"#REF!")</f>
        <v>#REF!</v>
      </c>
      <c r="I132" s="43" t="e">
        <f t="shared" ca="1" si="1"/>
        <v>#VALUE!</v>
      </c>
      <c r="J132" s="45" t="e">
        <f t="shared" ca="1" si="2"/>
        <v>#VALUE!</v>
      </c>
      <c r="K132" s="46" t="b">
        <f t="shared" si="3"/>
        <v>0</v>
      </c>
      <c r="L132" s="46" t="str">
        <f t="shared" si="4"/>
        <v>Verificar nome na coluna A</v>
      </c>
      <c r="M132" s="42" t="e">
        <f t="shared" ca="1" si="5"/>
        <v>#VALUE!</v>
      </c>
      <c r="N132" s="42" t="e">
        <f t="shared" ca="1" si="6"/>
        <v>#VALUE!</v>
      </c>
      <c r="O132" s="47" t="e">
        <f t="shared" ca="1" si="7"/>
        <v>#VALUE!</v>
      </c>
      <c r="P132" s="48" t="b">
        <f t="shared" si="8"/>
        <v>0</v>
      </c>
      <c r="Q132" s="24" t="e">
        <f t="shared" ca="1" si="9"/>
        <v>#VALUE!</v>
      </c>
      <c r="R132" s="24"/>
      <c r="S132" s="49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</row>
    <row r="133" spans="1:29" ht="15.75" customHeight="1">
      <c r="A133" s="24"/>
      <c r="B133" s="24"/>
      <c r="C133" s="24"/>
      <c r="D133" s="40"/>
      <c r="E133" s="41" t="str">
        <f t="array" ref="E133">IFERROR(INDEX('CONTROLE DE COMPRA E VENDA '!$E$2:E$317,MATCH(0,COUNTIF($E$16:E132,'CONTROLE DE COMPRA E VENDA '!$E$2:E$317),0)),"")</f>
        <v/>
      </c>
      <c r="F133" s="42" t="e">
        <f>SUMIF('CONTROLE DE COMPRA E VENDA '!$E$2:$E$9318,E133,#REF!)/SUMIF('CONTROLE DE COMPRA E VENDA '!$E$2:$E$9318,E133,#REF!)</f>
        <v>#REF!</v>
      </c>
      <c r="G133" s="43">
        <f>SUMIF('CONTROLE DE COMPRA E VENDA '!$E$2:$E$9317,E133,'CONTROLE DE COMPRA E VENDA '!$F$2:$F$9317)</f>
        <v>0</v>
      </c>
      <c r="H133" s="44" t="str">
        <f ca="1">IFERROR(__xludf.DUMMYFUNCTION("VLOOKUP(E133,IMPORTRANGE(""https://docs.google.com/spreadsheets/d/1twE6-cpnyykguqtenQ2Owd-uI9WHiQFG1eK6m-cZxDM/edit#gid=2089456355"",""Lista!A13:e999""),5,FALSE)"),"#REF!")</f>
        <v>#REF!</v>
      </c>
      <c r="I133" s="43" t="e">
        <f t="shared" ca="1" si="1"/>
        <v>#VALUE!</v>
      </c>
      <c r="J133" s="45" t="e">
        <f t="shared" ca="1" si="2"/>
        <v>#VALUE!</v>
      </c>
      <c r="K133" s="46" t="b">
        <f t="shared" si="3"/>
        <v>0</v>
      </c>
      <c r="L133" s="46" t="str">
        <f t="shared" si="4"/>
        <v>Verificar nome na coluna A</v>
      </c>
      <c r="M133" s="42" t="e">
        <f t="shared" ca="1" si="5"/>
        <v>#VALUE!</v>
      </c>
      <c r="N133" s="42" t="e">
        <f t="shared" ca="1" si="6"/>
        <v>#VALUE!</v>
      </c>
      <c r="O133" s="47" t="e">
        <f t="shared" ca="1" si="7"/>
        <v>#VALUE!</v>
      </c>
      <c r="P133" s="48" t="b">
        <f t="shared" si="8"/>
        <v>0</v>
      </c>
      <c r="Q133" s="24" t="e">
        <f t="shared" ca="1" si="9"/>
        <v>#VALUE!</v>
      </c>
      <c r="R133" s="24"/>
      <c r="S133" s="49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</row>
    <row r="134" spans="1:29" ht="15.75" customHeight="1">
      <c r="A134" s="24"/>
      <c r="B134" s="24"/>
      <c r="C134" s="24"/>
      <c r="D134" s="40"/>
      <c r="E134" s="41" t="str">
        <f t="array" ref="E134">IFERROR(INDEX('CONTROLE DE COMPRA E VENDA '!$E$2:E$317,MATCH(0,COUNTIF($E$16:E133,'CONTROLE DE COMPRA E VENDA '!$E$2:E$317),0)),"")</f>
        <v/>
      </c>
      <c r="F134" s="42" t="e">
        <f>SUMIF('CONTROLE DE COMPRA E VENDA '!$E$2:$E$9318,E134,#REF!)/SUMIF('CONTROLE DE COMPRA E VENDA '!$E$2:$E$9318,E134,#REF!)</f>
        <v>#REF!</v>
      </c>
      <c r="G134" s="43">
        <f>SUMIF('CONTROLE DE COMPRA E VENDA '!$E$2:$E$9317,E134,'CONTROLE DE COMPRA E VENDA '!$F$2:$F$9317)</f>
        <v>0</v>
      </c>
      <c r="H134" s="44" t="str">
        <f ca="1">IFERROR(__xludf.DUMMYFUNCTION("VLOOKUP(E134,IMPORTRANGE(""https://docs.google.com/spreadsheets/d/1twE6-cpnyykguqtenQ2Owd-uI9WHiQFG1eK6m-cZxDM/edit#gid=2089456355"",""Lista!A13:e999""),5,FALSE)"),"#REF!")</f>
        <v>#REF!</v>
      </c>
      <c r="I134" s="43" t="e">
        <f t="shared" ca="1" si="1"/>
        <v>#VALUE!</v>
      </c>
      <c r="J134" s="45" t="e">
        <f t="shared" ca="1" si="2"/>
        <v>#VALUE!</v>
      </c>
      <c r="K134" s="46" t="b">
        <f t="shared" si="3"/>
        <v>0</v>
      </c>
      <c r="L134" s="46" t="str">
        <f t="shared" si="4"/>
        <v>Verificar nome na coluna A</v>
      </c>
      <c r="M134" s="42" t="e">
        <f t="shared" ca="1" si="5"/>
        <v>#VALUE!</v>
      </c>
      <c r="N134" s="42" t="e">
        <f t="shared" ca="1" si="6"/>
        <v>#VALUE!</v>
      </c>
      <c r="O134" s="47" t="e">
        <f t="shared" ca="1" si="7"/>
        <v>#VALUE!</v>
      </c>
      <c r="P134" s="48" t="b">
        <f t="shared" si="8"/>
        <v>0</v>
      </c>
      <c r="Q134" s="24" t="e">
        <f t="shared" ca="1" si="9"/>
        <v>#VALUE!</v>
      </c>
      <c r="R134" s="24"/>
      <c r="S134" s="49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</row>
    <row r="135" spans="1:29" ht="15.75" customHeight="1">
      <c r="A135" s="24"/>
      <c r="B135" s="24"/>
      <c r="C135" s="24"/>
      <c r="D135" s="40"/>
      <c r="E135" s="41" t="str">
        <f t="array" ref="E135">IFERROR(INDEX('CONTROLE DE COMPRA E VENDA '!$E$2:E$317,MATCH(0,COUNTIF($E$16:E134,'CONTROLE DE COMPRA E VENDA '!$E$2:E$317),0)),"")</f>
        <v/>
      </c>
      <c r="F135" s="42" t="e">
        <f>SUMIF('CONTROLE DE COMPRA E VENDA '!$E$2:$E$9318,E135,#REF!)/SUMIF('CONTROLE DE COMPRA E VENDA '!$E$2:$E$9318,E135,#REF!)</f>
        <v>#REF!</v>
      </c>
      <c r="G135" s="43">
        <f>SUMIF('CONTROLE DE COMPRA E VENDA '!$E$2:$E$9317,E135,'CONTROLE DE COMPRA E VENDA '!$F$2:$F$9317)</f>
        <v>0</v>
      </c>
      <c r="H135" s="44" t="str">
        <f ca="1">IFERROR(__xludf.DUMMYFUNCTION("VLOOKUP(E135,IMPORTRANGE(""https://docs.google.com/spreadsheets/d/1twE6-cpnyykguqtenQ2Owd-uI9WHiQFG1eK6m-cZxDM/edit#gid=2089456355"",""Lista!A13:e999""),5,FALSE)"),"#REF!")</f>
        <v>#REF!</v>
      </c>
      <c r="I135" s="43" t="e">
        <f t="shared" ca="1" si="1"/>
        <v>#VALUE!</v>
      </c>
      <c r="J135" s="45" t="e">
        <f t="shared" ca="1" si="2"/>
        <v>#VALUE!</v>
      </c>
      <c r="K135" s="46" t="b">
        <f t="shared" si="3"/>
        <v>0</v>
      </c>
      <c r="L135" s="46" t="str">
        <f t="shared" si="4"/>
        <v>Verificar nome na coluna A</v>
      </c>
      <c r="M135" s="42" t="e">
        <f t="shared" ca="1" si="5"/>
        <v>#VALUE!</v>
      </c>
      <c r="N135" s="42" t="e">
        <f t="shared" ca="1" si="6"/>
        <v>#VALUE!</v>
      </c>
      <c r="O135" s="47" t="e">
        <f t="shared" ca="1" si="7"/>
        <v>#VALUE!</v>
      </c>
      <c r="P135" s="48" t="b">
        <f t="shared" si="8"/>
        <v>0</v>
      </c>
      <c r="Q135" s="24" t="e">
        <f t="shared" ca="1" si="9"/>
        <v>#VALUE!</v>
      </c>
      <c r="R135" s="24"/>
      <c r="S135" s="49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</row>
    <row r="136" spans="1:29" ht="15.75" customHeight="1">
      <c r="A136" s="24"/>
      <c r="B136" s="24"/>
      <c r="C136" s="24"/>
      <c r="D136" s="40"/>
      <c r="E136" s="41" t="str">
        <f t="array" ref="E136">IFERROR(INDEX('CONTROLE DE COMPRA E VENDA '!$E$2:E$317,MATCH(0,COUNTIF($E$16:E135,'CONTROLE DE COMPRA E VENDA '!$E$2:E$317),0)),"")</f>
        <v/>
      </c>
      <c r="F136" s="42" t="e">
        <f>SUMIF('CONTROLE DE COMPRA E VENDA '!$E$2:$E$9318,E136,#REF!)/SUMIF('CONTROLE DE COMPRA E VENDA '!$E$2:$E$9318,E136,#REF!)</f>
        <v>#REF!</v>
      </c>
      <c r="G136" s="43">
        <f>SUMIF('CONTROLE DE COMPRA E VENDA '!$E$2:$E$9317,E136,'CONTROLE DE COMPRA E VENDA '!$F$2:$F$9317)</f>
        <v>0</v>
      </c>
      <c r="H136" s="44" t="str">
        <f ca="1">IFERROR(__xludf.DUMMYFUNCTION("VLOOKUP(E136,IMPORTRANGE(""https://docs.google.com/spreadsheets/d/1twE6-cpnyykguqtenQ2Owd-uI9WHiQFG1eK6m-cZxDM/edit#gid=2089456355"",""Lista!A13:e999""),5,FALSE)"),"#REF!")</f>
        <v>#REF!</v>
      </c>
      <c r="I136" s="43" t="e">
        <f t="shared" ca="1" si="1"/>
        <v>#VALUE!</v>
      </c>
      <c r="J136" s="45" t="e">
        <f t="shared" ca="1" si="2"/>
        <v>#VALUE!</v>
      </c>
      <c r="K136" s="46" t="b">
        <f t="shared" si="3"/>
        <v>0</v>
      </c>
      <c r="L136" s="46" t="str">
        <f t="shared" si="4"/>
        <v>Verificar nome na coluna A</v>
      </c>
      <c r="M136" s="42" t="e">
        <f t="shared" ca="1" si="5"/>
        <v>#VALUE!</v>
      </c>
      <c r="N136" s="42" t="e">
        <f t="shared" ca="1" si="6"/>
        <v>#VALUE!</v>
      </c>
      <c r="O136" s="47" t="e">
        <f t="shared" ca="1" si="7"/>
        <v>#VALUE!</v>
      </c>
      <c r="P136" s="48" t="b">
        <f t="shared" si="8"/>
        <v>0</v>
      </c>
      <c r="Q136" s="24" t="e">
        <f t="shared" ca="1" si="9"/>
        <v>#VALUE!</v>
      </c>
      <c r="R136" s="24"/>
      <c r="S136" s="49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</row>
    <row r="137" spans="1:29" ht="15.75" customHeight="1">
      <c r="A137" s="24"/>
      <c r="B137" s="24"/>
      <c r="C137" s="24"/>
      <c r="D137" s="40"/>
      <c r="E137" s="41" t="str">
        <f t="array" ref="E137">IFERROR(INDEX('CONTROLE DE COMPRA E VENDA '!$E$2:E$317,MATCH(0,COUNTIF($E$16:E136,'CONTROLE DE COMPRA E VENDA '!$E$2:E$317),0)),"")</f>
        <v/>
      </c>
      <c r="F137" s="42" t="e">
        <f>SUMIF('CONTROLE DE COMPRA E VENDA '!$E$2:$E$9318,E137,#REF!)/SUMIF('CONTROLE DE COMPRA E VENDA '!$E$2:$E$9318,E137,#REF!)</f>
        <v>#REF!</v>
      </c>
      <c r="G137" s="43">
        <f>SUMIF('CONTROLE DE COMPRA E VENDA '!$E$2:$E$9317,E137,'CONTROLE DE COMPRA E VENDA '!$F$2:$F$9317)</f>
        <v>0</v>
      </c>
      <c r="H137" s="44" t="str">
        <f ca="1">IFERROR(__xludf.DUMMYFUNCTION("VLOOKUP(E137,IMPORTRANGE(""https://docs.google.com/spreadsheets/d/1twE6-cpnyykguqtenQ2Owd-uI9WHiQFG1eK6m-cZxDM/edit#gid=2089456355"",""Lista!A13:e999""),5,FALSE)"),"#REF!")</f>
        <v>#REF!</v>
      </c>
      <c r="I137" s="43" t="e">
        <f t="shared" ca="1" si="1"/>
        <v>#VALUE!</v>
      </c>
      <c r="J137" s="45" t="e">
        <f t="shared" ca="1" si="2"/>
        <v>#VALUE!</v>
      </c>
      <c r="K137" s="46" t="b">
        <f t="shared" si="3"/>
        <v>0</v>
      </c>
      <c r="L137" s="46" t="str">
        <f t="shared" si="4"/>
        <v>Verificar nome na coluna A</v>
      </c>
      <c r="M137" s="42" t="e">
        <f t="shared" ca="1" si="5"/>
        <v>#VALUE!</v>
      </c>
      <c r="N137" s="42" t="e">
        <f t="shared" ca="1" si="6"/>
        <v>#VALUE!</v>
      </c>
      <c r="O137" s="47" t="e">
        <f t="shared" ca="1" si="7"/>
        <v>#VALUE!</v>
      </c>
      <c r="P137" s="48" t="b">
        <f t="shared" si="8"/>
        <v>0</v>
      </c>
      <c r="Q137" s="24" t="e">
        <f t="shared" ca="1" si="9"/>
        <v>#VALUE!</v>
      </c>
      <c r="R137" s="24"/>
      <c r="S137" s="49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</row>
    <row r="138" spans="1:29" ht="15.75" customHeight="1">
      <c r="A138" s="24"/>
      <c r="B138" s="24"/>
      <c r="C138" s="24"/>
      <c r="D138" s="40"/>
      <c r="E138" s="41" t="str">
        <f t="array" ref="E138">IFERROR(INDEX('CONTROLE DE COMPRA E VENDA '!$E$2:E$317,MATCH(0,COUNTIF($E$16:E137,'CONTROLE DE COMPRA E VENDA '!$E$2:E$317),0)),"")</f>
        <v/>
      </c>
      <c r="F138" s="42" t="e">
        <f>SUMIF('CONTROLE DE COMPRA E VENDA '!$E$2:$E$9318,E138,#REF!)/SUMIF('CONTROLE DE COMPRA E VENDA '!$E$2:$E$9318,E138,#REF!)</f>
        <v>#REF!</v>
      </c>
      <c r="G138" s="43">
        <f>SUMIF('CONTROLE DE COMPRA E VENDA '!$E$2:$E$9317,E138,'CONTROLE DE COMPRA E VENDA '!$F$2:$F$9317)</f>
        <v>0</v>
      </c>
      <c r="H138" s="44" t="str">
        <f ca="1">IFERROR(__xludf.DUMMYFUNCTION("VLOOKUP(E138,IMPORTRANGE(""https://docs.google.com/spreadsheets/d/1twE6-cpnyykguqtenQ2Owd-uI9WHiQFG1eK6m-cZxDM/edit#gid=2089456355"",""Lista!A13:e999""),5,FALSE)"),"#REF!")</f>
        <v>#REF!</v>
      </c>
      <c r="I138" s="43" t="e">
        <f t="shared" ca="1" si="1"/>
        <v>#VALUE!</v>
      </c>
      <c r="J138" s="45" t="e">
        <f t="shared" ca="1" si="2"/>
        <v>#VALUE!</v>
      </c>
      <c r="K138" s="46" t="b">
        <f t="shared" si="3"/>
        <v>0</v>
      </c>
      <c r="L138" s="46" t="str">
        <f t="shared" si="4"/>
        <v>Verificar nome na coluna A</v>
      </c>
      <c r="M138" s="42" t="e">
        <f t="shared" ca="1" si="5"/>
        <v>#VALUE!</v>
      </c>
      <c r="N138" s="42" t="e">
        <f t="shared" ca="1" si="6"/>
        <v>#VALUE!</v>
      </c>
      <c r="O138" s="47" t="e">
        <f t="shared" ca="1" si="7"/>
        <v>#VALUE!</v>
      </c>
      <c r="P138" s="48" t="b">
        <f t="shared" si="8"/>
        <v>0</v>
      </c>
      <c r="Q138" s="24" t="e">
        <f t="shared" ca="1" si="9"/>
        <v>#VALUE!</v>
      </c>
      <c r="R138" s="24"/>
      <c r="S138" s="49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</row>
    <row r="139" spans="1:29" ht="15.75" customHeight="1">
      <c r="A139" s="24"/>
      <c r="B139" s="24"/>
      <c r="C139" s="24"/>
      <c r="D139" s="40"/>
      <c r="E139" s="41" t="str">
        <f t="array" ref="E139">IFERROR(INDEX('CONTROLE DE COMPRA E VENDA '!$E$2:E$317,MATCH(0,COUNTIF($E$16:E138,'CONTROLE DE COMPRA E VENDA '!$E$2:E$317),0)),"")</f>
        <v/>
      </c>
      <c r="F139" s="42" t="e">
        <f>SUMIF('CONTROLE DE COMPRA E VENDA '!$E$2:$E$9318,E139,#REF!)/SUMIF('CONTROLE DE COMPRA E VENDA '!$E$2:$E$9318,E139,#REF!)</f>
        <v>#REF!</v>
      </c>
      <c r="G139" s="43">
        <f>SUMIF('CONTROLE DE COMPRA E VENDA '!$E$2:$E$9317,E139,'CONTROLE DE COMPRA E VENDA '!$F$2:$F$9317)</f>
        <v>0</v>
      </c>
      <c r="H139" s="44" t="str">
        <f ca="1">IFERROR(__xludf.DUMMYFUNCTION("VLOOKUP(E139,IMPORTRANGE(""https://docs.google.com/spreadsheets/d/1twE6-cpnyykguqtenQ2Owd-uI9WHiQFG1eK6m-cZxDM/edit#gid=2089456355"",""Lista!A13:e999""),5,FALSE)"),"#REF!")</f>
        <v>#REF!</v>
      </c>
      <c r="I139" s="43" t="e">
        <f t="shared" ca="1" si="1"/>
        <v>#VALUE!</v>
      </c>
      <c r="J139" s="45" t="e">
        <f t="shared" ca="1" si="2"/>
        <v>#VALUE!</v>
      </c>
      <c r="K139" s="46" t="b">
        <f t="shared" si="3"/>
        <v>0</v>
      </c>
      <c r="L139" s="46" t="str">
        <f t="shared" si="4"/>
        <v>Verificar nome na coluna A</v>
      </c>
      <c r="M139" s="42" t="e">
        <f t="shared" ca="1" si="5"/>
        <v>#VALUE!</v>
      </c>
      <c r="N139" s="42" t="e">
        <f t="shared" ca="1" si="6"/>
        <v>#VALUE!</v>
      </c>
      <c r="O139" s="47" t="e">
        <f t="shared" ca="1" si="7"/>
        <v>#VALUE!</v>
      </c>
      <c r="P139" s="48" t="b">
        <f t="shared" si="8"/>
        <v>0</v>
      </c>
      <c r="Q139" s="24" t="e">
        <f t="shared" ca="1" si="9"/>
        <v>#VALUE!</v>
      </c>
      <c r="R139" s="24"/>
      <c r="S139" s="49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</row>
    <row r="140" spans="1:29" ht="15.75" customHeight="1">
      <c r="A140" s="24"/>
      <c r="B140" s="24"/>
      <c r="C140" s="24"/>
      <c r="D140" s="40"/>
      <c r="E140" s="41" t="str">
        <f t="array" ref="E140">IFERROR(INDEX('CONTROLE DE COMPRA E VENDA '!$E$2:E$317,MATCH(0,COUNTIF($E$16:E139,'CONTROLE DE COMPRA E VENDA '!$E$2:E$317),0)),"")</f>
        <v/>
      </c>
      <c r="F140" s="42" t="e">
        <f>SUMIF('CONTROLE DE COMPRA E VENDA '!$E$2:$E$9318,E140,#REF!)/SUMIF('CONTROLE DE COMPRA E VENDA '!$E$2:$E$9318,E140,#REF!)</f>
        <v>#REF!</v>
      </c>
      <c r="G140" s="43">
        <f>SUMIF('CONTROLE DE COMPRA E VENDA '!$E$2:$E$9317,E140,'CONTROLE DE COMPRA E VENDA '!$F$2:$F$9317)</f>
        <v>0</v>
      </c>
      <c r="H140" s="44" t="str">
        <f ca="1">IFERROR(__xludf.DUMMYFUNCTION("VLOOKUP(E140,IMPORTRANGE(""https://docs.google.com/spreadsheets/d/1twE6-cpnyykguqtenQ2Owd-uI9WHiQFG1eK6m-cZxDM/edit#gid=2089456355"",""Lista!A13:e999""),5,FALSE)"),"#REF!")</f>
        <v>#REF!</v>
      </c>
      <c r="I140" s="43" t="e">
        <f t="shared" ca="1" si="1"/>
        <v>#VALUE!</v>
      </c>
      <c r="J140" s="45" t="e">
        <f t="shared" ca="1" si="2"/>
        <v>#VALUE!</v>
      </c>
      <c r="K140" s="46" t="b">
        <f t="shared" si="3"/>
        <v>0</v>
      </c>
      <c r="L140" s="46" t="str">
        <f t="shared" si="4"/>
        <v>Verificar nome na coluna A</v>
      </c>
      <c r="M140" s="42" t="e">
        <f t="shared" ca="1" si="5"/>
        <v>#VALUE!</v>
      </c>
      <c r="N140" s="42" t="e">
        <f t="shared" ca="1" si="6"/>
        <v>#VALUE!</v>
      </c>
      <c r="O140" s="47" t="e">
        <f t="shared" ca="1" si="7"/>
        <v>#VALUE!</v>
      </c>
      <c r="P140" s="48" t="b">
        <f t="shared" si="8"/>
        <v>0</v>
      </c>
      <c r="Q140" s="24" t="e">
        <f t="shared" ca="1" si="9"/>
        <v>#VALUE!</v>
      </c>
      <c r="R140" s="24"/>
      <c r="S140" s="49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</row>
    <row r="141" spans="1:29" ht="15.75" customHeight="1">
      <c r="A141" s="24"/>
      <c r="B141" s="24"/>
      <c r="C141" s="24"/>
      <c r="D141" s="40"/>
      <c r="E141" s="41" t="str">
        <f t="array" ref="E141">IFERROR(INDEX('CONTROLE DE COMPRA E VENDA '!$E$2:E$317,MATCH(0,COUNTIF($E$16:E140,'CONTROLE DE COMPRA E VENDA '!$E$2:E$317),0)),"")</f>
        <v/>
      </c>
      <c r="F141" s="42" t="e">
        <f>SUMIF('CONTROLE DE COMPRA E VENDA '!$E$2:$E$9318,E141,#REF!)/SUMIF('CONTROLE DE COMPRA E VENDA '!$E$2:$E$9318,E141,#REF!)</f>
        <v>#REF!</v>
      </c>
      <c r="G141" s="43">
        <f>SUMIF('CONTROLE DE COMPRA E VENDA '!$E$2:$E$9317,E141,'CONTROLE DE COMPRA E VENDA '!$F$2:$F$9317)</f>
        <v>0</v>
      </c>
      <c r="H141" s="44" t="str">
        <f ca="1">IFERROR(__xludf.DUMMYFUNCTION("VLOOKUP(E141,IMPORTRANGE(""https://docs.google.com/spreadsheets/d/1twE6-cpnyykguqtenQ2Owd-uI9WHiQFG1eK6m-cZxDM/edit#gid=2089456355"",""Lista!A13:e999""),5,FALSE)"),"#REF!")</f>
        <v>#REF!</v>
      </c>
      <c r="I141" s="43" t="e">
        <f t="shared" ca="1" si="1"/>
        <v>#VALUE!</v>
      </c>
      <c r="J141" s="45" t="e">
        <f t="shared" ca="1" si="2"/>
        <v>#VALUE!</v>
      </c>
      <c r="K141" s="46" t="b">
        <f t="shared" si="3"/>
        <v>0</v>
      </c>
      <c r="L141" s="46" t="str">
        <f t="shared" si="4"/>
        <v>Verificar nome na coluna A</v>
      </c>
      <c r="M141" s="42" t="e">
        <f t="shared" ca="1" si="5"/>
        <v>#VALUE!</v>
      </c>
      <c r="N141" s="42" t="e">
        <f t="shared" ca="1" si="6"/>
        <v>#VALUE!</v>
      </c>
      <c r="O141" s="47" t="e">
        <f t="shared" ca="1" si="7"/>
        <v>#VALUE!</v>
      </c>
      <c r="P141" s="48" t="b">
        <f t="shared" si="8"/>
        <v>0</v>
      </c>
      <c r="Q141" s="24" t="e">
        <f t="shared" ca="1" si="9"/>
        <v>#VALUE!</v>
      </c>
      <c r="R141" s="24"/>
      <c r="S141" s="49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</row>
    <row r="142" spans="1:29" ht="15.75" customHeight="1">
      <c r="A142" s="24"/>
      <c r="B142" s="24"/>
      <c r="C142" s="24"/>
      <c r="D142" s="40"/>
      <c r="E142" s="41" t="str">
        <f t="array" ref="E142">IFERROR(INDEX('CONTROLE DE COMPRA E VENDA '!$E$2:E$317,MATCH(0,COUNTIF($E$16:E141,'CONTROLE DE COMPRA E VENDA '!$E$2:E$317),0)),"")</f>
        <v/>
      </c>
      <c r="F142" s="42" t="e">
        <f>SUMIF('CONTROLE DE COMPRA E VENDA '!$E$2:$E$9318,E142,#REF!)/SUMIF('CONTROLE DE COMPRA E VENDA '!$E$2:$E$9318,E142,#REF!)</f>
        <v>#REF!</v>
      </c>
      <c r="G142" s="43">
        <f>SUMIF('CONTROLE DE COMPRA E VENDA '!$E$2:$E$9317,E142,'CONTROLE DE COMPRA E VENDA '!$F$2:$F$9317)</f>
        <v>0</v>
      </c>
      <c r="H142" s="44" t="str">
        <f ca="1">IFERROR(__xludf.DUMMYFUNCTION("VLOOKUP(E142,IMPORTRANGE(""https://docs.google.com/spreadsheets/d/1twE6-cpnyykguqtenQ2Owd-uI9WHiQFG1eK6m-cZxDM/edit#gid=2089456355"",""Lista!A13:e999""),5,FALSE)"),"#REF!")</f>
        <v>#REF!</v>
      </c>
      <c r="I142" s="43" t="e">
        <f t="shared" ca="1" si="1"/>
        <v>#VALUE!</v>
      </c>
      <c r="J142" s="45" t="e">
        <f t="shared" ca="1" si="2"/>
        <v>#VALUE!</v>
      </c>
      <c r="K142" s="46" t="b">
        <f t="shared" si="3"/>
        <v>0</v>
      </c>
      <c r="L142" s="46" t="str">
        <f t="shared" si="4"/>
        <v>Verificar nome na coluna A</v>
      </c>
      <c r="M142" s="42" t="e">
        <f t="shared" ca="1" si="5"/>
        <v>#VALUE!</v>
      </c>
      <c r="N142" s="42" t="e">
        <f t="shared" ca="1" si="6"/>
        <v>#VALUE!</v>
      </c>
      <c r="O142" s="47" t="e">
        <f t="shared" ca="1" si="7"/>
        <v>#VALUE!</v>
      </c>
      <c r="P142" s="48" t="b">
        <f t="shared" si="8"/>
        <v>0</v>
      </c>
      <c r="Q142" s="24" t="e">
        <f t="shared" ca="1" si="9"/>
        <v>#VALUE!</v>
      </c>
      <c r="R142" s="24"/>
      <c r="S142" s="49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</row>
    <row r="143" spans="1:29" ht="15.75" customHeight="1">
      <c r="A143" s="24"/>
      <c r="B143" s="24"/>
      <c r="C143" s="24"/>
      <c r="D143" s="40"/>
      <c r="E143" s="41" t="str">
        <f t="array" ref="E143">IFERROR(INDEX('CONTROLE DE COMPRA E VENDA '!$E$2:E$317,MATCH(0,COUNTIF($E$16:E142,'CONTROLE DE COMPRA E VENDA '!$E$2:E$317),0)),"")</f>
        <v/>
      </c>
      <c r="F143" s="42" t="e">
        <f>SUMIF('CONTROLE DE COMPRA E VENDA '!$E$2:$E$9318,E143,#REF!)/SUMIF('CONTROLE DE COMPRA E VENDA '!$E$2:$E$9318,E143,#REF!)</f>
        <v>#REF!</v>
      </c>
      <c r="G143" s="43">
        <f>SUMIF('CONTROLE DE COMPRA E VENDA '!$E$2:$E$9317,E143,'CONTROLE DE COMPRA E VENDA '!$F$2:$F$9317)</f>
        <v>0</v>
      </c>
      <c r="H143" s="44" t="str">
        <f ca="1">IFERROR(__xludf.DUMMYFUNCTION("VLOOKUP(E143,IMPORTRANGE(""https://docs.google.com/spreadsheets/d/1twE6-cpnyykguqtenQ2Owd-uI9WHiQFG1eK6m-cZxDM/edit#gid=2089456355"",""Lista!A13:e999""),5,FALSE)"),"#REF!")</f>
        <v>#REF!</v>
      </c>
      <c r="I143" s="43" t="e">
        <f t="shared" ca="1" si="1"/>
        <v>#VALUE!</v>
      </c>
      <c r="J143" s="45" t="e">
        <f t="shared" ca="1" si="2"/>
        <v>#VALUE!</v>
      </c>
      <c r="K143" s="46" t="b">
        <f t="shared" si="3"/>
        <v>0</v>
      </c>
      <c r="L143" s="46" t="str">
        <f t="shared" si="4"/>
        <v>Verificar nome na coluna A</v>
      </c>
      <c r="M143" s="42" t="e">
        <f t="shared" ca="1" si="5"/>
        <v>#VALUE!</v>
      </c>
      <c r="N143" s="42" t="e">
        <f t="shared" ca="1" si="6"/>
        <v>#VALUE!</v>
      </c>
      <c r="O143" s="47" t="e">
        <f t="shared" ca="1" si="7"/>
        <v>#VALUE!</v>
      </c>
      <c r="P143" s="48" t="b">
        <f t="shared" si="8"/>
        <v>0</v>
      </c>
      <c r="Q143" s="24" t="e">
        <f t="shared" ca="1" si="9"/>
        <v>#VALUE!</v>
      </c>
      <c r="R143" s="24"/>
      <c r="S143" s="49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</row>
    <row r="144" spans="1:29" ht="15.75" customHeight="1">
      <c r="A144" s="24"/>
      <c r="B144" s="24"/>
      <c r="C144" s="24"/>
      <c r="D144" s="40"/>
      <c r="E144" s="41" t="str">
        <f t="array" ref="E144">IFERROR(INDEX('CONTROLE DE COMPRA E VENDA '!$E$2:E$317,MATCH(0,COUNTIF($E$16:E143,'CONTROLE DE COMPRA E VENDA '!$E$2:E$317),0)),"")</f>
        <v/>
      </c>
      <c r="F144" s="42" t="e">
        <f>SUMIF('CONTROLE DE COMPRA E VENDA '!$E$2:$E$9318,E144,#REF!)/SUMIF('CONTROLE DE COMPRA E VENDA '!$E$2:$E$9318,E144,#REF!)</f>
        <v>#REF!</v>
      </c>
      <c r="G144" s="43">
        <f>SUMIF('CONTROLE DE COMPRA E VENDA '!$E$2:$E$9317,E144,'CONTROLE DE COMPRA E VENDA '!$F$2:$F$9317)</f>
        <v>0</v>
      </c>
      <c r="H144" s="44" t="str">
        <f ca="1">IFERROR(__xludf.DUMMYFUNCTION("VLOOKUP(E144,IMPORTRANGE(""https://docs.google.com/spreadsheets/d/1twE6-cpnyykguqtenQ2Owd-uI9WHiQFG1eK6m-cZxDM/edit#gid=2089456355"",""Lista!A13:e999""),5,FALSE)"),"#REF!")</f>
        <v>#REF!</v>
      </c>
      <c r="I144" s="43" t="e">
        <f t="shared" ca="1" si="1"/>
        <v>#VALUE!</v>
      </c>
      <c r="J144" s="45" t="e">
        <f t="shared" ca="1" si="2"/>
        <v>#VALUE!</v>
      </c>
      <c r="K144" s="46" t="b">
        <f t="shared" si="3"/>
        <v>0</v>
      </c>
      <c r="L144" s="46" t="str">
        <f t="shared" si="4"/>
        <v>Verificar nome na coluna A</v>
      </c>
      <c r="M144" s="42" t="e">
        <f t="shared" ca="1" si="5"/>
        <v>#VALUE!</v>
      </c>
      <c r="N144" s="42" t="e">
        <f t="shared" ca="1" si="6"/>
        <v>#VALUE!</v>
      </c>
      <c r="O144" s="47" t="e">
        <f t="shared" ca="1" si="7"/>
        <v>#VALUE!</v>
      </c>
      <c r="P144" s="48" t="b">
        <f t="shared" si="8"/>
        <v>0</v>
      </c>
      <c r="Q144" s="24" t="e">
        <f t="shared" ca="1" si="9"/>
        <v>#VALUE!</v>
      </c>
      <c r="R144" s="24"/>
      <c r="S144" s="49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</row>
    <row r="145" spans="1:29" ht="15.75" customHeight="1">
      <c r="A145" s="24"/>
      <c r="B145" s="24"/>
      <c r="C145" s="24"/>
      <c r="D145" s="40"/>
      <c r="E145" s="41" t="str">
        <f t="array" ref="E145">IFERROR(INDEX('CONTROLE DE COMPRA E VENDA '!$E$2:E$317,MATCH(0,COUNTIF($E$16:E144,'CONTROLE DE COMPRA E VENDA '!$E$2:E$317),0)),"")</f>
        <v/>
      </c>
      <c r="F145" s="42" t="e">
        <f>SUMIF('CONTROLE DE COMPRA E VENDA '!$E$2:$E$9318,E145,#REF!)/SUMIF('CONTROLE DE COMPRA E VENDA '!$E$2:$E$9318,E145,#REF!)</f>
        <v>#REF!</v>
      </c>
      <c r="G145" s="43">
        <f>SUMIF('CONTROLE DE COMPRA E VENDA '!$E$2:$E$9317,E145,'CONTROLE DE COMPRA E VENDA '!$F$2:$F$9317)</f>
        <v>0</v>
      </c>
      <c r="H145" s="44" t="str">
        <f ca="1">IFERROR(__xludf.DUMMYFUNCTION("VLOOKUP(E145,IMPORTRANGE(""https://docs.google.com/spreadsheets/d/1twE6-cpnyykguqtenQ2Owd-uI9WHiQFG1eK6m-cZxDM/edit#gid=2089456355"",""Lista!A13:e999""),5,FALSE)"),"#REF!")</f>
        <v>#REF!</v>
      </c>
      <c r="I145" s="43" t="e">
        <f t="shared" ca="1" si="1"/>
        <v>#VALUE!</v>
      </c>
      <c r="J145" s="45" t="e">
        <f t="shared" ca="1" si="2"/>
        <v>#VALUE!</v>
      </c>
      <c r="K145" s="46" t="b">
        <f t="shared" si="3"/>
        <v>0</v>
      </c>
      <c r="L145" s="46" t="str">
        <f t="shared" si="4"/>
        <v>Verificar nome na coluna A</v>
      </c>
      <c r="M145" s="42" t="e">
        <f t="shared" ca="1" si="5"/>
        <v>#VALUE!</v>
      </c>
      <c r="N145" s="42" t="e">
        <f t="shared" ca="1" si="6"/>
        <v>#VALUE!</v>
      </c>
      <c r="O145" s="47" t="e">
        <f t="shared" ca="1" si="7"/>
        <v>#VALUE!</v>
      </c>
      <c r="P145" s="48" t="b">
        <f t="shared" si="8"/>
        <v>0</v>
      </c>
      <c r="Q145" s="24" t="e">
        <f t="shared" ca="1" si="9"/>
        <v>#VALUE!</v>
      </c>
      <c r="R145" s="24"/>
      <c r="S145" s="49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</row>
    <row r="146" spans="1:29" ht="15.75" customHeight="1">
      <c r="A146" s="24"/>
      <c r="B146" s="24"/>
      <c r="C146" s="24"/>
      <c r="D146" s="40"/>
      <c r="E146" s="41" t="str">
        <f t="array" ref="E146">IFERROR(INDEX('CONTROLE DE COMPRA E VENDA '!$E$2:E$317,MATCH(0,COUNTIF($E$16:E145,'CONTROLE DE COMPRA E VENDA '!$E$2:E$317),0)),"")</f>
        <v/>
      </c>
      <c r="F146" s="42" t="e">
        <f>SUMIF('CONTROLE DE COMPRA E VENDA '!$E$2:$E$9318,E146,#REF!)/SUMIF('CONTROLE DE COMPRA E VENDA '!$E$2:$E$9318,E146,#REF!)</f>
        <v>#REF!</v>
      </c>
      <c r="G146" s="43">
        <f>SUMIF('CONTROLE DE COMPRA E VENDA '!$E$2:$E$9317,E146,'CONTROLE DE COMPRA E VENDA '!$F$2:$F$9317)</f>
        <v>0</v>
      </c>
      <c r="H146" s="44" t="str">
        <f ca="1">IFERROR(__xludf.DUMMYFUNCTION("VLOOKUP(E146,IMPORTRANGE(""https://docs.google.com/spreadsheets/d/1twE6-cpnyykguqtenQ2Owd-uI9WHiQFG1eK6m-cZxDM/edit#gid=2089456355"",""Lista!A13:e999""),5,FALSE)"),"#REF!")</f>
        <v>#REF!</v>
      </c>
      <c r="I146" s="43" t="e">
        <f t="shared" ca="1" si="1"/>
        <v>#VALUE!</v>
      </c>
      <c r="J146" s="45" t="e">
        <f t="shared" ca="1" si="2"/>
        <v>#VALUE!</v>
      </c>
      <c r="K146" s="46" t="b">
        <f t="shared" si="3"/>
        <v>0</v>
      </c>
      <c r="L146" s="46" t="str">
        <f t="shared" si="4"/>
        <v>Verificar nome na coluna A</v>
      </c>
      <c r="M146" s="42" t="e">
        <f t="shared" ca="1" si="5"/>
        <v>#VALUE!</v>
      </c>
      <c r="N146" s="42" t="e">
        <f t="shared" ca="1" si="6"/>
        <v>#VALUE!</v>
      </c>
      <c r="O146" s="47" t="e">
        <f t="shared" ca="1" si="7"/>
        <v>#VALUE!</v>
      </c>
      <c r="P146" s="48" t="b">
        <f t="shared" si="8"/>
        <v>0</v>
      </c>
      <c r="Q146" s="24" t="e">
        <f t="shared" ca="1" si="9"/>
        <v>#VALUE!</v>
      </c>
      <c r="R146" s="24"/>
      <c r="S146" s="49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</row>
    <row r="147" spans="1:29" ht="15.75" customHeight="1">
      <c r="A147" s="24"/>
      <c r="B147" s="24"/>
      <c r="C147" s="24"/>
      <c r="D147" s="40"/>
      <c r="E147" s="41" t="str">
        <f t="array" ref="E147">IFERROR(INDEX('CONTROLE DE COMPRA E VENDA '!$E$2:E$317,MATCH(0,COUNTIF($E$16:E146,'CONTROLE DE COMPRA E VENDA '!$E$2:E$317),0)),"")</f>
        <v/>
      </c>
      <c r="F147" s="42" t="e">
        <f>SUMIF('CONTROLE DE COMPRA E VENDA '!$E$2:$E$9318,E147,#REF!)/SUMIF('CONTROLE DE COMPRA E VENDA '!$E$2:$E$9318,E147,#REF!)</f>
        <v>#REF!</v>
      </c>
      <c r="G147" s="43">
        <f>SUMIF('CONTROLE DE COMPRA E VENDA '!$E$2:$E$9317,E147,'CONTROLE DE COMPRA E VENDA '!$F$2:$F$9317)</f>
        <v>0</v>
      </c>
      <c r="H147" s="44" t="str">
        <f ca="1">IFERROR(__xludf.DUMMYFUNCTION("VLOOKUP(E147,IMPORTRANGE(""https://docs.google.com/spreadsheets/d/1twE6-cpnyykguqtenQ2Owd-uI9WHiQFG1eK6m-cZxDM/edit#gid=2089456355"",""Lista!A13:e999""),5,FALSE)"),"#REF!")</f>
        <v>#REF!</v>
      </c>
      <c r="I147" s="43" t="e">
        <f t="shared" ca="1" si="1"/>
        <v>#VALUE!</v>
      </c>
      <c r="J147" s="45" t="e">
        <f t="shared" ca="1" si="2"/>
        <v>#VALUE!</v>
      </c>
      <c r="K147" s="46" t="b">
        <f t="shared" si="3"/>
        <v>0</v>
      </c>
      <c r="L147" s="46" t="str">
        <f t="shared" si="4"/>
        <v>Verificar nome na coluna A</v>
      </c>
      <c r="M147" s="42" t="e">
        <f t="shared" ca="1" si="5"/>
        <v>#VALUE!</v>
      </c>
      <c r="N147" s="42" t="e">
        <f t="shared" ca="1" si="6"/>
        <v>#VALUE!</v>
      </c>
      <c r="O147" s="47" t="e">
        <f t="shared" ca="1" si="7"/>
        <v>#VALUE!</v>
      </c>
      <c r="P147" s="48" t="b">
        <f t="shared" si="8"/>
        <v>0</v>
      </c>
      <c r="Q147" s="24" t="e">
        <f t="shared" ca="1" si="9"/>
        <v>#VALUE!</v>
      </c>
      <c r="R147" s="24"/>
      <c r="S147" s="49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</row>
    <row r="148" spans="1:29" ht="15.75" customHeight="1">
      <c r="A148" s="24"/>
      <c r="B148" s="24"/>
      <c r="C148" s="24"/>
      <c r="D148" s="40"/>
      <c r="E148" s="41" t="str">
        <f t="array" ref="E148">IFERROR(INDEX('CONTROLE DE COMPRA E VENDA '!$E$2:E$317,MATCH(0,COUNTIF($E$16:E147,'CONTROLE DE COMPRA E VENDA '!$E$2:E$317),0)),"")</f>
        <v/>
      </c>
      <c r="F148" s="42" t="e">
        <f>SUMIF('CONTROLE DE COMPRA E VENDA '!$E$2:$E$9318,E148,#REF!)/SUMIF('CONTROLE DE COMPRA E VENDA '!$E$2:$E$9318,E148,#REF!)</f>
        <v>#REF!</v>
      </c>
      <c r="G148" s="43">
        <f>SUMIF('CONTROLE DE COMPRA E VENDA '!$E$2:$E$9317,E148,'CONTROLE DE COMPRA E VENDA '!$F$2:$F$9317)</f>
        <v>0</v>
      </c>
      <c r="H148" s="44" t="str">
        <f ca="1">IFERROR(__xludf.DUMMYFUNCTION("VLOOKUP(E148,IMPORTRANGE(""https://docs.google.com/spreadsheets/d/1twE6-cpnyykguqtenQ2Owd-uI9WHiQFG1eK6m-cZxDM/edit#gid=2089456355"",""Lista!A13:e999""),5,FALSE)"),"#REF!")</f>
        <v>#REF!</v>
      </c>
      <c r="I148" s="43" t="e">
        <f t="shared" ca="1" si="1"/>
        <v>#VALUE!</v>
      </c>
      <c r="J148" s="45" t="e">
        <f t="shared" ca="1" si="2"/>
        <v>#VALUE!</v>
      </c>
      <c r="K148" s="46" t="b">
        <f t="shared" si="3"/>
        <v>0</v>
      </c>
      <c r="L148" s="46" t="str">
        <f t="shared" si="4"/>
        <v>Verificar nome na coluna A</v>
      </c>
      <c r="M148" s="42" t="e">
        <f t="shared" ca="1" si="5"/>
        <v>#VALUE!</v>
      </c>
      <c r="N148" s="42" t="e">
        <f t="shared" ca="1" si="6"/>
        <v>#VALUE!</v>
      </c>
      <c r="O148" s="47" t="e">
        <f t="shared" ca="1" si="7"/>
        <v>#VALUE!</v>
      </c>
      <c r="P148" s="48" t="b">
        <f t="shared" si="8"/>
        <v>0</v>
      </c>
      <c r="Q148" s="24" t="e">
        <f t="shared" ca="1" si="9"/>
        <v>#VALUE!</v>
      </c>
      <c r="R148" s="24"/>
      <c r="S148" s="49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</row>
    <row r="149" spans="1:29" ht="15.75" customHeight="1">
      <c r="A149" s="24"/>
      <c r="B149" s="24"/>
      <c r="C149" s="24"/>
      <c r="D149" s="40"/>
      <c r="E149" s="41" t="str">
        <f t="array" ref="E149">IFERROR(INDEX('CONTROLE DE COMPRA E VENDA '!$E$2:E$317,MATCH(0,COUNTIF($E$16:E148,'CONTROLE DE COMPRA E VENDA '!$E$2:E$317),0)),"")</f>
        <v/>
      </c>
      <c r="F149" s="42" t="e">
        <f>SUMIF('CONTROLE DE COMPRA E VENDA '!$E$2:$E$9318,E149,#REF!)/SUMIF('CONTROLE DE COMPRA E VENDA '!$E$2:$E$9318,E149,#REF!)</f>
        <v>#REF!</v>
      </c>
      <c r="G149" s="43">
        <f>SUMIF('CONTROLE DE COMPRA E VENDA '!$E$2:$E$9317,E149,'CONTROLE DE COMPRA E VENDA '!$F$2:$F$9317)</f>
        <v>0</v>
      </c>
      <c r="H149" s="44" t="str">
        <f ca="1">IFERROR(__xludf.DUMMYFUNCTION("VLOOKUP(E149,IMPORTRANGE(""https://docs.google.com/spreadsheets/d/1twE6-cpnyykguqtenQ2Owd-uI9WHiQFG1eK6m-cZxDM/edit#gid=2089456355"",""Lista!A13:e999""),5,FALSE)"),"#REF!")</f>
        <v>#REF!</v>
      </c>
      <c r="I149" s="43" t="e">
        <f t="shared" ca="1" si="1"/>
        <v>#VALUE!</v>
      </c>
      <c r="J149" s="45" t="e">
        <f t="shared" ca="1" si="2"/>
        <v>#VALUE!</v>
      </c>
      <c r="K149" s="46" t="b">
        <f t="shared" si="3"/>
        <v>0</v>
      </c>
      <c r="L149" s="46" t="str">
        <f t="shared" si="4"/>
        <v>Verificar nome na coluna A</v>
      </c>
      <c r="M149" s="42" t="e">
        <f t="shared" ca="1" si="5"/>
        <v>#VALUE!</v>
      </c>
      <c r="N149" s="42" t="e">
        <f t="shared" ca="1" si="6"/>
        <v>#VALUE!</v>
      </c>
      <c r="O149" s="47" t="e">
        <f t="shared" ca="1" si="7"/>
        <v>#VALUE!</v>
      </c>
      <c r="P149" s="48" t="b">
        <f t="shared" si="8"/>
        <v>0</v>
      </c>
      <c r="Q149" s="24" t="e">
        <f t="shared" ca="1" si="9"/>
        <v>#VALUE!</v>
      </c>
      <c r="R149" s="24"/>
      <c r="S149" s="49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</row>
    <row r="150" spans="1:29" ht="15.75" customHeight="1">
      <c r="A150" s="24"/>
      <c r="B150" s="24"/>
      <c r="C150" s="24"/>
      <c r="D150" s="40"/>
      <c r="E150" s="41" t="str">
        <f t="array" ref="E150">IFERROR(INDEX('CONTROLE DE COMPRA E VENDA '!$E$2:E$317,MATCH(0,COUNTIF($E$16:E149,'CONTROLE DE COMPRA E VENDA '!$E$2:E$317),0)),"")</f>
        <v/>
      </c>
      <c r="F150" s="42" t="e">
        <f>SUMIF('CONTROLE DE COMPRA E VENDA '!$E$2:$E$9318,E150,#REF!)/SUMIF('CONTROLE DE COMPRA E VENDA '!$E$2:$E$9318,E150,#REF!)</f>
        <v>#REF!</v>
      </c>
      <c r="G150" s="43">
        <f>SUMIF('CONTROLE DE COMPRA E VENDA '!$E$2:$E$9317,E150,'CONTROLE DE COMPRA E VENDA '!$F$2:$F$9317)</f>
        <v>0</v>
      </c>
      <c r="H150" s="44" t="str">
        <f ca="1">IFERROR(__xludf.DUMMYFUNCTION("VLOOKUP(E150,IMPORTRANGE(""https://docs.google.com/spreadsheets/d/1twE6-cpnyykguqtenQ2Owd-uI9WHiQFG1eK6m-cZxDM/edit#gid=2089456355"",""Lista!A13:e999""),5,FALSE)"),"#REF!")</f>
        <v>#REF!</v>
      </c>
      <c r="I150" s="43" t="e">
        <f t="shared" ca="1" si="1"/>
        <v>#VALUE!</v>
      </c>
      <c r="J150" s="45" t="e">
        <f t="shared" ca="1" si="2"/>
        <v>#VALUE!</v>
      </c>
      <c r="K150" s="46" t="b">
        <f t="shared" si="3"/>
        <v>0</v>
      </c>
      <c r="L150" s="46" t="str">
        <f t="shared" si="4"/>
        <v>Verificar nome na coluna A</v>
      </c>
      <c r="M150" s="42" t="e">
        <f t="shared" ca="1" si="5"/>
        <v>#VALUE!</v>
      </c>
      <c r="N150" s="42" t="e">
        <f t="shared" ca="1" si="6"/>
        <v>#VALUE!</v>
      </c>
      <c r="O150" s="47" t="e">
        <f t="shared" ca="1" si="7"/>
        <v>#VALUE!</v>
      </c>
      <c r="P150" s="48" t="b">
        <f t="shared" si="8"/>
        <v>0</v>
      </c>
      <c r="Q150" s="24" t="e">
        <f t="shared" ca="1" si="9"/>
        <v>#VALUE!</v>
      </c>
      <c r="R150" s="24"/>
      <c r="S150" s="49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</row>
    <row r="151" spans="1:29" ht="15.75" customHeight="1">
      <c r="A151" s="24"/>
      <c r="B151" s="24"/>
      <c r="C151" s="24"/>
      <c r="D151" s="40"/>
      <c r="E151" s="41" t="str">
        <f t="array" ref="E151">IFERROR(INDEX('CONTROLE DE COMPRA E VENDA '!$E$2:E$317,MATCH(0,COUNTIF($E$16:E150,'CONTROLE DE COMPRA E VENDA '!$E$2:E$317),0)),"")</f>
        <v/>
      </c>
      <c r="F151" s="42" t="e">
        <f>SUMIF('CONTROLE DE COMPRA E VENDA '!$E$2:$E$9318,E151,#REF!)/SUMIF('CONTROLE DE COMPRA E VENDA '!$E$2:$E$9318,E151,#REF!)</f>
        <v>#REF!</v>
      </c>
      <c r="G151" s="43">
        <f>SUMIF('CONTROLE DE COMPRA E VENDA '!$E$2:$E$9317,E151,'CONTROLE DE COMPRA E VENDA '!$F$2:$F$9317)</f>
        <v>0</v>
      </c>
      <c r="H151" s="44" t="str">
        <f ca="1">IFERROR(__xludf.DUMMYFUNCTION("VLOOKUP(E151,IMPORTRANGE(""https://docs.google.com/spreadsheets/d/1twE6-cpnyykguqtenQ2Owd-uI9WHiQFG1eK6m-cZxDM/edit#gid=2089456355"",""Lista!A13:e999""),5,FALSE)"),"#REF!")</f>
        <v>#REF!</v>
      </c>
      <c r="I151" s="43" t="e">
        <f t="shared" ca="1" si="1"/>
        <v>#VALUE!</v>
      </c>
      <c r="J151" s="45" t="e">
        <f t="shared" ca="1" si="2"/>
        <v>#VALUE!</v>
      </c>
      <c r="K151" s="46" t="b">
        <f t="shared" si="3"/>
        <v>0</v>
      </c>
      <c r="L151" s="46" t="str">
        <f t="shared" si="4"/>
        <v>Verificar nome na coluna A</v>
      </c>
      <c r="M151" s="42" t="e">
        <f t="shared" ca="1" si="5"/>
        <v>#VALUE!</v>
      </c>
      <c r="N151" s="42" t="e">
        <f t="shared" ca="1" si="6"/>
        <v>#VALUE!</v>
      </c>
      <c r="O151" s="47" t="e">
        <f t="shared" ca="1" si="7"/>
        <v>#VALUE!</v>
      </c>
      <c r="P151" s="48" t="b">
        <f t="shared" si="8"/>
        <v>0</v>
      </c>
      <c r="Q151" s="24" t="e">
        <f t="shared" ca="1" si="9"/>
        <v>#VALUE!</v>
      </c>
      <c r="R151" s="24"/>
      <c r="S151" s="49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</row>
    <row r="152" spans="1:29" ht="15.75" customHeight="1">
      <c r="A152" s="24"/>
      <c r="B152" s="24"/>
      <c r="C152" s="24"/>
      <c r="D152" s="40"/>
      <c r="E152" s="41" t="str">
        <f t="array" ref="E152">IFERROR(INDEX('CONTROLE DE COMPRA E VENDA '!$E$2:E$317,MATCH(0,COUNTIF($E$16:E151,'CONTROLE DE COMPRA E VENDA '!$E$2:E$317),0)),"")</f>
        <v/>
      </c>
      <c r="F152" s="42" t="e">
        <f>SUMIF('CONTROLE DE COMPRA E VENDA '!$E$2:$E$9318,E152,#REF!)/SUMIF('CONTROLE DE COMPRA E VENDA '!$E$2:$E$9318,E152,#REF!)</f>
        <v>#REF!</v>
      </c>
      <c r="G152" s="43">
        <f>SUMIF('CONTROLE DE COMPRA E VENDA '!$E$2:$E$9317,E152,'CONTROLE DE COMPRA E VENDA '!$F$2:$F$9317)</f>
        <v>0</v>
      </c>
      <c r="H152" s="44" t="str">
        <f ca="1">IFERROR(__xludf.DUMMYFUNCTION("VLOOKUP(E152,IMPORTRANGE(""https://docs.google.com/spreadsheets/d/1twE6-cpnyykguqtenQ2Owd-uI9WHiQFG1eK6m-cZxDM/edit#gid=2089456355"",""Lista!A13:e999""),5,FALSE)"),"#REF!")</f>
        <v>#REF!</v>
      </c>
      <c r="I152" s="43" t="e">
        <f t="shared" ca="1" si="1"/>
        <v>#VALUE!</v>
      </c>
      <c r="J152" s="45" t="e">
        <f t="shared" ca="1" si="2"/>
        <v>#VALUE!</v>
      </c>
      <c r="K152" s="46" t="b">
        <f t="shared" si="3"/>
        <v>0</v>
      </c>
      <c r="L152" s="46" t="str">
        <f t="shared" si="4"/>
        <v>Verificar nome na coluna A</v>
      </c>
      <c r="M152" s="42" t="e">
        <f t="shared" ca="1" si="5"/>
        <v>#VALUE!</v>
      </c>
      <c r="N152" s="42" t="e">
        <f t="shared" ca="1" si="6"/>
        <v>#VALUE!</v>
      </c>
      <c r="O152" s="47" t="e">
        <f t="shared" ca="1" si="7"/>
        <v>#VALUE!</v>
      </c>
      <c r="P152" s="48" t="b">
        <f t="shared" si="8"/>
        <v>0</v>
      </c>
      <c r="Q152" s="24" t="e">
        <f t="shared" ca="1" si="9"/>
        <v>#VALUE!</v>
      </c>
      <c r="R152" s="24"/>
      <c r="S152" s="49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</row>
    <row r="153" spans="1:29" ht="15.75" customHeight="1">
      <c r="A153" s="24"/>
      <c r="B153" s="24"/>
      <c r="C153" s="24"/>
      <c r="D153" s="40"/>
      <c r="E153" s="41" t="str">
        <f t="array" ref="E153">IFERROR(INDEX('CONTROLE DE COMPRA E VENDA '!$E$2:E$317,MATCH(0,COUNTIF($E$16:E152,'CONTROLE DE COMPRA E VENDA '!$E$2:E$317),0)),"")</f>
        <v/>
      </c>
      <c r="F153" s="42" t="e">
        <f>SUMIF('CONTROLE DE COMPRA E VENDA '!$E$2:$E$9318,E153,#REF!)/SUMIF('CONTROLE DE COMPRA E VENDA '!$E$2:$E$9318,E153,#REF!)</f>
        <v>#REF!</v>
      </c>
      <c r="G153" s="43">
        <f>SUMIF('CONTROLE DE COMPRA E VENDA '!$E$2:$E$9317,E153,'CONTROLE DE COMPRA E VENDA '!$F$2:$F$9317)</f>
        <v>0</v>
      </c>
      <c r="H153" s="44" t="str">
        <f ca="1">IFERROR(__xludf.DUMMYFUNCTION("VLOOKUP(E153,IMPORTRANGE(""https://docs.google.com/spreadsheets/d/1twE6-cpnyykguqtenQ2Owd-uI9WHiQFG1eK6m-cZxDM/edit#gid=2089456355"",""Lista!A13:e999""),5,FALSE)"),"#REF!")</f>
        <v>#REF!</v>
      </c>
      <c r="I153" s="43" t="e">
        <f t="shared" ca="1" si="1"/>
        <v>#VALUE!</v>
      </c>
      <c r="J153" s="45" t="e">
        <f t="shared" ca="1" si="2"/>
        <v>#VALUE!</v>
      </c>
      <c r="K153" s="46" t="b">
        <f t="shared" si="3"/>
        <v>0</v>
      </c>
      <c r="L153" s="46" t="str">
        <f t="shared" si="4"/>
        <v>Verificar nome na coluna A</v>
      </c>
      <c r="M153" s="42" t="e">
        <f t="shared" ca="1" si="5"/>
        <v>#VALUE!</v>
      </c>
      <c r="N153" s="42" t="e">
        <f t="shared" ca="1" si="6"/>
        <v>#VALUE!</v>
      </c>
      <c r="O153" s="47" t="e">
        <f t="shared" ca="1" si="7"/>
        <v>#VALUE!</v>
      </c>
      <c r="P153" s="48" t="b">
        <f t="shared" si="8"/>
        <v>0</v>
      </c>
      <c r="Q153" s="24" t="e">
        <f t="shared" ca="1" si="9"/>
        <v>#VALUE!</v>
      </c>
      <c r="R153" s="24"/>
      <c r="S153" s="49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</row>
    <row r="154" spans="1:29" ht="15.75" customHeight="1">
      <c r="A154" s="24"/>
      <c r="B154" s="24"/>
      <c r="C154" s="24"/>
      <c r="D154" s="40"/>
      <c r="E154" s="41" t="str">
        <f t="array" ref="E154">IFERROR(INDEX('CONTROLE DE COMPRA E VENDA '!$E$2:E$317,MATCH(0,COUNTIF($E$16:E153,'CONTROLE DE COMPRA E VENDA '!$E$2:E$317),0)),"")</f>
        <v/>
      </c>
      <c r="F154" s="42" t="e">
        <f>SUMIF('CONTROLE DE COMPRA E VENDA '!$E$2:$E$9318,E154,#REF!)/SUMIF('CONTROLE DE COMPRA E VENDA '!$E$2:$E$9318,E154,#REF!)</f>
        <v>#REF!</v>
      </c>
      <c r="G154" s="43">
        <f>SUMIF('CONTROLE DE COMPRA E VENDA '!$E$2:$E$9317,E154,'CONTROLE DE COMPRA E VENDA '!$F$2:$F$9317)</f>
        <v>0</v>
      </c>
      <c r="H154" s="44" t="str">
        <f ca="1">IFERROR(__xludf.DUMMYFUNCTION("VLOOKUP(E154,IMPORTRANGE(""https://docs.google.com/spreadsheets/d/1twE6-cpnyykguqtenQ2Owd-uI9WHiQFG1eK6m-cZxDM/edit#gid=2089456355"",""Lista!A13:e999""),5,FALSE)"),"#REF!")</f>
        <v>#REF!</v>
      </c>
      <c r="I154" s="43" t="e">
        <f t="shared" ca="1" si="1"/>
        <v>#VALUE!</v>
      </c>
      <c r="J154" s="45" t="e">
        <f t="shared" ca="1" si="2"/>
        <v>#VALUE!</v>
      </c>
      <c r="K154" s="46" t="b">
        <f t="shared" si="3"/>
        <v>0</v>
      </c>
      <c r="L154" s="46" t="str">
        <f t="shared" si="4"/>
        <v>Verificar nome na coluna A</v>
      </c>
      <c r="M154" s="42" t="e">
        <f t="shared" ca="1" si="5"/>
        <v>#VALUE!</v>
      </c>
      <c r="N154" s="42" t="e">
        <f t="shared" ca="1" si="6"/>
        <v>#VALUE!</v>
      </c>
      <c r="O154" s="47" t="e">
        <f t="shared" ca="1" si="7"/>
        <v>#VALUE!</v>
      </c>
      <c r="P154" s="48" t="b">
        <f t="shared" si="8"/>
        <v>0</v>
      </c>
      <c r="Q154" s="24" t="e">
        <f t="shared" ca="1" si="9"/>
        <v>#VALUE!</v>
      </c>
      <c r="R154" s="24"/>
      <c r="S154" s="49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</row>
    <row r="155" spans="1:29" ht="15.75" customHeight="1">
      <c r="A155" s="24"/>
      <c r="B155" s="24"/>
      <c r="C155" s="24"/>
      <c r="D155" s="40"/>
      <c r="E155" s="41" t="str">
        <f t="array" ref="E155">IFERROR(INDEX('CONTROLE DE COMPRA E VENDA '!$E$2:E$317,MATCH(0,COUNTIF($E$16:E154,'CONTROLE DE COMPRA E VENDA '!$E$2:E$317),0)),"")</f>
        <v/>
      </c>
      <c r="F155" s="42" t="e">
        <f>SUMIF('CONTROLE DE COMPRA E VENDA '!$E$2:$E$9318,E155,#REF!)/SUMIF('CONTROLE DE COMPRA E VENDA '!$E$2:$E$9318,E155,#REF!)</f>
        <v>#REF!</v>
      </c>
      <c r="G155" s="43">
        <f>SUMIF('CONTROLE DE COMPRA E VENDA '!$E$2:$E$9317,E155,'CONTROLE DE COMPRA E VENDA '!$F$2:$F$9317)</f>
        <v>0</v>
      </c>
      <c r="H155" s="44" t="str">
        <f ca="1">IFERROR(__xludf.DUMMYFUNCTION("VLOOKUP(E155,IMPORTRANGE(""https://docs.google.com/spreadsheets/d/1twE6-cpnyykguqtenQ2Owd-uI9WHiQFG1eK6m-cZxDM/edit#gid=2089456355"",""Lista!A13:e999""),5,FALSE)"),"#REF!")</f>
        <v>#REF!</v>
      </c>
      <c r="I155" s="43" t="e">
        <f t="shared" ca="1" si="1"/>
        <v>#VALUE!</v>
      </c>
      <c r="J155" s="45" t="e">
        <f t="shared" ca="1" si="2"/>
        <v>#VALUE!</v>
      </c>
      <c r="K155" s="46" t="b">
        <f t="shared" si="3"/>
        <v>0</v>
      </c>
      <c r="L155" s="46" t="str">
        <f t="shared" si="4"/>
        <v>Verificar nome na coluna A</v>
      </c>
      <c r="M155" s="42" t="e">
        <f t="shared" ca="1" si="5"/>
        <v>#VALUE!</v>
      </c>
      <c r="N155" s="42" t="e">
        <f t="shared" ca="1" si="6"/>
        <v>#VALUE!</v>
      </c>
      <c r="O155" s="47" t="e">
        <f t="shared" ca="1" si="7"/>
        <v>#VALUE!</v>
      </c>
      <c r="P155" s="48" t="b">
        <f t="shared" si="8"/>
        <v>0</v>
      </c>
      <c r="Q155" s="24" t="e">
        <f t="shared" ca="1" si="9"/>
        <v>#VALUE!</v>
      </c>
      <c r="R155" s="24"/>
      <c r="S155" s="49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</row>
    <row r="156" spans="1:29" ht="15.75" customHeight="1">
      <c r="A156" s="24"/>
      <c r="B156" s="24"/>
      <c r="C156" s="24"/>
      <c r="D156" s="40"/>
      <c r="E156" s="41" t="str">
        <f t="array" ref="E156">IFERROR(INDEX('CONTROLE DE COMPRA E VENDA '!$E$2:E$317,MATCH(0,COUNTIF($E$16:E155,'CONTROLE DE COMPRA E VENDA '!$E$2:E$317),0)),"")</f>
        <v/>
      </c>
      <c r="F156" s="42" t="e">
        <f>SUMIF('CONTROLE DE COMPRA E VENDA '!$E$2:$E$9318,E156,#REF!)/SUMIF('CONTROLE DE COMPRA E VENDA '!$E$2:$E$9318,E156,#REF!)</f>
        <v>#REF!</v>
      </c>
      <c r="G156" s="43">
        <f>SUMIF('CONTROLE DE COMPRA E VENDA '!$E$2:$E$9317,E156,'CONTROLE DE COMPRA E VENDA '!$F$2:$F$9317)</f>
        <v>0</v>
      </c>
      <c r="H156" s="44" t="str">
        <f ca="1">IFERROR(__xludf.DUMMYFUNCTION("VLOOKUP(E156,IMPORTRANGE(""https://docs.google.com/spreadsheets/d/1twE6-cpnyykguqtenQ2Owd-uI9WHiQFG1eK6m-cZxDM/edit#gid=2089456355"",""Lista!A13:e999""),5,FALSE)"),"#REF!")</f>
        <v>#REF!</v>
      </c>
      <c r="I156" s="43" t="e">
        <f t="shared" ca="1" si="1"/>
        <v>#VALUE!</v>
      </c>
      <c r="J156" s="45" t="e">
        <f t="shared" ca="1" si="2"/>
        <v>#VALUE!</v>
      </c>
      <c r="K156" s="46" t="b">
        <f t="shared" si="3"/>
        <v>0</v>
      </c>
      <c r="L156" s="46" t="str">
        <f t="shared" si="4"/>
        <v>Verificar nome na coluna A</v>
      </c>
      <c r="M156" s="42" t="e">
        <f t="shared" ca="1" si="5"/>
        <v>#VALUE!</v>
      </c>
      <c r="N156" s="42" t="e">
        <f t="shared" ca="1" si="6"/>
        <v>#VALUE!</v>
      </c>
      <c r="O156" s="47" t="e">
        <f t="shared" ca="1" si="7"/>
        <v>#VALUE!</v>
      </c>
      <c r="P156" s="48" t="b">
        <f t="shared" si="8"/>
        <v>0</v>
      </c>
      <c r="Q156" s="24" t="e">
        <f t="shared" ca="1" si="9"/>
        <v>#VALUE!</v>
      </c>
      <c r="R156" s="24"/>
      <c r="S156" s="49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</row>
    <row r="157" spans="1:29" ht="15.75" customHeight="1">
      <c r="A157" s="24"/>
      <c r="B157" s="24"/>
      <c r="C157" s="24"/>
      <c r="D157" s="40"/>
      <c r="E157" s="41" t="str">
        <f t="array" ref="E157">IFERROR(INDEX('CONTROLE DE COMPRA E VENDA '!$E$2:E$317,MATCH(0,COUNTIF($E$16:E156,'CONTROLE DE COMPRA E VENDA '!$E$2:E$317),0)),"")</f>
        <v/>
      </c>
      <c r="F157" s="42" t="e">
        <f>SUMIF('CONTROLE DE COMPRA E VENDA '!$E$2:$E$9318,E157,#REF!)/SUMIF('CONTROLE DE COMPRA E VENDA '!$E$2:$E$9318,E157,#REF!)</f>
        <v>#REF!</v>
      </c>
      <c r="G157" s="43">
        <f>SUMIF('CONTROLE DE COMPRA E VENDA '!$E$2:$E$9317,E157,'CONTROLE DE COMPRA E VENDA '!$F$2:$F$9317)</f>
        <v>0</v>
      </c>
      <c r="H157" s="44" t="str">
        <f ca="1">IFERROR(__xludf.DUMMYFUNCTION("VLOOKUP(E157,IMPORTRANGE(""https://docs.google.com/spreadsheets/d/1twE6-cpnyykguqtenQ2Owd-uI9WHiQFG1eK6m-cZxDM/edit#gid=2089456355"",""Lista!A13:e999""),5,FALSE)"),"#REF!")</f>
        <v>#REF!</v>
      </c>
      <c r="I157" s="43" t="e">
        <f t="shared" ca="1" si="1"/>
        <v>#VALUE!</v>
      </c>
      <c r="J157" s="45" t="e">
        <f t="shared" ca="1" si="2"/>
        <v>#VALUE!</v>
      </c>
      <c r="K157" s="46" t="b">
        <f t="shared" si="3"/>
        <v>0</v>
      </c>
      <c r="L157" s="46" t="str">
        <f t="shared" si="4"/>
        <v>Verificar nome na coluna A</v>
      </c>
      <c r="M157" s="42" t="e">
        <f t="shared" ca="1" si="5"/>
        <v>#VALUE!</v>
      </c>
      <c r="N157" s="42" t="e">
        <f t="shared" ca="1" si="6"/>
        <v>#VALUE!</v>
      </c>
      <c r="O157" s="47" t="e">
        <f t="shared" ca="1" si="7"/>
        <v>#VALUE!</v>
      </c>
      <c r="P157" s="48" t="b">
        <f t="shared" si="8"/>
        <v>0</v>
      </c>
      <c r="Q157" s="24" t="e">
        <f t="shared" ca="1" si="9"/>
        <v>#VALUE!</v>
      </c>
      <c r="R157" s="24"/>
      <c r="S157" s="49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</row>
    <row r="158" spans="1:29" ht="15.75" customHeight="1">
      <c r="A158" s="24"/>
      <c r="B158" s="24"/>
      <c r="C158" s="24"/>
      <c r="D158" s="40"/>
      <c r="E158" s="41" t="str">
        <f t="array" ref="E158">IFERROR(INDEX('CONTROLE DE COMPRA E VENDA '!$E$2:E$317,MATCH(0,COUNTIF($E$16:E157,'CONTROLE DE COMPRA E VENDA '!$E$2:E$317),0)),"")</f>
        <v/>
      </c>
      <c r="F158" s="42" t="e">
        <f>SUMIF('CONTROLE DE COMPRA E VENDA '!$E$2:$E$9318,E158,#REF!)/SUMIF('CONTROLE DE COMPRA E VENDA '!$E$2:$E$9318,E158,#REF!)</f>
        <v>#REF!</v>
      </c>
      <c r="G158" s="43">
        <f>SUMIF('CONTROLE DE COMPRA E VENDA '!$E$2:$E$9317,E158,'CONTROLE DE COMPRA E VENDA '!$F$2:$F$9317)</f>
        <v>0</v>
      </c>
      <c r="H158" s="44" t="str">
        <f ca="1">IFERROR(__xludf.DUMMYFUNCTION("VLOOKUP(E158,IMPORTRANGE(""https://docs.google.com/spreadsheets/d/1twE6-cpnyykguqtenQ2Owd-uI9WHiQFG1eK6m-cZxDM/edit#gid=2089456355"",""Lista!A13:e999""),5,FALSE)"),"#REF!")</f>
        <v>#REF!</v>
      </c>
      <c r="I158" s="43" t="e">
        <f t="shared" ca="1" si="1"/>
        <v>#VALUE!</v>
      </c>
      <c r="J158" s="45" t="e">
        <f t="shared" ca="1" si="2"/>
        <v>#VALUE!</v>
      </c>
      <c r="K158" s="46" t="b">
        <f t="shared" si="3"/>
        <v>0</v>
      </c>
      <c r="L158" s="46" t="str">
        <f t="shared" si="4"/>
        <v>Verificar nome na coluna A</v>
      </c>
      <c r="M158" s="42" t="e">
        <f t="shared" ca="1" si="5"/>
        <v>#VALUE!</v>
      </c>
      <c r="N158" s="42" t="e">
        <f t="shared" ca="1" si="6"/>
        <v>#VALUE!</v>
      </c>
      <c r="O158" s="47" t="e">
        <f t="shared" ca="1" si="7"/>
        <v>#VALUE!</v>
      </c>
      <c r="P158" s="48" t="b">
        <f t="shared" si="8"/>
        <v>0</v>
      </c>
      <c r="Q158" s="24" t="e">
        <f t="shared" ca="1" si="9"/>
        <v>#VALUE!</v>
      </c>
      <c r="R158" s="24"/>
      <c r="S158" s="49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</row>
    <row r="159" spans="1:29" ht="15.75" customHeight="1">
      <c r="A159" s="24"/>
      <c r="B159" s="24"/>
      <c r="C159" s="24"/>
      <c r="D159" s="40"/>
      <c r="E159" s="41" t="str">
        <f t="array" ref="E159">IFERROR(INDEX('CONTROLE DE COMPRA E VENDA '!$E$2:E$317,MATCH(0,COUNTIF($E$16:E158,'CONTROLE DE COMPRA E VENDA '!$E$2:E$317),0)),"")</f>
        <v/>
      </c>
      <c r="F159" s="42" t="e">
        <f>SUMIF('CONTROLE DE COMPRA E VENDA '!$E$2:$E$9318,E159,#REF!)/SUMIF('CONTROLE DE COMPRA E VENDA '!$E$2:$E$9318,E159,#REF!)</f>
        <v>#REF!</v>
      </c>
      <c r="G159" s="43">
        <f>SUMIF('CONTROLE DE COMPRA E VENDA '!$E$2:$E$9317,E159,'CONTROLE DE COMPRA E VENDA '!$F$2:$F$9317)</f>
        <v>0</v>
      </c>
      <c r="H159" s="44" t="str">
        <f ca="1">IFERROR(__xludf.DUMMYFUNCTION("VLOOKUP(E159,IMPORTRANGE(""https://docs.google.com/spreadsheets/d/1twE6-cpnyykguqtenQ2Owd-uI9WHiQFG1eK6m-cZxDM/edit#gid=2089456355"",""Lista!A13:e999""),5,FALSE)"),"#REF!")</f>
        <v>#REF!</v>
      </c>
      <c r="I159" s="43" t="e">
        <f t="shared" ca="1" si="1"/>
        <v>#VALUE!</v>
      </c>
      <c r="J159" s="45" t="e">
        <f t="shared" ca="1" si="2"/>
        <v>#VALUE!</v>
      </c>
      <c r="K159" s="46" t="b">
        <f t="shared" si="3"/>
        <v>0</v>
      </c>
      <c r="L159" s="46" t="str">
        <f t="shared" si="4"/>
        <v>Verificar nome na coluna A</v>
      </c>
      <c r="M159" s="42" t="e">
        <f t="shared" ca="1" si="5"/>
        <v>#VALUE!</v>
      </c>
      <c r="N159" s="42" t="e">
        <f t="shared" ca="1" si="6"/>
        <v>#VALUE!</v>
      </c>
      <c r="O159" s="47" t="e">
        <f t="shared" ca="1" si="7"/>
        <v>#VALUE!</v>
      </c>
      <c r="P159" s="48" t="b">
        <f t="shared" si="8"/>
        <v>0</v>
      </c>
      <c r="Q159" s="24" t="e">
        <f t="shared" ca="1" si="9"/>
        <v>#VALUE!</v>
      </c>
      <c r="R159" s="24"/>
      <c r="S159" s="49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</row>
    <row r="160" spans="1:29" ht="15.75" customHeight="1">
      <c r="A160" s="24"/>
      <c r="B160" s="24"/>
      <c r="C160" s="24"/>
      <c r="D160" s="40"/>
      <c r="E160" s="41" t="str">
        <f t="array" ref="E160">IFERROR(INDEX('CONTROLE DE COMPRA E VENDA '!$E$2:E$317,MATCH(0,COUNTIF($E$16:E159,'CONTROLE DE COMPRA E VENDA '!$E$2:E$317),0)),"")</f>
        <v/>
      </c>
      <c r="F160" s="42" t="e">
        <f>SUMIF('CONTROLE DE COMPRA E VENDA '!$E$2:$E$9318,E160,#REF!)/SUMIF('CONTROLE DE COMPRA E VENDA '!$E$2:$E$9318,E160,#REF!)</f>
        <v>#REF!</v>
      </c>
      <c r="G160" s="43">
        <f>SUMIF('CONTROLE DE COMPRA E VENDA '!$E$2:$E$9317,E160,'CONTROLE DE COMPRA E VENDA '!$F$2:$F$9317)</f>
        <v>0</v>
      </c>
      <c r="H160" s="44" t="str">
        <f ca="1">IFERROR(__xludf.DUMMYFUNCTION("VLOOKUP(E160,IMPORTRANGE(""https://docs.google.com/spreadsheets/d/1twE6-cpnyykguqtenQ2Owd-uI9WHiQFG1eK6m-cZxDM/edit#gid=2089456355"",""Lista!A13:e999""),5,FALSE)"),"#REF!")</f>
        <v>#REF!</v>
      </c>
      <c r="I160" s="43" t="e">
        <f t="shared" ca="1" si="1"/>
        <v>#VALUE!</v>
      </c>
      <c r="J160" s="45" t="e">
        <f t="shared" ca="1" si="2"/>
        <v>#VALUE!</v>
      </c>
      <c r="K160" s="46" t="b">
        <f t="shared" si="3"/>
        <v>0</v>
      </c>
      <c r="L160" s="46" t="str">
        <f t="shared" si="4"/>
        <v>Verificar nome na coluna A</v>
      </c>
      <c r="M160" s="42" t="e">
        <f t="shared" ca="1" si="5"/>
        <v>#VALUE!</v>
      </c>
      <c r="N160" s="42" t="e">
        <f t="shared" ca="1" si="6"/>
        <v>#VALUE!</v>
      </c>
      <c r="O160" s="47" t="e">
        <f t="shared" ca="1" si="7"/>
        <v>#VALUE!</v>
      </c>
      <c r="P160" s="48" t="b">
        <f t="shared" si="8"/>
        <v>0</v>
      </c>
      <c r="Q160" s="24" t="e">
        <f t="shared" ca="1" si="9"/>
        <v>#VALUE!</v>
      </c>
      <c r="R160" s="24"/>
      <c r="S160" s="49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</row>
    <row r="161" spans="1:29" ht="15.75" customHeight="1">
      <c r="A161" s="24"/>
      <c r="B161" s="24"/>
      <c r="C161" s="24"/>
      <c r="D161" s="40"/>
      <c r="E161" s="41" t="str">
        <f t="array" ref="E161">IFERROR(INDEX('CONTROLE DE COMPRA E VENDA '!$E$2:E$317,MATCH(0,COUNTIF($E$16:E160,'CONTROLE DE COMPRA E VENDA '!$E$2:E$317),0)),"")</f>
        <v/>
      </c>
      <c r="F161" s="42" t="e">
        <f>SUMIF('CONTROLE DE COMPRA E VENDA '!$E$2:$E$9318,E161,#REF!)/SUMIF('CONTROLE DE COMPRA E VENDA '!$E$2:$E$9318,E161,#REF!)</f>
        <v>#REF!</v>
      </c>
      <c r="G161" s="43">
        <f>SUMIF('CONTROLE DE COMPRA E VENDA '!$E$2:$E$9317,E161,'CONTROLE DE COMPRA E VENDA '!$F$2:$F$9317)</f>
        <v>0</v>
      </c>
      <c r="H161" s="44" t="str">
        <f ca="1">IFERROR(__xludf.DUMMYFUNCTION("VLOOKUP(E161,IMPORTRANGE(""https://docs.google.com/spreadsheets/d/1twE6-cpnyykguqtenQ2Owd-uI9WHiQFG1eK6m-cZxDM/edit#gid=2089456355"",""Lista!A13:e999""),5,FALSE)"),"#REF!")</f>
        <v>#REF!</v>
      </c>
      <c r="I161" s="43" t="e">
        <f t="shared" ca="1" si="1"/>
        <v>#VALUE!</v>
      </c>
      <c r="J161" s="45" t="e">
        <f t="shared" ca="1" si="2"/>
        <v>#VALUE!</v>
      </c>
      <c r="K161" s="46" t="b">
        <f t="shared" si="3"/>
        <v>0</v>
      </c>
      <c r="L161" s="46" t="str">
        <f t="shared" si="4"/>
        <v>Verificar nome na coluna A</v>
      </c>
      <c r="M161" s="42" t="e">
        <f t="shared" ca="1" si="5"/>
        <v>#VALUE!</v>
      </c>
      <c r="N161" s="42" t="e">
        <f t="shared" ca="1" si="6"/>
        <v>#VALUE!</v>
      </c>
      <c r="O161" s="47" t="e">
        <f t="shared" ca="1" si="7"/>
        <v>#VALUE!</v>
      </c>
      <c r="P161" s="48" t="b">
        <f t="shared" si="8"/>
        <v>0</v>
      </c>
      <c r="Q161" s="24" t="e">
        <f t="shared" ca="1" si="9"/>
        <v>#VALUE!</v>
      </c>
      <c r="R161" s="24"/>
      <c r="S161" s="49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</row>
    <row r="162" spans="1:29" ht="15.75" customHeight="1">
      <c r="A162" s="24"/>
      <c r="B162" s="24"/>
      <c r="C162" s="24"/>
      <c r="D162" s="40"/>
      <c r="E162" s="41" t="str">
        <f t="array" ref="E162">IFERROR(INDEX('CONTROLE DE COMPRA E VENDA '!$E$2:E$317,MATCH(0,COUNTIF($E$16:E161,'CONTROLE DE COMPRA E VENDA '!$E$2:E$317),0)),"")</f>
        <v/>
      </c>
      <c r="F162" s="42" t="e">
        <f>SUMIF('CONTROLE DE COMPRA E VENDA '!$E$2:$E$9318,E162,#REF!)/SUMIF('CONTROLE DE COMPRA E VENDA '!$E$2:$E$9318,E162,#REF!)</f>
        <v>#REF!</v>
      </c>
      <c r="G162" s="43">
        <f>SUMIF('CONTROLE DE COMPRA E VENDA '!$E$2:$E$9317,E162,'CONTROLE DE COMPRA E VENDA '!$F$2:$F$9317)</f>
        <v>0</v>
      </c>
      <c r="H162" s="44" t="str">
        <f ca="1">IFERROR(__xludf.DUMMYFUNCTION("VLOOKUP(E162,IMPORTRANGE(""https://docs.google.com/spreadsheets/d/1twE6-cpnyykguqtenQ2Owd-uI9WHiQFG1eK6m-cZxDM/edit#gid=2089456355"",""Lista!A13:e999""),5,FALSE)"),"#REF!")</f>
        <v>#REF!</v>
      </c>
      <c r="I162" s="43" t="e">
        <f t="shared" ca="1" si="1"/>
        <v>#VALUE!</v>
      </c>
      <c r="J162" s="45" t="e">
        <f t="shared" ca="1" si="2"/>
        <v>#VALUE!</v>
      </c>
      <c r="K162" s="46" t="b">
        <f t="shared" si="3"/>
        <v>0</v>
      </c>
      <c r="L162" s="46" t="str">
        <f t="shared" si="4"/>
        <v>Verificar nome na coluna A</v>
      </c>
      <c r="M162" s="42" t="e">
        <f t="shared" ca="1" si="5"/>
        <v>#VALUE!</v>
      </c>
      <c r="N162" s="42" t="e">
        <f t="shared" ca="1" si="6"/>
        <v>#VALUE!</v>
      </c>
      <c r="O162" s="47" t="e">
        <f t="shared" ca="1" si="7"/>
        <v>#VALUE!</v>
      </c>
      <c r="P162" s="48" t="b">
        <f t="shared" si="8"/>
        <v>0</v>
      </c>
      <c r="Q162" s="24" t="e">
        <f t="shared" ca="1" si="9"/>
        <v>#VALUE!</v>
      </c>
      <c r="R162" s="24"/>
      <c r="S162" s="49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</row>
    <row r="163" spans="1:29" ht="15.75" customHeight="1">
      <c r="A163" s="24"/>
      <c r="B163" s="24"/>
      <c r="C163" s="24"/>
      <c r="D163" s="40"/>
      <c r="E163" s="41" t="str">
        <f t="array" ref="E163">IFERROR(INDEX('CONTROLE DE COMPRA E VENDA '!$E$2:E$317,MATCH(0,COUNTIF($E$16:E162,'CONTROLE DE COMPRA E VENDA '!$E$2:E$317),0)),"")</f>
        <v/>
      </c>
      <c r="F163" s="42" t="e">
        <f>SUMIF('CONTROLE DE COMPRA E VENDA '!$E$2:$E$9318,E163,#REF!)/SUMIF('CONTROLE DE COMPRA E VENDA '!$E$2:$E$9318,E163,#REF!)</f>
        <v>#REF!</v>
      </c>
      <c r="G163" s="43">
        <f>SUMIF('CONTROLE DE COMPRA E VENDA '!$E$2:$E$9317,E163,'CONTROLE DE COMPRA E VENDA '!$F$2:$F$9317)</f>
        <v>0</v>
      </c>
      <c r="H163" s="44" t="str">
        <f ca="1">IFERROR(__xludf.DUMMYFUNCTION("VLOOKUP(E163,IMPORTRANGE(""https://docs.google.com/spreadsheets/d/1twE6-cpnyykguqtenQ2Owd-uI9WHiQFG1eK6m-cZxDM/edit#gid=2089456355"",""Lista!A13:e999""),5,FALSE)"),"#REF!")</f>
        <v>#REF!</v>
      </c>
      <c r="I163" s="43" t="e">
        <f t="shared" ca="1" si="1"/>
        <v>#VALUE!</v>
      </c>
      <c r="J163" s="45" t="e">
        <f t="shared" ca="1" si="2"/>
        <v>#VALUE!</v>
      </c>
      <c r="K163" s="46" t="b">
        <f t="shared" si="3"/>
        <v>0</v>
      </c>
      <c r="L163" s="46" t="str">
        <f t="shared" si="4"/>
        <v>Verificar nome na coluna A</v>
      </c>
      <c r="M163" s="42" t="e">
        <f t="shared" ca="1" si="5"/>
        <v>#VALUE!</v>
      </c>
      <c r="N163" s="42" t="e">
        <f t="shared" ca="1" si="6"/>
        <v>#VALUE!</v>
      </c>
      <c r="O163" s="47" t="e">
        <f t="shared" ca="1" si="7"/>
        <v>#VALUE!</v>
      </c>
      <c r="P163" s="48" t="b">
        <f t="shared" si="8"/>
        <v>0</v>
      </c>
      <c r="Q163" s="24" t="e">
        <f t="shared" ca="1" si="9"/>
        <v>#VALUE!</v>
      </c>
      <c r="R163" s="24"/>
      <c r="S163" s="49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</row>
    <row r="164" spans="1:29" ht="15.75" customHeight="1">
      <c r="A164" s="24"/>
      <c r="B164" s="24"/>
      <c r="C164" s="24"/>
      <c r="D164" s="40"/>
      <c r="E164" s="41" t="str">
        <f t="array" ref="E164">IFERROR(INDEX('CONTROLE DE COMPRA E VENDA '!$E$2:E$317,MATCH(0,COUNTIF($E$16:E163,'CONTROLE DE COMPRA E VENDA '!$E$2:E$317),0)),"")</f>
        <v/>
      </c>
      <c r="F164" s="42" t="e">
        <f>SUMIF('CONTROLE DE COMPRA E VENDA '!$E$2:$E$9318,E164,#REF!)/SUMIF('CONTROLE DE COMPRA E VENDA '!$E$2:$E$9318,E164,#REF!)</f>
        <v>#REF!</v>
      </c>
      <c r="G164" s="43">
        <f>SUMIF('CONTROLE DE COMPRA E VENDA '!$E$2:$E$9317,E164,'CONTROLE DE COMPRA E VENDA '!$F$2:$F$9317)</f>
        <v>0</v>
      </c>
      <c r="H164" s="44" t="str">
        <f ca="1">IFERROR(__xludf.DUMMYFUNCTION("VLOOKUP(E164,IMPORTRANGE(""https://docs.google.com/spreadsheets/d/1twE6-cpnyykguqtenQ2Owd-uI9WHiQFG1eK6m-cZxDM/edit#gid=2089456355"",""Lista!A13:e999""),5,FALSE)"),"#REF!")</f>
        <v>#REF!</v>
      </c>
      <c r="I164" s="43" t="e">
        <f t="shared" ca="1" si="1"/>
        <v>#VALUE!</v>
      </c>
      <c r="J164" s="45" t="e">
        <f t="shared" ca="1" si="2"/>
        <v>#VALUE!</v>
      </c>
      <c r="K164" s="46" t="b">
        <f t="shared" si="3"/>
        <v>0</v>
      </c>
      <c r="L164" s="46" t="str">
        <f t="shared" si="4"/>
        <v>Verificar nome na coluna A</v>
      </c>
      <c r="M164" s="42" t="e">
        <f t="shared" ca="1" si="5"/>
        <v>#VALUE!</v>
      </c>
      <c r="N164" s="42" t="e">
        <f t="shared" ca="1" si="6"/>
        <v>#VALUE!</v>
      </c>
      <c r="O164" s="47" t="e">
        <f t="shared" ca="1" si="7"/>
        <v>#VALUE!</v>
      </c>
      <c r="P164" s="48" t="b">
        <f t="shared" si="8"/>
        <v>0</v>
      </c>
      <c r="Q164" s="24" t="e">
        <f t="shared" ca="1" si="9"/>
        <v>#VALUE!</v>
      </c>
      <c r="R164" s="24"/>
      <c r="S164" s="49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</row>
    <row r="165" spans="1:29" ht="15.75" customHeight="1">
      <c r="A165" s="24"/>
      <c r="B165" s="24"/>
      <c r="C165" s="24"/>
      <c r="D165" s="40"/>
      <c r="E165" s="41" t="str">
        <f t="array" ref="E165">IFERROR(INDEX('CONTROLE DE COMPRA E VENDA '!$E$2:E$317,MATCH(0,COUNTIF($E$16:E164,'CONTROLE DE COMPRA E VENDA '!$E$2:E$317),0)),"")</f>
        <v/>
      </c>
      <c r="F165" s="42" t="e">
        <f>SUMIF('CONTROLE DE COMPRA E VENDA '!$E$2:$E$9318,E165,#REF!)/SUMIF('CONTROLE DE COMPRA E VENDA '!$E$2:$E$9318,E165,#REF!)</f>
        <v>#REF!</v>
      </c>
      <c r="G165" s="43">
        <f>SUMIF('CONTROLE DE COMPRA E VENDA '!$E$2:$E$9317,E165,'CONTROLE DE COMPRA E VENDA '!$F$2:$F$9317)</f>
        <v>0</v>
      </c>
      <c r="H165" s="44" t="str">
        <f ca="1">IFERROR(__xludf.DUMMYFUNCTION("VLOOKUP(E165,IMPORTRANGE(""https://docs.google.com/spreadsheets/d/1twE6-cpnyykguqtenQ2Owd-uI9WHiQFG1eK6m-cZxDM/edit#gid=2089456355"",""Lista!A13:e999""),5,FALSE)"),"#REF!")</f>
        <v>#REF!</v>
      </c>
      <c r="I165" s="43" t="e">
        <f t="shared" ca="1" si="1"/>
        <v>#VALUE!</v>
      </c>
      <c r="J165" s="45" t="e">
        <f t="shared" ca="1" si="2"/>
        <v>#VALUE!</v>
      </c>
      <c r="K165" s="46" t="b">
        <f t="shared" si="3"/>
        <v>0</v>
      </c>
      <c r="L165" s="46" t="str">
        <f t="shared" si="4"/>
        <v>Verificar nome na coluna A</v>
      </c>
      <c r="M165" s="42" t="e">
        <f t="shared" ca="1" si="5"/>
        <v>#VALUE!</v>
      </c>
      <c r="N165" s="42" t="e">
        <f t="shared" ca="1" si="6"/>
        <v>#VALUE!</v>
      </c>
      <c r="O165" s="47" t="e">
        <f t="shared" ca="1" si="7"/>
        <v>#VALUE!</v>
      </c>
      <c r="P165" s="48" t="b">
        <f t="shared" si="8"/>
        <v>0</v>
      </c>
      <c r="Q165" s="24" t="e">
        <f t="shared" ca="1" si="9"/>
        <v>#VALUE!</v>
      </c>
      <c r="R165" s="24"/>
      <c r="S165" s="49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</row>
    <row r="166" spans="1:29" ht="15.75" customHeight="1">
      <c r="A166" s="24"/>
      <c r="B166" s="24"/>
      <c r="C166" s="24"/>
      <c r="D166" s="40"/>
      <c r="E166" s="41" t="str">
        <f t="array" ref="E166">IFERROR(INDEX('CONTROLE DE COMPRA E VENDA '!$E$2:E$317,MATCH(0,COUNTIF($E$16:E165,'CONTROLE DE COMPRA E VENDA '!$E$2:E$317),0)),"")</f>
        <v/>
      </c>
      <c r="F166" s="42" t="e">
        <f>SUMIF('CONTROLE DE COMPRA E VENDA '!$E$2:$E$9318,E166,#REF!)/SUMIF('CONTROLE DE COMPRA E VENDA '!$E$2:$E$9318,E166,#REF!)</f>
        <v>#REF!</v>
      </c>
      <c r="G166" s="43">
        <f>SUMIF('CONTROLE DE COMPRA E VENDA '!$E$2:$E$9317,E166,'CONTROLE DE COMPRA E VENDA '!$F$2:$F$9317)</f>
        <v>0</v>
      </c>
      <c r="H166" s="44" t="str">
        <f ca="1">IFERROR(__xludf.DUMMYFUNCTION("VLOOKUP(E166,IMPORTRANGE(""https://docs.google.com/spreadsheets/d/1twE6-cpnyykguqtenQ2Owd-uI9WHiQFG1eK6m-cZxDM/edit#gid=2089456355"",""Lista!A13:e999""),5,FALSE)"),"#REF!")</f>
        <v>#REF!</v>
      </c>
      <c r="I166" s="43" t="e">
        <f t="shared" ca="1" si="1"/>
        <v>#VALUE!</v>
      </c>
      <c r="J166" s="45" t="e">
        <f t="shared" ca="1" si="2"/>
        <v>#VALUE!</v>
      </c>
      <c r="K166" s="46" t="b">
        <f t="shared" si="3"/>
        <v>0</v>
      </c>
      <c r="L166" s="46" t="str">
        <f t="shared" si="4"/>
        <v>Verificar nome na coluna A</v>
      </c>
      <c r="M166" s="42" t="e">
        <f t="shared" ca="1" si="5"/>
        <v>#VALUE!</v>
      </c>
      <c r="N166" s="42" t="e">
        <f t="shared" ca="1" si="6"/>
        <v>#VALUE!</v>
      </c>
      <c r="O166" s="47" t="e">
        <f t="shared" ca="1" si="7"/>
        <v>#VALUE!</v>
      </c>
      <c r="P166" s="48" t="b">
        <f t="shared" si="8"/>
        <v>0</v>
      </c>
      <c r="Q166" s="24" t="e">
        <f t="shared" ca="1" si="9"/>
        <v>#VALUE!</v>
      </c>
      <c r="R166" s="24"/>
      <c r="S166" s="49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</row>
    <row r="167" spans="1:29" ht="15.75" customHeight="1">
      <c r="A167" s="24"/>
      <c r="B167" s="24"/>
      <c r="C167" s="24"/>
      <c r="D167" s="40"/>
      <c r="E167" s="41" t="str">
        <f t="array" ref="E167">IFERROR(INDEX('CONTROLE DE COMPRA E VENDA '!$E$2:E$317,MATCH(0,COUNTIF($E$16:E166,'CONTROLE DE COMPRA E VENDA '!$E$2:E$317),0)),"")</f>
        <v/>
      </c>
      <c r="F167" s="42" t="e">
        <f>SUMIF('CONTROLE DE COMPRA E VENDA '!$E$2:$E$9318,E167,#REF!)/SUMIF('CONTROLE DE COMPRA E VENDA '!$E$2:$E$9318,E167,#REF!)</f>
        <v>#REF!</v>
      </c>
      <c r="G167" s="43">
        <f>SUMIF('CONTROLE DE COMPRA E VENDA '!$E$2:$E$9317,E167,'CONTROLE DE COMPRA E VENDA '!$F$2:$F$9317)</f>
        <v>0</v>
      </c>
      <c r="H167" s="44" t="str">
        <f ca="1">IFERROR(__xludf.DUMMYFUNCTION("VLOOKUP(E167,IMPORTRANGE(""https://docs.google.com/spreadsheets/d/1twE6-cpnyykguqtenQ2Owd-uI9WHiQFG1eK6m-cZxDM/edit#gid=2089456355"",""Lista!A13:e999""),5,FALSE)"),"#REF!")</f>
        <v>#REF!</v>
      </c>
      <c r="I167" s="43" t="e">
        <f t="shared" ca="1" si="1"/>
        <v>#VALUE!</v>
      </c>
      <c r="J167" s="45" t="e">
        <f t="shared" ca="1" si="2"/>
        <v>#VALUE!</v>
      </c>
      <c r="K167" s="46" t="b">
        <f t="shared" si="3"/>
        <v>0</v>
      </c>
      <c r="L167" s="46" t="str">
        <f t="shared" si="4"/>
        <v>Verificar nome na coluna A</v>
      </c>
      <c r="M167" s="42" t="e">
        <f t="shared" ca="1" si="5"/>
        <v>#VALUE!</v>
      </c>
      <c r="N167" s="42" t="e">
        <f t="shared" ca="1" si="6"/>
        <v>#VALUE!</v>
      </c>
      <c r="O167" s="47" t="e">
        <f t="shared" ca="1" si="7"/>
        <v>#VALUE!</v>
      </c>
      <c r="P167" s="48" t="b">
        <f t="shared" si="8"/>
        <v>0</v>
      </c>
      <c r="Q167" s="24" t="e">
        <f t="shared" ca="1" si="9"/>
        <v>#VALUE!</v>
      </c>
      <c r="R167" s="24"/>
      <c r="S167" s="49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 ht="15.75" customHeight="1">
      <c r="A168" s="24"/>
      <c r="B168" s="24"/>
      <c r="C168" s="24"/>
      <c r="D168" s="40"/>
      <c r="E168" s="41" t="str">
        <f t="array" ref="E168">IFERROR(INDEX('CONTROLE DE COMPRA E VENDA '!$E$2:E$317,MATCH(0,COUNTIF($E$16:E167,'CONTROLE DE COMPRA E VENDA '!$E$2:E$317),0)),"")</f>
        <v/>
      </c>
      <c r="F168" s="42" t="e">
        <f>SUMIF('CONTROLE DE COMPRA E VENDA '!$E$2:$E$9318,E168,#REF!)/SUMIF('CONTROLE DE COMPRA E VENDA '!$E$2:$E$9318,E168,#REF!)</f>
        <v>#REF!</v>
      </c>
      <c r="G168" s="43">
        <f>SUMIF('CONTROLE DE COMPRA E VENDA '!$E$2:$E$9317,E168,'CONTROLE DE COMPRA E VENDA '!$F$2:$F$9317)</f>
        <v>0</v>
      </c>
      <c r="H168" s="44" t="str">
        <f ca="1">IFERROR(__xludf.DUMMYFUNCTION("VLOOKUP(E168,IMPORTRANGE(""https://docs.google.com/spreadsheets/d/1twE6-cpnyykguqtenQ2Owd-uI9WHiQFG1eK6m-cZxDM/edit#gid=2089456355"",""Lista!A13:e999""),5,FALSE)"),"#REF!")</f>
        <v>#REF!</v>
      </c>
      <c r="I168" s="43" t="e">
        <f t="shared" ca="1" si="1"/>
        <v>#VALUE!</v>
      </c>
      <c r="J168" s="45" t="e">
        <f t="shared" ca="1" si="2"/>
        <v>#VALUE!</v>
      </c>
      <c r="K168" s="46" t="b">
        <f t="shared" si="3"/>
        <v>0</v>
      </c>
      <c r="L168" s="46" t="str">
        <f t="shared" si="4"/>
        <v>Verificar nome na coluna A</v>
      </c>
      <c r="M168" s="42" t="e">
        <f t="shared" ca="1" si="5"/>
        <v>#VALUE!</v>
      </c>
      <c r="N168" s="42" t="e">
        <f t="shared" ca="1" si="6"/>
        <v>#VALUE!</v>
      </c>
      <c r="O168" s="47" t="e">
        <f t="shared" ca="1" si="7"/>
        <v>#VALUE!</v>
      </c>
      <c r="P168" s="48" t="b">
        <f t="shared" si="8"/>
        <v>0</v>
      </c>
      <c r="Q168" s="24" t="e">
        <f t="shared" ca="1" si="9"/>
        <v>#VALUE!</v>
      </c>
      <c r="R168" s="24"/>
      <c r="S168" s="49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 ht="15.75" customHeight="1">
      <c r="A169" s="24"/>
      <c r="B169" s="24"/>
      <c r="C169" s="24"/>
      <c r="D169" s="40"/>
      <c r="E169" s="41" t="str">
        <f t="array" ref="E169">IFERROR(INDEX('CONTROLE DE COMPRA E VENDA '!$E$2:E$317,MATCH(0,COUNTIF($E$16:E168,'CONTROLE DE COMPRA E VENDA '!$E$2:E$317),0)),"")</f>
        <v/>
      </c>
      <c r="F169" s="42" t="e">
        <f>SUMIF('CONTROLE DE COMPRA E VENDA '!$E$2:$E$9318,E169,#REF!)/SUMIF('CONTROLE DE COMPRA E VENDA '!$E$2:$E$9318,E169,#REF!)</f>
        <v>#REF!</v>
      </c>
      <c r="G169" s="43">
        <f>SUMIF('CONTROLE DE COMPRA E VENDA '!$E$2:$E$9317,E169,'CONTROLE DE COMPRA E VENDA '!$F$2:$F$9317)</f>
        <v>0</v>
      </c>
      <c r="H169" s="44" t="str">
        <f ca="1">IFERROR(__xludf.DUMMYFUNCTION("VLOOKUP(E169,IMPORTRANGE(""https://docs.google.com/spreadsheets/d/1twE6-cpnyykguqtenQ2Owd-uI9WHiQFG1eK6m-cZxDM/edit#gid=2089456355"",""Lista!A13:e999""),5,FALSE)"),"#REF!")</f>
        <v>#REF!</v>
      </c>
      <c r="I169" s="43" t="e">
        <f t="shared" ca="1" si="1"/>
        <v>#VALUE!</v>
      </c>
      <c r="J169" s="45" t="e">
        <f t="shared" ca="1" si="2"/>
        <v>#VALUE!</v>
      </c>
      <c r="K169" s="46" t="b">
        <f t="shared" si="3"/>
        <v>0</v>
      </c>
      <c r="L169" s="46" t="str">
        <f t="shared" si="4"/>
        <v>Verificar nome na coluna A</v>
      </c>
      <c r="M169" s="42" t="e">
        <f t="shared" ca="1" si="5"/>
        <v>#VALUE!</v>
      </c>
      <c r="N169" s="42" t="e">
        <f t="shared" ca="1" si="6"/>
        <v>#VALUE!</v>
      </c>
      <c r="O169" s="47" t="e">
        <f t="shared" ca="1" si="7"/>
        <v>#VALUE!</v>
      </c>
      <c r="P169" s="48" t="b">
        <f t="shared" si="8"/>
        <v>0</v>
      </c>
      <c r="Q169" s="24" t="e">
        <f t="shared" ca="1" si="9"/>
        <v>#VALUE!</v>
      </c>
      <c r="R169" s="24"/>
      <c r="S169" s="49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 ht="15.75" customHeight="1">
      <c r="A170" s="24"/>
      <c r="B170" s="24"/>
      <c r="C170" s="24"/>
      <c r="D170" s="40"/>
      <c r="E170" s="41" t="str">
        <f t="array" ref="E170">IFERROR(INDEX('CONTROLE DE COMPRA E VENDA '!$E$2:E$317,MATCH(0,COUNTIF($E$16:E169,'CONTROLE DE COMPRA E VENDA '!$E$2:E$317),0)),"")</f>
        <v/>
      </c>
      <c r="F170" s="42" t="e">
        <f>SUMIF('CONTROLE DE COMPRA E VENDA '!$E$2:$E$9318,E170,#REF!)/SUMIF('CONTROLE DE COMPRA E VENDA '!$E$2:$E$9318,E170,#REF!)</f>
        <v>#REF!</v>
      </c>
      <c r="G170" s="43">
        <f>SUMIF('CONTROLE DE COMPRA E VENDA '!$E$2:$E$9317,E170,'CONTROLE DE COMPRA E VENDA '!$F$2:$F$9317)</f>
        <v>0</v>
      </c>
      <c r="H170" s="44" t="str">
        <f ca="1">IFERROR(__xludf.DUMMYFUNCTION("VLOOKUP(E170,IMPORTRANGE(""https://docs.google.com/spreadsheets/d/1twE6-cpnyykguqtenQ2Owd-uI9WHiQFG1eK6m-cZxDM/edit#gid=2089456355"",""Lista!A13:e999""),5,FALSE)"),"#REF!")</f>
        <v>#REF!</v>
      </c>
      <c r="I170" s="43" t="e">
        <f t="shared" ca="1" si="1"/>
        <v>#VALUE!</v>
      </c>
      <c r="J170" s="45" t="e">
        <f t="shared" ca="1" si="2"/>
        <v>#VALUE!</v>
      </c>
      <c r="K170" s="46" t="b">
        <f t="shared" si="3"/>
        <v>0</v>
      </c>
      <c r="L170" s="46" t="str">
        <f t="shared" si="4"/>
        <v>Verificar nome na coluna A</v>
      </c>
      <c r="M170" s="42" t="e">
        <f t="shared" ca="1" si="5"/>
        <v>#VALUE!</v>
      </c>
      <c r="N170" s="42" t="e">
        <f t="shared" ca="1" si="6"/>
        <v>#VALUE!</v>
      </c>
      <c r="O170" s="47" t="e">
        <f t="shared" ca="1" si="7"/>
        <v>#VALUE!</v>
      </c>
      <c r="P170" s="48" t="b">
        <f t="shared" si="8"/>
        <v>0</v>
      </c>
      <c r="Q170" s="24" t="e">
        <f t="shared" ca="1" si="9"/>
        <v>#VALUE!</v>
      </c>
      <c r="R170" s="24"/>
      <c r="S170" s="49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 ht="15.75" customHeight="1">
      <c r="A171" s="24"/>
      <c r="B171" s="24"/>
      <c r="C171" s="24"/>
      <c r="D171" s="40"/>
      <c r="E171" s="41" t="str">
        <f t="array" ref="E171">IFERROR(INDEX('CONTROLE DE COMPRA E VENDA '!$E$2:E$317,MATCH(0,COUNTIF($E$16:E170,'CONTROLE DE COMPRA E VENDA '!$E$2:E$317),0)),"")</f>
        <v/>
      </c>
      <c r="F171" s="42" t="e">
        <f>SUMIF('CONTROLE DE COMPRA E VENDA '!$E$2:$E$9318,E171,#REF!)/SUMIF('CONTROLE DE COMPRA E VENDA '!$E$2:$E$9318,E171,#REF!)</f>
        <v>#REF!</v>
      </c>
      <c r="G171" s="43">
        <f>SUMIF('CONTROLE DE COMPRA E VENDA '!$E$2:$E$9317,E171,'CONTROLE DE COMPRA E VENDA '!$F$2:$F$9317)</f>
        <v>0</v>
      </c>
      <c r="H171" s="44" t="str">
        <f ca="1">IFERROR(__xludf.DUMMYFUNCTION("VLOOKUP(E171,IMPORTRANGE(""https://docs.google.com/spreadsheets/d/1twE6-cpnyykguqtenQ2Owd-uI9WHiQFG1eK6m-cZxDM/edit#gid=2089456355"",""Lista!A13:e999""),5,FALSE)"),"#REF!")</f>
        <v>#REF!</v>
      </c>
      <c r="I171" s="43" t="e">
        <f t="shared" ca="1" si="1"/>
        <v>#VALUE!</v>
      </c>
      <c r="J171" s="45" t="e">
        <f t="shared" ca="1" si="2"/>
        <v>#VALUE!</v>
      </c>
      <c r="K171" s="46" t="b">
        <f t="shared" si="3"/>
        <v>0</v>
      </c>
      <c r="L171" s="46" t="str">
        <f t="shared" si="4"/>
        <v>Verificar nome na coluna A</v>
      </c>
      <c r="M171" s="42" t="e">
        <f t="shared" ca="1" si="5"/>
        <v>#VALUE!</v>
      </c>
      <c r="N171" s="42" t="e">
        <f t="shared" ca="1" si="6"/>
        <v>#VALUE!</v>
      </c>
      <c r="O171" s="47" t="e">
        <f t="shared" ca="1" si="7"/>
        <v>#VALUE!</v>
      </c>
      <c r="P171" s="48" t="b">
        <f t="shared" si="8"/>
        <v>0</v>
      </c>
      <c r="Q171" s="24" t="e">
        <f t="shared" ca="1" si="9"/>
        <v>#VALUE!</v>
      </c>
      <c r="R171" s="24"/>
      <c r="S171" s="49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 ht="15.75" customHeight="1">
      <c r="A172" s="24"/>
      <c r="B172" s="24"/>
      <c r="C172" s="24"/>
      <c r="D172" s="40"/>
      <c r="E172" s="41" t="str">
        <f t="array" ref="E172">IFERROR(INDEX('CONTROLE DE COMPRA E VENDA '!$E$2:E$317,MATCH(0,COUNTIF($E$16:E171,'CONTROLE DE COMPRA E VENDA '!$E$2:E$317),0)),"")</f>
        <v/>
      </c>
      <c r="F172" s="42" t="e">
        <f>SUMIF('CONTROLE DE COMPRA E VENDA '!$E$2:$E$9318,E172,#REF!)/SUMIF('CONTROLE DE COMPRA E VENDA '!$E$2:$E$9318,E172,#REF!)</f>
        <v>#REF!</v>
      </c>
      <c r="G172" s="43">
        <f>SUMIF('CONTROLE DE COMPRA E VENDA '!$E$2:$E$9317,E172,'CONTROLE DE COMPRA E VENDA '!$F$2:$F$9317)</f>
        <v>0</v>
      </c>
      <c r="H172" s="44" t="str">
        <f ca="1">IFERROR(__xludf.DUMMYFUNCTION("VLOOKUP(E172,IMPORTRANGE(""https://docs.google.com/spreadsheets/d/1twE6-cpnyykguqtenQ2Owd-uI9WHiQFG1eK6m-cZxDM/edit#gid=2089456355"",""Lista!A13:e999""),5,FALSE)"),"#REF!")</f>
        <v>#REF!</v>
      </c>
      <c r="I172" s="43" t="e">
        <f t="shared" ca="1" si="1"/>
        <v>#VALUE!</v>
      </c>
      <c r="J172" s="45" t="e">
        <f t="shared" ca="1" si="2"/>
        <v>#VALUE!</v>
      </c>
      <c r="K172" s="46" t="b">
        <f t="shared" si="3"/>
        <v>0</v>
      </c>
      <c r="L172" s="46" t="str">
        <f t="shared" si="4"/>
        <v>Verificar nome na coluna A</v>
      </c>
      <c r="M172" s="42" t="e">
        <f t="shared" ca="1" si="5"/>
        <v>#VALUE!</v>
      </c>
      <c r="N172" s="42" t="e">
        <f t="shared" ca="1" si="6"/>
        <v>#VALUE!</v>
      </c>
      <c r="O172" s="47" t="e">
        <f t="shared" ca="1" si="7"/>
        <v>#VALUE!</v>
      </c>
      <c r="P172" s="48" t="b">
        <f t="shared" si="8"/>
        <v>0</v>
      </c>
      <c r="Q172" s="24" t="e">
        <f t="shared" ca="1" si="9"/>
        <v>#VALUE!</v>
      </c>
      <c r="R172" s="24"/>
      <c r="S172" s="49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 ht="15.75" customHeight="1">
      <c r="A173" s="24"/>
      <c r="B173" s="24"/>
      <c r="C173" s="24"/>
      <c r="D173" s="40"/>
      <c r="E173" s="41" t="str">
        <f t="array" ref="E173">IFERROR(INDEX('CONTROLE DE COMPRA E VENDA '!$E$2:E$317,MATCH(0,COUNTIF($E$16:E172,'CONTROLE DE COMPRA E VENDA '!$E$2:E$317),0)),"")</f>
        <v/>
      </c>
      <c r="F173" s="42" t="e">
        <f>SUMIF('CONTROLE DE COMPRA E VENDA '!$E$2:$E$9318,E173,#REF!)/SUMIF('CONTROLE DE COMPRA E VENDA '!$E$2:$E$9318,E173,#REF!)</f>
        <v>#REF!</v>
      </c>
      <c r="G173" s="43">
        <f>SUMIF('CONTROLE DE COMPRA E VENDA '!$E$2:$E$9317,E173,'CONTROLE DE COMPRA E VENDA '!$F$2:$F$9317)</f>
        <v>0</v>
      </c>
      <c r="H173" s="44" t="str">
        <f ca="1">IFERROR(__xludf.DUMMYFUNCTION("VLOOKUP(E173,IMPORTRANGE(""https://docs.google.com/spreadsheets/d/1twE6-cpnyykguqtenQ2Owd-uI9WHiQFG1eK6m-cZxDM/edit#gid=2089456355"",""Lista!A13:e999""),5,FALSE)"),"#REF!")</f>
        <v>#REF!</v>
      </c>
      <c r="I173" s="43" t="e">
        <f t="shared" ca="1" si="1"/>
        <v>#VALUE!</v>
      </c>
      <c r="J173" s="45" t="e">
        <f t="shared" ca="1" si="2"/>
        <v>#VALUE!</v>
      </c>
      <c r="K173" s="46" t="b">
        <f t="shared" si="3"/>
        <v>0</v>
      </c>
      <c r="L173" s="46" t="str">
        <f t="shared" si="4"/>
        <v>Verificar nome na coluna A</v>
      </c>
      <c r="M173" s="42" t="e">
        <f t="shared" ca="1" si="5"/>
        <v>#VALUE!</v>
      </c>
      <c r="N173" s="42" t="e">
        <f t="shared" ca="1" si="6"/>
        <v>#VALUE!</v>
      </c>
      <c r="O173" s="47" t="e">
        <f t="shared" ca="1" si="7"/>
        <v>#VALUE!</v>
      </c>
      <c r="P173" s="48" t="b">
        <f t="shared" si="8"/>
        <v>0</v>
      </c>
      <c r="Q173" s="24" t="e">
        <f t="shared" ca="1" si="9"/>
        <v>#VALUE!</v>
      </c>
      <c r="R173" s="24"/>
      <c r="S173" s="49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 ht="15.75" customHeight="1">
      <c r="A174" s="24"/>
      <c r="B174" s="24"/>
      <c r="C174" s="24"/>
      <c r="D174" s="40"/>
      <c r="E174" s="41" t="str">
        <f t="array" ref="E174">IFERROR(INDEX('CONTROLE DE COMPRA E VENDA '!$E$2:E$317,MATCH(0,COUNTIF($E$16:E173,'CONTROLE DE COMPRA E VENDA '!$E$2:E$317),0)),"")</f>
        <v/>
      </c>
      <c r="F174" s="42" t="e">
        <f>SUMIF('CONTROLE DE COMPRA E VENDA '!$E$2:$E$9318,E174,#REF!)/SUMIF('CONTROLE DE COMPRA E VENDA '!$E$2:$E$9318,E174,#REF!)</f>
        <v>#REF!</v>
      </c>
      <c r="G174" s="43">
        <f>SUMIF('CONTROLE DE COMPRA E VENDA '!$E$2:$E$9317,E174,'CONTROLE DE COMPRA E VENDA '!$F$2:$F$9317)</f>
        <v>0</v>
      </c>
      <c r="H174" s="44" t="str">
        <f ca="1">IFERROR(__xludf.DUMMYFUNCTION("VLOOKUP(E174,IMPORTRANGE(""https://docs.google.com/spreadsheets/d/1twE6-cpnyykguqtenQ2Owd-uI9WHiQFG1eK6m-cZxDM/edit#gid=2089456355"",""Lista!A13:e999""),5,FALSE)"),"#REF!")</f>
        <v>#REF!</v>
      </c>
      <c r="I174" s="43" t="e">
        <f t="shared" ca="1" si="1"/>
        <v>#VALUE!</v>
      </c>
      <c r="J174" s="45" t="e">
        <f t="shared" ca="1" si="2"/>
        <v>#VALUE!</v>
      </c>
      <c r="K174" s="46" t="b">
        <f t="shared" si="3"/>
        <v>0</v>
      </c>
      <c r="L174" s="46" t="str">
        <f t="shared" si="4"/>
        <v>Verificar nome na coluna A</v>
      </c>
      <c r="M174" s="42" t="e">
        <f t="shared" ca="1" si="5"/>
        <v>#VALUE!</v>
      </c>
      <c r="N174" s="42" t="e">
        <f t="shared" ca="1" si="6"/>
        <v>#VALUE!</v>
      </c>
      <c r="O174" s="47" t="e">
        <f t="shared" ca="1" si="7"/>
        <v>#VALUE!</v>
      </c>
      <c r="P174" s="48" t="b">
        <f t="shared" si="8"/>
        <v>0</v>
      </c>
      <c r="Q174" s="24" t="e">
        <f t="shared" ca="1" si="9"/>
        <v>#VALUE!</v>
      </c>
      <c r="R174" s="24"/>
      <c r="S174" s="49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 ht="15.75" customHeight="1">
      <c r="A175" s="24"/>
      <c r="B175" s="24"/>
      <c r="C175" s="24"/>
      <c r="D175" s="40"/>
      <c r="E175" s="41" t="str">
        <f t="array" ref="E175">IFERROR(INDEX('CONTROLE DE COMPRA E VENDA '!$E$2:E$317,MATCH(0,COUNTIF($E$16:E174,'CONTROLE DE COMPRA E VENDA '!$E$2:E$317),0)),"")</f>
        <v/>
      </c>
      <c r="F175" s="42" t="e">
        <f>SUMIF('CONTROLE DE COMPRA E VENDA '!$E$2:$E$9318,E175,#REF!)/SUMIF('CONTROLE DE COMPRA E VENDA '!$E$2:$E$9318,E175,#REF!)</f>
        <v>#REF!</v>
      </c>
      <c r="G175" s="43">
        <f>SUMIF('CONTROLE DE COMPRA E VENDA '!$E$2:$E$9317,E175,'CONTROLE DE COMPRA E VENDA '!$F$2:$F$9317)</f>
        <v>0</v>
      </c>
      <c r="H175" s="44" t="str">
        <f ca="1">IFERROR(__xludf.DUMMYFUNCTION("VLOOKUP(E175,IMPORTRANGE(""https://docs.google.com/spreadsheets/d/1twE6-cpnyykguqtenQ2Owd-uI9WHiQFG1eK6m-cZxDM/edit#gid=2089456355"",""Lista!A13:e999""),5,FALSE)"),"#REF!")</f>
        <v>#REF!</v>
      </c>
      <c r="I175" s="43" t="e">
        <f t="shared" ca="1" si="1"/>
        <v>#VALUE!</v>
      </c>
      <c r="J175" s="45" t="e">
        <f t="shared" ca="1" si="2"/>
        <v>#VALUE!</v>
      </c>
      <c r="K175" s="46" t="b">
        <f t="shared" si="3"/>
        <v>0</v>
      </c>
      <c r="L175" s="46" t="str">
        <f t="shared" si="4"/>
        <v>Verificar nome na coluna A</v>
      </c>
      <c r="M175" s="42" t="e">
        <f t="shared" ca="1" si="5"/>
        <v>#VALUE!</v>
      </c>
      <c r="N175" s="42" t="e">
        <f t="shared" ca="1" si="6"/>
        <v>#VALUE!</v>
      </c>
      <c r="O175" s="47" t="e">
        <f t="shared" ca="1" si="7"/>
        <v>#VALUE!</v>
      </c>
      <c r="P175" s="48" t="b">
        <f t="shared" si="8"/>
        <v>0</v>
      </c>
      <c r="Q175" s="24" t="e">
        <f t="shared" ca="1" si="9"/>
        <v>#VALUE!</v>
      </c>
      <c r="R175" s="24"/>
      <c r="S175" s="49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 ht="15.75" customHeight="1">
      <c r="A176" s="24"/>
      <c r="B176" s="24"/>
      <c r="C176" s="24"/>
      <c r="D176" s="40"/>
      <c r="E176" s="41" t="str">
        <f t="array" ref="E176">IFERROR(INDEX('CONTROLE DE COMPRA E VENDA '!$E$2:E$317,MATCH(0,COUNTIF($E$16:E175,'CONTROLE DE COMPRA E VENDA '!$E$2:E$317),0)),"")</f>
        <v/>
      </c>
      <c r="F176" s="42" t="e">
        <f>SUMIF('CONTROLE DE COMPRA E VENDA '!$E$2:$E$9318,E176,#REF!)/SUMIF('CONTROLE DE COMPRA E VENDA '!$E$2:$E$9318,E176,#REF!)</f>
        <v>#REF!</v>
      </c>
      <c r="G176" s="43">
        <f>SUMIF('CONTROLE DE COMPRA E VENDA '!$E$2:$E$9317,E176,'CONTROLE DE COMPRA E VENDA '!$F$2:$F$9317)</f>
        <v>0</v>
      </c>
      <c r="H176" s="44" t="str">
        <f ca="1">IFERROR(__xludf.DUMMYFUNCTION("VLOOKUP(E176,IMPORTRANGE(""https://docs.google.com/spreadsheets/d/1twE6-cpnyykguqtenQ2Owd-uI9WHiQFG1eK6m-cZxDM/edit#gid=2089456355"",""Lista!A13:e999""),5,FALSE)"),"#REF!")</f>
        <v>#REF!</v>
      </c>
      <c r="I176" s="43" t="e">
        <f t="shared" ca="1" si="1"/>
        <v>#VALUE!</v>
      </c>
      <c r="J176" s="45" t="e">
        <f t="shared" ca="1" si="2"/>
        <v>#VALUE!</v>
      </c>
      <c r="K176" s="46" t="b">
        <f t="shared" si="3"/>
        <v>0</v>
      </c>
      <c r="L176" s="46" t="str">
        <f t="shared" si="4"/>
        <v>Verificar nome na coluna A</v>
      </c>
      <c r="M176" s="42" t="e">
        <f t="shared" ca="1" si="5"/>
        <v>#VALUE!</v>
      </c>
      <c r="N176" s="42" t="e">
        <f t="shared" ca="1" si="6"/>
        <v>#VALUE!</v>
      </c>
      <c r="O176" s="47" t="e">
        <f t="shared" ca="1" si="7"/>
        <v>#VALUE!</v>
      </c>
      <c r="P176" s="48" t="b">
        <f t="shared" si="8"/>
        <v>0</v>
      </c>
      <c r="Q176" s="24" t="e">
        <f t="shared" ca="1" si="9"/>
        <v>#VALUE!</v>
      </c>
      <c r="R176" s="24"/>
      <c r="S176" s="49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1:29" ht="15.75" customHeight="1">
      <c r="A177" s="24"/>
      <c r="B177" s="24"/>
      <c r="C177" s="24"/>
      <c r="D177" s="40"/>
      <c r="E177" s="41" t="str">
        <f t="array" ref="E177">IFERROR(INDEX('CONTROLE DE COMPRA E VENDA '!$E$2:E$317,MATCH(0,COUNTIF($E$16:E176,'CONTROLE DE COMPRA E VENDA '!$E$2:E$317),0)),"")</f>
        <v/>
      </c>
      <c r="F177" s="42" t="e">
        <f>SUMIF('CONTROLE DE COMPRA E VENDA '!$E$2:$E$9318,E177,#REF!)/SUMIF('CONTROLE DE COMPRA E VENDA '!$E$2:$E$9318,E177,#REF!)</f>
        <v>#REF!</v>
      </c>
      <c r="G177" s="43">
        <f>SUMIF('CONTROLE DE COMPRA E VENDA '!$E$2:$E$9317,E177,'CONTROLE DE COMPRA E VENDA '!$F$2:$F$9317)</f>
        <v>0</v>
      </c>
      <c r="H177" s="44" t="str">
        <f ca="1">IFERROR(__xludf.DUMMYFUNCTION("VLOOKUP(E177,IMPORTRANGE(""https://docs.google.com/spreadsheets/d/1twE6-cpnyykguqtenQ2Owd-uI9WHiQFG1eK6m-cZxDM/edit#gid=2089456355"",""Lista!A13:e999""),5,FALSE)"),"#REF!")</f>
        <v>#REF!</v>
      </c>
      <c r="I177" s="43" t="e">
        <f t="shared" ca="1" si="1"/>
        <v>#VALUE!</v>
      </c>
      <c r="J177" s="45" t="e">
        <f t="shared" ca="1" si="2"/>
        <v>#VALUE!</v>
      </c>
      <c r="K177" s="46" t="b">
        <f t="shared" si="3"/>
        <v>0</v>
      </c>
      <c r="L177" s="46" t="str">
        <f t="shared" si="4"/>
        <v>Verificar nome na coluna A</v>
      </c>
      <c r="M177" s="42" t="e">
        <f t="shared" ca="1" si="5"/>
        <v>#VALUE!</v>
      </c>
      <c r="N177" s="42" t="e">
        <f t="shared" ca="1" si="6"/>
        <v>#VALUE!</v>
      </c>
      <c r="O177" s="47" t="e">
        <f t="shared" ca="1" si="7"/>
        <v>#VALUE!</v>
      </c>
      <c r="P177" s="48" t="b">
        <f t="shared" si="8"/>
        <v>0</v>
      </c>
      <c r="Q177" s="24" t="e">
        <f t="shared" ca="1" si="9"/>
        <v>#VALUE!</v>
      </c>
      <c r="R177" s="24"/>
      <c r="S177" s="49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1:29" ht="15.75" customHeight="1">
      <c r="A178" s="24"/>
      <c r="B178" s="24"/>
      <c r="C178" s="24"/>
      <c r="D178" s="24"/>
      <c r="E178" s="24"/>
      <c r="F178" s="24"/>
      <c r="G178" s="24"/>
      <c r="H178" s="49"/>
      <c r="I178" s="49"/>
      <c r="J178" s="42"/>
      <c r="K178" s="46"/>
      <c r="L178" s="42"/>
      <c r="M178" s="42"/>
      <c r="N178" s="42"/>
      <c r="O178" s="24"/>
      <c r="P178" s="24"/>
      <c r="Q178" s="24"/>
      <c r="R178" s="24"/>
      <c r="S178" s="49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1:29" ht="15.75" hidden="1" customHeight="1">
      <c r="A179" s="24"/>
      <c r="B179" s="24"/>
      <c r="C179" s="24"/>
      <c r="D179" s="24"/>
      <c r="E179" s="47"/>
      <c r="F179" s="47"/>
      <c r="G179" s="47"/>
      <c r="H179" s="24"/>
      <c r="I179" s="24"/>
      <c r="J179" s="24"/>
      <c r="K179" s="46"/>
      <c r="L179" s="24"/>
      <c r="M179" s="24"/>
      <c r="N179" s="24"/>
      <c r="O179" s="24"/>
      <c r="P179" s="24"/>
      <c r="Q179" s="24"/>
      <c r="R179" s="24"/>
      <c r="S179" s="49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1:29" ht="15.75" hidden="1" customHeight="1">
      <c r="A180" s="24"/>
      <c r="B180" s="24"/>
      <c r="C180" s="24"/>
      <c r="D180" s="24"/>
      <c r="E180" s="47"/>
      <c r="F180" s="47"/>
      <c r="G180" s="47"/>
      <c r="H180" s="24"/>
      <c r="I180" s="24"/>
      <c r="J180" s="24"/>
      <c r="K180" s="46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1:29" ht="15.75" hidden="1" customHeight="1">
      <c r="A181" s="24"/>
      <c r="B181" s="24"/>
      <c r="C181" s="24"/>
      <c r="D181" s="24"/>
      <c r="E181" s="47"/>
      <c r="F181" s="47"/>
      <c r="G181" s="47"/>
      <c r="H181" s="24"/>
      <c r="I181" s="24"/>
      <c r="J181" s="24"/>
      <c r="K181" s="46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1:29" ht="15.75" hidden="1" customHeight="1">
      <c r="A182" s="24"/>
      <c r="B182" s="24"/>
      <c r="C182" s="24"/>
      <c r="D182" s="24"/>
      <c r="E182" s="47"/>
      <c r="F182" s="47"/>
      <c r="G182" s="47"/>
      <c r="H182" s="24"/>
      <c r="I182" s="24"/>
      <c r="J182" s="24"/>
      <c r="K182" s="46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1:29" ht="15.75" hidden="1" customHeight="1">
      <c r="A183" s="24"/>
      <c r="B183" s="24"/>
      <c r="C183" s="24"/>
      <c r="D183" s="24"/>
      <c r="E183" s="47"/>
      <c r="F183" s="47"/>
      <c r="G183" s="47"/>
      <c r="H183" s="24"/>
      <c r="I183" s="24"/>
      <c r="J183" s="24"/>
      <c r="K183" s="46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1:29" ht="15.75" hidden="1" customHeight="1">
      <c r="A184" s="24"/>
      <c r="B184" s="24"/>
      <c r="C184" s="24"/>
      <c r="D184" s="24"/>
      <c r="E184" s="24"/>
      <c r="F184" s="51"/>
      <c r="G184" s="52" t="s">
        <v>1582</v>
      </c>
      <c r="H184" s="53" t="s">
        <v>1583</v>
      </c>
      <c r="I184" s="24"/>
      <c r="J184" s="24"/>
      <c r="K184" s="46"/>
      <c r="L184" s="24"/>
      <c r="M184" s="24"/>
      <c r="N184" s="42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1:29" ht="15.75" hidden="1" customHeight="1">
      <c r="A185" s="24"/>
      <c r="B185" s="24"/>
      <c r="C185" s="24"/>
      <c r="D185" s="54"/>
      <c r="E185" s="54"/>
      <c r="F185" s="52" t="s">
        <v>1584</v>
      </c>
      <c r="G185" s="55">
        <v>0.2</v>
      </c>
      <c r="H185" s="56" t="e">
        <f>F195/E195</f>
        <v>#DIV/0!</v>
      </c>
      <c r="I185" s="24"/>
      <c r="J185" s="24"/>
      <c r="K185" s="46"/>
      <c r="L185" s="24"/>
      <c r="M185" s="24"/>
      <c r="N185" s="42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1:29" ht="15.75" hidden="1" customHeight="1">
      <c r="A186" s="24"/>
      <c r="B186" s="24"/>
      <c r="C186" s="24"/>
      <c r="D186" s="24"/>
      <c r="E186" s="24"/>
      <c r="F186" s="57"/>
      <c r="G186" s="57"/>
      <c r="H186" s="24"/>
      <c r="I186" s="24"/>
      <c r="J186" s="24"/>
      <c r="K186" s="46"/>
      <c r="L186" s="24"/>
      <c r="M186" s="24"/>
      <c r="N186" s="42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1:29" ht="15.75" hidden="1" customHeight="1">
      <c r="A187" s="24"/>
      <c r="B187" s="58"/>
      <c r="C187" s="59" t="s">
        <v>1585</v>
      </c>
      <c r="D187" s="59"/>
      <c r="E187" s="60" t="s">
        <v>1586</v>
      </c>
      <c r="F187" s="60" t="s">
        <v>1587</v>
      </c>
      <c r="G187" s="60" t="s">
        <v>1588</v>
      </c>
      <c r="H187" s="60" t="s">
        <v>1574</v>
      </c>
      <c r="I187" s="60" t="s">
        <v>1589</v>
      </c>
      <c r="J187" s="60" t="s">
        <v>1590</v>
      </c>
      <c r="K187" s="61" t="s">
        <v>1591</v>
      </c>
      <c r="L187" s="46"/>
      <c r="M187" s="24"/>
      <c r="N187" s="24"/>
      <c r="O187" s="42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1:29" ht="15.75" hidden="1" customHeight="1">
      <c r="A188" s="24"/>
      <c r="B188" s="62"/>
      <c r="C188" s="62" t="s">
        <v>22</v>
      </c>
      <c r="D188" s="62"/>
      <c r="E188" s="63">
        <v>0</v>
      </c>
      <c r="F188" s="64">
        <f t="shared" ref="F188:F190" si="10">E188</f>
        <v>0</v>
      </c>
      <c r="G188" s="65" t="e">
        <f t="shared" ref="G188:G194" si="11">E188/$E$195</f>
        <v>#DIV/0!</v>
      </c>
      <c r="H188" s="66">
        <v>0.2</v>
      </c>
      <c r="I188" s="64">
        <f t="shared" ref="I188:I194" si="12">H188*$E$195</f>
        <v>0</v>
      </c>
      <c r="J188" s="64">
        <f t="shared" ref="J188:J194" si="13">I188-E188</f>
        <v>0</v>
      </c>
      <c r="K188" s="65" t="e">
        <f t="shared" ref="K188:K193" si="14">G188/H188 -100%</f>
        <v>#DIV/0!</v>
      </c>
      <c r="L188" s="46"/>
      <c r="M188" s="24"/>
      <c r="N188" s="24"/>
      <c r="O188" s="42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1:29" ht="15.75" hidden="1" customHeight="1">
      <c r="A189" s="24"/>
      <c r="B189" s="62"/>
      <c r="C189" s="62" t="s">
        <v>802</v>
      </c>
      <c r="D189" s="62"/>
      <c r="E189" s="63">
        <v>0</v>
      </c>
      <c r="F189" s="64">
        <f t="shared" si="10"/>
        <v>0</v>
      </c>
      <c r="G189" s="65" t="e">
        <f t="shared" si="11"/>
        <v>#DIV/0!</v>
      </c>
      <c r="H189" s="66">
        <v>0.2</v>
      </c>
      <c r="I189" s="64">
        <f t="shared" si="12"/>
        <v>0</v>
      </c>
      <c r="J189" s="64">
        <f t="shared" si="13"/>
        <v>0</v>
      </c>
      <c r="K189" s="65" t="e">
        <f t="shared" si="14"/>
        <v>#DIV/0!</v>
      </c>
      <c r="L189" s="46"/>
      <c r="M189" s="24"/>
      <c r="N189" s="24"/>
      <c r="O189" s="42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1:29" ht="15.75" hidden="1" customHeight="1">
      <c r="A190" s="24"/>
      <c r="B190" s="62"/>
      <c r="C190" s="62" t="s">
        <v>29</v>
      </c>
      <c r="D190" s="62"/>
      <c r="E190" s="63">
        <v>0</v>
      </c>
      <c r="F190" s="64">
        <f t="shared" si="10"/>
        <v>0</v>
      </c>
      <c r="G190" s="65" t="e">
        <f t="shared" si="11"/>
        <v>#DIV/0!</v>
      </c>
      <c r="H190" s="66">
        <v>0.2</v>
      </c>
      <c r="I190" s="64">
        <f t="shared" si="12"/>
        <v>0</v>
      </c>
      <c r="J190" s="64">
        <f t="shared" si="13"/>
        <v>0</v>
      </c>
      <c r="K190" s="65" t="e">
        <f t="shared" si="14"/>
        <v>#DIV/0!</v>
      </c>
      <c r="L190" s="46"/>
      <c r="M190" s="24"/>
      <c r="N190" s="24"/>
      <c r="O190" s="42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1:29" ht="15.75" hidden="1" customHeight="1">
      <c r="A191" s="24"/>
      <c r="B191" s="62"/>
      <c r="C191" s="62" t="s">
        <v>1592</v>
      </c>
      <c r="D191" s="62"/>
      <c r="E191" s="63">
        <v>0</v>
      </c>
      <c r="F191" s="64">
        <v>0</v>
      </c>
      <c r="G191" s="65" t="e">
        <f t="shared" si="11"/>
        <v>#DIV/0!</v>
      </c>
      <c r="H191" s="66">
        <v>0.2</v>
      </c>
      <c r="I191" s="64">
        <f t="shared" si="12"/>
        <v>0</v>
      </c>
      <c r="J191" s="64">
        <f t="shared" si="13"/>
        <v>0</v>
      </c>
      <c r="K191" s="65" t="e">
        <f t="shared" si="14"/>
        <v>#DIV/0!</v>
      </c>
      <c r="L191" s="46"/>
      <c r="M191" s="24"/>
      <c r="N191" s="24"/>
      <c r="O191" s="42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1:29" ht="15.75" hidden="1" customHeight="1">
      <c r="A192" s="24"/>
      <c r="B192" s="62"/>
      <c r="C192" s="62" t="s">
        <v>1593</v>
      </c>
      <c r="D192" s="62"/>
      <c r="E192" s="63">
        <v>0</v>
      </c>
      <c r="F192" s="67">
        <v>20000</v>
      </c>
      <c r="G192" s="65" t="e">
        <f t="shared" si="11"/>
        <v>#DIV/0!</v>
      </c>
      <c r="H192" s="66">
        <v>0.1</v>
      </c>
      <c r="I192" s="64">
        <f t="shared" si="12"/>
        <v>0</v>
      </c>
      <c r="J192" s="64">
        <f t="shared" si="13"/>
        <v>0</v>
      </c>
      <c r="K192" s="65" t="e">
        <f t="shared" si="14"/>
        <v>#DIV/0!</v>
      </c>
      <c r="L192" s="46"/>
      <c r="M192" s="24"/>
      <c r="N192" s="24"/>
      <c r="O192" s="42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1:29" ht="15.75" hidden="1" customHeight="1">
      <c r="A193" s="24"/>
      <c r="B193" s="62"/>
      <c r="C193" s="62" t="s">
        <v>1594</v>
      </c>
      <c r="D193" s="62"/>
      <c r="E193" s="63">
        <v>0</v>
      </c>
      <c r="F193" s="64">
        <v>0</v>
      </c>
      <c r="G193" s="65" t="e">
        <f t="shared" si="11"/>
        <v>#DIV/0!</v>
      </c>
      <c r="H193" s="66">
        <v>0.1</v>
      </c>
      <c r="I193" s="64">
        <f t="shared" si="12"/>
        <v>0</v>
      </c>
      <c r="J193" s="64">
        <f t="shared" si="13"/>
        <v>0</v>
      </c>
      <c r="K193" s="65" t="e">
        <f t="shared" si="14"/>
        <v>#DIV/0!</v>
      </c>
      <c r="L193" s="46"/>
      <c r="M193" s="24"/>
      <c r="N193" s="24"/>
      <c r="O193" s="42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1:29" ht="15.75" hidden="1" customHeight="1">
      <c r="A194" s="24"/>
      <c r="B194" s="68"/>
      <c r="C194" s="68" t="s">
        <v>1595</v>
      </c>
      <c r="D194" s="68"/>
      <c r="E194" s="69">
        <v>0</v>
      </c>
      <c r="F194" s="70">
        <v>0</v>
      </c>
      <c r="G194" s="71" t="e">
        <f t="shared" si="11"/>
        <v>#DIV/0!</v>
      </c>
      <c r="H194" s="72">
        <v>0</v>
      </c>
      <c r="I194" s="70">
        <f t="shared" si="12"/>
        <v>0</v>
      </c>
      <c r="J194" s="70">
        <f t="shared" si="13"/>
        <v>0</v>
      </c>
      <c r="K194" s="24"/>
      <c r="L194" s="46"/>
      <c r="M194" s="24"/>
      <c r="N194" s="24"/>
      <c r="O194" s="42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1:29" ht="15.75" hidden="1" customHeight="1">
      <c r="A195" s="24"/>
      <c r="B195" s="58"/>
      <c r="C195" s="73" t="s">
        <v>1596</v>
      </c>
      <c r="D195" s="73"/>
      <c r="E195" s="74">
        <f t="shared" ref="E195:F195" si="15">SUM(E188:E194)</f>
        <v>0</v>
      </c>
      <c r="F195" s="74">
        <f t="shared" si="15"/>
        <v>20000</v>
      </c>
      <c r="G195" s="75" t="e">
        <f>SUM(G188:G193)</f>
        <v>#DIV/0!</v>
      </c>
      <c r="H195" s="75">
        <f t="shared" ref="H195:I195" si="16">SUM(H188:H194)</f>
        <v>1</v>
      </c>
      <c r="I195" s="74">
        <f t="shared" si="16"/>
        <v>0</v>
      </c>
      <c r="J195" s="74"/>
      <c r="K195" s="24"/>
      <c r="L195" s="46"/>
      <c r="M195" s="24"/>
      <c r="N195" s="24"/>
      <c r="O195" s="42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1:29" ht="15.75" hidden="1" customHeight="1">
      <c r="A196" s="24"/>
      <c r="B196" s="51"/>
      <c r="C196" s="76" t="s">
        <v>1597</v>
      </c>
      <c r="D196" s="76"/>
      <c r="E196" s="77">
        <v>0</v>
      </c>
      <c r="F196" s="78"/>
      <c r="G196" s="77"/>
      <c r="H196" s="79"/>
      <c r="I196" s="79"/>
      <c r="J196" s="79"/>
      <c r="K196" s="46"/>
      <c r="L196" s="24"/>
      <c r="M196" s="24"/>
      <c r="N196" s="42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1:29" ht="15.75" hidden="1" customHeight="1">
      <c r="A197" s="24"/>
      <c r="B197" s="51"/>
      <c r="C197" s="80" t="s">
        <v>1598</v>
      </c>
      <c r="D197" s="81"/>
      <c r="E197" s="82">
        <v>0</v>
      </c>
      <c r="F197" s="79"/>
      <c r="G197" s="79"/>
      <c r="H197" s="79"/>
      <c r="I197" s="79"/>
      <c r="J197" s="79"/>
      <c r="K197" s="46"/>
      <c r="L197" s="24"/>
      <c r="M197" s="24"/>
      <c r="N197" s="42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1:29" ht="15.75" hidden="1" customHeight="1">
      <c r="A198" s="24"/>
      <c r="B198" s="24"/>
      <c r="C198" s="83" t="s">
        <v>1599</v>
      </c>
      <c r="D198" s="84"/>
      <c r="E198" s="74">
        <f>SUM(E196:E197)+E195</f>
        <v>0</v>
      </c>
      <c r="F198" s="85"/>
      <c r="G198" s="86"/>
      <c r="H198" s="86"/>
      <c r="I198" s="86"/>
      <c r="J198" s="86"/>
      <c r="K198" s="46"/>
      <c r="L198" s="24"/>
      <c r="M198" s="24"/>
      <c r="N198" s="42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1:29" ht="15.75" hidden="1" customHeight="1">
      <c r="A199" s="24"/>
      <c r="B199" s="51"/>
      <c r="C199" s="87"/>
      <c r="D199" s="88"/>
      <c r="E199" s="57"/>
      <c r="F199" s="24"/>
      <c r="G199" s="24"/>
      <c r="H199" s="24"/>
      <c r="I199" s="24"/>
      <c r="J199" s="24"/>
      <c r="K199" s="46"/>
      <c r="L199" s="24"/>
      <c r="M199" s="24"/>
      <c r="N199" s="42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1:29" ht="15.75" hidden="1" customHeight="1">
      <c r="A200" s="24"/>
      <c r="B200" s="58"/>
      <c r="C200" s="59" t="s">
        <v>1600</v>
      </c>
      <c r="D200" s="58"/>
      <c r="E200" s="24"/>
      <c r="F200" s="24"/>
      <c r="G200" s="24"/>
      <c r="H200" s="24"/>
      <c r="I200" s="24"/>
      <c r="J200" s="24"/>
      <c r="K200" s="24"/>
      <c r="L200" s="24"/>
      <c r="M200" s="24"/>
      <c r="N200" s="42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1:29" ht="15.75" hidden="1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46"/>
      <c r="L201" s="24"/>
      <c r="M201" s="24"/>
      <c r="N201" s="42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1:29" ht="15.75" hidden="1" customHeight="1">
      <c r="A202" s="24"/>
      <c r="B202" s="58"/>
      <c r="C202" s="60" t="s">
        <v>1601</v>
      </c>
      <c r="D202" s="60"/>
      <c r="E202" s="89">
        <f>E194</f>
        <v>0</v>
      </c>
      <c r="F202" s="61" t="s">
        <v>1602</v>
      </c>
      <c r="G202" s="60" t="s">
        <v>1603</v>
      </c>
      <c r="H202" s="61" t="s">
        <v>1604</v>
      </c>
      <c r="I202" s="24"/>
      <c r="J202" s="24"/>
      <c r="K202" s="24"/>
      <c r="L202" s="24"/>
      <c r="M202" s="24"/>
      <c r="N202" s="24"/>
      <c r="O202" s="42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1:29" ht="15.75" hidden="1" customHeight="1">
      <c r="A203" s="24"/>
      <c r="B203" s="62"/>
      <c r="C203" s="62" t="s">
        <v>22</v>
      </c>
      <c r="D203" s="62"/>
      <c r="E203" s="67">
        <v>0</v>
      </c>
      <c r="F203" s="64">
        <f t="shared" ref="F203:F208" si="17">E188+E203</f>
        <v>0</v>
      </c>
      <c r="G203" s="65" t="e">
        <f t="shared" ref="G203:G208" si="18">F203/$F$209</f>
        <v>#DIV/0!</v>
      </c>
      <c r="H203" s="64">
        <f t="shared" ref="H203:H208" si="19">I188-F203</f>
        <v>0</v>
      </c>
      <c r="I203" s="24"/>
      <c r="J203" s="24"/>
      <c r="K203" s="24"/>
      <c r="L203" s="24"/>
      <c r="M203" s="24"/>
      <c r="N203" s="24"/>
      <c r="O203" s="42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1:29" ht="15.75" hidden="1" customHeight="1">
      <c r="A204" s="24"/>
      <c r="B204" s="62"/>
      <c r="C204" s="62" t="s">
        <v>802</v>
      </c>
      <c r="D204" s="62"/>
      <c r="E204" s="67">
        <v>0</v>
      </c>
      <c r="F204" s="64">
        <f t="shared" si="17"/>
        <v>0</v>
      </c>
      <c r="G204" s="65" t="e">
        <f t="shared" si="18"/>
        <v>#DIV/0!</v>
      </c>
      <c r="H204" s="64">
        <f t="shared" si="19"/>
        <v>0</v>
      </c>
      <c r="I204" s="24"/>
      <c r="J204" s="24"/>
      <c r="K204" s="24"/>
      <c r="L204" s="24"/>
      <c r="M204" s="24"/>
      <c r="N204" s="24"/>
      <c r="O204" s="42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1:29" ht="15.75" hidden="1" customHeight="1">
      <c r="A205" s="24"/>
      <c r="B205" s="62"/>
      <c r="C205" s="62" t="s">
        <v>29</v>
      </c>
      <c r="D205" s="62"/>
      <c r="E205" s="67">
        <v>0</v>
      </c>
      <c r="F205" s="64">
        <f t="shared" si="17"/>
        <v>0</v>
      </c>
      <c r="G205" s="65" t="e">
        <f t="shared" si="18"/>
        <v>#DIV/0!</v>
      </c>
      <c r="H205" s="64">
        <f t="shared" si="19"/>
        <v>0</v>
      </c>
      <c r="I205" s="24"/>
      <c r="J205" s="24"/>
      <c r="K205" s="24"/>
      <c r="L205" s="24"/>
      <c r="M205" s="24"/>
      <c r="N205" s="24"/>
      <c r="O205" s="42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1:29" ht="15.75" hidden="1" customHeight="1">
      <c r="A206" s="24"/>
      <c r="B206" s="62"/>
      <c r="C206" s="62" t="s">
        <v>1592</v>
      </c>
      <c r="D206" s="62"/>
      <c r="E206" s="67">
        <v>0</v>
      </c>
      <c r="F206" s="64">
        <f t="shared" si="17"/>
        <v>0</v>
      </c>
      <c r="G206" s="65" t="e">
        <f t="shared" si="18"/>
        <v>#DIV/0!</v>
      </c>
      <c r="H206" s="64">
        <f t="shared" si="19"/>
        <v>0</v>
      </c>
      <c r="I206" s="24"/>
      <c r="J206" s="24"/>
      <c r="K206" s="24"/>
      <c r="L206" s="24"/>
      <c r="M206" s="24"/>
      <c r="N206" s="24"/>
      <c r="O206" s="42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1:29" ht="15.75" hidden="1" customHeight="1">
      <c r="A207" s="24"/>
      <c r="B207" s="62"/>
      <c r="C207" s="62" t="s">
        <v>1593</v>
      </c>
      <c r="D207" s="62"/>
      <c r="E207" s="64">
        <v>0</v>
      </c>
      <c r="F207" s="64">
        <f t="shared" si="17"/>
        <v>0</v>
      </c>
      <c r="G207" s="65" t="e">
        <f t="shared" si="18"/>
        <v>#DIV/0!</v>
      </c>
      <c r="H207" s="64">
        <f t="shared" si="19"/>
        <v>0</v>
      </c>
      <c r="I207" s="24"/>
      <c r="J207" s="24"/>
      <c r="K207" s="24"/>
      <c r="L207" s="24"/>
      <c r="M207" s="24"/>
      <c r="N207" s="24"/>
      <c r="O207" s="42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1:29" ht="15.75" hidden="1" customHeight="1">
      <c r="A208" s="24"/>
      <c r="B208" s="68"/>
      <c r="C208" s="90" t="s">
        <v>1594</v>
      </c>
      <c r="D208" s="68"/>
      <c r="E208" s="64">
        <v>0</v>
      </c>
      <c r="F208" s="64">
        <f t="shared" si="17"/>
        <v>0</v>
      </c>
      <c r="G208" s="65" t="e">
        <f t="shared" si="18"/>
        <v>#DIV/0!</v>
      </c>
      <c r="H208" s="64">
        <f t="shared" si="19"/>
        <v>0</v>
      </c>
      <c r="I208" s="24"/>
      <c r="J208" s="24"/>
      <c r="K208" s="24"/>
      <c r="L208" s="24"/>
      <c r="M208" s="24"/>
      <c r="N208" s="24"/>
      <c r="O208" s="42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 ht="15.75" hidden="1" customHeight="1">
      <c r="A209" s="24"/>
      <c r="B209" s="58"/>
      <c r="C209" s="59" t="s">
        <v>1605</v>
      </c>
      <c r="D209" s="59"/>
      <c r="E209" s="89">
        <f>E202-SUM(E203:E208)</f>
        <v>0</v>
      </c>
      <c r="F209" s="89">
        <f t="shared" ref="F209:G209" si="20">SUM(F203:F208)</f>
        <v>0</v>
      </c>
      <c r="G209" s="91" t="e">
        <f t="shared" si="20"/>
        <v>#DIV/0!</v>
      </c>
      <c r="H209" s="24"/>
      <c r="I209" s="24"/>
      <c r="J209" s="24"/>
      <c r="K209" s="24"/>
      <c r="L209" s="24"/>
      <c r="M209" s="24"/>
      <c r="N209" s="24"/>
      <c r="O209" s="42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 ht="15.75" hidden="1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42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1" spans="1:29" ht="15.75" hidden="1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42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</row>
    <row r="212" spans="1:29" ht="15.75" hidden="1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42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</row>
    <row r="213" spans="1:29" ht="15.75" hidden="1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42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</row>
    <row r="214" spans="1:29" ht="15.75" hidden="1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42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1:29" ht="15.75" hidden="1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42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</row>
    <row r="216" spans="1:29" ht="15.75" hidden="1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42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</row>
    <row r="217" spans="1:29" ht="15.75" hidden="1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42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</row>
    <row r="218" spans="1:29" ht="15.75" hidden="1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42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</row>
    <row r="219" spans="1:29" ht="15.75" hidden="1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42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 ht="15.75" hidden="1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42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</row>
    <row r="221" spans="1:29" ht="15.75" hidden="1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42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</row>
    <row r="222" spans="1:29" ht="15.75" hidden="1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42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</row>
    <row r="223" spans="1:29" ht="15.75" hidden="1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42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</row>
    <row r="224" spans="1:29" ht="15.75" hidden="1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42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</row>
    <row r="225" spans="1:29" ht="15.75" hidden="1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42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</row>
    <row r="226" spans="1:29" ht="15.75" hidden="1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42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</row>
    <row r="227" spans="1:29" ht="15.75" hidden="1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42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</row>
    <row r="228" spans="1:29" ht="15.75" hidden="1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42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</row>
    <row r="229" spans="1:29" ht="15.75" hidden="1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42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</row>
    <row r="230" spans="1:29" ht="15.75" hidden="1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42"/>
      <c r="K230" s="24"/>
      <c r="L230" s="24"/>
      <c r="M230" s="42"/>
      <c r="N230" s="24"/>
      <c r="O230" s="24"/>
      <c r="P230" s="47"/>
      <c r="Q230" s="47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</row>
    <row r="231" spans="1:29" ht="15.75" hidden="1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42"/>
      <c r="K231" s="24"/>
      <c r="L231" s="24"/>
      <c r="M231" s="42"/>
      <c r="N231" s="24"/>
      <c r="O231" s="24"/>
      <c r="P231" s="47"/>
      <c r="Q231" s="47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</row>
    <row r="232" spans="1:29" ht="15.75" hidden="1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42"/>
      <c r="K232" s="24"/>
      <c r="L232" s="24"/>
      <c r="M232" s="42"/>
      <c r="N232" s="24"/>
      <c r="O232" s="24"/>
      <c r="P232" s="47"/>
      <c r="Q232" s="47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</row>
    <row r="233" spans="1:29" ht="15.75" hidden="1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42"/>
      <c r="K233" s="24"/>
      <c r="L233" s="24"/>
      <c r="M233" s="42"/>
      <c r="N233" s="24"/>
      <c r="O233" s="24"/>
      <c r="P233" s="47"/>
      <c r="Q233" s="47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</row>
    <row r="234" spans="1:29" ht="15.75" hidden="1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42"/>
      <c r="K234" s="24"/>
      <c r="L234" s="24"/>
      <c r="M234" s="42"/>
      <c r="N234" s="24"/>
      <c r="O234" s="24"/>
      <c r="P234" s="47"/>
      <c r="Q234" s="47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</row>
    <row r="235" spans="1:29" ht="15.75" hidden="1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42"/>
      <c r="N235" s="24"/>
      <c r="O235" s="24"/>
      <c r="P235" s="47"/>
      <c r="Q235" s="47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</row>
    <row r="236" spans="1:29" ht="15.75" hidden="1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47"/>
      <c r="Q236" s="47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</row>
    <row r="237" spans="1:29" ht="15.75" hidden="1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47"/>
      <c r="Q237" s="47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</row>
    <row r="238" spans="1:29" ht="15.75" hidden="1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47"/>
      <c r="Q238" s="47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</row>
    <row r="239" spans="1:29" ht="15.75" hidden="1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47"/>
      <c r="Q239" s="47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</row>
    <row r="240" spans="1:29" ht="15.75" hidden="1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47"/>
      <c r="Q240" s="47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</row>
    <row r="241" spans="1:29" ht="15.75" hidden="1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47"/>
      <c r="Q241" s="47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</row>
    <row r="242" spans="1:29" ht="15.75" hidden="1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47"/>
      <c r="Q242" s="47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</row>
    <row r="243" spans="1:29" ht="15.75" hidden="1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47"/>
      <c r="Q243" s="47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1:29" ht="15.75" hidden="1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92"/>
      <c r="Q244" s="92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</row>
    <row r="245" spans="1:29" ht="15.75" hidden="1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49"/>
      <c r="L245" s="24"/>
      <c r="M245" s="24"/>
      <c r="N245" s="24"/>
      <c r="O245" s="24"/>
      <c r="P245" s="92"/>
      <c r="Q245" s="92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</row>
    <row r="246" spans="1:29" ht="15.75" hidden="1" customHeight="1"/>
    <row r="247" spans="1:29" ht="15.75" hidden="1" customHeight="1"/>
    <row r="248" spans="1:29" ht="15.75" hidden="1" customHeight="1"/>
    <row r="249" spans="1:29" ht="15.75" hidden="1" customHeight="1"/>
    <row r="250" spans="1:29" ht="15.75" hidden="1" customHeight="1"/>
    <row r="251" spans="1:29" ht="15.75" hidden="1" customHeight="1">
      <c r="B251" s="93"/>
      <c r="C251" s="24"/>
      <c r="D251" s="93"/>
    </row>
    <row r="252" spans="1:29" ht="15.75" hidden="1" customHeight="1"/>
    <row r="253" spans="1:29" ht="15.75" hidden="1" customHeight="1"/>
    <row r="254" spans="1:29" ht="15.75" hidden="1" customHeight="1"/>
    <row r="255" spans="1:29" ht="15.75" hidden="1" customHeight="1"/>
    <row r="256" spans="1:29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  <row r="1003" ht="15.75" hidden="1" customHeight="1"/>
    <row r="1004" ht="15.75" hidden="1" customHeight="1"/>
    <row r="1005" ht="15.75" hidden="1" customHeight="1"/>
    <row r="1006" ht="15.75" hidden="1" customHeight="1"/>
    <row r="1007" ht="15.75" hidden="1" customHeight="1"/>
    <row r="1008" ht="15.75" hidden="1" customHeight="1"/>
    <row r="1009" ht="15.75" hidden="1" customHeight="1"/>
    <row r="1010" ht="15.75" hidden="1" customHeight="1"/>
    <row r="1011" ht="15.75" hidden="1" customHeight="1"/>
    <row r="1012" ht="15.75" hidden="1" customHeight="1"/>
    <row r="1013" ht="15.75" hidden="1" customHeight="1"/>
    <row r="1014" ht="15.75" hidden="1" customHeight="1"/>
    <row r="1015" ht="15.75" hidden="1" customHeight="1"/>
    <row r="1016" ht="15.75" hidden="1" customHeight="1"/>
    <row r="1017" ht="15.75" hidden="1" customHeight="1"/>
    <row r="1018" ht="15.75" hidden="1" customHeight="1"/>
    <row r="1019" ht="15.75" hidden="1" customHeight="1"/>
    <row r="1020" ht="15.75" hidden="1" customHeight="1"/>
    <row r="1021" ht="15.75" hidden="1" customHeight="1"/>
    <row r="1022" ht="15.75" hidden="1" customHeight="1"/>
    <row r="1023" ht="15.75" hidden="1" customHeight="1"/>
    <row r="1024" ht="15.75" hidden="1" customHeight="1"/>
    <row r="1025" ht="15.75" hidden="1" customHeight="1"/>
    <row r="1026" ht="15.75" hidden="1" customHeight="1"/>
    <row r="1027" ht="15.75" hidden="1" customHeight="1"/>
    <row r="1028" ht="15.75" hidden="1" customHeight="1"/>
    <row r="1029" ht="15.75" hidden="1" customHeight="1"/>
    <row r="1030" ht="15.75" hidden="1" customHeight="1"/>
    <row r="1031" ht="15.75" hidden="1" customHeight="1"/>
    <row r="1032" ht="15.75" hidden="1" customHeight="1"/>
    <row r="1033" ht="15.75" hidden="1" customHeight="1"/>
    <row r="1034" ht="15.75" hidden="1" customHeight="1"/>
    <row r="1035" ht="15.75" hidden="1" customHeight="1"/>
    <row r="1036" ht="15.75" hidden="1" customHeight="1"/>
    <row r="1037" ht="15.75" hidden="1" customHeight="1"/>
    <row r="1038" ht="15.75" hidden="1" customHeight="1"/>
    <row r="1039" ht="15.75" hidden="1" customHeight="1"/>
    <row r="1040" ht="15.75" hidden="1" customHeight="1"/>
    <row r="1041" ht="15.75" hidden="1" customHeight="1"/>
    <row r="1042" ht="15.75" hidden="1" customHeight="1"/>
    <row r="1043" ht="15.75" hidden="1" customHeight="1"/>
    <row r="1044" ht="15.75" hidden="1" customHeight="1"/>
    <row r="1045" ht="15.75" hidden="1" customHeight="1"/>
    <row r="1046" ht="15.75" hidden="1" customHeight="1"/>
    <row r="1047" ht="15.75" hidden="1" customHeight="1"/>
    <row r="1048" ht="15.75" hidden="1" customHeight="1"/>
    <row r="1049" ht="15.75" hidden="1" customHeight="1"/>
    <row r="1050" ht="15.75" hidden="1" customHeight="1"/>
    <row r="1051" ht="15.75" hidden="1" customHeight="1"/>
    <row r="1052" ht="15.75" hidden="1" customHeight="1"/>
    <row r="1053" ht="15.75" hidden="1" customHeight="1"/>
    <row r="1054" ht="15.75" hidden="1" customHeight="1"/>
    <row r="1055" ht="15.75" hidden="1" customHeight="1"/>
    <row r="1056" ht="15.75" hidden="1" customHeight="1"/>
    <row r="1057" ht="15.75" hidden="1" customHeight="1"/>
    <row r="1058" ht="15.75" hidden="1" customHeight="1"/>
    <row r="1059" ht="15.75" hidden="1" customHeight="1"/>
    <row r="1060" ht="15.75" hidden="1" customHeight="1"/>
    <row r="1061" ht="15.75" hidden="1" customHeight="1"/>
    <row r="1062" ht="15.75" hidden="1" customHeight="1"/>
    <row r="1063" ht="15.75" hidden="1" customHeight="1"/>
    <row r="1064" ht="15.75" hidden="1" customHeight="1"/>
    <row r="1065" ht="15.75" hidden="1" customHeight="1"/>
    <row r="1066" ht="15.75" hidden="1" customHeight="1"/>
    <row r="1067" ht="15.75" hidden="1" customHeight="1"/>
    <row r="1068" ht="15.75" hidden="1" customHeight="1"/>
    <row r="1069" ht="15.75" hidden="1" customHeight="1"/>
    <row r="1070" ht="15.75" hidden="1" customHeight="1"/>
    <row r="1071" ht="15.75" hidden="1" customHeight="1"/>
    <row r="1072" ht="15.75" hidden="1" customHeight="1"/>
    <row r="1073" ht="15.75" hidden="1" customHeight="1"/>
    <row r="1074" ht="15.75" hidden="1" customHeight="1"/>
    <row r="1075" ht="15.75" hidden="1" customHeight="1"/>
    <row r="1076" ht="15.75" hidden="1" customHeight="1"/>
    <row r="1077" ht="15.75" hidden="1" customHeight="1"/>
    <row r="1078" ht="15.75" hidden="1" customHeight="1"/>
    <row r="1079" ht="15.75" hidden="1" customHeight="1"/>
    <row r="1080" ht="15.75" hidden="1" customHeight="1"/>
    <row r="1081" ht="15.75" hidden="1" customHeight="1"/>
    <row r="1082" ht="15.75" hidden="1" customHeight="1"/>
    <row r="1083" ht="15.75" hidden="1" customHeight="1"/>
    <row r="1084" ht="15.75" hidden="1" customHeight="1"/>
    <row r="1085" ht="15.75" hidden="1" customHeight="1"/>
    <row r="1086" ht="15.75" hidden="1" customHeight="1"/>
    <row r="1087" ht="15.75" hidden="1" customHeight="1"/>
    <row r="1088" ht="15.75" hidden="1" customHeight="1"/>
    <row r="1089" ht="15.75" hidden="1" customHeight="1"/>
    <row r="1090" ht="15.75" hidden="1" customHeight="1"/>
    <row r="1091" ht="15.75" hidden="1" customHeight="1"/>
    <row r="1092" ht="15.75" hidden="1" customHeight="1"/>
    <row r="1093" ht="15.75" hidden="1" customHeight="1"/>
    <row r="1094" ht="15.75" hidden="1" customHeight="1"/>
    <row r="1095" ht="15.75" hidden="1" customHeight="1"/>
    <row r="1096" ht="15.75" hidden="1" customHeight="1"/>
    <row r="1097" ht="15.75" hidden="1" customHeight="1"/>
    <row r="1098" ht="15.75" hidden="1" customHeight="1"/>
    <row r="1099" ht="15.75" hidden="1" customHeight="1"/>
    <row r="1100" ht="15.75" hidden="1" customHeight="1"/>
    <row r="1101" ht="15.75" hidden="1" customHeight="1"/>
    <row r="1102" ht="15.75" hidden="1" customHeight="1"/>
    <row r="1103" ht="15.75" hidden="1" customHeight="1"/>
    <row r="1104" ht="15.75" hidden="1" customHeight="1"/>
    <row r="1105" ht="15.75" hidden="1" customHeight="1"/>
    <row r="1106" ht="15.75" hidden="1" customHeight="1"/>
    <row r="1107" ht="15.75" hidden="1" customHeight="1"/>
    <row r="1108" ht="15.75" hidden="1" customHeight="1"/>
    <row r="1109" ht="15.75" hidden="1" customHeight="1"/>
    <row r="1110" ht="15.75" hidden="1" customHeight="1"/>
    <row r="1111" ht="15.75" hidden="1" customHeight="1"/>
    <row r="1112" ht="15.75" hidden="1" customHeight="1"/>
    <row r="1113" ht="15.75" hidden="1" customHeight="1"/>
    <row r="1114" ht="15.75" hidden="1" customHeight="1"/>
    <row r="1115" ht="15.75" hidden="1" customHeight="1"/>
    <row r="1116" ht="15.75" hidden="1" customHeight="1"/>
    <row r="1117" ht="15.75" hidden="1" customHeight="1"/>
    <row r="1118" ht="15.75" hidden="1" customHeight="1"/>
    <row r="1119" ht="15.75" hidden="1" customHeight="1"/>
    <row r="1120" ht="15.75" hidden="1" customHeight="1"/>
    <row r="1121" ht="15.75" hidden="1" customHeight="1"/>
    <row r="1122" ht="15.75" hidden="1" customHeight="1"/>
    <row r="1123" ht="15.75" hidden="1" customHeight="1"/>
    <row r="1124" ht="15.75" hidden="1" customHeight="1"/>
    <row r="1125" ht="15.75" hidden="1" customHeight="1"/>
    <row r="1126" ht="15.75" hidden="1" customHeight="1"/>
    <row r="1127" ht="15.75" hidden="1" customHeight="1"/>
    <row r="1128" ht="15.75" hidden="1" customHeight="1"/>
    <row r="1129" ht="15.75" hidden="1" customHeight="1"/>
    <row r="1130" ht="15.75" hidden="1" customHeight="1"/>
    <row r="1131" ht="15.75" hidden="1" customHeight="1"/>
    <row r="1132" ht="15.75" hidden="1" customHeight="1"/>
    <row r="1133" ht="15.75" hidden="1" customHeight="1"/>
    <row r="1134" ht="15.75" hidden="1" customHeight="1"/>
    <row r="1135" ht="15.75" hidden="1" customHeight="1"/>
    <row r="1136" ht="15.75" hidden="1" customHeight="1"/>
    <row r="1137" ht="15.75" hidden="1" customHeight="1"/>
    <row r="1138" ht="15.75" hidden="1" customHeight="1"/>
    <row r="1139" ht="15.75" hidden="1" customHeight="1"/>
    <row r="1140" ht="15.75" hidden="1" customHeight="1"/>
    <row r="1141" ht="15.75" hidden="1" customHeight="1"/>
  </sheetData>
  <autoFilter ref="A16:S177" xr:uid="{00000000-0009-0000-0000-000002000000}">
    <sortState xmlns:xlrd2="http://schemas.microsoft.com/office/spreadsheetml/2017/richdata2" ref="A16:S177">
      <sortCondition ref="C16:C177"/>
      <sortCondition ref="A16:A177"/>
      <sortCondition ref="E16:E177"/>
    </sortState>
  </autoFilter>
  <conditionalFormatting sqref="K17:K17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8:J19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3:H2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8:K193">
    <cfRule type="cellIs" dxfId="9" priority="4" operator="greaterThanOrEqual">
      <formula>"20%"</formula>
    </cfRule>
  </conditionalFormatting>
  <conditionalFormatting sqref="K188:K193">
    <cfRule type="cellIs" dxfId="8" priority="5" operator="lessThanOrEqual">
      <formula>"-20%"</formula>
    </cfRule>
  </conditionalFormatting>
  <conditionalFormatting sqref="H185">
    <cfRule type="expression" dxfId="7" priority="6">
      <formula>"F65"</formula>
    </cfRule>
  </conditionalFormatting>
  <conditionalFormatting sqref="D17:D177">
    <cfRule type="cellIs" dxfId="6" priority="7" operator="between">
      <formula>1</formula>
      <formula>30</formula>
    </cfRule>
  </conditionalFormatting>
  <conditionalFormatting sqref="D17:D177">
    <cfRule type="cellIs" dxfId="5" priority="8" operator="between">
      <formula>31</formula>
      <formula>50</formula>
    </cfRule>
  </conditionalFormatting>
  <conditionalFormatting sqref="D17:D177">
    <cfRule type="containsText" dxfId="4" priority="9" operator="containsText" text="Não Aplicável">
      <formula>NOT(ISERROR(SEARCH(("Não Aplicável"),(D17))))</formula>
    </cfRule>
  </conditionalFormatting>
  <conditionalFormatting sqref="D17:D177">
    <cfRule type="cellIs" dxfId="3" priority="10" operator="notBetween">
      <formula>1</formula>
      <formula>50</formula>
    </cfRule>
  </conditionalFormatting>
  <conditionalFormatting sqref="D17:D177">
    <cfRule type="notContainsBlanks" dxfId="2" priority="11">
      <formula>LEN(TRIM(D17))&gt;0</formula>
    </cfRule>
  </conditionalFormatting>
  <conditionalFormatting sqref="E17:E177">
    <cfRule type="expression" dxfId="1" priority="12">
      <formula>COUNTIF(E17:E57,E17)&gt;1</formula>
    </cfRule>
  </conditionalFormatting>
  <conditionalFormatting sqref="G17:G177">
    <cfRule type="cellIs" dxfId="0" priority="13" operator="lessThanOrEqual">
      <formula>0</formula>
    </cfRule>
  </conditionalFormatting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559"/>
  <sheetViews>
    <sheetView workbookViewId="0"/>
  </sheetViews>
  <sheetFormatPr defaultColWidth="14.42578125" defaultRowHeight="15" customHeight="1"/>
  <cols>
    <col min="18" max="18" width="18.140625" customWidth="1"/>
  </cols>
  <sheetData>
    <row r="1" spans="1:22">
      <c r="A1" s="19" t="s">
        <v>1606</v>
      </c>
      <c r="B1" s="94">
        <v>42370</v>
      </c>
      <c r="C1" s="19" t="s">
        <v>1607</v>
      </c>
      <c r="D1" s="19" t="s">
        <v>1608</v>
      </c>
      <c r="E1" s="19" t="s">
        <v>7</v>
      </c>
      <c r="F1" s="19" t="s">
        <v>1609</v>
      </c>
      <c r="G1" s="20" t="s">
        <v>1610</v>
      </c>
      <c r="H1" s="20" t="s">
        <v>22</v>
      </c>
      <c r="I1" s="20"/>
      <c r="L1" s="95"/>
      <c r="M1" s="95"/>
      <c r="N1" s="95"/>
      <c r="O1" s="95"/>
      <c r="P1" s="95"/>
      <c r="Q1" s="95"/>
      <c r="R1" s="96"/>
      <c r="S1" s="97"/>
      <c r="T1" s="98" t="s">
        <v>1611</v>
      </c>
    </row>
    <row r="2" spans="1:22">
      <c r="B2" s="94">
        <v>42401</v>
      </c>
      <c r="D2" s="19" t="s">
        <v>1612</v>
      </c>
      <c r="F2" s="19" t="s">
        <v>1613</v>
      </c>
      <c r="G2" s="20"/>
      <c r="H2" s="20" t="s">
        <v>802</v>
      </c>
      <c r="I2" s="20"/>
      <c r="L2" s="99"/>
      <c r="M2" s="99"/>
      <c r="N2" s="97"/>
      <c r="O2" s="99"/>
      <c r="P2" s="97"/>
      <c r="Q2" s="95"/>
      <c r="R2" s="96"/>
      <c r="S2" s="97"/>
      <c r="T2" s="100" t="str">
        <f ca="1">IFERROR(__xludf.DUMMYFUNCTION("IMPORTHTML(""http://www.ipeadata.gov.br/ExibeSerie.aspx?serid=32237"",""table"",4)"),"[TABLE]")</f>
        <v>[TABLE]</v>
      </c>
      <c r="U2" t="str">
        <f ca="1">IFERROR(__xludf.DUMMYFUNCTION("""COMPUTED_VALUE"""),"[TABLE]")</f>
        <v>[TABLE]</v>
      </c>
      <c r="V2" s="101" t="s">
        <v>1614</v>
      </c>
    </row>
    <row r="3" spans="1:22">
      <c r="B3" s="94">
        <v>42430</v>
      </c>
      <c r="F3" s="19" t="s">
        <v>15</v>
      </c>
      <c r="G3" s="20"/>
      <c r="H3" s="102" t="s">
        <v>29</v>
      </c>
      <c r="I3" s="20"/>
      <c r="L3" s="99"/>
      <c r="M3" s="97"/>
      <c r="N3" s="97"/>
      <c r="O3" s="99"/>
      <c r="P3" s="97"/>
      <c r="Q3" s="95"/>
      <c r="R3" s="96"/>
      <c r="S3" s="97"/>
      <c r="T3" s="103">
        <f ca="1">IFERROR(__xludf.DUMMYFUNCTION("""COMPUTED_VALUE"""),31472)</f>
        <v>31472</v>
      </c>
      <c r="U3">
        <f ca="1">IFERROR(__xludf.DUMMYFUNCTION("""COMPUTED_VALUE"""),0.87)</f>
        <v>0.87</v>
      </c>
      <c r="V3" s="104">
        <f t="shared" ref="V3:V257" ca="1" si="0">U3/100</f>
        <v>8.6999999999999994E-3</v>
      </c>
    </row>
    <row r="4" spans="1:22">
      <c r="B4" s="94">
        <v>42461</v>
      </c>
      <c r="F4" s="19" t="s">
        <v>1615</v>
      </c>
      <c r="G4" s="20"/>
      <c r="H4" s="105" t="s">
        <v>1592</v>
      </c>
      <c r="I4" s="20"/>
      <c r="L4" s="95"/>
      <c r="M4" s="95"/>
      <c r="N4" s="95"/>
      <c r="O4" s="95"/>
      <c r="P4" s="95"/>
      <c r="Q4" s="95"/>
      <c r="R4" s="96"/>
      <c r="S4" s="97"/>
      <c r="T4" s="103">
        <f ca="1">IFERROR(__xludf.DUMMYFUNCTION("""COMPUTED_VALUE"""),31503)</f>
        <v>31503</v>
      </c>
      <c r="U4">
        <f ca="1">IFERROR(__xludf.DUMMYFUNCTION("""COMPUTED_VALUE"""),1.37)</f>
        <v>1.37</v>
      </c>
      <c r="V4" s="104">
        <f t="shared" ca="1" si="0"/>
        <v>1.37E-2</v>
      </c>
    </row>
    <row r="5" spans="1:22">
      <c r="B5" s="94">
        <v>42491</v>
      </c>
      <c r="F5" s="19" t="s">
        <v>1616</v>
      </c>
      <c r="G5" s="20"/>
      <c r="H5" s="105" t="s">
        <v>1617</v>
      </c>
      <c r="I5" s="20"/>
      <c r="L5" s="95"/>
      <c r="M5" s="95"/>
      <c r="N5" s="95"/>
      <c r="O5" s="95"/>
      <c r="P5" s="95"/>
      <c r="Q5" s="95"/>
      <c r="R5" s="95"/>
      <c r="S5" s="95"/>
      <c r="T5" s="103">
        <f ca="1">IFERROR(__xludf.DUMMYFUNCTION("""COMPUTED_VALUE"""),31533)</f>
        <v>31533</v>
      </c>
      <c r="U5">
        <f ca="1">IFERROR(__xludf.DUMMYFUNCTION("""COMPUTED_VALUE"""),1.32)</f>
        <v>1.32</v>
      </c>
      <c r="V5" s="104">
        <f t="shared" ca="1" si="0"/>
        <v>1.32E-2</v>
      </c>
    </row>
    <row r="6" spans="1:22">
      <c r="B6" s="94">
        <v>42522</v>
      </c>
      <c r="F6" s="19" t="s">
        <v>196</v>
      </c>
      <c r="G6" s="20"/>
      <c r="H6" s="105" t="s">
        <v>1593</v>
      </c>
      <c r="I6" s="20"/>
      <c r="L6" s="95"/>
      <c r="M6" s="95"/>
      <c r="N6" s="95"/>
      <c r="O6" s="95"/>
      <c r="P6" s="95"/>
      <c r="Q6" s="95"/>
      <c r="R6" s="95"/>
      <c r="S6" s="95"/>
      <c r="T6" s="103">
        <f ca="1">IFERROR(__xludf.DUMMYFUNCTION("""COMPUTED_VALUE"""),31564)</f>
        <v>31564</v>
      </c>
      <c r="U6">
        <f ca="1">IFERROR(__xludf.DUMMYFUNCTION("""COMPUTED_VALUE"""),1.57)</f>
        <v>1.57</v>
      </c>
      <c r="V6" s="104">
        <f t="shared" ca="1" si="0"/>
        <v>1.5700000000000002E-2</v>
      </c>
    </row>
    <row r="7" spans="1:22">
      <c r="B7" s="94">
        <v>42552</v>
      </c>
      <c r="F7" s="19" t="s">
        <v>9</v>
      </c>
      <c r="G7" s="20"/>
      <c r="H7" s="20" t="s">
        <v>1618</v>
      </c>
      <c r="I7" s="20"/>
      <c r="L7" s="95"/>
      <c r="M7" s="95"/>
      <c r="N7" s="95"/>
      <c r="O7" s="95"/>
      <c r="P7" s="95"/>
      <c r="Q7" s="95"/>
      <c r="R7" s="95"/>
      <c r="S7" s="95"/>
      <c r="T7" s="103">
        <f ca="1">IFERROR(__xludf.DUMMYFUNCTION("""COMPUTED_VALUE"""),31594)</f>
        <v>31594</v>
      </c>
      <c r="U7">
        <f ca="1">IFERROR(__xludf.DUMMYFUNCTION("""COMPUTED_VALUE"""),2.23)</f>
        <v>2.23</v>
      </c>
      <c r="V7" s="104">
        <f t="shared" ca="1" si="0"/>
        <v>2.23E-2</v>
      </c>
    </row>
    <row r="8" spans="1:22">
      <c r="B8" s="94">
        <v>42583</v>
      </c>
      <c r="G8" s="20"/>
      <c r="H8" s="20"/>
      <c r="I8" s="20"/>
      <c r="L8" s="95"/>
      <c r="M8" s="95"/>
      <c r="N8" s="95"/>
      <c r="O8" s="95"/>
      <c r="P8" s="95"/>
      <c r="Q8" s="95"/>
      <c r="R8" s="95"/>
      <c r="S8" s="95"/>
      <c r="T8" s="103">
        <f ca="1">IFERROR(__xludf.DUMMYFUNCTION("""COMPUTED_VALUE"""),31625)</f>
        <v>31625</v>
      </c>
      <c r="U8">
        <f ca="1">IFERROR(__xludf.DUMMYFUNCTION("""COMPUTED_VALUE"""),2.9)</f>
        <v>2.9</v>
      </c>
      <c r="V8" s="104">
        <f t="shared" ca="1" si="0"/>
        <v>2.8999999999999998E-2</v>
      </c>
    </row>
    <row r="9" spans="1:22">
      <c r="B9" s="94">
        <v>42614</v>
      </c>
      <c r="G9" s="20"/>
      <c r="H9" s="20"/>
      <c r="I9" s="20"/>
      <c r="L9" s="95"/>
      <c r="M9" s="95"/>
      <c r="N9" s="95"/>
      <c r="O9" s="95"/>
      <c r="P9" s="95"/>
      <c r="Q9" s="95"/>
      <c r="R9" s="95"/>
      <c r="S9" s="95"/>
      <c r="T9" s="103">
        <f ca="1">IFERROR(__xludf.DUMMYFUNCTION("""COMPUTED_VALUE"""),31656)</f>
        <v>31656</v>
      </c>
      <c r="U9">
        <f ca="1">IFERROR(__xludf.DUMMYFUNCTION("""COMPUTED_VALUE"""),3.3)</f>
        <v>3.3</v>
      </c>
      <c r="V9" s="104">
        <f t="shared" ca="1" si="0"/>
        <v>3.3000000000000002E-2</v>
      </c>
    </row>
    <row r="10" spans="1:22">
      <c r="B10" s="94">
        <v>42644</v>
      </c>
      <c r="T10" s="106">
        <f ca="1">IFERROR(__xludf.DUMMYFUNCTION("""COMPUTED_VALUE"""),31686)</f>
        <v>31686</v>
      </c>
      <c r="U10">
        <f ca="1">IFERROR(__xludf.DUMMYFUNCTION("""COMPUTED_VALUE"""),3.45)</f>
        <v>3.45</v>
      </c>
      <c r="V10" s="104">
        <f t="shared" ca="1" si="0"/>
        <v>3.4500000000000003E-2</v>
      </c>
    </row>
    <row r="11" spans="1:22">
      <c r="B11" s="94">
        <v>42675</v>
      </c>
      <c r="T11" s="106">
        <f ca="1">IFERROR(__xludf.DUMMYFUNCTION("""COMPUTED_VALUE"""),31717)</f>
        <v>31717</v>
      </c>
      <c r="U11">
        <f ca="1">IFERROR(__xludf.DUMMYFUNCTION("""COMPUTED_VALUE"""),5.22)</f>
        <v>5.22</v>
      </c>
      <c r="V11" s="104">
        <f t="shared" ca="1" si="0"/>
        <v>5.2199999999999996E-2</v>
      </c>
    </row>
    <row r="12" spans="1:22">
      <c r="B12" s="94">
        <v>42705</v>
      </c>
      <c r="T12" s="106">
        <f ca="1">IFERROR(__xludf.DUMMYFUNCTION("""COMPUTED_VALUE"""),31747)</f>
        <v>31747</v>
      </c>
      <c r="U12">
        <f ca="1">IFERROR(__xludf.DUMMYFUNCTION("""COMPUTED_VALUE"""),10.5)</f>
        <v>10.5</v>
      </c>
      <c r="V12" s="104">
        <f t="shared" ca="1" si="0"/>
        <v>0.105</v>
      </c>
    </row>
    <row r="13" spans="1:22">
      <c r="B13" s="94">
        <v>42736</v>
      </c>
      <c r="T13" s="103">
        <f ca="1">IFERROR(__xludf.DUMMYFUNCTION("""COMPUTED_VALUE"""),31778)</f>
        <v>31778</v>
      </c>
      <c r="U13">
        <f ca="1">IFERROR(__xludf.DUMMYFUNCTION("""COMPUTED_VALUE"""),14.65)</f>
        <v>14.65</v>
      </c>
      <c r="V13" s="104">
        <f t="shared" ca="1" si="0"/>
        <v>0.14649999999999999</v>
      </c>
    </row>
    <row r="14" spans="1:22">
      <c r="B14" s="94">
        <v>42767</v>
      </c>
      <c r="T14" s="103">
        <f ca="1">IFERROR(__xludf.DUMMYFUNCTION("""COMPUTED_VALUE"""),31809)</f>
        <v>31809</v>
      </c>
      <c r="U14">
        <f ca="1">IFERROR(__xludf.DUMMYFUNCTION("""COMPUTED_VALUE"""),22.26)</f>
        <v>22.26</v>
      </c>
      <c r="V14" s="104">
        <f t="shared" ca="1" si="0"/>
        <v>0.22260000000000002</v>
      </c>
    </row>
    <row r="15" spans="1:22">
      <c r="B15" s="94">
        <v>42795</v>
      </c>
      <c r="T15" s="103">
        <f ca="1">IFERROR(__xludf.DUMMYFUNCTION("""COMPUTED_VALUE"""),31837)</f>
        <v>31837</v>
      </c>
      <c r="U15">
        <f ca="1">IFERROR(__xludf.DUMMYFUNCTION("""COMPUTED_VALUE"""),14)</f>
        <v>14</v>
      </c>
      <c r="V15" s="104">
        <f t="shared" ca="1" si="0"/>
        <v>0.14000000000000001</v>
      </c>
    </row>
    <row r="16" spans="1:22">
      <c r="B16" s="94">
        <v>42826</v>
      </c>
      <c r="T16" s="103">
        <f ca="1">IFERROR(__xludf.DUMMYFUNCTION("""COMPUTED_VALUE"""),31868)</f>
        <v>31868</v>
      </c>
      <c r="U16">
        <f ca="1">IFERROR(__xludf.DUMMYFUNCTION("""COMPUTED_VALUE"""),16.7)</f>
        <v>16.7</v>
      </c>
      <c r="V16" s="104">
        <f t="shared" ca="1" si="0"/>
        <v>0.16699999999999998</v>
      </c>
    </row>
    <row r="17" spans="2:22">
      <c r="B17" s="94">
        <v>42856</v>
      </c>
      <c r="T17" s="103">
        <f ca="1">IFERROR(__xludf.DUMMYFUNCTION("""COMPUTED_VALUE"""),31898)</f>
        <v>31898</v>
      </c>
      <c r="U17">
        <f ca="1">IFERROR(__xludf.DUMMYFUNCTION("""COMPUTED_VALUE"""),25.69)</f>
        <v>25.69</v>
      </c>
      <c r="V17" s="104">
        <f t="shared" ca="1" si="0"/>
        <v>0.25690000000000002</v>
      </c>
    </row>
    <row r="18" spans="2:22">
      <c r="B18" s="94">
        <v>42887</v>
      </c>
      <c r="T18" s="103">
        <f ca="1">IFERROR(__xludf.DUMMYFUNCTION("""COMPUTED_VALUE"""),31929)</f>
        <v>31929</v>
      </c>
      <c r="U18">
        <f ca="1">IFERROR(__xludf.DUMMYFUNCTION("""COMPUTED_VALUE"""),18.89)</f>
        <v>18.89</v>
      </c>
      <c r="V18" s="104">
        <f t="shared" ca="1" si="0"/>
        <v>0.18890000000000001</v>
      </c>
    </row>
    <row r="19" spans="2:22">
      <c r="B19" s="94">
        <v>42917</v>
      </c>
      <c r="T19" s="103">
        <f ca="1">IFERROR(__xludf.DUMMYFUNCTION("""COMPUTED_VALUE"""),31959)</f>
        <v>31959</v>
      </c>
      <c r="U19">
        <f ca="1">IFERROR(__xludf.DUMMYFUNCTION("""COMPUTED_VALUE"""),9.47)</f>
        <v>9.4700000000000006</v>
      </c>
      <c r="V19" s="104">
        <f t="shared" ca="1" si="0"/>
        <v>9.4700000000000006E-2</v>
      </c>
    </row>
    <row r="20" spans="2:22">
      <c r="B20" s="94">
        <v>42948</v>
      </c>
      <c r="T20" s="103">
        <f ca="1">IFERROR(__xludf.DUMMYFUNCTION("""COMPUTED_VALUE"""),31990)</f>
        <v>31990</v>
      </c>
      <c r="U20">
        <f ca="1">IFERROR(__xludf.DUMMYFUNCTION("""COMPUTED_VALUE"""),8.48)</f>
        <v>8.48</v>
      </c>
      <c r="V20" s="104">
        <f t="shared" ca="1" si="0"/>
        <v>8.48E-2</v>
      </c>
    </row>
    <row r="21" spans="2:22">
      <c r="B21" s="94">
        <v>42979</v>
      </c>
      <c r="T21" s="103">
        <f ca="1">IFERROR(__xludf.DUMMYFUNCTION("""COMPUTED_VALUE"""),32021)</f>
        <v>32021</v>
      </c>
      <c r="U21">
        <f ca="1">IFERROR(__xludf.DUMMYFUNCTION("""COMPUTED_VALUE"""),8.73)</f>
        <v>8.73</v>
      </c>
      <c r="V21" s="104">
        <f t="shared" ca="1" si="0"/>
        <v>8.7300000000000003E-2</v>
      </c>
    </row>
    <row r="22" spans="2:22">
      <c r="B22" s="94">
        <v>43009</v>
      </c>
      <c r="T22" s="106">
        <f ca="1">IFERROR(__xludf.DUMMYFUNCTION("""COMPUTED_VALUE"""),32051)</f>
        <v>32051</v>
      </c>
      <c r="U22">
        <f ca="1">IFERROR(__xludf.DUMMYFUNCTION("""COMPUTED_VALUE"""),10.41)</f>
        <v>10.41</v>
      </c>
      <c r="V22" s="104">
        <f t="shared" ca="1" si="0"/>
        <v>0.1041</v>
      </c>
    </row>
    <row r="23" spans="2:22">
      <c r="B23" s="94">
        <v>43040</v>
      </c>
      <c r="T23" s="106">
        <f ca="1">IFERROR(__xludf.DUMMYFUNCTION("""COMPUTED_VALUE"""),32082)</f>
        <v>32082</v>
      </c>
      <c r="U23">
        <f ca="1">IFERROR(__xludf.DUMMYFUNCTION("""COMPUTED_VALUE"""),13.74)</f>
        <v>13.74</v>
      </c>
      <c r="V23" s="104">
        <f t="shared" ca="1" si="0"/>
        <v>0.13739999999999999</v>
      </c>
    </row>
    <row r="24" spans="2:22">
      <c r="B24" s="94">
        <v>43070</v>
      </c>
      <c r="T24" s="106">
        <f ca="1">IFERROR(__xludf.DUMMYFUNCTION("""COMPUTED_VALUE"""),32112)</f>
        <v>32112</v>
      </c>
      <c r="U24">
        <f ca="1">IFERROR(__xludf.DUMMYFUNCTION("""COMPUTED_VALUE"""),15.61)</f>
        <v>15.61</v>
      </c>
      <c r="V24" s="104">
        <f t="shared" ca="1" si="0"/>
        <v>0.15609999999999999</v>
      </c>
    </row>
    <row r="25" spans="2:22">
      <c r="B25" s="94">
        <v>43101</v>
      </c>
      <c r="T25" s="103">
        <f ca="1">IFERROR(__xludf.DUMMYFUNCTION("""COMPUTED_VALUE"""),32143)</f>
        <v>32143</v>
      </c>
      <c r="U25">
        <f ca="1">IFERROR(__xludf.DUMMYFUNCTION("""COMPUTED_VALUE"""),17.23)</f>
        <v>17.23</v>
      </c>
      <c r="V25" s="104">
        <f t="shared" ca="1" si="0"/>
        <v>0.17230000000000001</v>
      </c>
    </row>
    <row r="26" spans="2:22">
      <c r="B26" s="94">
        <v>43132</v>
      </c>
      <c r="T26" s="103">
        <f ca="1">IFERROR(__xludf.DUMMYFUNCTION("""COMPUTED_VALUE"""),32174)</f>
        <v>32174</v>
      </c>
      <c r="U26">
        <f ca="1">IFERROR(__xludf.DUMMYFUNCTION("""COMPUTED_VALUE"""),18.65)</f>
        <v>18.649999999999999</v>
      </c>
      <c r="V26" s="104">
        <f t="shared" ca="1" si="0"/>
        <v>0.1865</v>
      </c>
    </row>
    <row r="27" spans="2:22">
      <c r="B27" s="94">
        <v>43160</v>
      </c>
      <c r="T27" s="103">
        <f ca="1">IFERROR(__xludf.DUMMYFUNCTION("""COMPUTED_VALUE"""),32203)</f>
        <v>32203</v>
      </c>
      <c r="U27">
        <f ca="1">IFERROR(__xludf.DUMMYFUNCTION("""COMPUTED_VALUE"""),16.91)</f>
        <v>16.91</v>
      </c>
      <c r="V27" s="104">
        <f t="shared" ca="1" si="0"/>
        <v>0.1691</v>
      </c>
    </row>
    <row r="28" spans="2:22">
      <c r="B28" s="94">
        <v>43191</v>
      </c>
      <c r="T28" s="103">
        <f ca="1">IFERROR(__xludf.DUMMYFUNCTION("""COMPUTED_VALUE"""),32234)</f>
        <v>32234</v>
      </c>
      <c r="U28">
        <f ca="1">IFERROR(__xludf.DUMMYFUNCTION("""COMPUTED_VALUE"""),20.23)</f>
        <v>20.23</v>
      </c>
      <c r="V28" s="104">
        <f t="shared" ca="1" si="0"/>
        <v>0.20230000000000001</v>
      </c>
    </row>
    <row r="29" spans="2:22">
      <c r="B29" s="94">
        <v>43221</v>
      </c>
      <c r="T29" s="103">
        <f ca="1">IFERROR(__xludf.DUMMYFUNCTION("""COMPUTED_VALUE"""),32264)</f>
        <v>32264</v>
      </c>
      <c r="U29">
        <f ca="1">IFERROR(__xludf.DUMMYFUNCTION("""COMPUTED_VALUE"""),18.67)</f>
        <v>18.670000000000002</v>
      </c>
      <c r="V29" s="104">
        <f t="shared" ca="1" si="0"/>
        <v>0.1867</v>
      </c>
    </row>
    <row r="30" spans="2:22">
      <c r="B30" s="94">
        <v>43252</v>
      </c>
      <c r="T30" s="103">
        <f ca="1">IFERROR(__xludf.DUMMYFUNCTION("""COMPUTED_VALUE"""),32295)</f>
        <v>32295</v>
      </c>
      <c r="U30">
        <f ca="1">IFERROR(__xludf.DUMMYFUNCTION("""COMPUTED_VALUE"""),20.22)</f>
        <v>20.22</v>
      </c>
      <c r="V30" s="104">
        <f t="shared" ca="1" si="0"/>
        <v>0.20219999999999999</v>
      </c>
    </row>
    <row r="31" spans="2:22">
      <c r="B31" s="94">
        <v>43282</v>
      </c>
      <c r="T31" s="103">
        <f ca="1">IFERROR(__xludf.DUMMYFUNCTION("""COMPUTED_VALUE"""),32325)</f>
        <v>32325</v>
      </c>
      <c r="U31">
        <f ca="1">IFERROR(__xludf.DUMMYFUNCTION("""COMPUTED_VALUE"""),24.49)</f>
        <v>24.49</v>
      </c>
      <c r="V31" s="104">
        <f t="shared" ca="1" si="0"/>
        <v>0.24489999999999998</v>
      </c>
    </row>
    <row r="32" spans="2:22">
      <c r="B32" s="94">
        <v>43313</v>
      </c>
      <c r="T32" s="103">
        <f ca="1">IFERROR(__xludf.DUMMYFUNCTION("""COMPUTED_VALUE"""),32356)</f>
        <v>32356</v>
      </c>
      <c r="U32">
        <f ca="1">IFERROR(__xludf.DUMMYFUNCTION("""COMPUTED_VALUE"""),22.68)</f>
        <v>22.68</v>
      </c>
      <c r="V32" s="104">
        <f t="shared" ca="1" si="0"/>
        <v>0.2268</v>
      </c>
    </row>
    <row r="33" spans="2:22">
      <c r="B33" s="94">
        <v>43344</v>
      </c>
      <c r="T33" s="103">
        <f ca="1">IFERROR(__xludf.DUMMYFUNCTION("""COMPUTED_VALUE"""),32387)</f>
        <v>32387</v>
      </c>
      <c r="U33">
        <f ca="1">IFERROR(__xludf.DUMMYFUNCTION("""COMPUTED_VALUE"""),25.99)</f>
        <v>25.99</v>
      </c>
      <c r="V33" s="104">
        <f t="shared" ca="1" si="0"/>
        <v>0.25989999999999996</v>
      </c>
    </row>
    <row r="34" spans="2:22">
      <c r="B34" s="94">
        <v>43374</v>
      </c>
      <c r="T34" s="106">
        <f ca="1">IFERROR(__xludf.DUMMYFUNCTION("""COMPUTED_VALUE"""),32417)</f>
        <v>32417</v>
      </c>
      <c r="U34">
        <f ca="1">IFERROR(__xludf.DUMMYFUNCTION("""COMPUTED_VALUE"""),29.48)</f>
        <v>29.48</v>
      </c>
      <c r="V34" s="104">
        <f t="shared" ca="1" si="0"/>
        <v>0.29480000000000001</v>
      </c>
    </row>
    <row r="35" spans="2:22">
      <c r="B35" s="94">
        <v>43405</v>
      </c>
      <c r="T35" s="106">
        <f ca="1">IFERROR(__xludf.DUMMYFUNCTION("""COMPUTED_VALUE"""),32448)</f>
        <v>32448</v>
      </c>
      <c r="U35">
        <f ca="1">IFERROR(__xludf.DUMMYFUNCTION("""COMPUTED_VALUE"""),27.92)</f>
        <v>27.92</v>
      </c>
      <c r="V35" s="104">
        <f t="shared" ca="1" si="0"/>
        <v>0.2792</v>
      </c>
    </row>
    <row r="36" spans="2:22">
      <c r="B36" s="94">
        <v>43435</v>
      </c>
      <c r="T36" s="106">
        <f ca="1">IFERROR(__xludf.DUMMYFUNCTION("""COMPUTED_VALUE"""),32478)</f>
        <v>32478</v>
      </c>
      <c r="U36">
        <f ca="1">IFERROR(__xludf.DUMMYFUNCTION("""COMPUTED_VALUE"""),30.04)</f>
        <v>30.04</v>
      </c>
      <c r="V36" s="104">
        <f t="shared" ca="1" si="0"/>
        <v>0.3004</v>
      </c>
    </row>
    <row r="37" spans="2:22">
      <c r="B37" s="94">
        <v>43466</v>
      </c>
      <c r="T37" s="103">
        <f ca="1">IFERROR(__xludf.DUMMYFUNCTION("""COMPUTED_VALUE"""),32509)</f>
        <v>32509</v>
      </c>
      <c r="U37">
        <f ca="1">IFERROR(__xludf.DUMMYFUNCTION("""COMPUTED_VALUE"""),23.87)</f>
        <v>23.87</v>
      </c>
      <c r="V37" s="104">
        <f t="shared" ca="1" si="0"/>
        <v>0.23870000000000002</v>
      </c>
    </row>
    <row r="38" spans="2:22">
      <c r="B38" s="94">
        <v>43497</v>
      </c>
      <c r="T38" s="103">
        <f ca="1">IFERROR(__xludf.DUMMYFUNCTION("""COMPUTED_VALUE"""),32540)</f>
        <v>32540</v>
      </c>
      <c r="U38">
        <f ca="1">IFERROR(__xludf.DUMMYFUNCTION("""COMPUTED_VALUE"""),19.36)</f>
        <v>19.36</v>
      </c>
      <c r="V38" s="104">
        <f t="shared" ca="1" si="0"/>
        <v>0.19359999999999999</v>
      </c>
    </row>
    <row r="39" spans="2:22">
      <c r="B39" s="94">
        <v>43525</v>
      </c>
      <c r="T39" s="103">
        <f ca="1">IFERROR(__xludf.DUMMYFUNCTION("""COMPUTED_VALUE"""),32568)</f>
        <v>32568</v>
      </c>
      <c r="U39">
        <f ca="1">IFERROR(__xludf.DUMMYFUNCTION("""COMPUTED_VALUE"""),20.56)</f>
        <v>20.56</v>
      </c>
      <c r="V39" s="104">
        <f t="shared" ca="1" si="0"/>
        <v>0.20559999999999998</v>
      </c>
    </row>
    <row r="40" spans="2:22">
      <c r="B40" s="94">
        <v>43556</v>
      </c>
      <c r="T40" s="103">
        <f ca="1">IFERROR(__xludf.DUMMYFUNCTION("""COMPUTED_VALUE"""),32599)</f>
        <v>32599</v>
      </c>
      <c r="U40">
        <f ca="1">IFERROR(__xludf.DUMMYFUNCTION("""COMPUTED_VALUE"""),11.47)</f>
        <v>11.47</v>
      </c>
      <c r="V40" s="104">
        <f t="shared" ca="1" si="0"/>
        <v>0.11470000000000001</v>
      </c>
    </row>
    <row r="41" spans="2:22">
      <c r="B41" s="94">
        <v>43586</v>
      </c>
      <c r="T41" s="103">
        <f ca="1">IFERROR(__xludf.DUMMYFUNCTION("""COMPUTED_VALUE"""),32629)</f>
        <v>32629</v>
      </c>
      <c r="U41">
        <f ca="1">IFERROR(__xludf.DUMMYFUNCTION("""COMPUTED_VALUE"""),11.59)</f>
        <v>11.59</v>
      </c>
      <c r="V41" s="104">
        <f t="shared" ca="1" si="0"/>
        <v>0.1159</v>
      </c>
    </row>
    <row r="42" spans="2:22">
      <c r="B42" s="94">
        <v>43617</v>
      </c>
      <c r="T42" s="103">
        <f ca="1">IFERROR(__xludf.DUMMYFUNCTION("""COMPUTED_VALUE"""),32660)</f>
        <v>32660</v>
      </c>
      <c r="U42">
        <f ca="1">IFERROR(__xludf.DUMMYFUNCTION("""COMPUTED_VALUE"""),27.34)</f>
        <v>27.34</v>
      </c>
      <c r="V42" s="104">
        <f t="shared" ca="1" si="0"/>
        <v>0.27339999999999998</v>
      </c>
    </row>
    <row r="43" spans="2:22">
      <c r="B43" s="94">
        <v>43647</v>
      </c>
      <c r="T43" s="103">
        <f ca="1">IFERROR(__xludf.DUMMYFUNCTION("""COMPUTED_VALUE"""),32690)</f>
        <v>32690</v>
      </c>
      <c r="U43">
        <f ca="1">IFERROR(__xludf.DUMMYFUNCTION("""COMPUTED_VALUE"""),32.76)</f>
        <v>32.76</v>
      </c>
      <c r="V43" s="104">
        <f t="shared" ca="1" si="0"/>
        <v>0.3276</v>
      </c>
    </row>
    <row r="44" spans="2:22">
      <c r="B44" s="94">
        <v>43678</v>
      </c>
      <c r="T44" s="103">
        <f ca="1">IFERROR(__xludf.DUMMYFUNCTION("""COMPUTED_VALUE"""),32721)</f>
        <v>32721</v>
      </c>
      <c r="U44">
        <f ca="1">IFERROR(__xludf.DUMMYFUNCTION("""COMPUTED_VALUE"""),35.41)</f>
        <v>35.409999999999997</v>
      </c>
      <c r="V44" s="104">
        <f t="shared" ca="1" si="0"/>
        <v>0.35409999999999997</v>
      </c>
    </row>
    <row r="45" spans="2:22">
      <c r="B45" s="94">
        <v>43709</v>
      </c>
      <c r="T45" s="103">
        <f ca="1">IFERROR(__xludf.DUMMYFUNCTION("""COMPUTED_VALUE"""),32752)</f>
        <v>32752</v>
      </c>
      <c r="U45">
        <f ca="1">IFERROR(__xludf.DUMMYFUNCTION("""COMPUTED_VALUE"""),38.35)</f>
        <v>38.35</v>
      </c>
      <c r="V45" s="104">
        <f t="shared" ca="1" si="0"/>
        <v>0.38350000000000001</v>
      </c>
    </row>
    <row r="46" spans="2:22">
      <c r="B46" s="94">
        <v>43739</v>
      </c>
      <c r="T46" s="106">
        <f ca="1">IFERROR(__xludf.DUMMYFUNCTION("""COMPUTED_VALUE"""),32782)</f>
        <v>32782</v>
      </c>
      <c r="U46">
        <f ca="1">IFERROR(__xludf.DUMMYFUNCTION("""COMPUTED_VALUE"""),47.24)</f>
        <v>47.24</v>
      </c>
      <c r="V46" s="104">
        <f t="shared" ca="1" si="0"/>
        <v>0.47240000000000004</v>
      </c>
    </row>
    <row r="47" spans="2:22">
      <c r="B47" s="94">
        <v>43770</v>
      </c>
      <c r="T47" s="106">
        <f ca="1">IFERROR(__xludf.DUMMYFUNCTION("""COMPUTED_VALUE"""),32813)</f>
        <v>32813</v>
      </c>
      <c r="U47">
        <f ca="1">IFERROR(__xludf.DUMMYFUNCTION("""COMPUTED_VALUE"""),48.07)</f>
        <v>48.07</v>
      </c>
      <c r="V47" s="104">
        <f t="shared" ca="1" si="0"/>
        <v>0.48070000000000002</v>
      </c>
    </row>
    <row r="48" spans="2:22">
      <c r="B48" s="94">
        <v>43800</v>
      </c>
      <c r="T48" s="106">
        <f ca="1">IFERROR(__xludf.DUMMYFUNCTION("""COMPUTED_VALUE"""),32843)</f>
        <v>32843</v>
      </c>
      <c r="U48">
        <f ca="1">IFERROR(__xludf.DUMMYFUNCTION("""COMPUTED_VALUE"""),64.22)</f>
        <v>64.22</v>
      </c>
      <c r="V48" s="104">
        <f t="shared" ca="1" si="0"/>
        <v>0.64219999999999999</v>
      </c>
    </row>
    <row r="49" spans="2:22">
      <c r="B49" s="94">
        <v>43831</v>
      </c>
      <c r="T49" s="103">
        <f ca="1">IFERROR(__xludf.DUMMYFUNCTION("""COMPUTED_VALUE"""),32874)</f>
        <v>32874</v>
      </c>
      <c r="U49">
        <f ca="1">IFERROR(__xludf.DUMMYFUNCTION("""COMPUTED_VALUE"""),68.23)</f>
        <v>68.23</v>
      </c>
      <c r="V49" s="104">
        <f t="shared" ca="1" si="0"/>
        <v>0.68230000000000002</v>
      </c>
    </row>
    <row r="50" spans="2:22">
      <c r="B50" s="94">
        <v>43862</v>
      </c>
      <c r="T50" s="103">
        <f ca="1">IFERROR(__xludf.DUMMYFUNCTION("""COMPUTED_VALUE"""),32905)</f>
        <v>32905</v>
      </c>
      <c r="U50">
        <f ca="1">IFERROR(__xludf.DUMMYFUNCTION("""COMPUTED_VALUE"""),79.94)</f>
        <v>79.94</v>
      </c>
      <c r="V50" s="104">
        <f t="shared" ca="1" si="0"/>
        <v>0.7994</v>
      </c>
    </row>
    <row r="51" spans="2:22">
      <c r="B51" s="94">
        <v>43891</v>
      </c>
      <c r="T51" s="103">
        <f ca="1">IFERROR(__xludf.DUMMYFUNCTION("""COMPUTED_VALUE"""),32933)</f>
        <v>32933</v>
      </c>
      <c r="U51">
        <f ca="1">IFERROR(__xludf.DUMMYFUNCTION("""COMPUTED_VALUE"""),36.39)</f>
        <v>36.39</v>
      </c>
      <c r="V51" s="104">
        <f t="shared" ca="1" si="0"/>
        <v>0.3639</v>
      </c>
    </row>
    <row r="52" spans="2:22">
      <c r="B52" s="94">
        <v>43922</v>
      </c>
      <c r="T52" s="103">
        <f ca="1">IFERROR(__xludf.DUMMYFUNCTION("""COMPUTED_VALUE"""),32964)</f>
        <v>32964</v>
      </c>
      <c r="U52">
        <f ca="1">IFERROR(__xludf.DUMMYFUNCTION("""COMPUTED_VALUE"""),5.12)</f>
        <v>5.12</v>
      </c>
      <c r="V52" s="104">
        <f t="shared" ca="1" si="0"/>
        <v>5.1200000000000002E-2</v>
      </c>
    </row>
    <row r="53" spans="2:22">
      <c r="B53" s="94">
        <v>43952</v>
      </c>
      <c r="T53" s="103">
        <f ca="1">IFERROR(__xludf.DUMMYFUNCTION("""COMPUTED_VALUE"""),32994)</f>
        <v>32994</v>
      </c>
      <c r="U53">
        <f ca="1">IFERROR(__xludf.DUMMYFUNCTION("""COMPUTED_VALUE"""),5.94)</f>
        <v>5.94</v>
      </c>
      <c r="V53" s="104">
        <f t="shared" ca="1" si="0"/>
        <v>5.9400000000000001E-2</v>
      </c>
    </row>
    <row r="54" spans="2:22">
      <c r="B54" s="94">
        <v>43983</v>
      </c>
      <c r="T54" s="103">
        <f ca="1">IFERROR(__xludf.DUMMYFUNCTION("""COMPUTED_VALUE"""),33025)</f>
        <v>33025</v>
      </c>
      <c r="U54">
        <f ca="1">IFERROR(__xludf.DUMMYFUNCTION("""COMPUTED_VALUE"""),9.38)</f>
        <v>9.3800000000000008</v>
      </c>
      <c r="V54" s="104">
        <f t="shared" ca="1" si="0"/>
        <v>9.3800000000000008E-2</v>
      </c>
    </row>
    <row r="55" spans="2:22">
      <c r="B55" s="94">
        <v>44013</v>
      </c>
      <c r="T55" s="103">
        <f ca="1">IFERROR(__xludf.DUMMYFUNCTION("""COMPUTED_VALUE"""),33055)</f>
        <v>33055</v>
      </c>
      <c r="U55">
        <f ca="1">IFERROR(__xludf.DUMMYFUNCTION("""COMPUTED_VALUE"""),14.34)</f>
        <v>14.34</v>
      </c>
      <c r="V55" s="104">
        <f t="shared" ca="1" si="0"/>
        <v>0.1434</v>
      </c>
    </row>
    <row r="56" spans="2:22">
      <c r="B56" s="94">
        <v>44044</v>
      </c>
      <c r="T56" s="103">
        <f ca="1">IFERROR(__xludf.DUMMYFUNCTION("""COMPUTED_VALUE"""),33086)</f>
        <v>33086</v>
      </c>
      <c r="U56">
        <f ca="1">IFERROR(__xludf.DUMMYFUNCTION("""COMPUTED_VALUE"""),12.65)</f>
        <v>12.65</v>
      </c>
      <c r="V56" s="104">
        <f t="shared" ca="1" si="0"/>
        <v>0.1265</v>
      </c>
    </row>
    <row r="57" spans="2:22">
      <c r="B57" s="94">
        <v>44075</v>
      </c>
      <c r="T57" s="103">
        <f ca="1">IFERROR(__xludf.DUMMYFUNCTION("""COMPUTED_VALUE"""),33117)</f>
        <v>33117</v>
      </c>
      <c r="U57">
        <f ca="1">IFERROR(__xludf.DUMMYFUNCTION("""COMPUTED_VALUE"""),17.5)</f>
        <v>17.5</v>
      </c>
      <c r="V57" s="104">
        <f t="shared" ca="1" si="0"/>
        <v>0.17499999999999999</v>
      </c>
    </row>
    <row r="58" spans="2:22">
      <c r="B58" s="94">
        <v>44105</v>
      </c>
      <c r="T58" s="106">
        <f ca="1">IFERROR(__xludf.DUMMYFUNCTION("""COMPUTED_VALUE"""),33147)</f>
        <v>33147</v>
      </c>
      <c r="U58">
        <f ca="1">IFERROR(__xludf.DUMMYFUNCTION("""COMPUTED_VALUE"""),21.97)</f>
        <v>21.97</v>
      </c>
      <c r="V58" s="104">
        <f t="shared" ca="1" si="0"/>
        <v>0.21969999999999998</v>
      </c>
    </row>
    <row r="59" spans="2:22">
      <c r="B59" s="94">
        <v>44136</v>
      </c>
      <c r="T59" s="106">
        <f ca="1">IFERROR(__xludf.DUMMYFUNCTION("""COMPUTED_VALUE"""),33178)</f>
        <v>33178</v>
      </c>
      <c r="U59">
        <f ca="1">IFERROR(__xludf.DUMMYFUNCTION("""COMPUTED_VALUE"""),23.05)</f>
        <v>23.05</v>
      </c>
      <c r="V59" s="104">
        <f t="shared" ca="1" si="0"/>
        <v>0.23050000000000001</v>
      </c>
    </row>
    <row r="60" spans="2:22">
      <c r="B60" s="94">
        <v>44166</v>
      </c>
      <c r="T60" s="106">
        <f ca="1">IFERROR(__xludf.DUMMYFUNCTION("""COMPUTED_VALUE"""),33208)</f>
        <v>33208</v>
      </c>
      <c r="U60">
        <f ca="1">IFERROR(__xludf.DUMMYFUNCTION("""COMPUTED_VALUE"""),27.78)</f>
        <v>27.78</v>
      </c>
      <c r="V60" s="104">
        <f t="shared" ca="1" si="0"/>
        <v>0.27779999999999999</v>
      </c>
    </row>
    <row r="61" spans="2:22">
      <c r="B61" s="94">
        <v>44197</v>
      </c>
      <c r="T61" s="103">
        <f ca="1">IFERROR(__xludf.DUMMYFUNCTION("""COMPUTED_VALUE"""),33239)</f>
        <v>33239</v>
      </c>
      <c r="U61">
        <f ca="1">IFERROR(__xludf.DUMMYFUNCTION("""COMPUTED_VALUE"""),23.46)</f>
        <v>23.46</v>
      </c>
      <c r="V61" s="104">
        <f t="shared" ca="1" si="0"/>
        <v>0.2346</v>
      </c>
    </row>
    <row r="62" spans="2:22">
      <c r="B62" s="94">
        <v>44228</v>
      </c>
      <c r="T62" s="103">
        <f ca="1">IFERROR(__xludf.DUMMYFUNCTION("""COMPUTED_VALUE"""),33270)</f>
        <v>33270</v>
      </c>
      <c r="U62">
        <f ca="1">IFERROR(__xludf.DUMMYFUNCTION("""COMPUTED_VALUE"""),8.72)</f>
        <v>8.7200000000000006</v>
      </c>
      <c r="V62" s="104">
        <f t="shared" ca="1" si="0"/>
        <v>8.72E-2</v>
      </c>
    </row>
    <row r="63" spans="2:22">
      <c r="B63" s="94">
        <v>44256</v>
      </c>
      <c r="T63" s="103">
        <f ca="1">IFERROR(__xludf.DUMMYFUNCTION("""COMPUTED_VALUE"""),33298)</f>
        <v>33298</v>
      </c>
      <c r="U63">
        <f ca="1">IFERROR(__xludf.DUMMYFUNCTION("""COMPUTED_VALUE"""),10.01)</f>
        <v>10.01</v>
      </c>
      <c r="V63" s="104">
        <f t="shared" ca="1" si="0"/>
        <v>0.10009999999999999</v>
      </c>
    </row>
    <row r="64" spans="2:22">
      <c r="B64" s="94">
        <v>44287</v>
      </c>
      <c r="T64" s="103">
        <f ca="1">IFERROR(__xludf.DUMMYFUNCTION("""COMPUTED_VALUE"""),33329)</f>
        <v>33329</v>
      </c>
      <c r="U64">
        <f ca="1">IFERROR(__xludf.DUMMYFUNCTION("""COMPUTED_VALUE"""),12.49)</f>
        <v>12.49</v>
      </c>
      <c r="V64" s="104">
        <f t="shared" ca="1" si="0"/>
        <v>0.1249</v>
      </c>
    </row>
    <row r="65" spans="2:22">
      <c r="B65" s="94">
        <v>44317</v>
      </c>
      <c r="T65" s="103">
        <f ca="1">IFERROR(__xludf.DUMMYFUNCTION("""COMPUTED_VALUE"""),33359)</f>
        <v>33359</v>
      </c>
      <c r="U65">
        <f ca="1">IFERROR(__xludf.DUMMYFUNCTION("""COMPUTED_VALUE"""),12.64)</f>
        <v>12.64</v>
      </c>
      <c r="V65" s="104">
        <f t="shared" ca="1" si="0"/>
        <v>0.12640000000000001</v>
      </c>
    </row>
    <row r="66" spans="2:22">
      <c r="B66" s="94">
        <v>44348</v>
      </c>
      <c r="T66" s="103">
        <f ca="1">IFERROR(__xludf.DUMMYFUNCTION("""COMPUTED_VALUE"""),33390)</f>
        <v>33390</v>
      </c>
      <c r="U66">
        <f ca="1">IFERROR(__xludf.DUMMYFUNCTION("""COMPUTED_VALUE"""),10.66)</f>
        <v>10.66</v>
      </c>
      <c r="V66" s="104">
        <f t="shared" ca="1" si="0"/>
        <v>0.1066</v>
      </c>
    </row>
    <row r="67" spans="2:22">
      <c r="B67" s="94">
        <v>44378</v>
      </c>
      <c r="T67" s="103">
        <f ca="1">IFERROR(__xludf.DUMMYFUNCTION("""COMPUTED_VALUE"""),33420)</f>
        <v>33420</v>
      </c>
      <c r="U67">
        <f ca="1">IFERROR(__xludf.DUMMYFUNCTION("""COMPUTED_VALUE"""),13.26)</f>
        <v>13.26</v>
      </c>
      <c r="V67" s="104">
        <f t="shared" ca="1" si="0"/>
        <v>0.1326</v>
      </c>
    </row>
    <row r="68" spans="2:22">
      <c r="B68" s="94">
        <v>44409</v>
      </c>
      <c r="T68" s="103">
        <f ca="1">IFERROR(__xludf.DUMMYFUNCTION("""COMPUTED_VALUE"""),33451)</f>
        <v>33451</v>
      </c>
      <c r="U68">
        <f ca="1">IFERROR(__xludf.DUMMYFUNCTION("""COMPUTED_VALUE"""),15.97)</f>
        <v>15.97</v>
      </c>
      <c r="V68" s="104">
        <f t="shared" ca="1" si="0"/>
        <v>0.15970000000000001</v>
      </c>
    </row>
    <row r="69" spans="2:22">
      <c r="B69" s="94">
        <v>44440</v>
      </c>
      <c r="T69" s="103">
        <f ca="1">IFERROR(__xludf.DUMMYFUNCTION("""COMPUTED_VALUE"""),33482)</f>
        <v>33482</v>
      </c>
      <c r="U69">
        <f ca="1">IFERROR(__xludf.DUMMYFUNCTION("""COMPUTED_VALUE"""),20.01)</f>
        <v>20.010000000000002</v>
      </c>
      <c r="V69" s="104">
        <f t="shared" ca="1" si="0"/>
        <v>0.20010000000000003</v>
      </c>
    </row>
    <row r="70" spans="2:22">
      <c r="B70" s="94">
        <v>44470</v>
      </c>
      <c r="T70" s="106">
        <f ca="1">IFERROR(__xludf.DUMMYFUNCTION("""COMPUTED_VALUE"""),33512)</f>
        <v>33512</v>
      </c>
      <c r="U70">
        <f ca="1">IFERROR(__xludf.DUMMYFUNCTION("""COMPUTED_VALUE"""),26.1)</f>
        <v>26.1</v>
      </c>
      <c r="V70" s="104">
        <f t="shared" ca="1" si="0"/>
        <v>0.26100000000000001</v>
      </c>
    </row>
    <row r="71" spans="2:22">
      <c r="B71" s="94">
        <v>44501</v>
      </c>
      <c r="T71" s="106">
        <f ca="1">IFERROR(__xludf.DUMMYFUNCTION("""COMPUTED_VALUE"""),33543)</f>
        <v>33543</v>
      </c>
      <c r="U71">
        <f ca="1">IFERROR(__xludf.DUMMYFUNCTION("""COMPUTED_VALUE"""),31.98)</f>
        <v>31.98</v>
      </c>
      <c r="V71" s="104">
        <f t="shared" ca="1" si="0"/>
        <v>0.31980000000000003</v>
      </c>
    </row>
    <row r="72" spans="2:22">
      <c r="B72" s="94">
        <v>44531</v>
      </c>
      <c r="T72" s="106">
        <f ca="1">IFERROR(__xludf.DUMMYFUNCTION("""COMPUTED_VALUE"""),33573)</f>
        <v>33573</v>
      </c>
      <c r="U72">
        <f ca="1">IFERROR(__xludf.DUMMYFUNCTION("""COMPUTED_VALUE"""),30.46)</f>
        <v>30.46</v>
      </c>
      <c r="V72" s="104">
        <f t="shared" ca="1" si="0"/>
        <v>0.30459999999999998</v>
      </c>
    </row>
    <row r="73" spans="2:22">
      <c r="B73" s="94">
        <v>44562</v>
      </c>
      <c r="T73" s="103">
        <f ca="1">IFERROR(__xludf.DUMMYFUNCTION("""COMPUTED_VALUE"""),33604)</f>
        <v>33604</v>
      </c>
      <c r="U73">
        <f ca="1">IFERROR(__xludf.DUMMYFUNCTION("""COMPUTED_VALUE"""),29.07)</f>
        <v>29.07</v>
      </c>
      <c r="V73" s="104">
        <f t="shared" ca="1" si="0"/>
        <v>0.29070000000000001</v>
      </c>
    </row>
    <row r="74" spans="2:22">
      <c r="B74" s="94">
        <v>44593</v>
      </c>
      <c r="T74" s="103">
        <f ca="1">IFERROR(__xludf.DUMMYFUNCTION("""COMPUTED_VALUE"""),33635)</f>
        <v>33635</v>
      </c>
      <c r="U74">
        <f ca="1">IFERROR(__xludf.DUMMYFUNCTION("""COMPUTED_VALUE"""),30.32)</f>
        <v>30.32</v>
      </c>
      <c r="V74" s="104">
        <f t="shared" ca="1" si="0"/>
        <v>0.30320000000000003</v>
      </c>
    </row>
    <row r="75" spans="2:22">
      <c r="B75" s="94">
        <v>44621</v>
      </c>
      <c r="T75" s="103">
        <f ca="1">IFERROR(__xludf.DUMMYFUNCTION("""COMPUTED_VALUE"""),33664)</f>
        <v>33664</v>
      </c>
      <c r="U75">
        <f ca="1">IFERROR(__xludf.DUMMYFUNCTION("""COMPUTED_VALUE"""),25.2)</f>
        <v>25.2</v>
      </c>
      <c r="V75" s="104">
        <f t="shared" ca="1" si="0"/>
        <v>0.252</v>
      </c>
    </row>
    <row r="76" spans="2:22">
      <c r="B76" s="94">
        <v>44652</v>
      </c>
      <c r="T76" s="103">
        <f ca="1">IFERROR(__xludf.DUMMYFUNCTION("""COMPUTED_VALUE"""),33695)</f>
        <v>33695</v>
      </c>
      <c r="U76">
        <f ca="1">IFERROR(__xludf.DUMMYFUNCTION("""COMPUTED_VALUE"""),23.75)</f>
        <v>23.75</v>
      </c>
      <c r="V76" s="104">
        <f t="shared" ca="1" si="0"/>
        <v>0.23749999999999999</v>
      </c>
    </row>
    <row r="77" spans="2:22">
      <c r="B77" s="94">
        <v>44682</v>
      </c>
      <c r="T77" s="103">
        <f ca="1">IFERROR(__xludf.DUMMYFUNCTION("""COMPUTED_VALUE"""),33725)</f>
        <v>33725</v>
      </c>
      <c r="U77">
        <f ca="1">IFERROR(__xludf.DUMMYFUNCTION("""COMPUTED_VALUE"""),22.94)</f>
        <v>22.94</v>
      </c>
      <c r="V77" s="104">
        <f t="shared" ca="1" si="0"/>
        <v>0.22940000000000002</v>
      </c>
    </row>
    <row r="78" spans="2:22">
      <c r="B78" s="94">
        <v>44713</v>
      </c>
      <c r="T78" s="103">
        <f ca="1">IFERROR(__xludf.DUMMYFUNCTION("""COMPUTED_VALUE"""),33756)</f>
        <v>33756</v>
      </c>
      <c r="U78">
        <f ca="1">IFERROR(__xludf.DUMMYFUNCTION("""COMPUTED_VALUE"""),24.24)</f>
        <v>24.24</v>
      </c>
      <c r="V78" s="104">
        <f t="shared" ca="1" si="0"/>
        <v>0.24239999999999998</v>
      </c>
    </row>
    <row r="79" spans="2:22">
      <c r="B79" s="94">
        <v>44743</v>
      </c>
      <c r="T79" s="103">
        <f ca="1">IFERROR(__xludf.DUMMYFUNCTION("""COMPUTED_VALUE"""),33786)</f>
        <v>33786</v>
      </c>
      <c r="U79">
        <f ca="1">IFERROR(__xludf.DUMMYFUNCTION("""COMPUTED_VALUE"""),26.31)</f>
        <v>26.31</v>
      </c>
      <c r="V79" s="104">
        <f t="shared" ca="1" si="0"/>
        <v>0.2631</v>
      </c>
    </row>
    <row r="80" spans="2:22">
      <c r="B80" s="94">
        <v>44774</v>
      </c>
      <c r="T80" s="103">
        <f ca="1">IFERROR(__xludf.DUMMYFUNCTION("""COMPUTED_VALUE"""),33817)</f>
        <v>33817</v>
      </c>
      <c r="U80">
        <f ca="1">IFERROR(__xludf.DUMMYFUNCTION("""COMPUTED_VALUE"""),25.73)</f>
        <v>25.73</v>
      </c>
      <c r="V80" s="104">
        <f t="shared" ca="1" si="0"/>
        <v>0.25730000000000003</v>
      </c>
    </row>
    <row r="81" spans="2:22">
      <c r="B81" s="94">
        <v>44805</v>
      </c>
      <c r="T81" s="103">
        <f ca="1">IFERROR(__xludf.DUMMYFUNCTION("""COMPUTED_VALUE"""),33848)</f>
        <v>33848</v>
      </c>
      <c r="U81">
        <f ca="1">IFERROR(__xludf.DUMMYFUNCTION("""COMPUTED_VALUE"""),27.65)</f>
        <v>27.65</v>
      </c>
      <c r="V81" s="104">
        <f t="shared" ca="1" si="0"/>
        <v>0.27649999999999997</v>
      </c>
    </row>
    <row r="82" spans="2:22">
      <c r="B82" s="94">
        <v>44835</v>
      </c>
      <c r="T82" s="106">
        <f ca="1">IFERROR(__xludf.DUMMYFUNCTION("""COMPUTED_VALUE"""),33878)</f>
        <v>33878</v>
      </c>
      <c r="U82">
        <f ca="1">IFERROR(__xludf.DUMMYFUNCTION("""COMPUTED_VALUE"""),28.19)</f>
        <v>28.19</v>
      </c>
      <c r="V82" s="104">
        <f t="shared" ca="1" si="0"/>
        <v>0.28190000000000004</v>
      </c>
    </row>
    <row r="83" spans="2:22">
      <c r="B83" s="94">
        <v>44866</v>
      </c>
      <c r="T83" s="106">
        <f ca="1">IFERROR(__xludf.DUMMYFUNCTION("""COMPUTED_VALUE"""),33909)</f>
        <v>33909</v>
      </c>
      <c r="U83">
        <f ca="1">IFERROR(__xludf.DUMMYFUNCTION("""COMPUTED_VALUE"""),26.09)</f>
        <v>26.09</v>
      </c>
      <c r="V83" s="104">
        <f t="shared" ca="1" si="0"/>
        <v>0.26090000000000002</v>
      </c>
    </row>
    <row r="84" spans="2:22">
      <c r="B84" s="94">
        <v>44896</v>
      </c>
      <c r="T84" s="106">
        <f ca="1">IFERROR(__xludf.DUMMYFUNCTION("""COMPUTED_VALUE"""),33939)</f>
        <v>33939</v>
      </c>
      <c r="U84">
        <f ca="1">IFERROR(__xludf.DUMMYFUNCTION("""COMPUTED_VALUE"""),26.06)</f>
        <v>26.06</v>
      </c>
      <c r="V84" s="104">
        <f t="shared" ca="1" si="0"/>
        <v>0.2606</v>
      </c>
    </row>
    <row r="85" spans="2:22">
      <c r="B85" s="94">
        <v>44927</v>
      </c>
      <c r="T85" s="103">
        <f ca="1">IFERROR(__xludf.DUMMYFUNCTION("""COMPUTED_VALUE"""),33970)</f>
        <v>33970</v>
      </c>
      <c r="U85">
        <f ca="1">IFERROR(__xludf.DUMMYFUNCTION("""COMPUTED_VALUE"""),28.78)</f>
        <v>28.78</v>
      </c>
      <c r="V85" s="104">
        <f t="shared" ca="1" si="0"/>
        <v>0.2878</v>
      </c>
    </row>
    <row r="86" spans="2:22">
      <c r="B86" s="94">
        <v>44958</v>
      </c>
      <c r="T86" s="103">
        <f ca="1">IFERROR(__xludf.DUMMYFUNCTION("""COMPUTED_VALUE"""),34001)</f>
        <v>34001</v>
      </c>
      <c r="U86">
        <f ca="1">IFERROR(__xludf.DUMMYFUNCTION("""COMPUTED_VALUE"""),28.56)</f>
        <v>28.56</v>
      </c>
      <c r="V86" s="104">
        <f t="shared" ca="1" si="0"/>
        <v>0.28559999999999997</v>
      </c>
    </row>
    <row r="87" spans="2:22">
      <c r="B87" s="94">
        <v>44986</v>
      </c>
      <c r="T87" s="103">
        <f ca="1">IFERROR(__xludf.DUMMYFUNCTION("""COMPUTED_VALUE"""),34029)</f>
        <v>34029</v>
      </c>
      <c r="U87">
        <f ca="1">IFERROR(__xludf.DUMMYFUNCTION("""COMPUTED_VALUE"""),28.54)</f>
        <v>28.54</v>
      </c>
      <c r="V87" s="104">
        <f t="shared" ca="1" si="0"/>
        <v>0.28539999999999999</v>
      </c>
    </row>
    <row r="88" spans="2:22">
      <c r="B88" s="94">
        <v>45017</v>
      </c>
      <c r="T88" s="103">
        <f ca="1">IFERROR(__xludf.DUMMYFUNCTION("""COMPUTED_VALUE"""),34060)</f>
        <v>34060</v>
      </c>
      <c r="U88">
        <f ca="1">IFERROR(__xludf.DUMMYFUNCTION("""COMPUTED_VALUE"""),30.39)</f>
        <v>30.39</v>
      </c>
      <c r="V88" s="104">
        <f t="shared" ca="1" si="0"/>
        <v>0.3039</v>
      </c>
    </row>
    <row r="89" spans="2:22">
      <c r="B89" s="94">
        <v>45047</v>
      </c>
      <c r="T89" s="103">
        <f ca="1">IFERROR(__xludf.DUMMYFUNCTION("""COMPUTED_VALUE"""),34090)</f>
        <v>34090</v>
      </c>
      <c r="U89">
        <f ca="1">IFERROR(__xludf.DUMMYFUNCTION("""COMPUTED_VALUE"""),30.93)</f>
        <v>30.93</v>
      </c>
      <c r="V89" s="104">
        <f t="shared" ca="1" si="0"/>
        <v>0.30930000000000002</v>
      </c>
    </row>
    <row r="90" spans="2:22">
      <c r="B90" s="94">
        <v>45078</v>
      </c>
      <c r="T90" s="103">
        <f ca="1">IFERROR(__xludf.DUMMYFUNCTION("""COMPUTED_VALUE"""),34121)</f>
        <v>34121</v>
      </c>
      <c r="U90">
        <f ca="1">IFERROR(__xludf.DUMMYFUNCTION("""COMPUTED_VALUE"""),31.8)</f>
        <v>31.8</v>
      </c>
      <c r="V90" s="104">
        <f t="shared" ca="1" si="0"/>
        <v>0.318</v>
      </c>
    </row>
    <row r="91" spans="2:22">
      <c r="B91" s="94">
        <v>45108</v>
      </c>
      <c r="T91" s="103">
        <f ca="1">IFERROR(__xludf.DUMMYFUNCTION("""COMPUTED_VALUE"""),34151)</f>
        <v>34151</v>
      </c>
      <c r="U91">
        <f ca="1">IFERROR(__xludf.DUMMYFUNCTION("""COMPUTED_VALUE"""),32.79)</f>
        <v>32.79</v>
      </c>
      <c r="V91" s="104">
        <f t="shared" ca="1" si="0"/>
        <v>0.32789999999999997</v>
      </c>
    </row>
    <row r="92" spans="2:22">
      <c r="B92" s="94">
        <v>45139</v>
      </c>
      <c r="T92" s="103">
        <f ca="1">IFERROR(__xludf.DUMMYFUNCTION("""COMPUTED_VALUE"""),34182)</f>
        <v>34182</v>
      </c>
      <c r="U92">
        <f ca="1">IFERROR(__xludf.DUMMYFUNCTION("""COMPUTED_VALUE"""),34.8)</f>
        <v>34.799999999999997</v>
      </c>
      <c r="V92" s="104">
        <f t="shared" ca="1" si="0"/>
        <v>0.34799999999999998</v>
      </c>
    </row>
    <row r="93" spans="2:22">
      <c r="B93" s="94">
        <v>45170</v>
      </c>
      <c r="T93" s="103">
        <f ca="1">IFERROR(__xludf.DUMMYFUNCTION("""COMPUTED_VALUE"""),34213)</f>
        <v>34213</v>
      </c>
      <c r="U93">
        <f ca="1">IFERROR(__xludf.DUMMYFUNCTION("""COMPUTED_VALUE"""),37.43)</f>
        <v>37.43</v>
      </c>
      <c r="V93" s="104">
        <f t="shared" ca="1" si="0"/>
        <v>0.37430000000000002</v>
      </c>
    </row>
    <row r="94" spans="2:22">
      <c r="B94" s="94">
        <v>45200</v>
      </c>
      <c r="T94" s="106">
        <f ca="1">IFERROR(__xludf.DUMMYFUNCTION("""COMPUTED_VALUE"""),34243)</f>
        <v>34243</v>
      </c>
      <c r="U94">
        <f ca="1">IFERROR(__xludf.DUMMYFUNCTION("""COMPUTED_VALUE"""),38.39)</f>
        <v>38.39</v>
      </c>
      <c r="V94" s="104">
        <f t="shared" ca="1" si="0"/>
        <v>0.38390000000000002</v>
      </c>
    </row>
    <row r="95" spans="2:22">
      <c r="B95" s="94">
        <v>45231</v>
      </c>
      <c r="T95" s="106">
        <f ca="1">IFERROR(__xludf.DUMMYFUNCTION("""COMPUTED_VALUE"""),34274)</f>
        <v>34274</v>
      </c>
      <c r="U95">
        <f ca="1">IFERROR(__xludf.DUMMYFUNCTION("""COMPUTED_VALUE"""),38.07)</f>
        <v>38.07</v>
      </c>
      <c r="V95" s="104">
        <f t="shared" ca="1" si="0"/>
        <v>0.38069999999999998</v>
      </c>
    </row>
    <row r="96" spans="2:22">
      <c r="B96" s="94">
        <v>45261</v>
      </c>
      <c r="T96" s="106">
        <f ca="1">IFERROR(__xludf.DUMMYFUNCTION("""COMPUTED_VALUE"""),34304)</f>
        <v>34304</v>
      </c>
      <c r="U96">
        <f ca="1">IFERROR(__xludf.DUMMYFUNCTION("""COMPUTED_VALUE"""),40.64)</f>
        <v>40.64</v>
      </c>
      <c r="V96" s="104">
        <f t="shared" ca="1" si="0"/>
        <v>0.40639999999999998</v>
      </c>
    </row>
    <row r="97" spans="2:22">
      <c r="B97" s="94">
        <v>45292</v>
      </c>
      <c r="T97" s="103">
        <f ca="1">IFERROR(__xludf.DUMMYFUNCTION("""COMPUTED_VALUE"""),34335)</f>
        <v>34335</v>
      </c>
      <c r="U97">
        <f ca="1">IFERROR(__xludf.DUMMYFUNCTION("""COMPUTED_VALUE"""),43.25)</f>
        <v>43.25</v>
      </c>
      <c r="V97" s="104">
        <f t="shared" ca="1" si="0"/>
        <v>0.4325</v>
      </c>
    </row>
    <row r="98" spans="2:22">
      <c r="B98" s="94">
        <v>45323</v>
      </c>
      <c r="T98" s="103">
        <f ca="1">IFERROR(__xludf.DUMMYFUNCTION("""COMPUTED_VALUE"""),34366)</f>
        <v>34366</v>
      </c>
      <c r="U98">
        <f ca="1">IFERROR(__xludf.DUMMYFUNCTION("""COMPUTED_VALUE"""),41.46)</f>
        <v>41.46</v>
      </c>
      <c r="V98" s="104">
        <f t="shared" ca="1" si="0"/>
        <v>0.41460000000000002</v>
      </c>
    </row>
    <row r="99" spans="2:22">
      <c r="B99" s="94">
        <v>45352</v>
      </c>
      <c r="T99" s="103">
        <f ca="1">IFERROR(__xludf.DUMMYFUNCTION("""COMPUTED_VALUE"""),34394)</f>
        <v>34394</v>
      </c>
      <c r="U99">
        <f ca="1">IFERROR(__xludf.DUMMYFUNCTION("""COMPUTED_VALUE"""),46.98)</f>
        <v>46.98</v>
      </c>
      <c r="V99" s="104">
        <f t="shared" ca="1" si="0"/>
        <v>0.4698</v>
      </c>
    </row>
    <row r="100" spans="2:22">
      <c r="B100" s="94">
        <v>45383</v>
      </c>
      <c r="T100" s="103">
        <f ca="1">IFERROR(__xludf.DUMMYFUNCTION("""COMPUTED_VALUE"""),34425)</f>
        <v>34425</v>
      </c>
      <c r="U100">
        <f ca="1">IFERROR(__xludf.DUMMYFUNCTION("""COMPUTED_VALUE"""),45.97)</f>
        <v>45.97</v>
      </c>
      <c r="V100" s="104">
        <f t="shared" ca="1" si="0"/>
        <v>0.4597</v>
      </c>
    </row>
    <row r="101" spans="2:22">
      <c r="B101" s="94">
        <v>45413</v>
      </c>
      <c r="T101" s="103">
        <f ca="1">IFERROR(__xludf.DUMMYFUNCTION("""COMPUTED_VALUE"""),34455)</f>
        <v>34455</v>
      </c>
      <c r="U101">
        <f ca="1">IFERROR(__xludf.DUMMYFUNCTION("""COMPUTED_VALUE"""),48.12)</f>
        <v>48.12</v>
      </c>
      <c r="V101" s="104">
        <f t="shared" ca="1" si="0"/>
        <v>0.48119999999999996</v>
      </c>
    </row>
    <row r="102" spans="2:22">
      <c r="B102" s="94">
        <v>45444</v>
      </c>
      <c r="T102" s="103">
        <f ca="1">IFERROR(__xludf.DUMMYFUNCTION("""COMPUTED_VALUE"""),34486)</f>
        <v>34486</v>
      </c>
      <c r="U102">
        <f ca="1">IFERROR(__xludf.DUMMYFUNCTION("""COMPUTED_VALUE"""),48.43)</f>
        <v>48.43</v>
      </c>
      <c r="V102" s="104">
        <f t="shared" ca="1" si="0"/>
        <v>0.48430000000000001</v>
      </c>
    </row>
    <row r="103" spans="2:22">
      <c r="B103" s="94">
        <v>45474</v>
      </c>
      <c r="T103" s="103">
        <f ca="1">IFERROR(__xludf.DUMMYFUNCTION("""COMPUTED_VALUE"""),34516)</f>
        <v>34516</v>
      </c>
      <c r="U103">
        <f ca="1">IFERROR(__xludf.DUMMYFUNCTION("""COMPUTED_VALUE"""),6.68)</f>
        <v>6.68</v>
      </c>
      <c r="V103" s="104">
        <f t="shared" ca="1" si="0"/>
        <v>6.6799999999999998E-2</v>
      </c>
    </row>
    <row r="104" spans="2:22">
      <c r="B104" s="94">
        <v>45505</v>
      </c>
      <c r="T104" s="103">
        <f ca="1">IFERROR(__xludf.DUMMYFUNCTION("""COMPUTED_VALUE"""),34547)</f>
        <v>34547</v>
      </c>
      <c r="U104">
        <f ca="1">IFERROR(__xludf.DUMMYFUNCTION("""COMPUTED_VALUE"""),4.16)</f>
        <v>4.16</v>
      </c>
      <c r="V104" s="104">
        <f t="shared" ca="1" si="0"/>
        <v>4.1599999999999998E-2</v>
      </c>
    </row>
    <row r="105" spans="2:22">
      <c r="B105" s="94">
        <v>45536</v>
      </c>
      <c r="T105" s="103">
        <f ca="1">IFERROR(__xludf.DUMMYFUNCTION("""COMPUTED_VALUE"""),34578)</f>
        <v>34578</v>
      </c>
      <c r="U105">
        <f ca="1">IFERROR(__xludf.DUMMYFUNCTION("""COMPUTED_VALUE"""),3.85)</f>
        <v>3.85</v>
      </c>
      <c r="V105" s="104">
        <f t="shared" ca="1" si="0"/>
        <v>3.85E-2</v>
      </c>
    </row>
    <row r="106" spans="2:22">
      <c r="B106" s="94">
        <v>45566</v>
      </c>
      <c r="T106" s="106">
        <f ca="1">IFERROR(__xludf.DUMMYFUNCTION("""COMPUTED_VALUE"""),34608)</f>
        <v>34608</v>
      </c>
      <c r="U106">
        <f ca="1">IFERROR(__xludf.DUMMYFUNCTION("""COMPUTED_VALUE"""),3.65)</f>
        <v>3.65</v>
      </c>
      <c r="V106" s="104">
        <f t="shared" ca="1" si="0"/>
        <v>3.6499999999999998E-2</v>
      </c>
    </row>
    <row r="107" spans="2:22">
      <c r="B107" s="94">
        <v>45597</v>
      </c>
      <c r="T107" s="106">
        <f ca="1">IFERROR(__xludf.DUMMYFUNCTION("""COMPUTED_VALUE"""),34639)</f>
        <v>34639</v>
      </c>
      <c r="U107">
        <f ca="1">IFERROR(__xludf.DUMMYFUNCTION("""COMPUTED_VALUE"""),4.11)</f>
        <v>4.1100000000000003</v>
      </c>
      <c r="V107" s="104">
        <f t="shared" ca="1" si="0"/>
        <v>4.1100000000000005E-2</v>
      </c>
    </row>
    <row r="108" spans="2:22">
      <c r="B108" s="94">
        <v>45627</v>
      </c>
      <c r="T108" s="106">
        <f ca="1">IFERROR(__xludf.DUMMYFUNCTION("""COMPUTED_VALUE"""),34669)</f>
        <v>34669</v>
      </c>
      <c r="U108">
        <f ca="1">IFERROR(__xludf.DUMMYFUNCTION("""COMPUTED_VALUE"""),3.84)</f>
        <v>3.84</v>
      </c>
      <c r="V108" s="104">
        <f t="shared" ca="1" si="0"/>
        <v>3.8399999999999997E-2</v>
      </c>
    </row>
    <row r="109" spans="2:22">
      <c r="B109" s="94">
        <v>45658</v>
      </c>
      <c r="T109" s="103">
        <f ca="1">IFERROR(__xludf.DUMMYFUNCTION("""COMPUTED_VALUE"""),34700)</f>
        <v>34700</v>
      </c>
      <c r="U109">
        <f ca="1">IFERROR(__xludf.DUMMYFUNCTION("""COMPUTED_VALUE"""),3.48)</f>
        <v>3.48</v>
      </c>
      <c r="V109" s="104">
        <f t="shared" ca="1" si="0"/>
        <v>3.4799999999999998E-2</v>
      </c>
    </row>
    <row r="110" spans="2:22">
      <c r="B110" s="94">
        <v>45689</v>
      </c>
      <c r="T110" s="103">
        <f ca="1">IFERROR(__xludf.DUMMYFUNCTION("""COMPUTED_VALUE"""),34731)</f>
        <v>34731</v>
      </c>
      <c r="U110">
        <f ca="1">IFERROR(__xludf.DUMMYFUNCTION("""COMPUTED_VALUE"""),3.24)</f>
        <v>3.24</v>
      </c>
      <c r="V110" s="104">
        <f t="shared" ca="1" si="0"/>
        <v>3.2400000000000005E-2</v>
      </c>
    </row>
    <row r="111" spans="2:22">
      <c r="B111" s="94">
        <v>45717</v>
      </c>
      <c r="T111" s="103">
        <f ca="1">IFERROR(__xludf.DUMMYFUNCTION("""COMPUTED_VALUE"""),34759)</f>
        <v>34759</v>
      </c>
      <c r="U111">
        <f ca="1">IFERROR(__xludf.DUMMYFUNCTION("""COMPUTED_VALUE"""),4.41)</f>
        <v>4.41</v>
      </c>
      <c r="V111" s="104">
        <f t="shared" ca="1" si="0"/>
        <v>4.41E-2</v>
      </c>
    </row>
    <row r="112" spans="2:22">
      <c r="B112" s="94">
        <v>45748</v>
      </c>
      <c r="T112" s="103">
        <f ca="1">IFERROR(__xludf.DUMMYFUNCTION("""COMPUTED_VALUE"""),34790)</f>
        <v>34790</v>
      </c>
      <c r="U112">
        <f ca="1">IFERROR(__xludf.DUMMYFUNCTION("""COMPUTED_VALUE"""),4.22)</f>
        <v>4.22</v>
      </c>
      <c r="V112" s="104">
        <f t="shared" ca="1" si="0"/>
        <v>4.2199999999999994E-2</v>
      </c>
    </row>
    <row r="113" spans="2:22">
      <c r="B113" s="94">
        <v>45778</v>
      </c>
      <c r="T113" s="103">
        <f ca="1">IFERROR(__xludf.DUMMYFUNCTION("""COMPUTED_VALUE"""),34820)</f>
        <v>34820</v>
      </c>
      <c r="U113">
        <f ca="1">IFERROR(__xludf.DUMMYFUNCTION("""COMPUTED_VALUE"""),4.27)</f>
        <v>4.2699999999999996</v>
      </c>
      <c r="V113" s="104">
        <f t="shared" ca="1" si="0"/>
        <v>4.2699999999999995E-2</v>
      </c>
    </row>
    <row r="114" spans="2:22">
      <c r="B114" s="94">
        <v>45809</v>
      </c>
      <c r="T114" s="103">
        <f ca="1">IFERROR(__xludf.DUMMYFUNCTION("""COMPUTED_VALUE"""),34851)</f>
        <v>34851</v>
      </c>
      <c r="U114">
        <f ca="1">IFERROR(__xludf.DUMMYFUNCTION("""COMPUTED_VALUE"""),4.05)</f>
        <v>4.05</v>
      </c>
      <c r="V114" s="104">
        <f t="shared" ca="1" si="0"/>
        <v>4.0500000000000001E-2</v>
      </c>
    </row>
    <row r="115" spans="2:22">
      <c r="B115" s="94">
        <v>45839</v>
      </c>
      <c r="T115" s="103">
        <f ca="1">IFERROR(__xludf.DUMMYFUNCTION("""COMPUTED_VALUE"""),34881)</f>
        <v>34881</v>
      </c>
      <c r="U115">
        <f ca="1">IFERROR(__xludf.DUMMYFUNCTION("""COMPUTED_VALUE"""),4.01)</f>
        <v>4.01</v>
      </c>
      <c r="V115" s="104">
        <f t="shared" ca="1" si="0"/>
        <v>4.0099999999999997E-2</v>
      </c>
    </row>
    <row r="116" spans="2:22">
      <c r="B116" s="94">
        <v>45870</v>
      </c>
      <c r="T116" s="103">
        <f ca="1">IFERROR(__xludf.DUMMYFUNCTION("""COMPUTED_VALUE"""),34912)</f>
        <v>34912</v>
      </c>
      <c r="U116">
        <f ca="1">IFERROR(__xludf.DUMMYFUNCTION("""COMPUTED_VALUE"""),3.81)</f>
        <v>3.81</v>
      </c>
      <c r="V116" s="104">
        <f t="shared" ca="1" si="0"/>
        <v>3.8100000000000002E-2</v>
      </c>
    </row>
    <row r="117" spans="2:22">
      <c r="B117" s="94">
        <v>45901</v>
      </c>
      <c r="T117" s="103">
        <f ca="1">IFERROR(__xludf.DUMMYFUNCTION("""COMPUTED_VALUE"""),34943)</f>
        <v>34943</v>
      </c>
      <c r="U117">
        <f ca="1">IFERROR(__xludf.DUMMYFUNCTION("""COMPUTED_VALUE"""),3.25)</f>
        <v>3.25</v>
      </c>
      <c r="V117" s="104">
        <f t="shared" ca="1" si="0"/>
        <v>3.2500000000000001E-2</v>
      </c>
    </row>
    <row r="118" spans="2:22">
      <c r="B118" s="94">
        <v>45931</v>
      </c>
      <c r="T118" s="106">
        <f ca="1">IFERROR(__xludf.DUMMYFUNCTION("""COMPUTED_VALUE"""),34973)</f>
        <v>34973</v>
      </c>
      <c r="U118">
        <f ca="1">IFERROR(__xludf.DUMMYFUNCTION("""COMPUTED_VALUE"""),3.06)</f>
        <v>3.06</v>
      </c>
      <c r="V118" s="104">
        <f t="shared" ca="1" si="0"/>
        <v>3.0600000000000002E-2</v>
      </c>
    </row>
    <row r="119" spans="2:22">
      <c r="B119" s="94">
        <v>45962</v>
      </c>
      <c r="T119" s="106">
        <f ca="1">IFERROR(__xludf.DUMMYFUNCTION("""COMPUTED_VALUE"""),35004)</f>
        <v>35004</v>
      </c>
      <c r="U119">
        <f ca="1">IFERROR(__xludf.DUMMYFUNCTION("""COMPUTED_VALUE"""),2.84)</f>
        <v>2.84</v>
      </c>
      <c r="V119" s="104">
        <f t="shared" ca="1" si="0"/>
        <v>2.8399999999999998E-2</v>
      </c>
    </row>
    <row r="120" spans="2:22">
      <c r="B120" s="94">
        <v>45992</v>
      </c>
      <c r="T120" s="106">
        <f ca="1">IFERROR(__xludf.DUMMYFUNCTION("""COMPUTED_VALUE"""),35034)</f>
        <v>35034</v>
      </c>
      <c r="U120">
        <f ca="1">IFERROR(__xludf.DUMMYFUNCTION("""COMPUTED_VALUE"""),2.73)</f>
        <v>2.73</v>
      </c>
      <c r="V120" s="104">
        <f t="shared" ca="1" si="0"/>
        <v>2.7300000000000001E-2</v>
      </c>
    </row>
    <row r="121" spans="2:22">
      <c r="B121" s="94">
        <v>46023</v>
      </c>
      <c r="T121" s="103">
        <f ca="1">IFERROR(__xludf.DUMMYFUNCTION("""COMPUTED_VALUE"""),35065)</f>
        <v>35065</v>
      </c>
      <c r="U121">
        <f ca="1">IFERROR(__xludf.DUMMYFUNCTION("""COMPUTED_VALUE"""),2.56)</f>
        <v>2.56</v>
      </c>
      <c r="V121" s="104">
        <f t="shared" ca="1" si="0"/>
        <v>2.5600000000000001E-2</v>
      </c>
    </row>
    <row r="122" spans="2:22">
      <c r="B122" s="94">
        <v>46054</v>
      </c>
      <c r="T122" s="103">
        <f ca="1">IFERROR(__xludf.DUMMYFUNCTION("""COMPUTED_VALUE"""),35096)</f>
        <v>35096</v>
      </c>
      <c r="U122">
        <f ca="1">IFERROR(__xludf.DUMMYFUNCTION("""COMPUTED_VALUE"""),2.31)</f>
        <v>2.31</v>
      </c>
      <c r="V122" s="104">
        <f t="shared" ca="1" si="0"/>
        <v>2.3099999999999999E-2</v>
      </c>
    </row>
    <row r="123" spans="2:22">
      <c r="B123" s="94">
        <v>46082</v>
      </c>
      <c r="T123" s="103">
        <f ca="1">IFERROR(__xludf.DUMMYFUNCTION("""COMPUTED_VALUE"""),35125)</f>
        <v>35125</v>
      </c>
      <c r="U123">
        <f ca="1">IFERROR(__xludf.DUMMYFUNCTION("""COMPUTED_VALUE"""),2.2)</f>
        <v>2.2000000000000002</v>
      </c>
      <c r="V123" s="104">
        <f t="shared" ca="1" si="0"/>
        <v>2.2000000000000002E-2</v>
      </c>
    </row>
    <row r="124" spans="2:22">
      <c r="B124" s="94">
        <v>46113</v>
      </c>
      <c r="T124" s="103">
        <f ca="1">IFERROR(__xludf.DUMMYFUNCTION("""COMPUTED_VALUE"""),35156)</f>
        <v>35156</v>
      </c>
      <c r="U124">
        <f ca="1">IFERROR(__xludf.DUMMYFUNCTION("""COMPUTED_VALUE"""),2.03)</f>
        <v>2.0299999999999998</v>
      </c>
      <c r="V124" s="104">
        <f t="shared" ca="1" si="0"/>
        <v>2.0299999999999999E-2</v>
      </c>
    </row>
    <row r="125" spans="2:22">
      <c r="B125" s="94">
        <v>46143</v>
      </c>
      <c r="T125" s="103">
        <f ca="1">IFERROR(__xludf.DUMMYFUNCTION("""COMPUTED_VALUE"""),35186)</f>
        <v>35186</v>
      </c>
      <c r="U125">
        <f ca="1">IFERROR(__xludf.DUMMYFUNCTION("""COMPUTED_VALUE"""),2)</f>
        <v>2</v>
      </c>
      <c r="V125" s="104">
        <f t="shared" ca="1" si="0"/>
        <v>0.02</v>
      </c>
    </row>
    <row r="126" spans="2:22">
      <c r="B126" s="94">
        <v>46174</v>
      </c>
      <c r="T126" s="103">
        <f ca="1">IFERROR(__xludf.DUMMYFUNCTION("""COMPUTED_VALUE"""),35217)</f>
        <v>35217</v>
      </c>
      <c r="U126">
        <f ca="1">IFERROR(__xludf.DUMMYFUNCTION("""COMPUTED_VALUE"""),1.94)</f>
        <v>1.94</v>
      </c>
      <c r="V126" s="104">
        <f t="shared" ca="1" si="0"/>
        <v>1.9400000000000001E-2</v>
      </c>
    </row>
    <row r="127" spans="2:22">
      <c r="B127" s="94">
        <v>46204</v>
      </c>
      <c r="T127" s="103">
        <f ca="1">IFERROR(__xludf.DUMMYFUNCTION("""COMPUTED_VALUE"""),35247)</f>
        <v>35247</v>
      </c>
      <c r="U127">
        <f ca="1">IFERROR(__xludf.DUMMYFUNCTION("""COMPUTED_VALUE"""),1.91)</f>
        <v>1.91</v>
      </c>
      <c r="V127" s="104">
        <f t="shared" ca="1" si="0"/>
        <v>1.9099999999999999E-2</v>
      </c>
    </row>
    <row r="128" spans="2:22">
      <c r="B128" s="94">
        <v>46235</v>
      </c>
      <c r="T128" s="103">
        <f ca="1">IFERROR(__xludf.DUMMYFUNCTION("""COMPUTED_VALUE"""),35278)</f>
        <v>35278</v>
      </c>
      <c r="U128">
        <f ca="1">IFERROR(__xludf.DUMMYFUNCTION("""COMPUTED_VALUE"""),1.95)</f>
        <v>1.95</v>
      </c>
      <c r="V128" s="104">
        <f t="shared" ca="1" si="0"/>
        <v>1.95E-2</v>
      </c>
    </row>
    <row r="129" spans="2:22">
      <c r="B129" s="94">
        <v>46266</v>
      </c>
      <c r="T129" s="103">
        <f ca="1">IFERROR(__xludf.DUMMYFUNCTION("""COMPUTED_VALUE"""),35309)</f>
        <v>35309</v>
      </c>
      <c r="U129">
        <f ca="1">IFERROR(__xludf.DUMMYFUNCTION("""COMPUTED_VALUE"""),1.88)</f>
        <v>1.88</v>
      </c>
      <c r="V129" s="104">
        <f t="shared" ca="1" si="0"/>
        <v>1.8799999999999997E-2</v>
      </c>
    </row>
    <row r="130" spans="2:22">
      <c r="B130" s="94">
        <v>46296</v>
      </c>
      <c r="T130" s="106">
        <f ca="1">IFERROR(__xludf.DUMMYFUNCTION("""COMPUTED_VALUE"""),35339)</f>
        <v>35339</v>
      </c>
      <c r="U130">
        <f ca="1">IFERROR(__xludf.DUMMYFUNCTION("""COMPUTED_VALUE"""),1.86)</f>
        <v>1.86</v>
      </c>
      <c r="V130" s="104">
        <f t="shared" ca="1" si="0"/>
        <v>1.8600000000000002E-2</v>
      </c>
    </row>
    <row r="131" spans="2:22">
      <c r="B131" s="94">
        <v>46327</v>
      </c>
      <c r="T131" s="106">
        <f ca="1">IFERROR(__xludf.DUMMYFUNCTION("""COMPUTED_VALUE"""),35370)</f>
        <v>35370</v>
      </c>
      <c r="U131">
        <f ca="1">IFERROR(__xludf.DUMMYFUNCTION("""COMPUTED_VALUE"""),1.79)</f>
        <v>1.79</v>
      </c>
      <c r="V131" s="104">
        <f t="shared" ca="1" si="0"/>
        <v>1.7899999999999999E-2</v>
      </c>
    </row>
    <row r="132" spans="2:22">
      <c r="B132" s="94">
        <v>46357</v>
      </c>
      <c r="T132" s="106">
        <f ca="1">IFERROR(__xludf.DUMMYFUNCTION("""COMPUTED_VALUE"""),35400)</f>
        <v>35400</v>
      </c>
      <c r="U132">
        <f ca="1">IFERROR(__xludf.DUMMYFUNCTION("""COMPUTED_VALUE"""),1.79)</f>
        <v>1.79</v>
      </c>
      <c r="V132" s="104">
        <f t="shared" ca="1" si="0"/>
        <v>1.7899999999999999E-2</v>
      </c>
    </row>
    <row r="133" spans="2:22">
      <c r="B133" s="94">
        <v>46388</v>
      </c>
      <c r="T133" s="103">
        <f ca="1">IFERROR(__xludf.DUMMYFUNCTION("""COMPUTED_VALUE"""),35431)</f>
        <v>35431</v>
      </c>
      <c r="U133">
        <f ca="1">IFERROR(__xludf.DUMMYFUNCTION("""COMPUTED_VALUE"""),1.74)</f>
        <v>1.74</v>
      </c>
      <c r="V133" s="104">
        <f t="shared" ca="1" si="0"/>
        <v>1.7399999999999999E-2</v>
      </c>
    </row>
    <row r="134" spans="2:22">
      <c r="B134" s="94">
        <v>46419</v>
      </c>
      <c r="T134" s="103">
        <f ca="1">IFERROR(__xludf.DUMMYFUNCTION("""COMPUTED_VALUE"""),35462)</f>
        <v>35462</v>
      </c>
      <c r="U134">
        <f ca="1">IFERROR(__xludf.DUMMYFUNCTION("""COMPUTED_VALUE"""),1.66)</f>
        <v>1.66</v>
      </c>
      <c r="V134" s="104">
        <f t="shared" ca="1" si="0"/>
        <v>1.66E-2</v>
      </c>
    </row>
    <row r="135" spans="2:22">
      <c r="B135" s="94">
        <v>46447</v>
      </c>
      <c r="T135" s="103">
        <f ca="1">IFERROR(__xludf.DUMMYFUNCTION("""COMPUTED_VALUE"""),35490)</f>
        <v>35490</v>
      </c>
      <c r="U135">
        <f ca="1">IFERROR(__xludf.DUMMYFUNCTION("""COMPUTED_VALUE"""),1.63)</f>
        <v>1.63</v>
      </c>
      <c r="V135" s="104">
        <f t="shared" ca="1" si="0"/>
        <v>1.6299999999999999E-2</v>
      </c>
    </row>
    <row r="136" spans="2:22">
      <c r="B136" s="94">
        <v>46478</v>
      </c>
      <c r="T136" s="103">
        <f ca="1">IFERROR(__xludf.DUMMYFUNCTION("""COMPUTED_VALUE"""),35521)</f>
        <v>35521</v>
      </c>
      <c r="U136">
        <f ca="1">IFERROR(__xludf.DUMMYFUNCTION("""COMPUTED_VALUE"""),1.66)</f>
        <v>1.66</v>
      </c>
      <c r="V136" s="104">
        <f t="shared" ca="1" si="0"/>
        <v>1.66E-2</v>
      </c>
    </row>
    <row r="137" spans="2:22">
      <c r="B137" s="94">
        <v>46508</v>
      </c>
      <c r="T137" s="103">
        <f ca="1">IFERROR(__xludf.DUMMYFUNCTION("""COMPUTED_VALUE"""),35551)</f>
        <v>35551</v>
      </c>
      <c r="U137">
        <f ca="1">IFERROR(__xludf.DUMMYFUNCTION("""COMPUTED_VALUE"""),1.58)</f>
        <v>1.58</v>
      </c>
      <c r="V137" s="104">
        <f t="shared" ca="1" si="0"/>
        <v>1.5800000000000002E-2</v>
      </c>
    </row>
    <row r="138" spans="2:22">
      <c r="B138" s="94">
        <v>46539</v>
      </c>
      <c r="T138" s="103">
        <f ca="1">IFERROR(__xludf.DUMMYFUNCTION("""COMPUTED_VALUE"""),35582)</f>
        <v>35582</v>
      </c>
      <c r="U138">
        <f ca="1">IFERROR(__xludf.DUMMYFUNCTION("""COMPUTED_VALUE"""),1.59)</f>
        <v>1.59</v>
      </c>
      <c r="V138" s="104">
        <f t="shared" ca="1" si="0"/>
        <v>1.5900000000000001E-2</v>
      </c>
    </row>
    <row r="139" spans="2:22">
      <c r="B139" s="94">
        <v>46569</v>
      </c>
      <c r="T139" s="103">
        <f ca="1">IFERROR(__xludf.DUMMYFUNCTION("""COMPUTED_VALUE"""),35612)</f>
        <v>35612</v>
      </c>
      <c r="U139">
        <f ca="1">IFERROR(__xludf.DUMMYFUNCTION("""COMPUTED_VALUE"""),1.61)</f>
        <v>1.61</v>
      </c>
      <c r="V139" s="104">
        <f t="shared" ca="1" si="0"/>
        <v>1.61E-2</v>
      </c>
    </row>
    <row r="140" spans="2:22">
      <c r="B140" s="94">
        <v>46600</v>
      </c>
      <c r="T140" s="103">
        <f ca="1">IFERROR(__xludf.DUMMYFUNCTION("""COMPUTED_VALUE"""),35643)</f>
        <v>35643</v>
      </c>
      <c r="U140">
        <f ca="1">IFERROR(__xludf.DUMMYFUNCTION("""COMPUTED_VALUE"""),1.58)</f>
        <v>1.58</v>
      </c>
      <c r="V140" s="104">
        <f t="shared" ca="1" si="0"/>
        <v>1.5800000000000002E-2</v>
      </c>
    </row>
    <row r="141" spans="2:22">
      <c r="B141" s="94">
        <v>46631</v>
      </c>
      <c r="T141" s="103">
        <f ca="1">IFERROR(__xludf.DUMMYFUNCTION("""COMPUTED_VALUE"""),35674)</f>
        <v>35674</v>
      </c>
      <c r="U141">
        <f ca="1">IFERROR(__xludf.DUMMYFUNCTION("""COMPUTED_VALUE"""),1.58)</f>
        <v>1.58</v>
      </c>
      <c r="V141" s="104">
        <f t="shared" ca="1" si="0"/>
        <v>1.5800000000000002E-2</v>
      </c>
    </row>
    <row r="142" spans="2:22">
      <c r="B142" s="94">
        <v>46661</v>
      </c>
      <c r="T142" s="106">
        <f ca="1">IFERROR(__xludf.DUMMYFUNCTION("""COMPUTED_VALUE"""),35704)</f>
        <v>35704</v>
      </c>
      <c r="U142">
        <f ca="1">IFERROR(__xludf.DUMMYFUNCTION("""COMPUTED_VALUE"""),1.68)</f>
        <v>1.68</v>
      </c>
      <c r="V142" s="104">
        <f t="shared" ca="1" si="0"/>
        <v>1.6799999999999999E-2</v>
      </c>
    </row>
    <row r="143" spans="2:22">
      <c r="B143" s="94">
        <v>46692</v>
      </c>
      <c r="T143" s="106">
        <f ca="1">IFERROR(__xludf.DUMMYFUNCTION("""COMPUTED_VALUE"""),35735)</f>
        <v>35735</v>
      </c>
      <c r="U143">
        <f ca="1">IFERROR(__xludf.DUMMYFUNCTION("""COMPUTED_VALUE"""),2.98)</f>
        <v>2.98</v>
      </c>
      <c r="V143" s="104">
        <f t="shared" ca="1" si="0"/>
        <v>2.98E-2</v>
      </c>
    </row>
    <row r="144" spans="2:22">
      <c r="B144" s="94">
        <v>46722</v>
      </c>
      <c r="T144" s="106">
        <f ca="1">IFERROR(__xludf.DUMMYFUNCTION("""COMPUTED_VALUE"""),35765)</f>
        <v>35765</v>
      </c>
      <c r="U144">
        <f ca="1">IFERROR(__xludf.DUMMYFUNCTION("""COMPUTED_VALUE"""),2.92)</f>
        <v>2.92</v>
      </c>
      <c r="V144" s="104">
        <f t="shared" ca="1" si="0"/>
        <v>2.92E-2</v>
      </c>
    </row>
    <row r="145" spans="2:22">
      <c r="B145" s="94">
        <v>46753</v>
      </c>
      <c r="T145" s="103">
        <f ca="1">IFERROR(__xludf.DUMMYFUNCTION("""COMPUTED_VALUE"""),35796)</f>
        <v>35796</v>
      </c>
      <c r="U145">
        <f ca="1">IFERROR(__xludf.DUMMYFUNCTION("""COMPUTED_VALUE"""),2.67)</f>
        <v>2.67</v>
      </c>
      <c r="V145" s="104">
        <f t="shared" ca="1" si="0"/>
        <v>2.6699999999999998E-2</v>
      </c>
    </row>
    <row r="146" spans="2:22">
      <c r="B146" s="94">
        <v>46784</v>
      </c>
      <c r="T146" s="103">
        <f ca="1">IFERROR(__xludf.DUMMYFUNCTION("""COMPUTED_VALUE"""),35827)</f>
        <v>35827</v>
      </c>
      <c r="U146">
        <f ca="1">IFERROR(__xludf.DUMMYFUNCTION("""COMPUTED_VALUE"""),2.11)</f>
        <v>2.11</v>
      </c>
      <c r="V146" s="104">
        <f t="shared" ca="1" si="0"/>
        <v>2.1099999999999997E-2</v>
      </c>
    </row>
    <row r="147" spans="2:22">
      <c r="B147" s="94">
        <v>46813</v>
      </c>
      <c r="T147" s="103">
        <f ca="1">IFERROR(__xludf.DUMMYFUNCTION("""COMPUTED_VALUE"""),35855)</f>
        <v>35855</v>
      </c>
      <c r="U147">
        <f ca="1">IFERROR(__xludf.DUMMYFUNCTION("""COMPUTED_VALUE"""),2.18)</f>
        <v>2.1800000000000002</v>
      </c>
      <c r="V147" s="104">
        <f t="shared" ca="1" si="0"/>
        <v>2.18E-2</v>
      </c>
    </row>
    <row r="148" spans="2:22">
      <c r="B148" s="94">
        <v>46844</v>
      </c>
      <c r="T148" s="103">
        <f ca="1">IFERROR(__xludf.DUMMYFUNCTION("""COMPUTED_VALUE"""),35886)</f>
        <v>35886</v>
      </c>
      <c r="U148">
        <f ca="1">IFERROR(__xludf.DUMMYFUNCTION("""COMPUTED_VALUE"""),1.69)</f>
        <v>1.69</v>
      </c>
      <c r="V148" s="104">
        <f t="shared" ca="1" si="0"/>
        <v>1.6899999999999998E-2</v>
      </c>
    </row>
    <row r="149" spans="2:22">
      <c r="B149" s="94">
        <v>46874</v>
      </c>
      <c r="T149" s="103">
        <f ca="1">IFERROR(__xludf.DUMMYFUNCTION("""COMPUTED_VALUE"""),35916)</f>
        <v>35916</v>
      </c>
      <c r="U149">
        <f ca="1">IFERROR(__xludf.DUMMYFUNCTION("""COMPUTED_VALUE"""),1.63)</f>
        <v>1.63</v>
      </c>
      <c r="V149" s="104">
        <f t="shared" ca="1" si="0"/>
        <v>1.6299999999999999E-2</v>
      </c>
    </row>
    <row r="150" spans="2:22">
      <c r="B150" s="94">
        <v>46905</v>
      </c>
      <c r="T150" s="103">
        <f ca="1">IFERROR(__xludf.DUMMYFUNCTION("""COMPUTED_VALUE"""),35947)</f>
        <v>35947</v>
      </c>
      <c r="U150">
        <f ca="1">IFERROR(__xludf.DUMMYFUNCTION("""COMPUTED_VALUE"""),1.6)</f>
        <v>1.6</v>
      </c>
      <c r="V150" s="104">
        <f t="shared" ca="1" si="0"/>
        <v>1.6E-2</v>
      </c>
    </row>
    <row r="151" spans="2:22">
      <c r="B151" s="94">
        <v>46935</v>
      </c>
      <c r="T151" s="103">
        <f ca="1">IFERROR(__xludf.DUMMYFUNCTION("""COMPUTED_VALUE"""),35977)</f>
        <v>35977</v>
      </c>
      <c r="U151">
        <f ca="1">IFERROR(__xludf.DUMMYFUNCTION("""COMPUTED_VALUE"""),1.69)</f>
        <v>1.69</v>
      </c>
      <c r="V151" s="104">
        <f t="shared" ca="1" si="0"/>
        <v>1.6899999999999998E-2</v>
      </c>
    </row>
    <row r="152" spans="2:22">
      <c r="B152" s="94">
        <v>46966</v>
      </c>
      <c r="T152" s="103">
        <f ca="1">IFERROR(__xludf.DUMMYFUNCTION("""COMPUTED_VALUE"""),36008)</f>
        <v>36008</v>
      </c>
      <c r="U152">
        <f ca="1">IFERROR(__xludf.DUMMYFUNCTION("""COMPUTED_VALUE"""),1.47)</f>
        <v>1.47</v>
      </c>
      <c r="V152" s="104">
        <f t="shared" ca="1" si="0"/>
        <v>1.47E-2</v>
      </c>
    </row>
    <row r="153" spans="2:22">
      <c r="B153" s="94">
        <v>46997</v>
      </c>
      <c r="T153" s="103">
        <f ca="1">IFERROR(__xludf.DUMMYFUNCTION("""COMPUTED_VALUE"""),36039)</f>
        <v>36039</v>
      </c>
      <c r="U153">
        <f ca="1">IFERROR(__xludf.DUMMYFUNCTION("""COMPUTED_VALUE"""),2.49)</f>
        <v>2.4900000000000002</v>
      </c>
      <c r="V153" s="104">
        <f t="shared" ca="1" si="0"/>
        <v>2.4900000000000002E-2</v>
      </c>
    </row>
    <row r="154" spans="2:22">
      <c r="B154" s="94">
        <v>47027</v>
      </c>
      <c r="T154" s="106">
        <f ca="1">IFERROR(__xludf.DUMMYFUNCTION("""COMPUTED_VALUE"""),36069)</f>
        <v>36069</v>
      </c>
      <c r="U154">
        <f ca="1">IFERROR(__xludf.DUMMYFUNCTION("""COMPUTED_VALUE"""),2.93)</f>
        <v>2.93</v>
      </c>
      <c r="V154" s="104">
        <f t="shared" ca="1" si="0"/>
        <v>2.9300000000000003E-2</v>
      </c>
    </row>
    <row r="155" spans="2:22">
      <c r="B155" s="94">
        <v>47058</v>
      </c>
      <c r="T155" s="106">
        <f ca="1">IFERROR(__xludf.DUMMYFUNCTION("""COMPUTED_VALUE"""),36100)</f>
        <v>36100</v>
      </c>
      <c r="U155">
        <f ca="1">IFERROR(__xludf.DUMMYFUNCTION("""COMPUTED_VALUE"""),2.58)</f>
        <v>2.58</v>
      </c>
      <c r="V155" s="104">
        <f t="shared" ca="1" si="0"/>
        <v>2.58E-2</v>
      </c>
    </row>
    <row r="156" spans="2:22">
      <c r="B156" s="94">
        <v>47088</v>
      </c>
      <c r="T156" s="106">
        <f ca="1">IFERROR(__xludf.DUMMYFUNCTION("""COMPUTED_VALUE"""),36130)</f>
        <v>36130</v>
      </c>
      <c r="U156">
        <f ca="1">IFERROR(__xludf.DUMMYFUNCTION("""COMPUTED_VALUE"""),2.38)</f>
        <v>2.38</v>
      </c>
      <c r="V156" s="104">
        <f t="shared" ca="1" si="0"/>
        <v>2.3799999999999998E-2</v>
      </c>
    </row>
    <row r="157" spans="2:22">
      <c r="B157" s="94">
        <v>47119</v>
      </c>
      <c r="T157" s="103">
        <f ca="1">IFERROR(__xludf.DUMMYFUNCTION("""COMPUTED_VALUE"""),36161)</f>
        <v>36161</v>
      </c>
      <c r="U157">
        <f ca="1">IFERROR(__xludf.DUMMYFUNCTION("""COMPUTED_VALUE"""),2.17)</f>
        <v>2.17</v>
      </c>
      <c r="V157" s="104">
        <f t="shared" ca="1" si="0"/>
        <v>2.1700000000000001E-2</v>
      </c>
    </row>
    <row r="158" spans="2:22">
      <c r="B158" s="94">
        <v>47150</v>
      </c>
      <c r="T158" s="103">
        <f ca="1">IFERROR(__xludf.DUMMYFUNCTION("""COMPUTED_VALUE"""),36192)</f>
        <v>36192</v>
      </c>
      <c r="U158">
        <f ca="1">IFERROR(__xludf.DUMMYFUNCTION("""COMPUTED_VALUE"""),2.35)</f>
        <v>2.35</v>
      </c>
      <c r="V158" s="104">
        <f t="shared" ca="1" si="0"/>
        <v>2.35E-2</v>
      </c>
    </row>
    <row r="159" spans="2:22">
      <c r="B159" s="94">
        <v>47178</v>
      </c>
      <c r="T159" s="103">
        <f ca="1">IFERROR(__xludf.DUMMYFUNCTION("""COMPUTED_VALUE"""),36220)</f>
        <v>36220</v>
      </c>
      <c r="U159">
        <f ca="1">IFERROR(__xludf.DUMMYFUNCTION("""COMPUTED_VALUE"""),3.29)</f>
        <v>3.29</v>
      </c>
      <c r="V159" s="104">
        <f t="shared" ca="1" si="0"/>
        <v>3.2899999999999999E-2</v>
      </c>
    </row>
    <row r="160" spans="2:22">
      <c r="B160" s="94">
        <v>47209</v>
      </c>
      <c r="T160" s="103">
        <f ca="1">IFERROR(__xludf.DUMMYFUNCTION("""COMPUTED_VALUE"""),36251)</f>
        <v>36251</v>
      </c>
      <c r="U160">
        <f ca="1">IFERROR(__xludf.DUMMYFUNCTION("""COMPUTED_VALUE"""),2.28)</f>
        <v>2.2799999999999998</v>
      </c>
      <c r="V160" s="104">
        <f t="shared" ca="1" si="0"/>
        <v>2.2799999999999997E-2</v>
      </c>
    </row>
    <row r="161" spans="2:22">
      <c r="B161" s="94">
        <v>47239</v>
      </c>
      <c r="T161" s="103">
        <f ca="1">IFERROR(__xludf.DUMMYFUNCTION("""COMPUTED_VALUE"""),36281)</f>
        <v>36281</v>
      </c>
      <c r="U161">
        <f ca="1">IFERROR(__xludf.DUMMYFUNCTION("""COMPUTED_VALUE"""),1.96)</f>
        <v>1.96</v>
      </c>
      <c r="V161" s="104">
        <f t="shared" ca="1" si="0"/>
        <v>1.9599999999999999E-2</v>
      </c>
    </row>
    <row r="162" spans="2:22">
      <c r="B162" s="94">
        <v>47270</v>
      </c>
      <c r="T162" s="103">
        <f ca="1">IFERROR(__xludf.DUMMYFUNCTION("""COMPUTED_VALUE"""),36312)</f>
        <v>36312</v>
      </c>
      <c r="U162">
        <f ca="1">IFERROR(__xludf.DUMMYFUNCTION("""COMPUTED_VALUE"""),1.63)</f>
        <v>1.63</v>
      </c>
      <c r="V162" s="104">
        <f t="shared" ca="1" si="0"/>
        <v>1.6299999999999999E-2</v>
      </c>
    </row>
    <row r="163" spans="2:22">
      <c r="B163" s="94">
        <v>47300</v>
      </c>
      <c r="T163" s="103">
        <f ca="1">IFERROR(__xludf.DUMMYFUNCTION("""COMPUTED_VALUE"""),36342)</f>
        <v>36342</v>
      </c>
      <c r="U163">
        <f ca="1">IFERROR(__xludf.DUMMYFUNCTION("""COMPUTED_VALUE"""),1.62)</f>
        <v>1.62</v>
      </c>
      <c r="V163" s="104">
        <f t="shared" ca="1" si="0"/>
        <v>1.6200000000000003E-2</v>
      </c>
    </row>
    <row r="164" spans="2:22">
      <c r="B164" s="94">
        <v>47331</v>
      </c>
      <c r="T164" s="103">
        <f ca="1">IFERROR(__xludf.DUMMYFUNCTION("""COMPUTED_VALUE"""),36373)</f>
        <v>36373</v>
      </c>
      <c r="U164">
        <f ca="1">IFERROR(__xludf.DUMMYFUNCTION("""COMPUTED_VALUE"""),1.55)</f>
        <v>1.55</v>
      </c>
      <c r="V164" s="104">
        <f t="shared" ca="1" si="0"/>
        <v>1.55E-2</v>
      </c>
    </row>
    <row r="165" spans="2:22">
      <c r="B165" s="94">
        <v>47362</v>
      </c>
      <c r="T165" s="103">
        <f ca="1">IFERROR(__xludf.DUMMYFUNCTION("""COMPUTED_VALUE"""),36404)</f>
        <v>36404</v>
      </c>
      <c r="U165">
        <f ca="1">IFERROR(__xludf.DUMMYFUNCTION("""COMPUTED_VALUE"""),1.47)</f>
        <v>1.47</v>
      </c>
      <c r="V165" s="104">
        <f t="shared" ca="1" si="0"/>
        <v>1.47E-2</v>
      </c>
    </row>
    <row r="166" spans="2:22">
      <c r="B166" s="94">
        <v>47392</v>
      </c>
      <c r="T166" s="106">
        <f ca="1">IFERROR(__xludf.DUMMYFUNCTION("""COMPUTED_VALUE"""),36434)</f>
        <v>36434</v>
      </c>
      <c r="U166">
        <f ca="1">IFERROR(__xludf.DUMMYFUNCTION("""COMPUTED_VALUE"""),1.37)</f>
        <v>1.37</v>
      </c>
      <c r="V166" s="104">
        <f t="shared" ca="1" si="0"/>
        <v>1.37E-2</v>
      </c>
    </row>
    <row r="167" spans="2:22">
      <c r="B167" s="94">
        <v>47423</v>
      </c>
      <c r="T167" s="106">
        <f ca="1">IFERROR(__xludf.DUMMYFUNCTION("""COMPUTED_VALUE"""),36465)</f>
        <v>36465</v>
      </c>
      <c r="U167">
        <f ca="1">IFERROR(__xludf.DUMMYFUNCTION("""COMPUTED_VALUE"""),1.37)</f>
        <v>1.37</v>
      </c>
      <c r="V167" s="104">
        <f t="shared" ca="1" si="0"/>
        <v>1.37E-2</v>
      </c>
    </row>
    <row r="168" spans="2:22">
      <c r="B168" s="94">
        <v>47453</v>
      </c>
      <c r="T168" s="106">
        <f ca="1">IFERROR(__xludf.DUMMYFUNCTION("""COMPUTED_VALUE"""),36495)</f>
        <v>36495</v>
      </c>
      <c r="U168">
        <f ca="1">IFERROR(__xludf.DUMMYFUNCTION("""COMPUTED_VALUE"""),1.58)</f>
        <v>1.58</v>
      </c>
      <c r="V168" s="104">
        <f t="shared" ca="1" si="0"/>
        <v>1.5800000000000002E-2</v>
      </c>
    </row>
    <row r="169" spans="2:22">
      <c r="B169" s="94">
        <v>47484</v>
      </c>
      <c r="T169" s="103">
        <f ca="1">IFERROR(__xludf.DUMMYFUNCTION("""COMPUTED_VALUE"""),36526)</f>
        <v>36526</v>
      </c>
      <c r="U169">
        <f ca="1">IFERROR(__xludf.DUMMYFUNCTION("""COMPUTED_VALUE"""),1.44)</f>
        <v>1.44</v>
      </c>
      <c r="V169" s="104">
        <f t="shared" ca="1" si="0"/>
        <v>1.44E-2</v>
      </c>
    </row>
    <row r="170" spans="2:22">
      <c r="B170" s="94">
        <v>47515</v>
      </c>
      <c r="T170" s="103">
        <f ca="1">IFERROR(__xludf.DUMMYFUNCTION("""COMPUTED_VALUE"""),36557)</f>
        <v>36557</v>
      </c>
      <c r="U170">
        <f ca="1">IFERROR(__xludf.DUMMYFUNCTION("""COMPUTED_VALUE"""),1.44)</f>
        <v>1.44</v>
      </c>
      <c r="V170" s="104">
        <f t="shared" ca="1" si="0"/>
        <v>1.44E-2</v>
      </c>
    </row>
    <row r="171" spans="2:22">
      <c r="B171" s="94">
        <v>47543</v>
      </c>
      <c r="T171" s="103">
        <f ca="1">IFERROR(__xludf.DUMMYFUNCTION("""COMPUTED_VALUE"""),36586)</f>
        <v>36586</v>
      </c>
      <c r="U171">
        <f ca="1">IFERROR(__xludf.DUMMYFUNCTION("""COMPUTED_VALUE"""),1.44)</f>
        <v>1.44</v>
      </c>
      <c r="V171" s="104">
        <f t="shared" ca="1" si="0"/>
        <v>1.44E-2</v>
      </c>
    </row>
    <row r="172" spans="2:22">
      <c r="B172" s="94">
        <v>47574</v>
      </c>
      <c r="T172" s="103">
        <f ca="1">IFERROR(__xludf.DUMMYFUNCTION("""COMPUTED_VALUE"""),36617)</f>
        <v>36617</v>
      </c>
      <c r="U172">
        <f ca="1">IFERROR(__xludf.DUMMYFUNCTION("""COMPUTED_VALUE"""),1.28)</f>
        <v>1.28</v>
      </c>
      <c r="V172" s="104">
        <f t="shared" ca="1" si="0"/>
        <v>1.2800000000000001E-2</v>
      </c>
    </row>
    <row r="173" spans="2:22">
      <c r="B173" s="94">
        <v>47604</v>
      </c>
      <c r="T173" s="103">
        <f ca="1">IFERROR(__xludf.DUMMYFUNCTION("""COMPUTED_VALUE"""),36647)</f>
        <v>36647</v>
      </c>
      <c r="U173">
        <f ca="1">IFERROR(__xludf.DUMMYFUNCTION("""COMPUTED_VALUE"""),1.49)</f>
        <v>1.49</v>
      </c>
      <c r="V173" s="104">
        <f t="shared" ca="1" si="0"/>
        <v>1.49E-2</v>
      </c>
    </row>
    <row r="174" spans="2:22">
      <c r="B174" s="94">
        <v>47635</v>
      </c>
      <c r="T174" s="103">
        <f ca="1">IFERROR(__xludf.DUMMYFUNCTION("""COMPUTED_VALUE"""),36678)</f>
        <v>36678</v>
      </c>
      <c r="U174">
        <f ca="1">IFERROR(__xludf.DUMMYFUNCTION("""COMPUTED_VALUE"""),1.39)</f>
        <v>1.39</v>
      </c>
      <c r="V174" s="104">
        <f t="shared" ca="1" si="0"/>
        <v>1.3899999999999999E-2</v>
      </c>
    </row>
    <row r="175" spans="2:22">
      <c r="B175" s="94">
        <v>47665</v>
      </c>
      <c r="T175" s="103">
        <f ca="1">IFERROR(__xludf.DUMMYFUNCTION("""COMPUTED_VALUE"""),36708)</f>
        <v>36708</v>
      </c>
      <c r="U175">
        <f ca="1">IFERROR(__xludf.DUMMYFUNCTION("""COMPUTED_VALUE"""),1.3)</f>
        <v>1.3</v>
      </c>
      <c r="V175" s="104">
        <f t="shared" ca="1" si="0"/>
        <v>1.3000000000000001E-2</v>
      </c>
    </row>
    <row r="176" spans="2:22">
      <c r="B176" s="94">
        <v>47696</v>
      </c>
      <c r="T176" s="103">
        <f ca="1">IFERROR(__xludf.DUMMYFUNCTION("""COMPUTED_VALUE"""),36739)</f>
        <v>36739</v>
      </c>
      <c r="U176">
        <f ca="1">IFERROR(__xludf.DUMMYFUNCTION("""COMPUTED_VALUE"""),1.4)</f>
        <v>1.4</v>
      </c>
      <c r="V176" s="104">
        <f t="shared" ca="1" si="0"/>
        <v>1.3999999999999999E-2</v>
      </c>
    </row>
    <row r="177" spans="2:22">
      <c r="B177" s="94">
        <v>47727</v>
      </c>
      <c r="T177" s="103">
        <f ca="1">IFERROR(__xludf.DUMMYFUNCTION("""COMPUTED_VALUE"""),36770)</f>
        <v>36770</v>
      </c>
      <c r="U177">
        <f ca="1">IFERROR(__xludf.DUMMYFUNCTION("""COMPUTED_VALUE"""),1.22)</f>
        <v>1.22</v>
      </c>
      <c r="V177" s="104">
        <f t="shared" ca="1" si="0"/>
        <v>1.2199999999999999E-2</v>
      </c>
    </row>
    <row r="178" spans="2:22">
      <c r="B178" s="94">
        <v>47757</v>
      </c>
      <c r="T178" s="106">
        <f ca="1">IFERROR(__xludf.DUMMYFUNCTION("""COMPUTED_VALUE"""),36800)</f>
        <v>36800</v>
      </c>
      <c r="U178">
        <f ca="1">IFERROR(__xludf.DUMMYFUNCTION("""COMPUTED_VALUE"""),1.28)</f>
        <v>1.28</v>
      </c>
      <c r="V178" s="104">
        <f t="shared" ca="1" si="0"/>
        <v>1.2800000000000001E-2</v>
      </c>
    </row>
    <row r="179" spans="2:22">
      <c r="B179" s="94">
        <v>47788</v>
      </c>
      <c r="T179" s="106">
        <f ca="1">IFERROR(__xludf.DUMMYFUNCTION("""COMPUTED_VALUE"""),36831)</f>
        <v>36831</v>
      </c>
      <c r="U179">
        <f ca="1">IFERROR(__xludf.DUMMYFUNCTION("""COMPUTED_VALUE"""),1.22)</f>
        <v>1.22</v>
      </c>
      <c r="V179" s="104">
        <f t="shared" ca="1" si="0"/>
        <v>1.2199999999999999E-2</v>
      </c>
    </row>
    <row r="180" spans="2:22">
      <c r="B180" s="94">
        <v>47818</v>
      </c>
      <c r="T180" s="106">
        <f ca="1">IFERROR(__xludf.DUMMYFUNCTION("""COMPUTED_VALUE"""),36861)</f>
        <v>36861</v>
      </c>
      <c r="U180">
        <f ca="1">IFERROR(__xludf.DUMMYFUNCTION("""COMPUTED_VALUE"""),1.19)</f>
        <v>1.19</v>
      </c>
      <c r="V180" s="104">
        <f t="shared" ca="1" si="0"/>
        <v>1.1899999999999999E-2</v>
      </c>
    </row>
    <row r="181" spans="2:22">
      <c r="B181" s="94">
        <v>47849</v>
      </c>
      <c r="T181" s="103">
        <f ca="1">IFERROR(__xludf.DUMMYFUNCTION("""COMPUTED_VALUE"""),36892)</f>
        <v>36892</v>
      </c>
      <c r="U181">
        <f ca="1">IFERROR(__xludf.DUMMYFUNCTION("""COMPUTED_VALUE"""),1.26)</f>
        <v>1.26</v>
      </c>
      <c r="V181" s="104">
        <f t="shared" ca="1" si="0"/>
        <v>1.26E-2</v>
      </c>
    </row>
    <row r="182" spans="2:22">
      <c r="B182" s="94">
        <v>47880</v>
      </c>
      <c r="T182" s="103">
        <f ca="1">IFERROR(__xludf.DUMMYFUNCTION("""COMPUTED_VALUE"""),36923)</f>
        <v>36923</v>
      </c>
      <c r="U182">
        <f ca="1">IFERROR(__xludf.DUMMYFUNCTION("""COMPUTED_VALUE"""),1.01)</f>
        <v>1.01</v>
      </c>
      <c r="V182" s="104">
        <f t="shared" ca="1" si="0"/>
        <v>1.01E-2</v>
      </c>
    </row>
    <row r="183" spans="2:22">
      <c r="B183" s="94">
        <v>47908</v>
      </c>
      <c r="T183" s="103">
        <f ca="1">IFERROR(__xludf.DUMMYFUNCTION("""COMPUTED_VALUE"""),36951)</f>
        <v>36951</v>
      </c>
      <c r="U183">
        <f ca="1">IFERROR(__xludf.DUMMYFUNCTION("""COMPUTED_VALUE"""),1.25)</f>
        <v>1.25</v>
      </c>
      <c r="V183" s="104">
        <f t="shared" ca="1" si="0"/>
        <v>1.2500000000000001E-2</v>
      </c>
    </row>
    <row r="184" spans="2:22">
      <c r="B184" s="94">
        <v>47939</v>
      </c>
      <c r="T184" s="103">
        <f ca="1">IFERROR(__xludf.DUMMYFUNCTION("""COMPUTED_VALUE"""),36982)</f>
        <v>36982</v>
      </c>
      <c r="U184">
        <f ca="1">IFERROR(__xludf.DUMMYFUNCTION("""COMPUTED_VALUE"""),1.18)</f>
        <v>1.18</v>
      </c>
      <c r="V184" s="104">
        <f t="shared" ca="1" si="0"/>
        <v>1.18E-2</v>
      </c>
    </row>
    <row r="185" spans="2:22">
      <c r="B185" s="94">
        <v>47969</v>
      </c>
      <c r="T185" s="103">
        <f ca="1">IFERROR(__xludf.DUMMYFUNCTION("""COMPUTED_VALUE"""),37012)</f>
        <v>37012</v>
      </c>
      <c r="U185">
        <f ca="1">IFERROR(__xludf.DUMMYFUNCTION("""COMPUTED_VALUE"""),1.33)</f>
        <v>1.33</v>
      </c>
      <c r="V185" s="104">
        <f t="shared" ca="1" si="0"/>
        <v>1.3300000000000001E-2</v>
      </c>
    </row>
    <row r="186" spans="2:22">
      <c r="B186" s="94">
        <v>48000</v>
      </c>
      <c r="T186" s="103">
        <f ca="1">IFERROR(__xludf.DUMMYFUNCTION("""COMPUTED_VALUE"""),37043)</f>
        <v>37043</v>
      </c>
      <c r="U186">
        <f ca="1">IFERROR(__xludf.DUMMYFUNCTION("""COMPUTED_VALUE"""),1.27)</f>
        <v>1.27</v>
      </c>
      <c r="V186" s="104">
        <f t="shared" ca="1" si="0"/>
        <v>1.2699999999999999E-2</v>
      </c>
    </row>
    <row r="187" spans="2:22">
      <c r="B187" s="94">
        <v>48030</v>
      </c>
      <c r="T187" s="103">
        <f ca="1">IFERROR(__xludf.DUMMYFUNCTION("""COMPUTED_VALUE"""),37073)</f>
        <v>37073</v>
      </c>
      <c r="U187">
        <f ca="1">IFERROR(__xludf.DUMMYFUNCTION("""COMPUTED_VALUE"""),1.5)</f>
        <v>1.5</v>
      </c>
      <c r="V187" s="104">
        <f t="shared" ca="1" si="0"/>
        <v>1.4999999999999999E-2</v>
      </c>
    </row>
    <row r="188" spans="2:22">
      <c r="B188" s="94">
        <v>48061</v>
      </c>
      <c r="T188" s="103">
        <f ca="1">IFERROR(__xludf.DUMMYFUNCTION("""COMPUTED_VALUE"""),37104)</f>
        <v>37104</v>
      </c>
      <c r="U188">
        <f ca="1">IFERROR(__xludf.DUMMYFUNCTION("""COMPUTED_VALUE"""),1.6)</f>
        <v>1.6</v>
      </c>
      <c r="V188" s="104">
        <f t="shared" ca="1" si="0"/>
        <v>1.6E-2</v>
      </c>
    </row>
    <row r="189" spans="2:22">
      <c r="B189" s="94">
        <v>48092</v>
      </c>
      <c r="T189" s="103">
        <f ca="1">IFERROR(__xludf.DUMMYFUNCTION("""COMPUTED_VALUE"""),37135)</f>
        <v>37135</v>
      </c>
      <c r="U189">
        <f ca="1">IFERROR(__xludf.DUMMYFUNCTION("""COMPUTED_VALUE"""),1.32)</f>
        <v>1.32</v>
      </c>
      <c r="V189" s="104">
        <f t="shared" ca="1" si="0"/>
        <v>1.32E-2</v>
      </c>
    </row>
    <row r="190" spans="2:22">
      <c r="B190" s="94">
        <v>48122</v>
      </c>
      <c r="T190" s="106">
        <f ca="1">IFERROR(__xludf.DUMMYFUNCTION("""COMPUTED_VALUE"""),37165)</f>
        <v>37165</v>
      </c>
      <c r="U190">
        <f ca="1">IFERROR(__xludf.DUMMYFUNCTION("""COMPUTED_VALUE"""),1.53)</f>
        <v>1.53</v>
      </c>
      <c r="V190" s="104">
        <f t="shared" ca="1" si="0"/>
        <v>1.5300000000000001E-2</v>
      </c>
    </row>
    <row r="191" spans="2:22">
      <c r="B191" s="94">
        <v>48153</v>
      </c>
      <c r="T191" s="106">
        <f ca="1">IFERROR(__xludf.DUMMYFUNCTION("""COMPUTED_VALUE"""),37196)</f>
        <v>37196</v>
      </c>
      <c r="U191">
        <f ca="1">IFERROR(__xludf.DUMMYFUNCTION("""COMPUTED_VALUE"""),1.39)</f>
        <v>1.39</v>
      </c>
      <c r="V191" s="104">
        <f t="shared" ca="1" si="0"/>
        <v>1.3899999999999999E-2</v>
      </c>
    </row>
    <row r="192" spans="2:22">
      <c r="B192" s="94">
        <v>48183</v>
      </c>
      <c r="T192" s="106">
        <f ca="1">IFERROR(__xludf.DUMMYFUNCTION("""COMPUTED_VALUE"""),37226)</f>
        <v>37226</v>
      </c>
      <c r="U192">
        <f ca="1">IFERROR(__xludf.DUMMYFUNCTION("""COMPUTED_VALUE"""),1.39)</f>
        <v>1.39</v>
      </c>
      <c r="V192" s="104">
        <f t="shared" ca="1" si="0"/>
        <v>1.3899999999999999E-2</v>
      </c>
    </row>
    <row r="193" spans="2:22">
      <c r="B193" s="94">
        <v>48214</v>
      </c>
      <c r="T193" s="103">
        <f ca="1">IFERROR(__xludf.DUMMYFUNCTION("""COMPUTED_VALUE"""),37257)</f>
        <v>37257</v>
      </c>
      <c r="U193">
        <f ca="1">IFERROR(__xludf.DUMMYFUNCTION("""COMPUTED_VALUE"""),1.53)</f>
        <v>1.53</v>
      </c>
      <c r="V193" s="104">
        <f t="shared" ca="1" si="0"/>
        <v>1.5300000000000001E-2</v>
      </c>
    </row>
    <row r="194" spans="2:22">
      <c r="B194" s="94">
        <v>48245</v>
      </c>
      <c r="T194" s="103">
        <f ca="1">IFERROR(__xludf.DUMMYFUNCTION("""COMPUTED_VALUE"""),37288)</f>
        <v>37288</v>
      </c>
      <c r="U194">
        <f ca="1">IFERROR(__xludf.DUMMYFUNCTION("""COMPUTED_VALUE"""),1.25)</f>
        <v>1.25</v>
      </c>
      <c r="V194" s="104">
        <f t="shared" ca="1" si="0"/>
        <v>1.2500000000000001E-2</v>
      </c>
    </row>
    <row r="195" spans="2:22">
      <c r="B195" s="94">
        <v>48274</v>
      </c>
      <c r="T195" s="103">
        <f ca="1">IFERROR(__xludf.DUMMYFUNCTION("""COMPUTED_VALUE"""),37316)</f>
        <v>37316</v>
      </c>
      <c r="U195">
        <f ca="1">IFERROR(__xludf.DUMMYFUNCTION("""COMPUTED_VALUE"""),1.37)</f>
        <v>1.37</v>
      </c>
      <c r="V195" s="104">
        <f t="shared" ca="1" si="0"/>
        <v>1.37E-2</v>
      </c>
    </row>
    <row r="196" spans="2:22">
      <c r="T196" s="103">
        <f ca="1">IFERROR(__xludf.DUMMYFUNCTION("""COMPUTED_VALUE"""),37347)</f>
        <v>37347</v>
      </c>
      <c r="U196">
        <f ca="1">IFERROR(__xludf.DUMMYFUNCTION("""COMPUTED_VALUE"""),1.48)</f>
        <v>1.48</v>
      </c>
      <c r="V196" s="104">
        <f t="shared" ca="1" si="0"/>
        <v>1.4800000000000001E-2</v>
      </c>
    </row>
    <row r="197" spans="2:22">
      <c r="T197" s="103">
        <f ca="1">IFERROR(__xludf.DUMMYFUNCTION("""COMPUTED_VALUE"""),37377)</f>
        <v>37377</v>
      </c>
      <c r="U197">
        <f ca="1">IFERROR(__xludf.DUMMYFUNCTION("""COMPUTED_VALUE"""),1.4)</f>
        <v>1.4</v>
      </c>
      <c r="V197" s="104">
        <f t="shared" ca="1" si="0"/>
        <v>1.3999999999999999E-2</v>
      </c>
    </row>
    <row r="198" spans="2:22">
      <c r="T198" s="103">
        <f ca="1">IFERROR(__xludf.DUMMYFUNCTION("""COMPUTED_VALUE"""),37408)</f>
        <v>37408</v>
      </c>
      <c r="U198">
        <f ca="1">IFERROR(__xludf.DUMMYFUNCTION("""COMPUTED_VALUE"""),1.31)</f>
        <v>1.31</v>
      </c>
      <c r="V198" s="104">
        <f t="shared" ca="1" si="0"/>
        <v>1.3100000000000001E-2</v>
      </c>
    </row>
    <row r="199" spans="2:22">
      <c r="T199" s="103">
        <f ca="1">IFERROR(__xludf.DUMMYFUNCTION("""COMPUTED_VALUE"""),37438)</f>
        <v>37438</v>
      </c>
      <c r="U199">
        <f ca="1">IFERROR(__xludf.DUMMYFUNCTION("""COMPUTED_VALUE"""),1.53)</f>
        <v>1.53</v>
      </c>
      <c r="V199" s="104">
        <f t="shared" ca="1" si="0"/>
        <v>1.5300000000000001E-2</v>
      </c>
    </row>
    <row r="200" spans="2:22">
      <c r="T200" s="103">
        <f ca="1">IFERROR(__xludf.DUMMYFUNCTION("""COMPUTED_VALUE"""),37469)</f>
        <v>37469</v>
      </c>
      <c r="U200">
        <f ca="1">IFERROR(__xludf.DUMMYFUNCTION("""COMPUTED_VALUE"""),1.45)</f>
        <v>1.45</v>
      </c>
      <c r="V200" s="104">
        <f t="shared" ca="1" si="0"/>
        <v>1.4499999999999999E-2</v>
      </c>
    </row>
    <row r="201" spans="2:22">
      <c r="T201" s="103">
        <f ca="1">IFERROR(__xludf.DUMMYFUNCTION("""COMPUTED_VALUE"""),37500)</f>
        <v>37500</v>
      </c>
      <c r="U201">
        <f ca="1">IFERROR(__xludf.DUMMYFUNCTION("""COMPUTED_VALUE"""),1.38)</f>
        <v>1.38</v>
      </c>
      <c r="V201" s="104">
        <f t="shared" ca="1" si="0"/>
        <v>1.38E-2</v>
      </c>
    </row>
    <row r="202" spans="2:22">
      <c r="T202" s="106">
        <f ca="1">IFERROR(__xludf.DUMMYFUNCTION("""COMPUTED_VALUE"""),37530)</f>
        <v>37530</v>
      </c>
      <c r="U202">
        <f ca="1">IFERROR(__xludf.DUMMYFUNCTION("""COMPUTED_VALUE"""),1.64)</f>
        <v>1.64</v>
      </c>
      <c r="V202" s="104">
        <f t="shared" ca="1" si="0"/>
        <v>1.6399999999999998E-2</v>
      </c>
    </row>
    <row r="203" spans="2:22">
      <c r="T203" s="106">
        <f ca="1">IFERROR(__xludf.DUMMYFUNCTION("""COMPUTED_VALUE"""),37561)</f>
        <v>37561</v>
      </c>
      <c r="U203">
        <f ca="1">IFERROR(__xludf.DUMMYFUNCTION("""COMPUTED_VALUE"""),1.53)</f>
        <v>1.53</v>
      </c>
      <c r="V203" s="104">
        <f t="shared" ca="1" si="0"/>
        <v>1.5300000000000001E-2</v>
      </c>
    </row>
    <row r="204" spans="2:22">
      <c r="T204" s="106">
        <f ca="1">IFERROR(__xludf.DUMMYFUNCTION("""COMPUTED_VALUE"""),37591)</f>
        <v>37591</v>
      </c>
      <c r="U204">
        <f ca="1">IFERROR(__xludf.DUMMYFUNCTION("""COMPUTED_VALUE"""),1.73)</f>
        <v>1.73</v>
      </c>
      <c r="V204" s="104">
        <f t="shared" ca="1" si="0"/>
        <v>1.7299999999999999E-2</v>
      </c>
    </row>
    <row r="205" spans="2:22">
      <c r="T205" s="103">
        <f ca="1">IFERROR(__xludf.DUMMYFUNCTION("""COMPUTED_VALUE"""),37622)</f>
        <v>37622</v>
      </c>
      <c r="U205">
        <f ca="1">IFERROR(__xludf.DUMMYFUNCTION("""COMPUTED_VALUE"""),1.97)</f>
        <v>1.97</v>
      </c>
      <c r="V205" s="104">
        <f t="shared" ca="1" si="0"/>
        <v>1.9699999999999999E-2</v>
      </c>
    </row>
    <row r="206" spans="2:22">
      <c r="T206" s="103">
        <f ca="1">IFERROR(__xludf.DUMMYFUNCTION("""COMPUTED_VALUE"""),37653)</f>
        <v>37653</v>
      </c>
      <c r="U206">
        <f ca="1">IFERROR(__xludf.DUMMYFUNCTION("""COMPUTED_VALUE"""),1.83)</f>
        <v>1.83</v>
      </c>
      <c r="V206" s="104">
        <f t="shared" ca="1" si="0"/>
        <v>1.83E-2</v>
      </c>
    </row>
    <row r="207" spans="2:22">
      <c r="T207" s="103">
        <f ca="1">IFERROR(__xludf.DUMMYFUNCTION("""COMPUTED_VALUE"""),37681)</f>
        <v>37681</v>
      </c>
      <c r="U207">
        <f ca="1">IFERROR(__xludf.DUMMYFUNCTION("""COMPUTED_VALUE"""),1.77)</f>
        <v>1.77</v>
      </c>
      <c r="V207" s="104">
        <f t="shared" ca="1" si="0"/>
        <v>1.77E-2</v>
      </c>
    </row>
    <row r="208" spans="2:22">
      <c r="T208" s="103">
        <f ca="1">IFERROR(__xludf.DUMMYFUNCTION("""COMPUTED_VALUE"""),37712)</f>
        <v>37712</v>
      </c>
      <c r="U208">
        <f ca="1">IFERROR(__xludf.DUMMYFUNCTION("""COMPUTED_VALUE"""),1.87)</f>
        <v>1.87</v>
      </c>
      <c r="V208" s="104">
        <f t="shared" ca="1" si="0"/>
        <v>1.8700000000000001E-2</v>
      </c>
    </row>
    <row r="209" spans="20:22">
      <c r="T209" s="103">
        <f ca="1">IFERROR(__xludf.DUMMYFUNCTION("""COMPUTED_VALUE"""),37742)</f>
        <v>37742</v>
      </c>
      <c r="U209">
        <f ca="1">IFERROR(__xludf.DUMMYFUNCTION("""COMPUTED_VALUE"""),1.96)</f>
        <v>1.96</v>
      </c>
      <c r="V209" s="104">
        <f t="shared" ca="1" si="0"/>
        <v>1.9599999999999999E-2</v>
      </c>
    </row>
    <row r="210" spans="20:22">
      <c r="T210" s="103">
        <f ca="1">IFERROR(__xludf.DUMMYFUNCTION("""COMPUTED_VALUE"""),37773)</f>
        <v>37773</v>
      </c>
      <c r="U210">
        <f ca="1">IFERROR(__xludf.DUMMYFUNCTION("""COMPUTED_VALUE"""),1.85)</f>
        <v>1.85</v>
      </c>
      <c r="V210" s="104">
        <f t="shared" ca="1" si="0"/>
        <v>1.8500000000000003E-2</v>
      </c>
    </row>
    <row r="211" spans="20:22">
      <c r="T211" s="103">
        <f ca="1">IFERROR(__xludf.DUMMYFUNCTION("""COMPUTED_VALUE"""),37803)</f>
        <v>37803</v>
      </c>
      <c r="U211">
        <f ca="1">IFERROR(__xludf.DUMMYFUNCTION("""COMPUTED_VALUE"""),2.08)</f>
        <v>2.08</v>
      </c>
      <c r="V211" s="104">
        <f t="shared" ca="1" si="0"/>
        <v>2.0799999999999999E-2</v>
      </c>
    </row>
    <row r="212" spans="20:22">
      <c r="T212" s="103">
        <f ca="1">IFERROR(__xludf.DUMMYFUNCTION("""COMPUTED_VALUE"""),37834)</f>
        <v>37834</v>
      </c>
      <c r="U212">
        <f ca="1">IFERROR(__xludf.DUMMYFUNCTION("""COMPUTED_VALUE"""),1.76)</f>
        <v>1.76</v>
      </c>
      <c r="V212" s="104">
        <f t="shared" ca="1" si="0"/>
        <v>1.7600000000000001E-2</v>
      </c>
    </row>
    <row r="213" spans="20:22">
      <c r="T213" s="103">
        <f ca="1">IFERROR(__xludf.DUMMYFUNCTION("""COMPUTED_VALUE"""),37865)</f>
        <v>37865</v>
      </c>
      <c r="U213">
        <f ca="1">IFERROR(__xludf.DUMMYFUNCTION("""COMPUTED_VALUE"""),1.67)</f>
        <v>1.67</v>
      </c>
      <c r="V213" s="104">
        <f t="shared" ca="1" si="0"/>
        <v>1.67E-2</v>
      </c>
    </row>
    <row r="214" spans="20:22">
      <c r="T214" s="106">
        <f ca="1">IFERROR(__xludf.DUMMYFUNCTION("""COMPUTED_VALUE"""),37895)</f>
        <v>37895</v>
      </c>
      <c r="U214">
        <f ca="1">IFERROR(__xludf.DUMMYFUNCTION("""COMPUTED_VALUE"""),1.63)</f>
        <v>1.63</v>
      </c>
      <c r="V214" s="104">
        <f t="shared" ca="1" si="0"/>
        <v>1.6299999999999999E-2</v>
      </c>
    </row>
    <row r="215" spans="20:22">
      <c r="T215" s="106">
        <f ca="1">IFERROR(__xludf.DUMMYFUNCTION("""COMPUTED_VALUE"""),37926)</f>
        <v>37926</v>
      </c>
      <c r="U215">
        <f ca="1">IFERROR(__xludf.DUMMYFUNCTION("""COMPUTED_VALUE"""),1.34)</f>
        <v>1.34</v>
      </c>
      <c r="V215" s="104">
        <f t="shared" ca="1" si="0"/>
        <v>1.34E-2</v>
      </c>
    </row>
    <row r="216" spans="20:22">
      <c r="T216" s="106">
        <f ca="1">IFERROR(__xludf.DUMMYFUNCTION("""COMPUTED_VALUE"""),37956)</f>
        <v>37956</v>
      </c>
      <c r="U216">
        <f ca="1">IFERROR(__xludf.DUMMYFUNCTION("""COMPUTED_VALUE"""),1.37)</f>
        <v>1.37</v>
      </c>
      <c r="V216" s="104">
        <f t="shared" ca="1" si="0"/>
        <v>1.37E-2</v>
      </c>
    </row>
    <row r="217" spans="20:22">
      <c r="T217" s="103">
        <f ca="1">IFERROR(__xludf.DUMMYFUNCTION("""COMPUTED_VALUE"""),37987)</f>
        <v>37987</v>
      </c>
      <c r="U217">
        <f ca="1">IFERROR(__xludf.DUMMYFUNCTION("""COMPUTED_VALUE"""),1.26)</f>
        <v>1.26</v>
      </c>
      <c r="V217" s="104">
        <f t="shared" ca="1" si="0"/>
        <v>1.26E-2</v>
      </c>
    </row>
    <row r="218" spans="20:22">
      <c r="T218" s="103">
        <f ca="1">IFERROR(__xludf.DUMMYFUNCTION("""COMPUTED_VALUE"""),38018)</f>
        <v>38018</v>
      </c>
      <c r="U218">
        <f ca="1">IFERROR(__xludf.DUMMYFUNCTION("""COMPUTED_VALUE"""),1.08)</f>
        <v>1.08</v>
      </c>
      <c r="V218" s="104">
        <f t="shared" ca="1" si="0"/>
        <v>1.0800000000000001E-2</v>
      </c>
    </row>
    <row r="219" spans="20:22">
      <c r="T219" s="103">
        <f ca="1">IFERROR(__xludf.DUMMYFUNCTION("""COMPUTED_VALUE"""),38047)</f>
        <v>38047</v>
      </c>
      <c r="U219">
        <f ca="1">IFERROR(__xludf.DUMMYFUNCTION("""COMPUTED_VALUE"""),1.37)</f>
        <v>1.37</v>
      </c>
      <c r="V219" s="104">
        <f t="shared" ca="1" si="0"/>
        <v>1.37E-2</v>
      </c>
    </row>
    <row r="220" spans="20:22">
      <c r="T220" s="103">
        <f ca="1">IFERROR(__xludf.DUMMYFUNCTION("""COMPUTED_VALUE"""),38078)</f>
        <v>38078</v>
      </c>
      <c r="U220">
        <f ca="1">IFERROR(__xludf.DUMMYFUNCTION("""COMPUTED_VALUE"""),1.17)</f>
        <v>1.17</v>
      </c>
      <c r="V220" s="104">
        <f t="shared" ca="1" si="0"/>
        <v>1.1699999999999999E-2</v>
      </c>
    </row>
    <row r="221" spans="20:22">
      <c r="T221" s="103">
        <f ca="1">IFERROR(__xludf.DUMMYFUNCTION("""COMPUTED_VALUE"""),38108)</f>
        <v>38108</v>
      </c>
      <c r="U221">
        <f ca="1">IFERROR(__xludf.DUMMYFUNCTION("""COMPUTED_VALUE"""),1.22)</f>
        <v>1.22</v>
      </c>
      <c r="V221" s="104">
        <f t="shared" ca="1" si="0"/>
        <v>1.2199999999999999E-2</v>
      </c>
    </row>
    <row r="222" spans="20:22">
      <c r="T222" s="103">
        <f ca="1">IFERROR(__xludf.DUMMYFUNCTION("""COMPUTED_VALUE"""),38139)</f>
        <v>38139</v>
      </c>
      <c r="U222">
        <f ca="1">IFERROR(__xludf.DUMMYFUNCTION("""COMPUTED_VALUE"""),1.22)</f>
        <v>1.22</v>
      </c>
      <c r="V222" s="104">
        <f t="shared" ca="1" si="0"/>
        <v>1.2199999999999999E-2</v>
      </c>
    </row>
    <row r="223" spans="20:22">
      <c r="T223" s="103">
        <f ca="1">IFERROR(__xludf.DUMMYFUNCTION("""COMPUTED_VALUE"""),38169)</f>
        <v>38169</v>
      </c>
      <c r="U223">
        <f ca="1">IFERROR(__xludf.DUMMYFUNCTION("""COMPUTED_VALUE"""),1.28)</f>
        <v>1.28</v>
      </c>
      <c r="V223" s="104">
        <f t="shared" ca="1" si="0"/>
        <v>1.2800000000000001E-2</v>
      </c>
    </row>
    <row r="224" spans="20:22">
      <c r="T224" s="103">
        <f ca="1">IFERROR(__xludf.DUMMYFUNCTION("""COMPUTED_VALUE"""),38200)</f>
        <v>38200</v>
      </c>
      <c r="U224">
        <f ca="1">IFERROR(__xludf.DUMMYFUNCTION("""COMPUTED_VALUE"""),1.29)</f>
        <v>1.29</v>
      </c>
      <c r="V224" s="104">
        <f t="shared" ca="1" si="0"/>
        <v>1.29E-2</v>
      </c>
    </row>
    <row r="225" spans="20:22">
      <c r="T225" s="103">
        <f ca="1">IFERROR(__xludf.DUMMYFUNCTION("""COMPUTED_VALUE"""),38231)</f>
        <v>38231</v>
      </c>
      <c r="U225">
        <f ca="1">IFERROR(__xludf.DUMMYFUNCTION("""COMPUTED_VALUE"""),1.24)</f>
        <v>1.24</v>
      </c>
      <c r="V225" s="104">
        <f t="shared" ca="1" si="0"/>
        <v>1.24E-2</v>
      </c>
    </row>
    <row r="226" spans="20:22">
      <c r="T226" s="106">
        <f ca="1">IFERROR(__xludf.DUMMYFUNCTION("""COMPUTED_VALUE"""),38261)</f>
        <v>38261</v>
      </c>
      <c r="U226">
        <f ca="1">IFERROR(__xludf.DUMMYFUNCTION("""COMPUTED_VALUE"""),1.21)</f>
        <v>1.21</v>
      </c>
      <c r="V226" s="104">
        <f t="shared" ca="1" si="0"/>
        <v>1.21E-2</v>
      </c>
    </row>
    <row r="227" spans="20:22">
      <c r="T227" s="106">
        <f ca="1">IFERROR(__xludf.DUMMYFUNCTION("""COMPUTED_VALUE"""),38292)</f>
        <v>38292</v>
      </c>
      <c r="U227">
        <f ca="1">IFERROR(__xludf.DUMMYFUNCTION("""COMPUTED_VALUE"""),1.25)</f>
        <v>1.25</v>
      </c>
      <c r="V227" s="104">
        <f t="shared" ca="1" si="0"/>
        <v>1.2500000000000001E-2</v>
      </c>
    </row>
    <row r="228" spans="20:22">
      <c r="T228" s="106">
        <f ca="1">IFERROR(__xludf.DUMMYFUNCTION("""COMPUTED_VALUE"""),38322)</f>
        <v>38322</v>
      </c>
      <c r="U228">
        <f ca="1">IFERROR(__xludf.DUMMYFUNCTION("""COMPUTED_VALUE"""),1.48)</f>
        <v>1.48</v>
      </c>
      <c r="V228" s="104">
        <f t="shared" ca="1" si="0"/>
        <v>1.4800000000000001E-2</v>
      </c>
    </row>
    <row r="229" spans="20:22">
      <c r="T229" s="103">
        <f ca="1">IFERROR(__xludf.DUMMYFUNCTION("""COMPUTED_VALUE"""),38353)</f>
        <v>38353</v>
      </c>
      <c r="U229">
        <f ca="1">IFERROR(__xludf.DUMMYFUNCTION("""COMPUTED_VALUE"""),1.38)</f>
        <v>1.38</v>
      </c>
      <c r="V229" s="104">
        <f t="shared" ca="1" si="0"/>
        <v>1.38E-2</v>
      </c>
    </row>
    <row r="230" spans="20:22">
      <c r="T230" s="103">
        <f ca="1">IFERROR(__xludf.DUMMYFUNCTION("""COMPUTED_VALUE"""),38384)</f>
        <v>38384</v>
      </c>
      <c r="U230">
        <f ca="1">IFERROR(__xludf.DUMMYFUNCTION("""COMPUTED_VALUE"""),1.22)</f>
        <v>1.22</v>
      </c>
      <c r="V230" s="104">
        <f t="shared" ca="1" si="0"/>
        <v>1.2199999999999999E-2</v>
      </c>
    </row>
    <row r="231" spans="20:22">
      <c r="T231" s="103">
        <f ca="1">IFERROR(__xludf.DUMMYFUNCTION("""COMPUTED_VALUE"""),38412)</f>
        <v>38412</v>
      </c>
      <c r="U231">
        <f ca="1">IFERROR(__xludf.DUMMYFUNCTION("""COMPUTED_VALUE"""),1.52)</f>
        <v>1.52</v>
      </c>
      <c r="V231" s="104">
        <f t="shared" ca="1" si="0"/>
        <v>1.52E-2</v>
      </c>
    </row>
    <row r="232" spans="20:22">
      <c r="T232" s="103">
        <f ca="1">IFERROR(__xludf.DUMMYFUNCTION("""COMPUTED_VALUE"""),38443)</f>
        <v>38443</v>
      </c>
      <c r="U232">
        <f ca="1">IFERROR(__xludf.DUMMYFUNCTION("""COMPUTED_VALUE"""),1.41)</f>
        <v>1.41</v>
      </c>
      <c r="V232" s="104">
        <f t="shared" ca="1" si="0"/>
        <v>1.41E-2</v>
      </c>
    </row>
    <row r="233" spans="20:22">
      <c r="T233" s="103">
        <f ca="1">IFERROR(__xludf.DUMMYFUNCTION("""COMPUTED_VALUE"""),38473)</f>
        <v>38473</v>
      </c>
      <c r="U233">
        <f ca="1">IFERROR(__xludf.DUMMYFUNCTION("""COMPUTED_VALUE"""),1.5)</f>
        <v>1.5</v>
      </c>
      <c r="V233" s="104">
        <f t="shared" ca="1" si="0"/>
        <v>1.4999999999999999E-2</v>
      </c>
    </row>
    <row r="234" spans="20:22">
      <c r="T234" s="103">
        <f ca="1">IFERROR(__xludf.DUMMYFUNCTION("""COMPUTED_VALUE"""),38504)</f>
        <v>38504</v>
      </c>
      <c r="U234">
        <f ca="1">IFERROR(__xludf.DUMMYFUNCTION("""COMPUTED_VALUE"""),1.58)</f>
        <v>1.58</v>
      </c>
      <c r="V234" s="104">
        <f t="shared" ca="1" si="0"/>
        <v>1.5800000000000002E-2</v>
      </c>
    </row>
    <row r="235" spans="20:22">
      <c r="T235" s="103">
        <f ca="1">IFERROR(__xludf.DUMMYFUNCTION("""COMPUTED_VALUE"""),38534)</f>
        <v>38534</v>
      </c>
      <c r="U235">
        <f ca="1">IFERROR(__xludf.DUMMYFUNCTION("""COMPUTED_VALUE"""),1.51)</f>
        <v>1.51</v>
      </c>
      <c r="V235" s="104">
        <f t="shared" ca="1" si="0"/>
        <v>1.5100000000000001E-2</v>
      </c>
    </row>
    <row r="236" spans="20:22">
      <c r="T236" s="103">
        <f ca="1">IFERROR(__xludf.DUMMYFUNCTION("""COMPUTED_VALUE"""),38565)</f>
        <v>38565</v>
      </c>
      <c r="U236">
        <f ca="1">IFERROR(__xludf.DUMMYFUNCTION("""COMPUTED_VALUE"""),1.65)</f>
        <v>1.65</v>
      </c>
      <c r="V236" s="104">
        <f t="shared" ca="1" si="0"/>
        <v>1.6500000000000001E-2</v>
      </c>
    </row>
    <row r="237" spans="20:22">
      <c r="T237" s="103">
        <f ca="1">IFERROR(__xludf.DUMMYFUNCTION("""COMPUTED_VALUE"""),38596)</f>
        <v>38596</v>
      </c>
      <c r="U237">
        <f ca="1">IFERROR(__xludf.DUMMYFUNCTION("""COMPUTED_VALUE"""),1.5)</f>
        <v>1.5</v>
      </c>
      <c r="V237" s="104">
        <f t="shared" ca="1" si="0"/>
        <v>1.4999999999999999E-2</v>
      </c>
    </row>
    <row r="238" spans="20:22">
      <c r="T238" s="106">
        <f ca="1">IFERROR(__xludf.DUMMYFUNCTION("""COMPUTED_VALUE"""),38626)</f>
        <v>38626</v>
      </c>
      <c r="U238">
        <f ca="1">IFERROR(__xludf.DUMMYFUNCTION("""COMPUTED_VALUE"""),1.4)</f>
        <v>1.4</v>
      </c>
      <c r="V238" s="104">
        <f t="shared" ca="1" si="0"/>
        <v>1.3999999999999999E-2</v>
      </c>
    </row>
    <row r="239" spans="20:22">
      <c r="T239" s="106">
        <f ca="1">IFERROR(__xludf.DUMMYFUNCTION("""COMPUTED_VALUE"""),38657)</f>
        <v>38657</v>
      </c>
      <c r="U239">
        <f ca="1">IFERROR(__xludf.DUMMYFUNCTION("""COMPUTED_VALUE"""),1.38)</f>
        <v>1.38</v>
      </c>
      <c r="V239" s="104">
        <f t="shared" ca="1" si="0"/>
        <v>1.38E-2</v>
      </c>
    </row>
    <row r="240" spans="20:22">
      <c r="T240" s="106">
        <f ca="1">IFERROR(__xludf.DUMMYFUNCTION("""COMPUTED_VALUE"""),38687)</f>
        <v>38687</v>
      </c>
      <c r="U240">
        <f ca="1">IFERROR(__xludf.DUMMYFUNCTION("""COMPUTED_VALUE"""),1.47)</f>
        <v>1.47</v>
      </c>
      <c r="V240" s="104">
        <f t="shared" ca="1" si="0"/>
        <v>1.47E-2</v>
      </c>
    </row>
    <row r="241" spans="20:22">
      <c r="T241" s="103">
        <f ca="1">IFERROR(__xludf.DUMMYFUNCTION("""COMPUTED_VALUE"""),38718)</f>
        <v>38718</v>
      </c>
      <c r="U241">
        <f ca="1">IFERROR(__xludf.DUMMYFUNCTION("""COMPUTED_VALUE"""),1.43)</f>
        <v>1.43</v>
      </c>
      <c r="V241" s="104">
        <f t="shared" ca="1" si="0"/>
        <v>1.43E-2</v>
      </c>
    </row>
    <row r="242" spans="20:22">
      <c r="T242" s="103">
        <f ca="1">IFERROR(__xludf.DUMMYFUNCTION("""COMPUTED_VALUE"""),38749)</f>
        <v>38749</v>
      </c>
      <c r="U242">
        <f ca="1">IFERROR(__xludf.DUMMYFUNCTION("""COMPUTED_VALUE"""),1.14)</f>
        <v>1.1399999999999999</v>
      </c>
      <c r="V242" s="104">
        <f t="shared" ca="1" si="0"/>
        <v>1.1399999999999999E-2</v>
      </c>
    </row>
    <row r="243" spans="20:22">
      <c r="T243" s="103">
        <f ca="1">IFERROR(__xludf.DUMMYFUNCTION("""COMPUTED_VALUE"""),38777)</f>
        <v>38777</v>
      </c>
      <c r="U243">
        <f ca="1">IFERROR(__xludf.DUMMYFUNCTION("""COMPUTED_VALUE"""),1.42)</f>
        <v>1.42</v>
      </c>
      <c r="V243" s="104">
        <f t="shared" ca="1" si="0"/>
        <v>1.4199999999999999E-2</v>
      </c>
    </row>
    <row r="244" spans="20:22">
      <c r="T244" s="103">
        <f ca="1">IFERROR(__xludf.DUMMYFUNCTION("""COMPUTED_VALUE"""),38808)</f>
        <v>38808</v>
      </c>
      <c r="U244">
        <f ca="1">IFERROR(__xludf.DUMMYFUNCTION("""COMPUTED_VALUE"""),1.08)</f>
        <v>1.08</v>
      </c>
      <c r="V244" s="104">
        <f t="shared" ca="1" si="0"/>
        <v>1.0800000000000001E-2</v>
      </c>
    </row>
    <row r="245" spans="20:22">
      <c r="T245" s="103">
        <f ca="1">IFERROR(__xludf.DUMMYFUNCTION("""COMPUTED_VALUE"""),38838)</f>
        <v>38838</v>
      </c>
      <c r="U245">
        <f ca="1">IFERROR(__xludf.DUMMYFUNCTION("""COMPUTED_VALUE"""),1.28)</f>
        <v>1.28</v>
      </c>
      <c r="V245" s="104">
        <f t="shared" ca="1" si="0"/>
        <v>1.2800000000000001E-2</v>
      </c>
    </row>
    <row r="246" spans="20:22">
      <c r="T246" s="103">
        <f ca="1">IFERROR(__xludf.DUMMYFUNCTION("""COMPUTED_VALUE"""),38869)</f>
        <v>38869</v>
      </c>
      <c r="U246">
        <f ca="1">IFERROR(__xludf.DUMMYFUNCTION("""COMPUTED_VALUE"""),1.18)</f>
        <v>1.18</v>
      </c>
      <c r="V246" s="104">
        <f t="shared" ca="1" si="0"/>
        <v>1.18E-2</v>
      </c>
    </row>
    <row r="247" spans="20:22">
      <c r="T247" s="103">
        <f ca="1">IFERROR(__xludf.DUMMYFUNCTION("""COMPUTED_VALUE"""),38899)</f>
        <v>38899</v>
      </c>
      <c r="U247">
        <f ca="1">IFERROR(__xludf.DUMMYFUNCTION("""COMPUTED_VALUE"""),1.17)</f>
        <v>1.17</v>
      </c>
      <c r="V247" s="104">
        <f t="shared" ca="1" si="0"/>
        <v>1.1699999999999999E-2</v>
      </c>
    </row>
    <row r="248" spans="20:22">
      <c r="T248" s="103">
        <f ca="1">IFERROR(__xludf.DUMMYFUNCTION("""COMPUTED_VALUE"""),38930)</f>
        <v>38930</v>
      </c>
      <c r="U248">
        <f ca="1">IFERROR(__xludf.DUMMYFUNCTION("""COMPUTED_VALUE"""),1.25)</f>
        <v>1.25</v>
      </c>
      <c r="V248" s="104">
        <f t="shared" ca="1" si="0"/>
        <v>1.2500000000000001E-2</v>
      </c>
    </row>
    <row r="249" spans="20:22">
      <c r="T249" s="103">
        <f ca="1">IFERROR(__xludf.DUMMYFUNCTION("""COMPUTED_VALUE"""),38961)</f>
        <v>38961</v>
      </c>
      <c r="U249">
        <f ca="1">IFERROR(__xludf.DUMMYFUNCTION("""COMPUTED_VALUE"""),1.05)</f>
        <v>1.05</v>
      </c>
      <c r="V249" s="104">
        <f t="shared" ca="1" si="0"/>
        <v>1.0500000000000001E-2</v>
      </c>
    </row>
    <row r="250" spans="20:22">
      <c r="T250" s="106">
        <f ca="1">IFERROR(__xludf.DUMMYFUNCTION("""COMPUTED_VALUE"""),38991)</f>
        <v>38991</v>
      </c>
      <c r="U250">
        <f ca="1">IFERROR(__xludf.DUMMYFUNCTION("""COMPUTED_VALUE"""),1.09)</f>
        <v>1.0900000000000001</v>
      </c>
      <c r="V250" s="104">
        <f t="shared" ca="1" si="0"/>
        <v>1.09E-2</v>
      </c>
    </row>
    <row r="251" spans="20:22">
      <c r="T251" s="106">
        <f ca="1">IFERROR(__xludf.DUMMYFUNCTION("""COMPUTED_VALUE"""),39022)</f>
        <v>39022</v>
      </c>
      <c r="U251">
        <f ca="1">IFERROR(__xludf.DUMMYFUNCTION("""COMPUTED_VALUE"""),1.02)</f>
        <v>1.02</v>
      </c>
      <c r="V251" s="104">
        <f t="shared" ca="1" si="0"/>
        <v>1.0200000000000001E-2</v>
      </c>
    </row>
    <row r="252" spans="20:22">
      <c r="T252" s="106">
        <f ca="1">IFERROR(__xludf.DUMMYFUNCTION("""COMPUTED_VALUE"""),39052)</f>
        <v>39052</v>
      </c>
      <c r="U252">
        <f ca="1">IFERROR(__xludf.DUMMYFUNCTION("""COMPUTED_VALUE"""),0.98)</f>
        <v>0.98</v>
      </c>
      <c r="V252" s="104">
        <f t="shared" ca="1" si="0"/>
        <v>9.7999999999999997E-3</v>
      </c>
    </row>
    <row r="253" spans="20:22">
      <c r="T253" s="103">
        <f ca="1">IFERROR(__xludf.DUMMYFUNCTION("""COMPUTED_VALUE"""),39083)</f>
        <v>39083</v>
      </c>
      <c r="U253">
        <f ca="1">IFERROR(__xludf.DUMMYFUNCTION("""COMPUTED_VALUE"""),1.08)</f>
        <v>1.08</v>
      </c>
      <c r="V253" s="104">
        <f t="shared" ca="1" si="0"/>
        <v>1.0800000000000001E-2</v>
      </c>
    </row>
    <row r="254" spans="20:22">
      <c r="T254" s="103">
        <f ca="1">IFERROR(__xludf.DUMMYFUNCTION("""COMPUTED_VALUE"""),39114)</f>
        <v>39114</v>
      </c>
      <c r="U254">
        <f ca="1">IFERROR(__xludf.DUMMYFUNCTION("""COMPUTED_VALUE"""),0.87)</f>
        <v>0.87</v>
      </c>
      <c r="V254" s="104">
        <f t="shared" ca="1" si="0"/>
        <v>8.6999999999999994E-3</v>
      </c>
    </row>
    <row r="255" spans="20:22">
      <c r="T255" s="103">
        <f ca="1">IFERROR(__xludf.DUMMYFUNCTION("""COMPUTED_VALUE"""),39142)</f>
        <v>39142</v>
      </c>
      <c r="U255">
        <f ca="1">IFERROR(__xludf.DUMMYFUNCTION("""COMPUTED_VALUE"""),1.05)</f>
        <v>1.05</v>
      </c>
      <c r="V255" s="104">
        <f t="shared" ca="1" si="0"/>
        <v>1.0500000000000001E-2</v>
      </c>
    </row>
    <row r="256" spans="20:22">
      <c r="T256" s="103">
        <f ca="1">IFERROR(__xludf.DUMMYFUNCTION("""COMPUTED_VALUE"""),39173)</f>
        <v>39173</v>
      </c>
      <c r="U256">
        <f ca="1">IFERROR(__xludf.DUMMYFUNCTION("""COMPUTED_VALUE"""),0.94)</f>
        <v>0.94</v>
      </c>
      <c r="V256" s="104">
        <f t="shared" ca="1" si="0"/>
        <v>9.3999999999999986E-3</v>
      </c>
    </row>
    <row r="257" spans="20:22">
      <c r="T257" s="103">
        <f ca="1">IFERROR(__xludf.DUMMYFUNCTION("""COMPUTED_VALUE"""),39203)</f>
        <v>39203</v>
      </c>
      <c r="U257">
        <f ca="1">IFERROR(__xludf.DUMMYFUNCTION("""COMPUTED_VALUE"""),1.02)</f>
        <v>1.02</v>
      </c>
      <c r="V257" s="104">
        <f t="shared" ca="1" si="0"/>
        <v>1.0200000000000001E-2</v>
      </c>
    </row>
    <row r="258" spans="20:22">
      <c r="T258" s="103">
        <f ca="1">IFERROR(__xludf.DUMMYFUNCTION("""COMPUTED_VALUE"""),39234)</f>
        <v>39234</v>
      </c>
      <c r="U258">
        <f ca="1">IFERROR(__xludf.DUMMYFUNCTION("""COMPUTED_VALUE"""),0.9)</f>
        <v>0.9</v>
      </c>
      <c r="V258" s="104">
        <f t="shared" ref="V258:V512" ca="1" si="1">U258/100</f>
        <v>9.0000000000000011E-3</v>
      </c>
    </row>
    <row r="259" spans="20:22">
      <c r="T259" s="103">
        <f ca="1">IFERROR(__xludf.DUMMYFUNCTION("""COMPUTED_VALUE"""),39264)</f>
        <v>39264</v>
      </c>
      <c r="U259">
        <f ca="1">IFERROR(__xludf.DUMMYFUNCTION("""COMPUTED_VALUE"""),0.97)</f>
        <v>0.97</v>
      </c>
      <c r="V259" s="104">
        <f t="shared" ca="1" si="1"/>
        <v>9.7000000000000003E-3</v>
      </c>
    </row>
    <row r="260" spans="20:22">
      <c r="T260" s="103">
        <f ca="1">IFERROR(__xludf.DUMMYFUNCTION("""COMPUTED_VALUE"""),39295)</f>
        <v>39295</v>
      </c>
      <c r="U260">
        <f ca="1">IFERROR(__xludf.DUMMYFUNCTION("""COMPUTED_VALUE"""),0.99)</f>
        <v>0.99</v>
      </c>
      <c r="V260" s="104">
        <f t="shared" ca="1" si="1"/>
        <v>9.8999999999999991E-3</v>
      </c>
    </row>
    <row r="261" spans="20:22">
      <c r="T261" s="103">
        <f ca="1">IFERROR(__xludf.DUMMYFUNCTION("""COMPUTED_VALUE"""),39326)</f>
        <v>39326</v>
      </c>
      <c r="U261">
        <f ca="1">IFERROR(__xludf.DUMMYFUNCTION("""COMPUTED_VALUE"""),0.8)</f>
        <v>0.8</v>
      </c>
      <c r="V261" s="104">
        <f t="shared" ca="1" si="1"/>
        <v>8.0000000000000002E-3</v>
      </c>
    </row>
    <row r="262" spans="20:22">
      <c r="T262" s="106">
        <f ca="1">IFERROR(__xludf.DUMMYFUNCTION("""COMPUTED_VALUE"""),39356)</f>
        <v>39356</v>
      </c>
      <c r="U262">
        <f ca="1">IFERROR(__xludf.DUMMYFUNCTION("""COMPUTED_VALUE"""),0.92)</f>
        <v>0.92</v>
      </c>
      <c r="V262" s="104">
        <f t="shared" ca="1" si="1"/>
        <v>9.1999999999999998E-3</v>
      </c>
    </row>
    <row r="263" spans="20:22">
      <c r="T263" s="106">
        <f ca="1">IFERROR(__xludf.DUMMYFUNCTION("""COMPUTED_VALUE"""),39387)</f>
        <v>39387</v>
      </c>
      <c r="U263">
        <f ca="1">IFERROR(__xludf.DUMMYFUNCTION("""COMPUTED_VALUE"""),0.84)</f>
        <v>0.84</v>
      </c>
      <c r="V263" s="104">
        <f t="shared" ca="1" si="1"/>
        <v>8.3999999999999995E-3</v>
      </c>
    </row>
    <row r="264" spans="20:22">
      <c r="T264" s="106">
        <f ca="1">IFERROR(__xludf.DUMMYFUNCTION("""COMPUTED_VALUE"""),39417)</f>
        <v>39417</v>
      </c>
      <c r="U264">
        <f ca="1">IFERROR(__xludf.DUMMYFUNCTION("""COMPUTED_VALUE"""),0.84)</f>
        <v>0.84</v>
      </c>
      <c r="V264" s="104">
        <f t="shared" ca="1" si="1"/>
        <v>8.3999999999999995E-3</v>
      </c>
    </row>
    <row r="265" spans="20:22">
      <c r="T265" s="103">
        <f ca="1">IFERROR(__xludf.DUMMYFUNCTION("""COMPUTED_VALUE"""),39448)</f>
        <v>39448</v>
      </c>
      <c r="U265">
        <f ca="1">IFERROR(__xludf.DUMMYFUNCTION("""COMPUTED_VALUE"""),0.92)</f>
        <v>0.92</v>
      </c>
      <c r="V265" s="104">
        <f t="shared" ca="1" si="1"/>
        <v>9.1999999999999998E-3</v>
      </c>
    </row>
    <row r="266" spans="20:22">
      <c r="T266" s="103">
        <f ca="1">IFERROR(__xludf.DUMMYFUNCTION("""COMPUTED_VALUE"""),39479)</f>
        <v>39479</v>
      </c>
      <c r="U266">
        <f ca="1">IFERROR(__xludf.DUMMYFUNCTION("""COMPUTED_VALUE"""),0.8)</f>
        <v>0.8</v>
      </c>
      <c r="V266" s="104">
        <f t="shared" ca="1" si="1"/>
        <v>8.0000000000000002E-3</v>
      </c>
    </row>
    <row r="267" spans="20:22">
      <c r="T267" s="103">
        <f ca="1">IFERROR(__xludf.DUMMYFUNCTION("""COMPUTED_VALUE"""),39508)</f>
        <v>39508</v>
      </c>
      <c r="U267">
        <f ca="1">IFERROR(__xludf.DUMMYFUNCTION("""COMPUTED_VALUE"""),0.84)</f>
        <v>0.84</v>
      </c>
      <c r="V267" s="104">
        <f t="shared" ca="1" si="1"/>
        <v>8.3999999999999995E-3</v>
      </c>
    </row>
    <row r="268" spans="20:22">
      <c r="T268" s="103">
        <f ca="1">IFERROR(__xludf.DUMMYFUNCTION("""COMPUTED_VALUE"""),39539)</f>
        <v>39539</v>
      </c>
      <c r="U268">
        <f ca="1">IFERROR(__xludf.DUMMYFUNCTION("""COMPUTED_VALUE"""),0.9)</f>
        <v>0.9</v>
      </c>
      <c r="V268" s="104">
        <f t="shared" ca="1" si="1"/>
        <v>9.0000000000000011E-3</v>
      </c>
    </row>
    <row r="269" spans="20:22">
      <c r="T269" s="103">
        <f ca="1">IFERROR(__xludf.DUMMYFUNCTION("""COMPUTED_VALUE"""),39569)</f>
        <v>39569</v>
      </c>
      <c r="U269">
        <f ca="1">IFERROR(__xludf.DUMMYFUNCTION("""COMPUTED_VALUE"""),0.87)</f>
        <v>0.87</v>
      </c>
      <c r="V269" s="104">
        <f t="shared" ca="1" si="1"/>
        <v>8.6999999999999994E-3</v>
      </c>
    </row>
    <row r="270" spans="20:22">
      <c r="T270" s="103">
        <f ca="1">IFERROR(__xludf.DUMMYFUNCTION("""COMPUTED_VALUE"""),39600)</f>
        <v>39600</v>
      </c>
      <c r="U270">
        <f ca="1">IFERROR(__xludf.DUMMYFUNCTION("""COMPUTED_VALUE"""),0.95)</f>
        <v>0.95</v>
      </c>
      <c r="V270" s="104">
        <f t="shared" ca="1" si="1"/>
        <v>9.4999999999999998E-3</v>
      </c>
    </row>
    <row r="271" spans="20:22">
      <c r="T271" s="103">
        <f ca="1">IFERROR(__xludf.DUMMYFUNCTION("""COMPUTED_VALUE"""),39630)</f>
        <v>39630</v>
      </c>
      <c r="U271">
        <f ca="1">IFERROR(__xludf.DUMMYFUNCTION("""COMPUTED_VALUE"""),1.06)</f>
        <v>1.06</v>
      </c>
      <c r="V271" s="104">
        <f t="shared" ca="1" si="1"/>
        <v>1.06E-2</v>
      </c>
    </row>
    <row r="272" spans="20:22">
      <c r="T272" s="103">
        <f ca="1">IFERROR(__xludf.DUMMYFUNCTION("""COMPUTED_VALUE"""),39661)</f>
        <v>39661</v>
      </c>
      <c r="U272">
        <f ca="1">IFERROR(__xludf.DUMMYFUNCTION("""COMPUTED_VALUE"""),1.01)</f>
        <v>1.01</v>
      </c>
      <c r="V272" s="104">
        <f t="shared" ca="1" si="1"/>
        <v>1.01E-2</v>
      </c>
    </row>
    <row r="273" spans="20:22">
      <c r="T273" s="103">
        <f ca="1">IFERROR(__xludf.DUMMYFUNCTION("""COMPUTED_VALUE"""),39692)</f>
        <v>39692</v>
      </c>
      <c r="U273">
        <f ca="1">IFERROR(__xludf.DUMMYFUNCTION("""COMPUTED_VALUE"""),1.1)</f>
        <v>1.1000000000000001</v>
      </c>
      <c r="V273" s="104">
        <f t="shared" ca="1" si="1"/>
        <v>1.1000000000000001E-2</v>
      </c>
    </row>
    <row r="274" spans="20:22">
      <c r="T274" s="106">
        <f ca="1">IFERROR(__xludf.DUMMYFUNCTION("""COMPUTED_VALUE"""),39722)</f>
        <v>39722</v>
      </c>
      <c r="U274">
        <f ca="1">IFERROR(__xludf.DUMMYFUNCTION("""COMPUTED_VALUE"""),1.17)</f>
        <v>1.17</v>
      </c>
      <c r="V274" s="104">
        <f t="shared" ca="1" si="1"/>
        <v>1.1699999999999999E-2</v>
      </c>
    </row>
    <row r="275" spans="20:22">
      <c r="T275" s="106">
        <f ca="1">IFERROR(__xludf.DUMMYFUNCTION("""COMPUTED_VALUE"""),39753)</f>
        <v>39753</v>
      </c>
      <c r="U275">
        <f ca="1">IFERROR(__xludf.DUMMYFUNCTION("""COMPUTED_VALUE"""),1)</f>
        <v>1</v>
      </c>
      <c r="V275" s="104">
        <f t="shared" ca="1" si="1"/>
        <v>0.01</v>
      </c>
    </row>
    <row r="276" spans="20:22">
      <c r="T276" s="106">
        <f ca="1">IFERROR(__xludf.DUMMYFUNCTION("""COMPUTED_VALUE"""),39783)</f>
        <v>39783</v>
      </c>
      <c r="U276">
        <f ca="1">IFERROR(__xludf.DUMMYFUNCTION("""COMPUTED_VALUE"""),1.11)</f>
        <v>1.1100000000000001</v>
      </c>
      <c r="V276" s="104">
        <f t="shared" ca="1" si="1"/>
        <v>1.11E-2</v>
      </c>
    </row>
    <row r="277" spans="20:22">
      <c r="T277" s="103">
        <f ca="1">IFERROR(__xludf.DUMMYFUNCTION("""COMPUTED_VALUE"""),39814)</f>
        <v>39814</v>
      </c>
      <c r="U277">
        <f ca="1">IFERROR(__xludf.DUMMYFUNCTION("""COMPUTED_VALUE"""),1.04)</f>
        <v>1.04</v>
      </c>
      <c r="V277" s="104">
        <f t="shared" ca="1" si="1"/>
        <v>1.04E-2</v>
      </c>
    </row>
    <row r="278" spans="20:22">
      <c r="T278" s="103">
        <f ca="1">IFERROR(__xludf.DUMMYFUNCTION("""COMPUTED_VALUE"""),39845)</f>
        <v>39845</v>
      </c>
      <c r="U278">
        <f ca="1">IFERROR(__xludf.DUMMYFUNCTION("""COMPUTED_VALUE"""),0.85)</f>
        <v>0.85</v>
      </c>
      <c r="V278" s="104">
        <f t="shared" ca="1" si="1"/>
        <v>8.5000000000000006E-3</v>
      </c>
    </row>
    <row r="279" spans="20:22">
      <c r="T279" s="103">
        <f ca="1">IFERROR(__xludf.DUMMYFUNCTION("""COMPUTED_VALUE"""),39873)</f>
        <v>39873</v>
      </c>
      <c r="U279">
        <f ca="1">IFERROR(__xludf.DUMMYFUNCTION("""COMPUTED_VALUE"""),0.97)</f>
        <v>0.97</v>
      </c>
      <c r="V279" s="104">
        <f t="shared" ca="1" si="1"/>
        <v>9.7000000000000003E-3</v>
      </c>
    </row>
    <row r="280" spans="20:22">
      <c r="T280" s="103">
        <f ca="1">IFERROR(__xludf.DUMMYFUNCTION("""COMPUTED_VALUE"""),39904)</f>
        <v>39904</v>
      </c>
      <c r="U280">
        <f ca="1">IFERROR(__xludf.DUMMYFUNCTION("""COMPUTED_VALUE"""),0.84)</f>
        <v>0.84</v>
      </c>
      <c r="V280" s="104">
        <f t="shared" ca="1" si="1"/>
        <v>8.3999999999999995E-3</v>
      </c>
    </row>
    <row r="281" spans="20:22">
      <c r="T281" s="103">
        <f ca="1">IFERROR(__xludf.DUMMYFUNCTION("""COMPUTED_VALUE"""),39934)</f>
        <v>39934</v>
      </c>
      <c r="U281">
        <f ca="1">IFERROR(__xludf.DUMMYFUNCTION("""COMPUTED_VALUE"""),0.77)</f>
        <v>0.77</v>
      </c>
      <c r="V281" s="104">
        <f t="shared" ca="1" si="1"/>
        <v>7.7000000000000002E-3</v>
      </c>
    </row>
    <row r="282" spans="20:22">
      <c r="T282" s="103">
        <f ca="1">IFERROR(__xludf.DUMMYFUNCTION("""COMPUTED_VALUE"""),39965)</f>
        <v>39965</v>
      </c>
      <c r="U282">
        <f ca="1">IFERROR(__xludf.DUMMYFUNCTION("""COMPUTED_VALUE"""),0.75)</f>
        <v>0.75</v>
      </c>
      <c r="V282" s="104">
        <f t="shared" ca="1" si="1"/>
        <v>7.4999999999999997E-3</v>
      </c>
    </row>
    <row r="283" spans="20:22">
      <c r="T283" s="103">
        <f ca="1">IFERROR(__xludf.DUMMYFUNCTION("""COMPUTED_VALUE"""),39995)</f>
        <v>39995</v>
      </c>
      <c r="U283">
        <f ca="1">IFERROR(__xludf.DUMMYFUNCTION("""COMPUTED_VALUE"""),0.78)</f>
        <v>0.78</v>
      </c>
      <c r="V283" s="104">
        <f t="shared" ca="1" si="1"/>
        <v>7.8000000000000005E-3</v>
      </c>
    </row>
    <row r="284" spans="20:22">
      <c r="T284" s="103">
        <f ca="1">IFERROR(__xludf.DUMMYFUNCTION("""COMPUTED_VALUE"""),40026)</f>
        <v>40026</v>
      </c>
      <c r="U284">
        <f ca="1">IFERROR(__xludf.DUMMYFUNCTION("""COMPUTED_VALUE"""),0.69)</f>
        <v>0.69</v>
      </c>
      <c r="V284" s="104">
        <f t="shared" ca="1" si="1"/>
        <v>6.8999999999999999E-3</v>
      </c>
    </row>
    <row r="285" spans="20:22">
      <c r="T285" s="103">
        <f ca="1">IFERROR(__xludf.DUMMYFUNCTION("""COMPUTED_VALUE"""),40057)</f>
        <v>40057</v>
      </c>
      <c r="U285">
        <f ca="1">IFERROR(__xludf.DUMMYFUNCTION("""COMPUTED_VALUE"""),0.69)</f>
        <v>0.69</v>
      </c>
      <c r="V285" s="104">
        <f t="shared" ca="1" si="1"/>
        <v>6.8999999999999999E-3</v>
      </c>
    </row>
    <row r="286" spans="20:22">
      <c r="T286" s="106">
        <f ca="1">IFERROR(__xludf.DUMMYFUNCTION("""COMPUTED_VALUE"""),40087)</f>
        <v>40087</v>
      </c>
      <c r="U286">
        <f ca="1">IFERROR(__xludf.DUMMYFUNCTION("""COMPUTED_VALUE"""),0.69)</f>
        <v>0.69</v>
      </c>
      <c r="V286" s="104">
        <f t="shared" ca="1" si="1"/>
        <v>6.8999999999999999E-3</v>
      </c>
    </row>
    <row r="287" spans="20:22">
      <c r="T287" s="106">
        <f ca="1">IFERROR(__xludf.DUMMYFUNCTION("""COMPUTED_VALUE"""),40118)</f>
        <v>40118</v>
      </c>
      <c r="U287">
        <f ca="1">IFERROR(__xludf.DUMMYFUNCTION("""COMPUTED_VALUE"""),0.66)</f>
        <v>0.66</v>
      </c>
      <c r="V287" s="104">
        <f t="shared" ca="1" si="1"/>
        <v>6.6E-3</v>
      </c>
    </row>
    <row r="288" spans="20:22">
      <c r="T288" s="106">
        <f ca="1">IFERROR(__xludf.DUMMYFUNCTION("""COMPUTED_VALUE"""),40148)</f>
        <v>40148</v>
      </c>
      <c r="U288">
        <f ca="1">IFERROR(__xludf.DUMMYFUNCTION("""COMPUTED_VALUE"""),0.72)</f>
        <v>0.72</v>
      </c>
      <c r="V288" s="104">
        <f t="shared" ca="1" si="1"/>
        <v>7.1999999999999998E-3</v>
      </c>
    </row>
    <row r="289" spans="20:22">
      <c r="T289" s="103">
        <f ca="1">IFERROR(__xludf.DUMMYFUNCTION("""COMPUTED_VALUE"""),40179)</f>
        <v>40179</v>
      </c>
      <c r="U289">
        <f ca="1">IFERROR(__xludf.DUMMYFUNCTION("""COMPUTED_VALUE"""),0.66)</f>
        <v>0.66</v>
      </c>
      <c r="V289" s="104">
        <f t="shared" ca="1" si="1"/>
        <v>6.6E-3</v>
      </c>
    </row>
    <row r="290" spans="20:22">
      <c r="T290" s="103">
        <f ca="1">IFERROR(__xludf.DUMMYFUNCTION("""COMPUTED_VALUE"""),40210)</f>
        <v>40210</v>
      </c>
      <c r="U290">
        <f ca="1">IFERROR(__xludf.DUMMYFUNCTION("""COMPUTED_VALUE"""),0.59)</f>
        <v>0.59</v>
      </c>
      <c r="V290" s="104">
        <f t="shared" ca="1" si="1"/>
        <v>5.8999999999999999E-3</v>
      </c>
    </row>
    <row r="291" spans="20:22">
      <c r="T291" s="103">
        <f ca="1">IFERROR(__xludf.DUMMYFUNCTION("""COMPUTED_VALUE"""),40238)</f>
        <v>40238</v>
      </c>
      <c r="U291">
        <f ca="1">IFERROR(__xludf.DUMMYFUNCTION("""COMPUTED_VALUE"""),0.76)</f>
        <v>0.76</v>
      </c>
      <c r="V291" s="104">
        <f t="shared" ca="1" si="1"/>
        <v>7.6E-3</v>
      </c>
    </row>
    <row r="292" spans="20:22">
      <c r="T292" s="103">
        <f ca="1">IFERROR(__xludf.DUMMYFUNCTION("""COMPUTED_VALUE"""),40269)</f>
        <v>40269</v>
      </c>
      <c r="U292">
        <f ca="1">IFERROR(__xludf.DUMMYFUNCTION("""COMPUTED_VALUE"""),0.66)</f>
        <v>0.66</v>
      </c>
      <c r="V292" s="104">
        <f t="shared" ca="1" si="1"/>
        <v>6.6E-3</v>
      </c>
    </row>
    <row r="293" spans="20:22">
      <c r="T293" s="103">
        <f ca="1">IFERROR(__xludf.DUMMYFUNCTION("""COMPUTED_VALUE"""),40299)</f>
        <v>40299</v>
      </c>
      <c r="U293">
        <f ca="1">IFERROR(__xludf.DUMMYFUNCTION("""COMPUTED_VALUE"""),0.75)</f>
        <v>0.75</v>
      </c>
      <c r="V293" s="104">
        <f t="shared" ca="1" si="1"/>
        <v>7.4999999999999997E-3</v>
      </c>
    </row>
    <row r="294" spans="20:22">
      <c r="T294" s="103">
        <f ca="1">IFERROR(__xludf.DUMMYFUNCTION("""COMPUTED_VALUE"""),40330)</f>
        <v>40330</v>
      </c>
      <c r="U294">
        <f ca="1">IFERROR(__xludf.DUMMYFUNCTION("""COMPUTED_VALUE"""),0.79)</f>
        <v>0.79</v>
      </c>
      <c r="V294" s="104">
        <f t="shared" ca="1" si="1"/>
        <v>7.9000000000000008E-3</v>
      </c>
    </row>
    <row r="295" spans="20:22">
      <c r="T295" s="103">
        <f ca="1">IFERROR(__xludf.DUMMYFUNCTION("""COMPUTED_VALUE"""),40360)</f>
        <v>40360</v>
      </c>
      <c r="U295">
        <f ca="1">IFERROR(__xludf.DUMMYFUNCTION("""COMPUTED_VALUE"""),0.86)</f>
        <v>0.86</v>
      </c>
      <c r="V295" s="104">
        <f t="shared" ca="1" si="1"/>
        <v>8.6E-3</v>
      </c>
    </row>
    <row r="296" spans="20:22">
      <c r="T296" s="103">
        <f ca="1">IFERROR(__xludf.DUMMYFUNCTION("""COMPUTED_VALUE"""),40391)</f>
        <v>40391</v>
      </c>
      <c r="U296">
        <f ca="1">IFERROR(__xludf.DUMMYFUNCTION("""COMPUTED_VALUE"""),0.89)</f>
        <v>0.89</v>
      </c>
      <c r="V296" s="104">
        <f t="shared" ca="1" si="1"/>
        <v>8.8999999999999999E-3</v>
      </c>
    </row>
    <row r="297" spans="20:22">
      <c r="T297" s="103">
        <f ca="1">IFERROR(__xludf.DUMMYFUNCTION("""COMPUTED_VALUE"""),40422)</f>
        <v>40422</v>
      </c>
      <c r="U297">
        <f ca="1">IFERROR(__xludf.DUMMYFUNCTION("""COMPUTED_VALUE"""),0.84)</f>
        <v>0.84</v>
      </c>
      <c r="V297" s="104">
        <f t="shared" ca="1" si="1"/>
        <v>8.3999999999999995E-3</v>
      </c>
    </row>
    <row r="298" spans="20:22">
      <c r="T298" s="106">
        <f ca="1">IFERROR(__xludf.DUMMYFUNCTION("""COMPUTED_VALUE"""),40452)</f>
        <v>40452</v>
      </c>
      <c r="U298">
        <f ca="1">IFERROR(__xludf.DUMMYFUNCTION("""COMPUTED_VALUE"""),0.81)</f>
        <v>0.81</v>
      </c>
      <c r="V298" s="104">
        <f t="shared" ca="1" si="1"/>
        <v>8.1000000000000013E-3</v>
      </c>
    </row>
    <row r="299" spans="20:22">
      <c r="T299" s="106">
        <f ca="1">IFERROR(__xludf.DUMMYFUNCTION("""COMPUTED_VALUE"""),40483)</f>
        <v>40483</v>
      </c>
      <c r="U299">
        <f ca="1">IFERROR(__xludf.DUMMYFUNCTION("""COMPUTED_VALUE"""),0.81)</f>
        <v>0.81</v>
      </c>
      <c r="V299" s="104">
        <f t="shared" ca="1" si="1"/>
        <v>8.1000000000000013E-3</v>
      </c>
    </row>
    <row r="300" spans="20:22">
      <c r="T300" s="106">
        <f ca="1">IFERROR(__xludf.DUMMYFUNCTION("""COMPUTED_VALUE"""),40513)</f>
        <v>40513</v>
      </c>
      <c r="U300">
        <f ca="1">IFERROR(__xludf.DUMMYFUNCTION("""COMPUTED_VALUE"""),0.93)</f>
        <v>0.93</v>
      </c>
      <c r="V300" s="104">
        <f t="shared" ca="1" si="1"/>
        <v>9.300000000000001E-3</v>
      </c>
    </row>
    <row r="301" spans="20:22">
      <c r="T301" s="103">
        <f ca="1">IFERROR(__xludf.DUMMYFUNCTION("""COMPUTED_VALUE"""),40544)</f>
        <v>40544</v>
      </c>
      <c r="U301">
        <f ca="1">IFERROR(__xludf.DUMMYFUNCTION("""COMPUTED_VALUE"""),0.86)</f>
        <v>0.86</v>
      </c>
      <c r="V301" s="104">
        <f t="shared" ca="1" si="1"/>
        <v>8.6E-3</v>
      </c>
    </row>
    <row r="302" spans="20:22">
      <c r="T302" s="103">
        <f ca="1">IFERROR(__xludf.DUMMYFUNCTION("""COMPUTED_VALUE"""),40575)</f>
        <v>40575</v>
      </c>
      <c r="U302">
        <f ca="1">IFERROR(__xludf.DUMMYFUNCTION("""COMPUTED_VALUE"""),0.84)</f>
        <v>0.84</v>
      </c>
      <c r="V302" s="104">
        <f t="shared" ca="1" si="1"/>
        <v>8.3999999999999995E-3</v>
      </c>
    </row>
    <row r="303" spans="20:22">
      <c r="T303" s="103">
        <f ca="1">IFERROR(__xludf.DUMMYFUNCTION("""COMPUTED_VALUE"""),40603)</f>
        <v>40603</v>
      </c>
      <c r="U303">
        <f ca="1">IFERROR(__xludf.DUMMYFUNCTION("""COMPUTED_VALUE"""),0.92)</f>
        <v>0.92</v>
      </c>
      <c r="V303" s="104">
        <f t="shared" ca="1" si="1"/>
        <v>9.1999999999999998E-3</v>
      </c>
    </row>
    <row r="304" spans="20:22">
      <c r="T304" s="103">
        <f ca="1">IFERROR(__xludf.DUMMYFUNCTION("""COMPUTED_VALUE"""),40634)</f>
        <v>40634</v>
      </c>
      <c r="U304">
        <f ca="1">IFERROR(__xludf.DUMMYFUNCTION("""COMPUTED_VALUE"""),0.84)</f>
        <v>0.84</v>
      </c>
      <c r="V304" s="104">
        <f t="shared" ca="1" si="1"/>
        <v>8.3999999999999995E-3</v>
      </c>
    </row>
    <row r="305" spans="20:22">
      <c r="T305" s="103">
        <f ca="1">IFERROR(__xludf.DUMMYFUNCTION("""COMPUTED_VALUE"""),40664)</f>
        <v>40664</v>
      </c>
      <c r="U305">
        <f ca="1">IFERROR(__xludf.DUMMYFUNCTION("""COMPUTED_VALUE"""),0.99)</f>
        <v>0.99</v>
      </c>
      <c r="V305" s="104">
        <f t="shared" ca="1" si="1"/>
        <v>9.8999999999999991E-3</v>
      </c>
    </row>
    <row r="306" spans="20:22">
      <c r="T306" s="103">
        <f ca="1">IFERROR(__xludf.DUMMYFUNCTION("""COMPUTED_VALUE"""),40695)</f>
        <v>40695</v>
      </c>
      <c r="U306">
        <f ca="1">IFERROR(__xludf.DUMMYFUNCTION("""COMPUTED_VALUE"""),0.95)</f>
        <v>0.95</v>
      </c>
      <c r="V306" s="104">
        <f t="shared" ca="1" si="1"/>
        <v>9.4999999999999998E-3</v>
      </c>
    </row>
    <row r="307" spans="20:22">
      <c r="T307" s="103">
        <f ca="1">IFERROR(__xludf.DUMMYFUNCTION("""COMPUTED_VALUE"""),40725)</f>
        <v>40725</v>
      </c>
      <c r="U307">
        <f ca="1">IFERROR(__xludf.DUMMYFUNCTION("""COMPUTED_VALUE"""),0.97)</f>
        <v>0.97</v>
      </c>
      <c r="V307" s="104">
        <f t="shared" ca="1" si="1"/>
        <v>9.7000000000000003E-3</v>
      </c>
    </row>
    <row r="308" spans="20:22">
      <c r="T308" s="103">
        <f ca="1">IFERROR(__xludf.DUMMYFUNCTION("""COMPUTED_VALUE"""),40756)</f>
        <v>40756</v>
      </c>
      <c r="U308">
        <f ca="1">IFERROR(__xludf.DUMMYFUNCTION("""COMPUTED_VALUE"""),1.07)</f>
        <v>1.07</v>
      </c>
      <c r="V308" s="104">
        <f t="shared" ca="1" si="1"/>
        <v>1.0700000000000001E-2</v>
      </c>
    </row>
    <row r="309" spans="20:22">
      <c r="T309" s="103">
        <f ca="1">IFERROR(__xludf.DUMMYFUNCTION("""COMPUTED_VALUE"""),40787)</f>
        <v>40787</v>
      </c>
      <c r="U309">
        <f ca="1">IFERROR(__xludf.DUMMYFUNCTION("""COMPUTED_VALUE"""),0.94)</f>
        <v>0.94</v>
      </c>
      <c r="V309" s="104">
        <f t="shared" ca="1" si="1"/>
        <v>9.3999999999999986E-3</v>
      </c>
    </row>
    <row r="310" spans="20:22">
      <c r="T310" s="106">
        <f ca="1">IFERROR(__xludf.DUMMYFUNCTION("""COMPUTED_VALUE"""),40817)</f>
        <v>40817</v>
      </c>
      <c r="U310">
        <f ca="1">IFERROR(__xludf.DUMMYFUNCTION("""COMPUTED_VALUE"""),0.88)</f>
        <v>0.88</v>
      </c>
      <c r="V310" s="104">
        <f t="shared" ca="1" si="1"/>
        <v>8.8000000000000005E-3</v>
      </c>
    </row>
    <row r="311" spans="20:22">
      <c r="T311" s="106">
        <f ca="1">IFERROR(__xludf.DUMMYFUNCTION("""COMPUTED_VALUE"""),40848)</f>
        <v>40848</v>
      </c>
      <c r="U311">
        <f ca="1">IFERROR(__xludf.DUMMYFUNCTION("""COMPUTED_VALUE"""),0.86)</f>
        <v>0.86</v>
      </c>
      <c r="V311" s="104">
        <f t="shared" ca="1" si="1"/>
        <v>8.6E-3</v>
      </c>
    </row>
    <row r="312" spans="20:22">
      <c r="T312" s="106">
        <f ca="1">IFERROR(__xludf.DUMMYFUNCTION("""COMPUTED_VALUE"""),40878)</f>
        <v>40878</v>
      </c>
      <c r="U312">
        <f ca="1">IFERROR(__xludf.DUMMYFUNCTION("""COMPUTED_VALUE"""),0.9)</f>
        <v>0.9</v>
      </c>
      <c r="V312" s="104">
        <f t="shared" ca="1" si="1"/>
        <v>9.0000000000000011E-3</v>
      </c>
    </row>
    <row r="313" spans="20:22">
      <c r="T313" s="103">
        <f ca="1">IFERROR(__xludf.DUMMYFUNCTION("""COMPUTED_VALUE"""),40909)</f>
        <v>40909</v>
      </c>
      <c r="U313">
        <f ca="1">IFERROR(__xludf.DUMMYFUNCTION("""COMPUTED_VALUE"""),0.89)</f>
        <v>0.89</v>
      </c>
      <c r="V313" s="104">
        <f t="shared" ca="1" si="1"/>
        <v>8.8999999999999999E-3</v>
      </c>
    </row>
    <row r="314" spans="20:22">
      <c r="T314" s="103">
        <f ca="1">IFERROR(__xludf.DUMMYFUNCTION("""COMPUTED_VALUE"""),40940)</f>
        <v>40940</v>
      </c>
      <c r="U314">
        <f ca="1">IFERROR(__xludf.DUMMYFUNCTION("""COMPUTED_VALUE"""),0.74)</f>
        <v>0.74</v>
      </c>
      <c r="V314" s="104">
        <f t="shared" ca="1" si="1"/>
        <v>7.4000000000000003E-3</v>
      </c>
    </row>
    <row r="315" spans="20:22">
      <c r="T315" s="103">
        <f ca="1">IFERROR(__xludf.DUMMYFUNCTION("""COMPUTED_VALUE"""),40969)</f>
        <v>40969</v>
      </c>
      <c r="U315">
        <f ca="1">IFERROR(__xludf.DUMMYFUNCTION("""COMPUTED_VALUE"""),0.81)</f>
        <v>0.81</v>
      </c>
      <c r="V315" s="104">
        <f t="shared" ca="1" si="1"/>
        <v>8.1000000000000013E-3</v>
      </c>
    </row>
    <row r="316" spans="20:22">
      <c r="T316" s="103">
        <f ca="1">IFERROR(__xludf.DUMMYFUNCTION("""COMPUTED_VALUE"""),41000)</f>
        <v>41000</v>
      </c>
      <c r="U316">
        <f ca="1">IFERROR(__xludf.DUMMYFUNCTION("""COMPUTED_VALUE"""),0.7)</f>
        <v>0.7</v>
      </c>
      <c r="V316" s="104">
        <f t="shared" ca="1" si="1"/>
        <v>6.9999999999999993E-3</v>
      </c>
    </row>
    <row r="317" spans="20:22">
      <c r="T317" s="103">
        <f ca="1">IFERROR(__xludf.DUMMYFUNCTION("""COMPUTED_VALUE"""),41030)</f>
        <v>41030</v>
      </c>
      <c r="U317">
        <f ca="1">IFERROR(__xludf.DUMMYFUNCTION("""COMPUTED_VALUE"""),0.73)</f>
        <v>0.73</v>
      </c>
      <c r="V317" s="104">
        <f t="shared" ca="1" si="1"/>
        <v>7.3000000000000001E-3</v>
      </c>
    </row>
    <row r="318" spans="20:22">
      <c r="T318" s="103">
        <f ca="1">IFERROR(__xludf.DUMMYFUNCTION("""COMPUTED_VALUE"""),41061)</f>
        <v>41061</v>
      </c>
      <c r="U318">
        <f ca="1">IFERROR(__xludf.DUMMYFUNCTION("""COMPUTED_VALUE"""),0.64)</f>
        <v>0.64</v>
      </c>
      <c r="V318" s="104">
        <f t="shared" ca="1" si="1"/>
        <v>6.4000000000000003E-3</v>
      </c>
    </row>
    <row r="319" spans="20:22">
      <c r="T319" s="103">
        <f ca="1">IFERROR(__xludf.DUMMYFUNCTION("""COMPUTED_VALUE"""),41091)</f>
        <v>41091</v>
      </c>
      <c r="U319">
        <f ca="1">IFERROR(__xludf.DUMMYFUNCTION("""COMPUTED_VALUE"""),0.68)</f>
        <v>0.68</v>
      </c>
      <c r="V319" s="104">
        <f t="shared" ca="1" si="1"/>
        <v>6.8000000000000005E-3</v>
      </c>
    </row>
    <row r="320" spans="20:22">
      <c r="T320" s="103">
        <f ca="1">IFERROR(__xludf.DUMMYFUNCTION("""COMPUTED_VALUE"""),41122)</f>
        <v>41122</v>
      </c>
      <c r="U320">
        <f ca="1">IFERROR(__xludf.DUMMYFUNCTION("""COMPUTED_VALUE"""),0.69)</f>
        <v>0.69</v>
      </c>
      <c r="V320" s="104">
        <f t="shared" ca="1" si="1"/>
        <v>6.8999999999999999E-3</v>
      </c>
    </row>
    <row r="321" spans="20:22">
      <c r="T321" s="103">
        <f ca="1">IFERROR(__xludf.DUMMYFUNCTION("""COMPUTED_VALUE"""),41153)</f>
        <v>41153</v>
      </c>
      <c r="U321">
        <f ca="1">IFERROR(__xludf.DUMMYFUNCTION("""COMPUTED_VALUE"""),0.54)</f>
        <v>0.54</v>
      </c>
      <c r="V321" s="104">
        <f t="shared" ca="1" si="1"/>
        <v>5.4000000000000003E-3</v>
      </c>
    </row>
    <row r="322" spans="20:22">
      <c r="T322" s="106">
        <f ca="1">IFERROR(__xludf.DUMMYFUNCTION("""COMPUTED_VALUE"""),41183)</f>
        <v>41183</v>
      </c>
      <c r="U322">
        <f ca="1">IFERROR(__xludf.DUMMYFUNCTION("""COMPUTED_VALUE"""),0.61)</f>
        <v>0.61</v>
      </c>
      <c r="V322" s="104">
        <f t="shared" ca="1" si="1"/>
        <v>6.0999999999999995E-3</v>
      </c>
    </row>
    <row r="323" spans="20:22">
      <c r="T323" s="106">
        <f ca="1">IFERROR(__xludf.DUMMYFUNCTION("""COMPUTED_VALUE"""),41214)</f>
        <v>41214</v>
      </c>
      <c r="U323">
        <f ca="1">IFERROR(__xludf.DUMMYFUNCTION("""COMPUTED_VALUE"""),0.54)</f>
        <v>0.54</v>
      </c>
      <c r="V323" s="104">
        <f t="shared" ca="1" si="1"/>
        <v>5.4000000000000003E-3</v>
      </c>
    </row>
    <row r="324" spans="20:22">
      <c r="T324" s="106">
        <f ca="1">IFERROR(__xludf.DUMMYFUNCTION("""COMPUTED_VALUE"""),41244)</f>
        <v>41244</v>
      </c>
      <c r="U324">
        <f ca="1">IFERROR(__xludf.DUMMYFUNCTION("""COMPUTED_VALUE"""),0.53)</f>
        <v>0.53</v>
      </c>
      <c r="V324" s="104">
        <f t="shared" ca="1" si="1"/>
        <v>5.3E-3</v>
      </c>
    </row>
    <row r="325" spans="20:22">
      <c r="T325" s="103">
        <f ca="1">IFERROR(__xludf.DUMMYFUNCTION("""COMPUTED_VALUE"""),41275)</f>
        <v>41275</v>
      </c>
      <c r="U325">
        <f ca="1">IFERROR(__xludf.DUMMYFUNCTION("""COMPUTED_VALUE"""),0.59)</f>
        <v>0.59</v>
      </c>
      <c r="V325" s="104">
        <f t="shared" ca="1" si="1"/>
        <v>5.8999999999999999E-3</v>
      </c>
    </row>
    <row r="326" spans="20:22">
      <c r="T326" s="103">
        <f ca="1">IFERROR(__xludf.DUMMYFUNCTION("""COMPUTED_VALUE"""),41306)</f>
        <v>41306</v>
      </c>
      <c r="U326">
        <f ca="1">IFERROR(__xludf.DUMMYFUNCTION("""COMPUTED_VALUE"""),0.48)</f>
        <v>0.48</v>
      </c>
      <c r="V326" s="104">
        <f t="shared" ca="1" si="1"/>
        <v>4.7999999999999996E-3</v>
      </c>
    </row>
    <row r="327" spans="20:22">
      <c r="T327" s="103">
        <f ca="1">IFERROR(__xludf.DUMMYFUNCTION("""COMPUTED_VALUE"""),41334)</f>
        <v>41334</v>
      </c>
      <c r="U327">
        <f ca="1">IFERROR(__xludf.DUMMYFUNCTION("""COMPUTED_VALUE"""),0.54)</f>
        <v>0.54</v>
      </c>
      <c r="V327" s="104">
        <f t="shared" ca="1" si="1"/>
        <v>5.4000000000000003E-3</v>
      </c>
    </row>
    <row r="328" spans="20:22">
      <c r="T328" s="103">
        <f ca="1">IFERROR(__xludf.DUMMYFUNCTION("""COMPUTED_VALUE"""),41365)</f>
        <v>41365</v>
      </c>
      <c r="U328">
        <f ca="1">IFERROR(__xludf.DUMMYFUNCTION("""COMPUTED_VALUE"""),0.6)</f>
        <v>0.6</v>
      </c>
      <c r="V328" s="104">
        <f t="shared" ca="1" si="1"/>
        <v>6.0000000000000001E-3</v>
      </c>
    </row>
    <row r="329" spans="20:22">
      <c r="T329" s="103">
        <f ca="1">IFERROR(__xludf.DUMMYFUNCTION("""COMPUTED_VALUE"""),41395)</f>
        <v>41395</v>
      </c>
      <c r="U329">
        <f ca="1">IFERROR(__xludf.DUMMYFUNCTION("""COMPUTED_VALUE"""),0.58)</f>
        <v>0.57999999999999996</v>
      </c>
      <c r="V329" s="104">
        <f t="shared" ca="1" si="1"/>
        <v>5.7999999999999996E-3</v>
      </c>
    </row>
    <row r="330" spans="20:22">
      <c r="T330" s="103">
        <f ca="1">IFERROR(__xludf.DUMMYFUNCTION("""COMPUTED_VALUE"""),41426)</f>
        <v>41426</v>
      </c>
      <c r="U330">
        <f ca="1">IFERROR(__xludf.DUMMYFUNCTION("""COMPUTED_VALUE"""),0.59)</f>
        <v>0.59</v>
      </c>
      <c r="V330" s="104">
        <f t="shared" ca="1" si="1"/>
        <v>5.8999999999999999E-3</v>
      </c>
    </row>
    <row r="331" spans="20:22">
      <c r="T331" s="103">
        <f ca="1">IFERROR(__xludf.DUMMYFUNCTION("""COMPUTED_VALUE"""),41456)</f>
        <v>41456</v>
      </c>
      <c r="U331">
        <f ca="1">IFERROR(__xludf.DUMMYFUNCTION("""COMPUTED_VALUE"""),0.71)</f>
        <v>0.71</v>
      </c>
      <c r="V331" s="104">
        <f t="shared" ca="1" si="1"/>
        <v>7.0999999999999995E-3</v>
      </c>
    </row>
    <row r="332" spans="20:22">
      <c r="T332" s="103">
        <f ca="1">IFERROR(__xludf.DUMMYFUNCTION("""COMPUTED_VALUE"""),41487)</f>
        <v>41487</v>
      </c>
      <c r="U332">
        <f ca="1">IFERROR(__xludf.DUMMYFUNCTION("""COMPUTED_VALUE"""),0.7)</f>
        <v>0.7</v>
      </c>
      <c r="V332" s="104">
        <f t="shared" ca="1" si="1"/>
        <v>6.9999999999999993E-3</v>
      </c>
    </row>
    <row r="333" spans="20:22">
      <c r="T333" s="103">
        <f ca="1">IFERROR(__xludf.DUMMYFUNCTION("""COMPUTED_VALUE"""),41518)</f>
        <v>41518</v>
      </c>
      <c r="U333">
        <f ca="1">IFERROR(__xludf.DUMMYFUNCTION("""COMPUTED_VALUE"""),0.7)</f>
        <v>0.7</v>
      </c>
      <c r="V333" s="104">
        <f t="shared" ca="1" si="1"/>
        <v>6.9999999999999993E-3</v>
      </c>
    </row>
    <row r="334" spans="20:22">
      <c r="T334" s="106">
        <f ca="1">IFERROR(__xludf.DUMMYFUNCTION("""COMPUTED_VALUE"""),41548)</f>
        <v>41548</v>
      </c>
      <c r="U334">
        <f ca="1">IFERROR(__xludf.DUMMYFUNCTION("""COMPUTED_VALUE"""),0.8)</f>
        <v>0.8</v>
      </c>
      <c r="V334" s="104">
        <f t="shared" ca="1" si="1"/>
        <v>8.0000000000000002E-3</v>
      </c>
    </row>
    <row r="335" spans="20:22">
      <c r="T335" s="106">
        <f ca="1">IFERROR(__xludf.DUMMYFUNCTION("""COMPUTED_VALUE"""),41579)</f>
        <v>41579</v>
      </c>
      <c r="U335">
        <f ca="1">IFERROR(__xludf.DUMMYFUNCTION("""COMPUTED_VALUE"""),0.71)</f>
        <v>0.71</v>
      </c>
      <c r="V335" s="104">
        <f t="shared" ca="1" si="1"/>
        <v>7.0999999999999995E-3</v>
      </c>
    </row>
    <row r="336" spans="20:22">
      <c r="T336" s="106">
        <f ca="1">IFERROR(__xludf.DUMMYFUNCTION("""COMPUTED_VALUE"""),41609)</f>
        <v>41609</v>
      </c>
      <c r="U336">
        <f ca="1">IFERROR(__xludf.DUMMYFUNCTION("""COMPUTED_VALUE"""),0.78)</f>
        <v>0.78</v>
      </c>
      <c r="V336" s="104">
        <f t="shared" ca="1" si="1"/>
        <v>7.8000000000000005E-3</v>
      </c>
    </row>
    <row r="337" spans="20:22">
      <c r="T337" s="103">
        <f ca="1">IFERROR(__xludf.DUMMYFUNCTION("""COMPUTED_VALUE"""),41640)</f>
        <v>41640</v>
      </c>
      <c r="U337">
        <f ca="1">IFERROR(__xludf.DUMMYFUNCTION("""COMPUTED_VALUE"""),0.84)</f>
        <v>0.84</v>
      </c>
      <c r="V337" s="104">
        <f t="shared" ca="1" si="1"/>
        <v>8.3999999999999995E-3</v>
      </c>
    </row>
    <row r="338" spans="20:22">
      <c r="T338" s="103">
        <f ca="1">IFERROR(__xludf.DUMMYFUNCTION("""COMPUTED_VALUE"""),41671)</f>
        <v>41671</v>
      </c>
      <c r="U338">
        <f ca="1">IFERROR(__xludf.DUMMYFUNCTION("""COMPUTED_VALUE"""),0.78)</f>
        <v>0.78</v>
      </c>
      <c r="V338" s="104">
        <f t="shared" ca="1" si="1"/>
        <v>7.8000000000000005E-3</v>
      </c>
    </row>
    <row r="339" spans="20:22">
      <c r="T339" s="103">
        <f ca="1">IFERROR(__xludf.DUMMYFUNCTION("""COMPUTED_VALUE"""),41699)</f>
        <v>41699</v>
      </c>
      <c r="U339">
        <f ca="1">IFERROR(__xludf.DUMMYFUNCTION("""COMPUTED_VALUE"""),0.76)</f>
        <v>0.76</v>
      </c>
      <c r="V339" s="104">
        <f t="shared" ca="1" si="1"/>
        <v>7.6E-3</v>
      </c>
    </row>
    <row r="340" spans="20:22">
      <c r="T340" s="103">
        <f ca="1">IFERROR(__xludf.DUMMYFUNCTION("""COMPUTED_VALUE"""),41730)</f>
        <v>41730</v>
      </c>
      <c r="U340">
        <f ca="1">IFERROR(__xludf.DUMMYFUNCTION("""COMPUTED_VALUE"""),0.82)</f>
        <v>0.82</v>
      </c>
      <c r="V340" s="104">
        <f t="shared" ca="1" si="1"/>
        <v>8.199999999999999E-3</v>
      </c>
    </row>
    <row r="341" spans="20:22">
      <c r="T341" s="103">
        <f ca="1">IFERROR(__xludf.DUMMYFUNCTION("""COMPUTED_VALUE"""),41760)</f>
        <v>41760</v>
      </c>
      <c r="U341">
        <f ca="1">IFERROR(__xludf.DUMMYFUNCTION("""COMPUTED_VALUE"""),0.86)</f>
        <v>0.86</v>
      </c>
      <c r="V341" s="104">
        <f t="shared" ca="1" si="1"/>
        <v>8.6E-3</v>
      </c>
    </row>
    <row r="342" spans="20:22">
      <c r="T342" s="103">
        <f ca="1">IFERROR(__xludf.DUMMYFUNCTION("""COMPUTED_VALUE"""),41791)</f>
        <v>41791</v>
      </c>
      <c r="U342">
        <f ca="1">IFERROR(__xludf.DUMMYFUNCTION("""COMPUTED_VALUE"""),0.82)</f>
        <v>0.82</v>
      </c>
      <c r="V342" s="104">
        <f t="shared" ca="1" si="1"/>
        <v>8.199999999999999E-3</v>
      </c>
    </row>
    <row r="343" spans="20:22">
      <c r="T343" s="103">
        <f ca="1">IFERROR(__xludf.DUMMYFUNCTION("""COMPUTED_VALUE"""),41821)</f>
        <v>41821</v>
      </c>
      <c r="U343">
        <f ca="1">IFERROR(__xludf.DUMMYFUNCTION("""COMPUTED_VALUE"""),0.94)</f>
        <v>0.94</v>
      </c>
      <c r="V343" s="104">
        <f t="shared" ca="1" si="1"/>
        <v>9.3999999999999986E-3</v>
      </c>
    </row>
    <row r="344" spans="20:22">
      <c r="T344" s="103">
        <f ca="1">IFERROR(__xludf.DUMMYFUNCTION("""COMPUTED_VALUE"""),41852)</f>
        <v>41852</v>
      </c>
      <c r="U344">
        <f ca="1">IFERROR(__xludf.DUMMYFUNCTION("""COMPUTED_VALUE"""),0.86)</f>
        <v>0.86</v>
      </c>
      <c r="V344" s="104">
        <f t="shared" ca="1" si="1"/>
        <v>8.6E-3</v>
      </c>
    </row>
    <row r="345" spans="20:22">
      <c r="T345" s="103">
        <f ca="1">IFERROR(__xludf.DUMMYFUNCTION("""COMPUTED_VALUE"""),41883)</f>
        <v>41883</v>
      </c>
      <c r="U345">
        <f ca="1">IFERROR(__xludf.DUMMYFUNCTION("""COMPUTED_VALUE"""),0.9)</f>
        <v>0.9</v>
      </c>
      <c r="V345" s="104">
        <f t="shared" ca="1" si="1"/>
        <v>9.0000000000000011E-3</v>
      </c>
    </row>
    <row r="346" spans="20:22">
      <c r="T346" s="106">
        <f ca="1">IFERROR(__xludf.DUMMYFUNCTION("""COMPUTED_VALUE"""),41913)</f>
        <v>41913</v>
      </c>
      <c r="U346">
        <f ca="1">IFERROR(__xludf.DUMMYFUNCTION("""COMPUTED_VALUE"""),0.94)</f>
        <v>0.94</v>
      </c>
      <c r="V346" s="104">
        <f t="shared" ca="1" si="1"/>
        <v>9.3999999999999986E-3</v>
      </c>
    </row>
    <row r="347" spans="20:22">
      <c r="T347" s="106">
        <f ca="1">IFERROR(__xludf.DUMMYFUNCTION("""COMPUTED_VALUE"""),41944)</f>
        <v>41944</v>
      </c>
      <c r="U347">
        <f ca="1">IFERROR(__xludf.DUMMYFUNCTION("""COMPUTED_VALUE"""),0.84)</f>
        <v>0.84</v>
      </c>
      <c r="V347" s="104">
        <f t="shared" ca="1" si="1"/>
        <v>8.3999999999999995E-3</v>
      </c>
    </row>
    <row r="348" spans="20:22">
      <c r="T348" s="106">
        <f ca="1">IFERROR(__xludf.DUMMYFUNCTION("""COMPUTED_VALUE"""),41974)</f>
        <v>41974</v>
      </c>
      <c r="U348">
        <f ca="1">IFERROR(__xludf.DUMMYFUNCTION("""COMPUTED_VALUE"""),0.96)</f>
        <v>0.96</v>
      </c>
      <c r="V348" s="104">
        <f t="shared" ca="1" si="1"/>
        <v>9.5999999999999992E-3</v>
      </c>
    </row>
    <row r="349" spans="20:22">
      <c r="T349" s="103">
        <f ca="1">IFERROR(__xludf.DUMMYFUNCTION("""COMPUTED_VALUE"""),42005)</f>
        <v>42005</v>
      </c>
      <c r="U349">
        <f ca="1">IFERROR(__xludf.DUMMYFUNCTION("""COMPUTED_VALUE"""),0.93)</f>
        <v>0.93</v>
      </c>
      <c r="V349" s="104">
        <f t="shared" ca="1" si="1"/>
        <v>9.300000000000001E-3</v>
      </c>
    </row>
    <row r="350" spans="20:22">
      <c r="T350" s="103">
        <f ca="1">IFERROR(__xludf.DUMMYFUNCTION("""COMPUTED_VALUE"""),42036)</f>
        <v>42036</v>
      </c>
      <c r="U350">
        <f ca="1">IFERROR(__xludf.DUMMYFUNCTION("""COMPUTED_VALUE"""),0.82)</f>
        <v>0.82</v>
      </c>
      <c r="V350" s="104">
        <f t="shared" ca="1" si="1"/>
        <v>8.199999999999999E-3</v>
      </c>
    </row>
    <row r="351" spans="20:22">
      <c r="T351" s="103">
        <f ca="1">IFERROR(__xludf.DUMMYFUNCTION("""COMPUTED_VALUE"""),42064)</f>
        <v>42064</v>
      </c>
      <c r="U351">
        <f ca="1">IFERROR(__xludf.DUMMYFUNCTION("""COMPUTED_VALUE"""),1.04)</f>
        <v>1.04</v>
      </c>
      <c r="V351" s="104">
        <f t="shared" ca="1" si="1"/>
        <v>1.04E-2</v>
      </c>
    </row>
    <row r="352" spans="20:22">
      <c r="T352" s="103">
        <f ca="1">IFERROR(__xludf.DUMMYFUNCTION("""COMPUTED_VALUE"""),42095)</f>
        <v>42095</v>
      </c>
      <c r="U352">
        <f ca="1">IFERROR(__xludf.DUMMYFUNCTION("""COMPUTED_VALUE"""),0.95)</f>
        <v>0.95</v>
      </c>
      <c r="V352" s="104">
        <f t="shared" ca="1" si="1"/>
        <v>9.4999999999999998E-3</v>
      </c>
    </row>
    <row r="353" spans="20:22">
      <c r="T353" s="103">
        <f ca="1">IFERROR(__xludf.DUMMYFUNCTION("""COMPUTED_VALUE"""),42125)</f>
        <v>42125</v>
      </c>
      <c r="U353">
        <f ca="1">IFERROR(__xludf.DUMMYFUNCTION("""COMPUTED_VALUE"""),0.98)</f>
        <v>0.98</v>
      </c>
      <c r="V353" s="104">
        <f t="shared" ca="1" si="1"/>
        <v>9.7999999999999997E-3</v>
      </c>
    </row>
    <row r="354" spans="20:22">
      <c r="T354" s="103">
        <f ca="1">IFERROR(__xludf.DUMMYFUNCTION("""COMPUTED_VALUE"""),42156)</f>
        <v>42156</v>
      </c>
      <c r="U354">
        <f ca="1">IFERROR(__xludf.DUMMYFUNCTION("""COMPUTED_VALUE"""),1.07)</f>
        <v>1.07</v>
      </c>
      <c r="V354" s="104">
        <f t="shared" ca="1" si="1"/>
        <v>1.0700000000000001E-2</v>
      </c>
    </row>
    <row r="355" spans="20:22">
      <c r="T355" s="103">
        <f ca="1">IFERROR(__xludf.DUMMYFUNCTION("""COMPUTED_VALUE"""),42186)</f>
        <v>42186</v>
      </c>
      <c r="U355">
        <f ca="1">IFERROR(__xludf.DUMMYFUNCTION("""COMPUTED_VALUE"""),1.18)</f>
        <v>1.18</v>
      </c>
      <c r="V355" s="104">
        <f t="shared" ca="1" si="1"/>
        <v>1.18E-2</v>
      </c>
    </row>
    <row r="356" spans="20:22">
      <c r="T356" s="103">
        <f ca="1">IFERROR(__xludf.DUMMYFUNCTION("""COMPUTED_VALUE"""),42217)</f>
        <v>42217</v>
      </c>
      <c r="U356">
        <f ca="1">IFERROR(__xludf.DUMMYFUNCTION("""COMPUTED_VALUE"""),1.11)</f>
        <v>1.1100000000000001</v>
      </c>
      <c r="V356" s="104">
        <f t="shared" ca="1" si="1"/>
        <v>1.11E-2</v>
      </c>
    </row>
    <row r="357" spans="20:22">
      <c r="T357" s="103">
        <f ca="1">IFERROR(__xludf.DUMMYFUNCTION("""COMPUTED_VALUE"""),42248)</f>
        <v>42248</v>
      </c>
      <c r="U357">
        <f ca="1">IFERROR(__xludf.DUMMYFUNCTION("""COMPUTED_VALUE"""),1.11)</f>
        <v>1.1100000000000001</v>
      </c>
      <c r="V357" s="104">
        <f t="shared" ca="1" si="1"/>
        <v>1.11E-2</v>
      </c>
    </row>
    <row r="358" spans="20:22">
      <c r="T358" s="106">
        <f ca="1">IFERROR(__xludf.DUMMYFUNCTION("""COMPUTED_VALUE"""),42278)</f>
        <v>42278</v>
      </c>
      <c r="U358">
        <f ca="1">IFERROR(__xludf.DUMMYFUNCTION("""COMPUTED_VALUE"""),1.11)</f>
        <v>1.1100000000000001</v>
      </c>
      <c r="V358" s="104">
        <f t="shared" ca="1" si="1"/>
        <v>1.11E-2</v>
      </c>
    </row>
    <row r="359" spans="20:22">
      <c r="T359" s="106">
        <f ca="1">IFERROR(__xludf.DUMMYFUNCTION("""COMPUTED_VALUE"""),42309)</f>
        <v>42309</v>
      </c>
      <c r="U359">
        <f ca="1">IFERROR(__xludf.DUMMYFUNCTION("""COMPUTED_VALUE"""),1.06)</f>
        <v>1.06</v>
      </c>
      <c r="V359" s="104">
        <f t="shared" ca="1" si="1"/>
        <v>1.06E-2</v>
      </c>
    </row>
    <row r="360" spans="20:22">
      <c r="T360" s="106">
        <f ca="1">IFERROR(__xludf.DUMMYFUNCTION("""COMPUTED_VALUE"""),42339)</f>
        <v>42339</v>
      </c>
      <c r="U360">
        <f ca="1">IFERROR(__xludf.DUMMYFUNCTION("""COMPUTED_VALUE"""),1.16)</f>
        <v>1.1599999999999999</v>
      </c>
      <c r="V360" s="104">
        <f t="shared" ca="1" si="1"/>
        <v>1.1599999999999999E-2</v>
      </c>
    </row>
    <row r="361" spans="20:22">
      <c r="T361" s="103">
        <f ca="1">IFERROR(__xludf.DUMMYFUNCTION("""COMPUTED_VALUE"""),42370)</f>
        <v>42370</v>
      </c>
      <c r="U361">
        <f ca="1">IFERROR(__xludf.DUMMYFUNCTION("""COMPUTED_VALUE"""),1.05)</f>
        <v>1.05</v>
      </c>
      <c r="V361" s="104">
        <f t="shared" ca="1" si="1"/>
        <v>1.0500000000000001E-2</v>
      </c>
    </row>
    <row r="362" spans="20:22">
      <c r="T362" s="103">
        <f ca="1">IFERROR(__xludf.DUMMYFUNCTION("""COMPUTED_VALUE"""),42401)</f>
        <v>42401</v>
      </c>
      <c r="U362">
        <f ca="1">IFERROR(__xludf.DUMMYFUNCTION("""COMPUTED_VALUE"""),1)</f>
        <v>1</v>
      </c>
      <c r="V362" s="104">
        <f t="shared" ca="1" si="1"/>
        <v>0.01</v>
      </c>
    </row>
    <row r="363" spans="20:22">
      <c r="T363" s="103">
        <f ca="1">IFERROR(__xludf.DUMMYFUNCTION("""COMPUTED_VALUE"""),42430)</f>
        <v>42430</v>
      </c>
      <c r="U363">
        <f ca="1">IFERROR(__xludf.DUMMYFUNCTION("""COMPUTED_VALUE"""),1.16)</f>
        <v>1.1599999999999999</v>
      </c>
      <c r="V363" s="104">
        <f t="shared" ca="1" si="1"/>
        <v>1.1599999999999999E-2</v>
      </c>
    </row>
    <row r="364" spans="20:22">
      <c r="T364" s="103">
        <f ca="1">IFERROR(__xludf.DUMMYFUNCTION("""COMPUTED_VALUE"""),42461)</f>
        <v>42461</v>
      </c>
      <c r="U364">
        <f ca="1">IFERROR(__xludf.DUMMYFUNCTION("""COMPUTED_VALUE"""),1.05)</f>
        <v>1.05</v>
      </c>
      <c r="V364" s="104">
        <f t="shared" ca="1" si="1"/>
        <v>1.0500000000000001E-2</v>
      </c>
    </row>
    <row r="365" spans="20:22">
      <c r="T365" s="103">
        <f ca="1">IFERROR(__xludf.DUMMYFUNCTION("""COMPUTED_VALUE"""),42491)</f>
        <v>42491</v>
      </c>
      <c r="U365">
        <f ca="1">IFERROR(__xludf.DUMMYFUNCTION("""COMPUTED_VALUE"""),1.11)</f>
        <v>1.1100000000000001</v>
      </c>
      <c r="V365" s="104">
        <f t="shared" ca="1" si="1"/>
        <v>1.11E-2</v>
      </c>
    </row>
    <row r="366" spans="20:22">
      <c r="T366" s="103">
        <f ca="1">IFERROR(__xludf.DUMMYFUNCTION("""COMPUTED_VALUE"""),42522)</f>
        <v>42522</v>
      </c>
      <c r="U366">
        <f ca="1">IFERROR(__xludf.DUMMYFUNCTION("""COMPUTED_VALUE"""),1.16)</f>
        <v>1.1599999999999999</v>
      </c>
      <c r="V366" s="104">
        <f t="shared" ca="1" si="1"/>
        <v>1.1599999999999999E-2</v>
      </c>
    </row>
    <row r="367" spans="20:22">
      <c r="T367" s="103">
        <f ca="1">IFERROR(__xludf.DUMMYFUNCTION("""COMPUTED_VALUE"""),42552)</f>
        <v>42552</v>
      </c>
      <c r="U367">
        <f ca="1">IFERROR(__xludf.DUMMYFUNCTION("""COMPUTED_VALUE"""),1.11)</f>
        <v>1.1100000000000001</v>
      </c>
      <c r="V367" s="104">
        <f t="shared" ca="1" si="1"/>
        <v>1.11E-2</v>
      </c>
    </row>
    <row r="368" spans="20:22">
      <c r="T368" s="103">
        <f ca="1">IFERROR(__xludf.DUMMYFUNCTION("""COMPUTED_VALUE"""),42583)</f>
        <v>42583</v>
      </c>
      <c r="U368">
        <f ca="1">IFERROR(__xludf.DUMMYFUNCTION("""COMPUTED_VALUE"""),1.21)</f>
        <v>1.21</v>
      </c>
      <c r="V368" s="104">
        <f t="shared" ca="1" si="1"/>
        <v>1.21E-2</v>
      </c>
    </row>
    <row r="369" spans="20:22">
      <c r="T369" s="103">
        <f ca="1">IFERROR(__xludf.DUMMYFUNCTION("""COMPUTED_VALUE"""),42614)</f>
        <v>42614</v>
      </c>
      <c r="U369">
        <f ca="1">IFERROR(__xludf.DUMMYFUNCTION("""COMPUTED_VALUE"""),1.11)</f>
        <v>1.1100000000000001</v>
      </c>
      <c r="V369" s="104">
        <f t="shared" ca="1" si="1"/>
        <v>1.11E-2</v>
      </c>
    </row>
    <row r="370" spans="20:22">
      <c r="T370" s="106">
        <f ca="1">IFERROR(__xludf.DUMMYFUNCTION("""COMPUTED_VALUE"""),42644)</f>
        <v>42644</v>
      </c>
      <c r="U370">
        <f ca="1">IFERROR(__xludf.DUMMYFUNCTION("""COMPUTED_VALUE"""),1.05)</f>
        <v>1.05</v>
      </c>
      <c r="V370" s="104">
        <f t="shared" ca="1" si="1"/>
        <v>1.0500000000000001E-2</v>
      </c>
    </row>
    <row r="371" spans="20:22">
      <c r="T371" s="106">
        <f ca="1">IFERROR(__xludf.DUMMYFUNCTION("""COMPUTED_VALUE"""),42675)</f>
        <v>42675</v>
      </c>
      <c r="U371">
        <f ca="1">IFERROR(__xludf.DUMMYFUNCTION("""COMPUTED_VALUE"""),1.04)</f>
        <v>1.04</v>
      </c>
      <c r="V371" s="104">
        <f t="shared" ca="1" si="1"/>
        <v>1.04E-2</v>
      </c>
    </row>
    <row r="372" spans="20:22">
      <c r="T372" s="106">
        <f ca="1">IFERROR(__xludf.DUMMYFUNCTION("""COMPUTED_VALUE"""),42705)</f>
        <v>42705</v>
      </c>
      <c r="U372">
        <f ca="1">IFERROR(__xludf.DUMMYFUNCTION("""COMPUTED_VALUE"""),1.12)</f>
        <v>1.1200000000000001</v>
      </c>
      <c r="V372" s="104">
        <f t="shared" ca="1" si="1"/>
        <v>1.1200000000000002E-2</v>
      </c>
    </row>
    <row r="373" spans="20:22">
      <c r="T373" s="103">
        <f ca="1">IFERROR(__xludf.DUMMYFUNCTION("""COMPUTED_VALUE"""),42736)</f>
        <v>42736</v>
      </c>
      <c r="U373">
        <f ca="1">IFERROR(__xludf.DUMMYFUNCTION("""COMPUTED_VALUE"""),1.08)</f>
        <v>1.08</v>
      </c>
      <c r="V373" s="104">
        <f t="shared" ca="1" si="1"/>
        <v>1.0800000000000001E-2</v>
      </c>
    </row>
    <row r="374" spans="20:22">
      <c r="T374" s="103">
        <f ca="1">IFERROR(__xludf.DUMMYFUNCTION("""COMPUTED_VALUE"""),42767)</f>
        <v>42767</v>
      </c>
      <c r="U374">
        <f ca="1">IFERROR(__xludf.DUMMYFUNCTION("""COMPUTED_VALUE"""),0.86)</f>
        <v>0.86</v>
      </c>
      <c r="V374" s="104">
        <f t="shared" ca="1" si="1"/>
        <v>8.6E-3</v>
      </c>
    </row>
    <row r="375" spans="20:22">
      <c r="T375" s="103">
        <f ca="1">IFERROR(__xludf.DUMMYFUNCTION("""COMPUTED_VALUE"""),42795)</f>
        <v>42795</v>
      </c>
      <c r="U375">
        <f ca="1">IFERROR(__xludf.DUMMYFUNCTION("""COMPUTED_VALUE"""),1.05)</f>
        <v>1.05</v>
      </c>
      <c r="V375" s="104">
        <f t="shared" ca="1" si="1"/>
        <v>1.0500000000000001E-2</v>
      </c>
    </row>
    <row r="376" spans="20:22">
      <c r="T376" s="103">
        <f ca="1">IFERROR(__xludf.DUMMYFUNCTION("""COMPUTED_VALUE"""),42826)</f>
        <v>42826</v>
      </c>
      <c r="U376">
        <f ca="1">IFERROR(__xludf.DUMMYFUNCTION("""COMPUTED_VALUE"""),0.79)</f>
        <v>0.79</v>
      </c>
      <c r="V376" s="104">
        <f t="shared" ca="1" si="1"/>
        <v>7.9000000000000008E-3</v>
      </c>
    </row>
    <row r="377" spans="20:22">
      <c r="T377" s="103">
        <f ca="1">IFERROR(__xludf.DUMMYFUNCTION("""COMPUTED_VALUE"""),42856)</f>
        <v>42856</v>
      </c>
      <c r="U377">
        <f ca="1">IFERROR(__xludf.DUMMYFUNCTION("""COMPUTED_VALUE"""),0.93)</f>
        <v>0.93</v>
      </c>
      <c r="V377" s="104">
        <f t="shared" ca="1" si="1"/>
        <v>9.300000000000001E-3</v>
      </c>
    </row>
    <row r="378" spans="20:22">
      <c r="T378" s="103">
        <f ca="1">IFERROR(__xludf.DUMMYFUNCTION("""COMPUTED_VALUE"""),42887)</f>
        <v>42887</v>
      </c>
      <c r="U378">
        <f ca="1">IFERROR(__xludf.DUMMYFUNCTION("""COMPUTED_VALUE"""),0.81)</f>
        <v>0.81</v>
      </c>
      <c r="V378" s="104">
        <f t="shared" ca="1" si="1"/>
        <v>8.1000000000000013E-3</v>
      </c>
    </row>
    <row r="379" spans="20:22">
      <c r="T379" s="103">
        <f ca="1">IFERROR(__xludf.DUMMYFUNCTION("""COMPUTED_VALUE"""),42917)</f>
        <v>42917</v>
      </c>
      <c r="U379">
        <f ca="1">IFERROR(__xludf.DUMMYFUNCTION("""COMPUTED_VALUE"""),0.8)</f>
        <v>0.8</v>
      </c>
      <c r="V379" s="104">
        <f t="shared" ca="1" si="1"/>
        <v>8.0000000000000002E-3</v>
      </c>
    </row>
    <row r="380" spans="20:22">
      <c r="T380" s="103">
        <f ca="1">IFERROR(__xludf.DUMMYFUNCTION("""COMPUTED_VALUE"""),42948)</f>
        <v>42948</v>
      </c>
      <c r="U380">
        <f ca="1">IFERROR(__xludf.DUMMYFUNCTION("""COMPUTED_VALUE"""),0.8)</f>
        <v>0.8</v>
      </c>
      <c r="V380" s="104">
        <f t="shared" ca="1" si="1"/>
        <v>8.0000000000000002E-3</v>
      </c>
    </row>
    <row r="381" spans="20:22">
      <c r="T381" s="103">
        <f ca="1">IFERROR(__xludf.DUMMYFUNCTION("""COMPUTED_VALUE"""),42979)</f>
        <v>42979</v>
      </c>
      <c r="U381">
        <f ca="1">IFERROR(__xludf.DUMMYFUNCTION("""COMPUTED_VALUE"""),0.64)</f>
        <v>0.64</v>
      </c>
      <c r="V381" s="104">
        <f t="shared" ca="1" si="1"/>
        <v>6.4000000000000003E-3</v>
      </c>
    </row>
    <row r="382" spans="20:22">
      <c r="T382" s="106">
        <f ca="1">IFERROR(__xludf.DUMMYFUNCTION("""COMPUTED_VALUE"""),43009)</f>
        <v>43009</v>
      </c>
      <c r="U382">
        <f ca="1">IFERROR(__xludf.DUMMYFUNCTION("""COMPUTED_VALUE"""),0.64)</f>
        <v>0.64</v>
      </c>
      <c r="V382" s="104">
        <f t="shared" ca="1" si="1"/>
        <v>6.4000000000000003E-3</v>
      </c>
    </row>
    <row r="383" spans="20:22">
      <c r="T383" s="106">
        <f ca="1">IFERROR(__xludf.DUMMYFUNCTION("""COMPUTED_VALUE"""),43040)</f>
        <v>43040</v>
      </c>
      <c r="U383">
        <f ca="1">IFERROR(__xludf.DUMMYFUNCTION("""COMPUTED_VALUE"""),0.57)</f>
        <v>0.56999999999999995</v>
      </c>
      <c r="V383" s="104">
        <f t="shared" ca="1" si="1"/>
        <v>5.6999999999999993E-3</v>
      </c>
    </row>
    <row r="384" spans="20:22">
      <c r="T384" s="106">
        <f ca="1">IFERROR(__xludf.DUMMYFUNCTION("""COMPUTED_VALUE"""),43070)</f>
        <v>43070</v>
      </c>
      <c r="U384">
        <f ca="1">IFERROR(__xludf.DUMMYFUNCTION("""COMPUTED_VALUE"""),0.54)</f>
        <v>0.54</v>
      </c>
      <c r="V384" s="104">
        <f t="shared" ca="1" si="1"/>
        <v>5.4000000000000003E-3</v>
      </c>
    </row>
    <row r="385" spans="20:22">
      <c r="T385" s="103">
        <f ca="1">IFERROR(__xludf.DUMMYFUNCTION("""COMPUTED_VALUE"""),43101)</f>
        <v>43101</v>
      </c>
      <c r="U385">
        <f ca="1">IFERROR(__xludf.DUMMYFUNCTION("""COMPUTED_VALUE"""),0.58)</f>
        <v>0.57999999999999996</v>
      </c>
      <c r="V385" s="104">
        <f t="shared" ca="1" si="1"/>
        <v>5.7999999999999996E-3</v>
      </c>
    </row>
    <row r="386" spans="20:22">
      <c r="T386" s="103">
        <f ca="1">IFERROR(__xludf.DUMMYFUNCTION("""COMPUTED_VALUE"""),43132)</f>
        <v>43132</v>
      </c>
      <c r="U386">
        <f ca="1">IFERROR(__xludf.DUMMYFUNCTION("""COMPUTED_VALUE"""),0.46)</f>
        <v>0.46</v>
      </c>
      <c r="V386" s="104">
        <f t="shared" ca="1" si="1"/>
        <v>4.5999999999999999E-3</v>
      </c>
    </row>
    <row r="387" spans="20:22">
      <c r="T387" s="103">
        <f ca="1">IFERROR(__xludf.DUMMYFUNCTION("""COMPUTED_VALUE"""),43160)</f>
        <v>43160</v>
      </c>
      <c r="U387">
        <f ca="1">IFERROR(__xludf.DUMMYFUNCTION("""COMPUTED_VALUE"""),0.53)</f>
        <v>0.53</v>
      </c>
      <c r="V387" s="104">
        <f t="shared" ca="1" si="1"/>
        <v>5.3E-3</v>
      </c>
    </row>
    <row r="388" spans="20:22">
      <c r="T388" s="103">
        <f ca="1">IFERROR(__xludf.DUMMYFUNCTION("""COMPUTED_VALUE"""),43191)</f>
        <v>43191</v>
      </c>
      <c r="U388">
        <f ca="1">IFERROR(__xludf.DUMMYFUNCTION("""COMPUTED_VALUE"""),0.52)</f>
        <v>0.52</v>
      </c>
      <c r="V388" s="104">
        <f t="shared" ca="1" si="1"/>
        <v>5.1999999999999998E-3</v>
      </c>
    </row>
    <row r="389" spans="20:22">
      <c r="T389" s="103">
        <f ca="1">IFERROR(__xludf.DUMMYFUNCTION("""COMPUTED_VALUE"""),43221)</f>
        <v>43221</v>
      </c>
      <c r="U389">
        <f ca="1">IFERROR(__xludf.DUMMYFUNCTION("""COMPUTED_VALUE"""),0.52)</f>
        <v>0.52</v>
      </c>
      <c r="V389" s="104">
        <f t="shared" ca="1" si="1"/>
        <v>5.1999999999999998E-3</v>
      </c>
    </row>
    <row r="390" spans="20:22">
      <c r="T390" s="103">
        <f ca="1">IFERROR(__xludf.DUMMYFUNCTION("""COMPUTED_VALUE"""),43252)</f>
        <v>43252</v>
      </c>
      <c r="U390">
        <f ca="1">IFERROR(__xludf.DUMMYFUNCTION("""COMPUTED_VALUE"""),0.52)</f>
        <v>0.52</v>
      </c>
      <c r="V390" s="104">
        <f t="shared" ca="1" si="1"/>
        <v>5.1999999999999998E-3</v>
      </c>
    </row>
    <row r="391" spans="20:22">
      <c r="T391" s="103">
        <f ca="1">IFERROR(__xludf.DUMMYFUNCTION("""COMPUTED_VALUE"""),43282)</f>
        <v>43282</v>
      </c>
      <c r="U391">
        <f ca="1">IFERROR(__xludf.DUMMYFUNCTION("""COMPUTED_VALUE"""),0.54)</f>
        <v>0.54</v>
      </c>
      <c r="V391" s="104">
        <f t="shared" ca="1" si="1"/>
        <v>5.4000000000000003E-3</v>
      </c>
    </row>
    <row r="392" spans="20:22">
      <c r="T392" s="103">
        <f ca="1">IFERROR(__xludf.DUMMYFUNCTION("""COMPUTED_VALUE"""),43313)</f>
        <v>43313</v>
      </c>
      <c r="U392">
        <f ca="1">IFERROR(__xludf.DUMMYFUNCTION("""COMPUTED_VALUE"""),0.57)</f>
        <v>0.56999999999999995</v>
      </c>
      <c r="V392" s="104">
        <f t="shared" ca="1" si="1"/>
        <v>5.6999999999999993E-3</v>
      </c>
    </row>
    <row r="393" spans="20:22">
      <c r="T393" s="103">
        <f ca="1">IFERROR(__xludf.DUMMYFUNCTION("""COMPUTED_VALUE"""),43344)</f>
        <v>43344</v>
      </c>
      <c r="U393">
        <f ca="1">IFERROR(__xludf.DUMMYFUNCTION("""COMPUTED_VALUE"""),0.47)</f>
        <v>0.47</v>
      </c>
      <c r="V393" s="104">
        <f t="shared" ca="1" si="1"/>
        <v>4.6999999999999993E-3</v>
      </c>
    </row>
    <row r="394" spans="20:22">
      <c r="T394" s="106">
        <f ca="1">IFERROR(__xludf.DUMMYFUNCTION("""COMPUTED_VALUE"""),43374)</f>
        <v>43374</v>
      </c>
      <c r="U394">
        <f ca="1">IFERROR(__xludf.DUMMYFUNCTION("""COMPUTED_VALUE"""),0.54)</f>
        <v>0.54</v>
      </c>
      <c r="V394" s="104">
        <f t="shared" ca="1" si="1"/>
        <v>5.4000000000000003E-3</v>
      </c>
    </row>
    <row r="395" spans="20:22">
      <c r="T395" s="106">
        <f ca="1">IFERROR(__xludf.DUMMYFUNCTION("""COMPUTED_VALUE"""),43405)</f>
        <v>43405</v>
      </c>
      <c r="U395">
        <f ca="1">IFERROR(__xludf.DUMMYFUNCTION("""COMPUTED_VALUE"""),0.49)</f>
        <v>0.49</v>
      </c>
      <c r="V395" s="104">
        <f t="shared" ca="1" si="1"/>
        <v>4.8999999999999998E-3</v>
      </c>
    </row>
    <row r="396" spans="20:22">
      <c r="T396" s="106">
        <f ca="1">IFERROR(__xludf.DUMMYFUNCTION("""COMPUTED_VALUE"""),43435)</f>
        <v>43435</v>
      </c>
      <c r="U396">
        <f ca="1">IFERROR(__xludf.DUMMYFUNCTION("""COMPUTED_VALUE"""),0.49)</f>
        <v>0.49</v>
      </c>
      <c r="V396" s="104">
        <f t="shared" ca="1" si="1"/>
        <v>4.8999999999999998E-3</v>
      </c>
    </row>
    <row r="397" spans="20:22">
      <c r="T397" s="103">
        <f ca="1">IFERROR(__xludf.DUMMYFUNCTION("""COMPUTED_VALUE"""),43466)</f>
        <v>43466</v>
      </c>
      <c r="U397">
        <f ca="1">IFERROR(__xludf.DUMMYFUNCTION("""COMPUTED_VALUE"""),0.54)</f>
        <v>0.54</v>
      </c>
      <c r="V397" s="104">
        <f t="shared" ca="1" si="1"/>
        <v>5.4000000000000003E-3</v>
      </c>
    </row>
    <row r="398" spans="20:22">
      <c r="T398" s="103">
        <f ca="1">IFERROR(__xludf.DUMMYFUNCTION("""COMPUTED_VALUE"""),43497)</f>
        <v>43497</v>
      </c>
      <c r="U398">
        <f ca="1">IFERROR(__xludf.DUMMYFUNCTION("""COMPUTED_VALUE"""),0.49)</f>
        <v>0.49</v>
      </c>
      <c r="V398" s="104">
        <f t="shared" ca="1" si="1"/>
        <v>4.8999999999999998E-3</v>
      </c>
    </row>
    <row r="399" spans="20:22">
      <c r="T399" s="103">
        <f ca="1">IFERROR(__xludf.DUMMYFUNCTION("""COMPUTED_VALUE"""),43525)</f>
        <v>43525</v>
      </c>
      <c r="U399">
        <f ca="1">IFERROR(__xludf.DUMMYFUNCTION("""COMPUTED_VALUE"""),0.47)</f>
        <v>0.47</v>
      </c>
      <c r="V399" s="104">
        <f t="shared" ca="1" si="1"/>
        <v>4.6999999999999993E-3</v>
      </c>
    </row>
    <row r="400" spans="20:22">
      <c r="T400" s="103">
        <f ca="1">IFERROR(__xludf.DUMMYFUNCTION("""COMPUTED_VALUE"""),43556)</f>
        <v>43556</v>
      </c>
      <c r="U400">
        <f ca="1">IFERROR(__xludf.DUMMYFUNCTION("""COMPUTED_VALUE"""),0.52)</f>
        <v>0.52</v>
      </c>
      <c r="V400" s="104">
        <f t="shared" ca="1" si="1"/>
        <v>5.1999999999999998E-3</v>
      </c>
    </row>
    <row r="401" spans="20:22">
      <c r="T401" s="103">
        <f ca="1">IFERROR(__xludf.DUMMYFUNCTION("""COMPUTED_VALUE"""),43586)</f>
        <v>43586</v>
      </c>
      <c r="U401">
        <f ca="1">IFERROR(__xludf.DUMMYFUNCTION("""COMPUTED_VALUE"""),0.54)</f>
        <v>0.54</v>
      </c>
      <c r="V401" s="104">
        <f t="shared" ca="1" si="1"/>
        <v>5.4000000000000003E-3</v>
      </c>
    </row>
    <row r="402" spans="20:22">
      <c r="T402" s="103">
        <f ca="1">IFERROR(__xludf.DUMMYFUNCTION("""COMPUTED_VALUE"""),43617)</f>
        <v>43617</v>
      </c>
      <c r="U402">
        <f ca="1">IFERROR(__xludf.DUMMYFUNCTION("""COMPUTED_VALUE"""),0.47)</f>
        <v>0.47</v>
      </c>
      <c r="V402" s="104">
        <f t="shared" ca="1" si="1"/>
        <v>4.6999999999999993E-3</v>
      </c>
    </row>
    <row r="403" spans="20:22">
      <c r="T403" s="103">
        <f ca="1">IFERROR(__xludf.DUMMYFUNCTION("""COMPUTED_VALUE"""),43647)</f>
        <v>43647</v>
      </c>
      <c r="U403">
        <f ca="1">IFERROR(__xludf.DUMMYFUNCTION("""COMPUTED_VALUE"""),0.57)</f>
        <v>0.56999999999999995</v>
      </c>
      <c r="V403" s="104">
        <f t="shared" ca="1" si="1"/>
        <v>5.6999999999999993E-3</v>
      </c>
    </row>
    <row r="404" spans="20:22">
      <c r="T404" s="103">
        <f ca="1">IFERROR(__xludf.DUMMYFUNCTION("""COMPUTED_VALUE"""),43678)</f>
        <v>43678</v>
      </c>
      <c r="U404">
        <f ca="1">IFERROR(__xludf.DUMMYFUNCTION("""COMPUTED_VALUE"""),0.5)</f>
        <v>0.5</v>
      </c>
      <c r="V404" s="104">
        <f t="shared" ca="1" si="1"/>
        <v>5.0000000000000001E-3</v>
      </c>
    </row>
    <row r="405" spans="20:22">
      <c r="T405" s="103">
        <f ca="1">IFERROR(__xludf.DUMMYFUNCTION("""COMPUTED_VALUE"""),43709)</f>
        <v>43709</v>
      </c>
      <c r="U405">
        <f ca="1">IFERROR(__xludf.DUMMYFUNCTION("""COMPUTED_VALUE"""),0.46)</f>
        <v>0.46</v>
      </c>
      <c r="V405" s="104">
        <f t="shared" ca="1" si="1"/>
        <v>4.5999999999999999E-3</v>
      </c>
    </row>
    <row r="406" spans="20:22">
      <c r="T406" s="106">
        <f ca="1">IFERROR(__xludf.DUMMYFUNCTION("""COMPUTED_VALUE"""),43739)</f>
        <v>43739</v>
      </c>
      <c r="U406">
        <f ca="1">IFERROR(__xludf.DUMMYFUNCTION("""COMPUTED_VALUE"""),0.48)</f>
        <v>0.48</v>
      </c>
      <c r="V406" s="104">
        <f t="shared" ca="1" si="1"/>
        <v>4.7999999999999996E-3</v>
      </c>
    </row>
    <row r="407" spans="20:22">
      <c r="T407" s="106">
        <f ca="1">IFERROR(__xludf.DUMMYFUNCTION("""COMPUTED_VALUE"""),43770)</f>
        <v>43770</v>
      </c>
      <c r="U407">
        <f ca="1">IFERROR(__xludf.DUMMYFUNCTION("""COMPUTED_VALUE"""),0.38)</f>
        <v>0.38</v>
      </c>
      <c r="V407" s="104">
        <f t="shared" ca="1" si="1"/>
        <v>3.8E-3</v>
      </c>
    </row>
    <row r="408" spans="20:22">
      <c r="T408" s="106">
        <f ca="1">IFERROR(__xludf.DUMMYFUNCTION("""COMPUTED_VALUE"""),43800)</f>
        <v>43800</v>
      </c>
      <c r="U408">
        <f ca="1">IFERROR(__xludf.DUMMYFUNCTION("""COMPUTED_VALUE"""),0.37)</f>
        <v>0.37</v>
      </c>
      <c r="V408" s="104">
        <f t="shared" ca="1" si="1"/>
        <v>3.7000000000000002E-3</v>
      </c>
    </row>
    <row r="409" spans="20:22">
      <c r="T409" s="103">
        <f ca="1">IFERROR(__xludf.DUMMYFUNCTION("""COMPUTED_VALUE"""),43831)</f>
        <v>43831</v>
      </c>
      <c r="U409">
        <f ca="1">IFERROR(__xludf.DUMMYFUNCTION("""COMPUTED_VALUE"""),0.38)</f>
        <v>0.38</v>
      </c>
      <c r="V409" s="104">
        <f t="shared" ca="1" si="1"/>
        <v>3.8E-3</v>
      </c>
    </row>
    <row r="410" spans="20:22">
      <c r="T410" s="103">
        <f ca="1">IFERROR(__xludf.DUMMYFUNCTION("""COMPUTED_VALUE"""),43862)</f>
        <v>43862</v>
      </c>
      <c r="U410">
        <f ca="1">IFERROR(__xludf.DUMMYFUNCTION("""COMPUTED_VALUE"""),0.29)</f>
        <v>0.28999999999999998</v>
      </c>
      <c r="V410" s="104">
        <f t="shared" ca="1" si="1"/>
        <v>2.8999999999999998E-3</v>
      </c>
    </row>
    <row r="411" spans="20:22">
      <c r="T411" s="103">
        <f ca="1">IFERROR(__xludf.DUMMYFUNCTION("""COMPUTED_VALUE"""),43891)</f>
        <v>43891</v>
      </c>
      <c r="U411">
        <f ca="1">IFERROR(__xludf.DUMMYFUNCTION("""COMPUTED_VALUE"""),0.34)</f>
        <v>0.34</v>
      </c>
      <c r="V411" s="104">
        <f t="shared" ca="1" si="1"/>
        <v>3.4000000000000002E-3</v>
      </c>
    </row>
    <row r="412" spans="20:22">
      <c r="T412" s="103">
        <f ca="1">IFERROR(__xludf.DUMMYFUNCTION("""COMPUTED_VALUE"""),43922)</f>
        <v>43922</v>
      </c>
      <c r="U412">
        <f ca="1">IFERROR(__xludf.DUMMYFUNCTION("""COMPUTED_VALUE"""),0.28)</f>
        <v>0.28000000000000003</v>
      </c>
      <c r="V412" s="104">
        <f t="shared" ca="1" si="1"/>
        <v>2.8000000000000004E-3</v>
      </c>
    </row>
    <row r="413" spans="20:22">
      <c r="T413" s="103">
        <f ca="1">IFERROR(__xludf.DUMMYFUNCTION("""COMPUTED_VALUE"""),43952)</f>
        <v>43952</v>
      </c>
      <c r="U413">
        <f ca="1">IFERROR(__xludf.DUMMYFUNCTION("""COMPUTED_VALUE"""),0.24)</f>
        <v>0.24</v>
      </c>
      <c r="V413" s="104">
        <f t="shared" ca="1" si="1"/>
        <v>2.3999999999999998E-3</v>
      </c>
    </row>
    <row r="414" spans="20:22">
      <c r="T414" s="103">
        <f ca="1">IFERROR(__xludf.DUMMYFUNCTION("""COMPUTED_VALUE"""),43983)</f>
        <v>43983</v>
      </c>
      <c r="U414">
        <f ca="1">IFERROR(__xludf.DUMMYFUNCTION("""COMPUTED_VALUE"""),0.21)</f>
        <v>0.21</v>
      </c>
      <c r="V414" s="104">
        <f t="shared" ca="1" si="1"/>
        <v>2.0999999999999999E-3</v>
      </c>
    </row>
    <row r="415" spans="20:22">
      <c r="T415" s="103">
        <f ca="1">IFERROR(__xludf.DUMMYFUNCTION("""COMPUTED_VALUE"""),44013)</f>
        <v>44013</v>
      </c>
      <c r="U415">
        <f ca="1">IFERROR(__xludf.DUMMYFUNCTION("""COMPUTED_VALUE"""),0.19)</f>
        <v>0.19</v>
      </c>
      <c r="V415" s="104">
        <f t="shared" ca="1" si="1"/>
        <v>1.9E-3</v>
      </c>
    </row>
    <row r="416" spans="20:22">
      <c r="T416" s="103">
        <f ca="1">IFERROR(__xludf.DUMMYFUNCTION("""COMPUTED_VALUE"""),44044)</f>
        <v>44044</v>
      </c>
      <c r="U416">
        <f ca="1">IFERROR(__xludf.DUMMYFUNCTION("""COMPUTED_VALUE"""),0.16)</f>
        <v>0.16</v>
      </c>
      <c r="V416" s="104">
        <f t="shared" ca="1" si="1"/>
        <v>1.6000000000000001E-3</v>
      </c>
    </row>
    <row r="417" spans="20:22">
      <c r="T417" s="103">
        <f ca="1">IFERROR(__xludf.DUMMYFUNCTION("""COMPUTED_VALUE"""),44075)</f>
        <v>44075</v>
      </c>
      <c r="U417">
        <f ca="1">IFERROR(__xludf.DUMMYFUNCTION("""COMPUTED_VALUE"""),0.16)</f>
        <v>0.16</v>
      </c>
      <c r="V417" s="104">
        <f t="shared" ca="1" si="1"/>
        <v>1.6000000000000001E-3</v>
      </c>
    </row>
    <row r="418" spans="20:22">
      <c r="T418" s="106">
        <f ca="1">IFERROR(__xludf.DUMMYFUNCTION("""COMPUTED_VALUE"""),44105)</f>
        <v>44105</v>
      </c>
      <c r="U418">
        <f ca="1">IFERROR(__xludf.DUMMYFUNCTION("""COMPUTED_VALUE"""),0.16)</f>
        <v>0.16</v>
      </c>
      <c r="V418" s="104">
        <f t="shared" ca="1" si="1"/>
        <v>1.6000000000000001E-3</v>
      </c>
    </row>
    <row r="419" spans="20:22">
      <c r="T419" s="106">
        <f ca="1">IFERROR(__xludf.DUMMYFUNCTION("""COMPUTED_VALUE"""),44136)</f>
        <v>44136</v>
      </c>
      <c r="U419">
        <f ca="1">IFERROR(__xludf.DUMMYFUNCTION("""COMPUTED_VALUE"""),0.15)</f>
        <v>0.15</v>
      </c>
      <c r="V419" s="104">
        <f t="shared" ca="1" si="1"/>
        <v>1.5E-3</v>
      </c>
    </row>
    <row r="420" spans="20:22">
      <c r="T420" s="106">
        <f ca="1">IFERROR(__xludf.DUMMYFUNCTION("""COMPUTED_VALUE"""),44166)</f>
        <v>44166</v>
      </c>
      <c r="U420">
        <f ca="1">IFERROR(__xludf.DUMMYFUNCTION("""COMPUTED_VALUE"""),0.16)</f>
        <v>0.16</v>
      </c>
      <c r="V420" s="104">
        <f t="shared" ca="1" si="1"/>
        <v>1.6000000000000001E-3</v>
      </c>
    </row>
    <row r="421" spans="20:22">
      <c r="T421" s="103">
        <f ca="1">IFERROR(__xludf.DUMMYFUNCTION("""COMPUTED_VALUE"""),44197)</f>
        <v>44197</v>
      </c>
      <c r="U421">
        <f ca="1">IFERROR(__xludf.DUMMYFUNCTION("""COMPUTED_VALUE"""),0.15)</f>
        <v>0.15</v>
      </c>
      <c r="V421" s="104">
        <f t="shared" ca="1" si="1"/>
        <v>1.5E-3</v>
      </c>
    </row>
    <row r="422" spans="20:22">
      <c r="T422" s="103">
        <f ca="1">IFERROR(__xludf.DUMMYFUNCTION("""COMPUTED_VALUE"""),44228)</f>
        <v>44228</v>
      </c>
      <c r="U422">
        <f ca="1">IFERROR(__xludf.DUMMYFUNCTION("""COMPUTED_VALUE"""),0.13)</f>
        <v>0.13</v>
      </c>
      <c r="V422" s="104">
        <f t="shared" ca="1" si="1"/>
        <v>1.2999999999999999E-3</v>
      </c>
    </row>
    <row r="423" spans="20:22">
      <c r="T423" s="103">
        <f ca="1">IFERROR(__xludf.DUMMYFUNCTION("""COMPUTED_VALUE"""),44256)</f>
        <v>44256</v>
      </c>
      <c r="U423">
        <f ca="1">IFERROR(__xludf.DUMMYFUNCTION("""COMPUTED_VALUE"""),0.2)</f>
        <v>0.2</v>
      </c>
      <c r="V423" s="104">
        <f t="shared" ca="1" si="1"/>
        <v>2E-3</v>
      </c>
    </row>
    <row r="424" spans="20:22">
      <c r="T424" s="103">
        <f ca="1">IFERROR(__xludf.DUMMYFUNCTION("""COMPUTED_VALUE"""),44287)</f>
        <v>44287</v>
      </c>
      <c r="U424">
        <f ca="1">IFERROR(__xludf.DUMMYFUNCTION("""COMPUTED_VALUE"""),0.21)</f>
        <v>0.21</v>
      </c>
      <c r="V424" s="104">
        <f t="shared" ca="1" si="1"/>
        <v>2.0999999999999999E-3</v>
      </c>
    </row>
    <row r="425" spans="20:22">
      <c r="T425" s="103">
        <f ca="1">IFERROR(__xludf.DUMMYFUNCTION("""COMPUTED_VALUE"""),44317)</f>
        <v>44317</v>
      </c>
      <c r="U425">
        <f ca="1">IFERROR(__xludf.DUMMYFUNCTION("""COMPUTED_VALUE"""),0.27)</f>
        <v>0.27</v>
      </c>
      <c r="V425" s="104">
        <f t="shared" ca="1" si="1"/>
        <v>2.7000000000000001E-3</v>
      </c>
    </row>
    <row r="426" spans="20:22">
      <c r="T426" s="103">
        <f ca="1">IFERROR(__xludf.DUMMYFUNCTION("""COMPUTED_VALUE"""),44348)</f>
        <v>44348</v>
      </c>
      <c r="U426">
        <f ca="1">IFERROR(__xludf.DUMMYFUNCTION("""COMPUTED_VALUE"""),0.31)</f>
        <v>0.31</v>
      </c>
      <c r="V426" s="104">
        <f t="shared" ca="1" si="1"/>
        <v>3.0999999999999999E-3</v>
      </c>
    </row>
    <row r="427" spans="20:22">
      <c r="T427" s="103">
        <f ca="1">IFERROR(__xludf.DUMMYFUNCTION("""COMPUTED_VALUE"""),44378)</f>
        <v>44378</v>
      </c>
      <c r="U427">
        <f ca="1">IFERROR(__xludf.DUMMYFUNCTION("""COMPUTED_VALUE"""),0.36)</f>
        <v>0.36</v>
      </c>
      <c r="V427" s="104">
        <f t="shared" ca="1" si="1"/>
        <v>3.5999999999999999E-3</v>
      </c>
    </row>
    <row r="428" spans="20:22">
      <c r="T428" s="103">
        <f ca="1">IFERROR(__xludf.DUMMYFUNCTION("""COMPUTED_VALUE"""),44409)</f>
        <v>44409</v>
      </c>
      <c r="U428">
        <f ca="1">IFERROR(__xludf.DUMMYFUNCTION("""COMPUTED_VALUE"""),0.43)</f>
        <v>0.43</v>
      </c>
      <c r="V428" s="104">
        <f t="shared" ca="1" si="1"/>
        <v>4.3E-3</v>
      </c>
    </row>
    <row r="429" spans="20:22">
      <c r="T429" s="103">
        <f ca="1">IFERROR(__xludf.DUMMYFUNCTION("""COMPUTED_VALUE"""),44440)</f>
        <v>44440</v>
      </c>
      <c r="U429">
        <f ca="1">IFERROR(__xludf.DUMMYFUNCTION("""COMPUTED_VALUE"""),0.44)</f>
        <v>0.44</v>
      </c>
      <c r="V429" s="104">
        <f t="shared" ca="1" si="1"/>
        <v>4.4000000000000003E-3</v>
      </c>
    </row>
    <row r="430" spans="20:22">
      <c r="T430" s="106">
        <f ca="1">IFERROR(__xludf.DUMMYFUNCTION("""COMPUTED_VALUE"""),44470)</f>
        <v>44470</v>
      </c>
      <c r="U430">
        <f ca="1">IFERROR(__xludf.DUMMYFUNCTION("""COMPUTED_VALUE"""),0.49)</f>
        <v>0.49</v>
      </c>
      <c r="V430" s="104">
        <f t="shared" ca="1" si="1"/>
        <v>4.8999999999999998E-3</v>
      </c>
    </row>
    <row r="431" spans="20:22">
      <c r="T431" s="106">
        <f ca="1">IFERROR(__xludf.DUMMYFUNCTION("""COMPUTED_VALUE"""),44501)</f>
        <v>44501</v>
      </c>
      <c r="U431">
        <f ca="1">IFERROR(__xludf.DUMMYFUNCTION("""COMPUTED_VALUE"""),0.59)</f>
        <v>0.59</v>
      </c>
      <c r="V431" s="104">
        <f t="shared" ca="1" si="1"/>
        <v>5.8999999999999999E-3</v>
      </c>
    </row>
    <row r="432" spans="20:22">
      <c r="T432" s="106">
        <f ca="1">IFERROR(__xludf.DUMMYFUNCTION("""COMPUTED_VALUE"""),44531)</f>
        <v>44531</v>
      </c>
      <c r="U432">
        <f ca="1">IFERROR(__xludf.DUMMYFUNCTION("""COMPUTED_VALUE"""),0.77)</f>
        <v>0.77</v>
      </c>
      <c r="V432" s="104">
        <f t="shared" ca="1" si="1"/>
        <v>7.7000000000000002E-3</v>
      </c>
    </row>
    <row r="433" spans="20:22">
      <c r="T433" s="103">
        <f ca="1">IFERROR(__xludf.DUMMYFUNCTION("""COMPUTED_VALUE"""),44562)</f>
        <v>44562</v>
      </c>
      <c r="U433">
        <f ca="1">IFERROR(__xludf.DUMMYFUNCTION("""COMPUTED_VALUE"""),0.73)</f>
        <v>0.73</v>
      </c>
      <c r="V433" s="104">
        <f t="shared" ca="1" si="1"/>
        <v>7.3000000000000001E-3</v>
      </c>
    </row>
    <row r="434" spans="20:22">
      <c r="T434" s="103">
        <f ca="1">IFERROR(__xludf.DUMMYFUNCTION("""COMPUTED_VALUE"""),44593)</f>
        <v>44593</v>
      </c>
      <c r="U434">
        <f ca="1">IFERROR(__xludf.DUMMYFUNCTION("""COMPUTED_VALUE"""),0.76)</f>
        <v>0.76</v>
      </c>
      <c r="V434" s="104">
        <f t="shared" ca="1" si="1"/>
        <v>7.6E-3</v>
      </c>
    </row>
    <row r="435" spans="20:22">
      <c r="T435" s="103">
        <f ca="1">IFERROR(__xludf.DUMMYFUNCTION("""COMPUTED_VALUE"""),44621)</f>
        <v>44621</v>
      </c>
      <c r="U435">
        <f ca="1">IFERROR(__xludf.DUMMYFUNCTION("""COMPUTED_VALUE"""),0.93)</f>
        <v>0.93</v>
      </c>
      <c r="V435" s="104">
        <f t="shared" ca="1" si="1"/>
        <v>9.300000000000001E-3</v>
      </c>
    </row>
    <row r="436" spans="20:22">
      <c r="T436" s="103">
        <f ca="1">IFERROR(__xludf.DUMMYFUNCTION("""COMPUTED_VALUE"""),44652)</f>
        <v>44652</v>
      </c>
      <c r="U436">
        <f ca="1">IFERROR(__xludf.DUMMYFUNCTION("""COMPUTED_VALUE"""),0.83)</f>
        <v>0.83</v>
      </c>
      <c r="V436" s="104">
        <f t="shared" ca="1" si="1"/>
        <v>8.3000000000000001E-3</v>
      </c>
    </row>
    <row r="437" spans="20:22">
      <c r="T437" s="103">
        <f ca="1">IFERROR(__xludf.DUMMYFUNCTION("""COMPUTED_VALUE"""),44682)</f>
        <v>44682</v>
      </c>
      <c r="U437">
        <f ca="1">IFERROR(__xludf.DUMMYFUNCTION("""COMPUTED_VALUE"""),1.03)</f>
        <v>1.03</v>
      </c>
      <c r="V437" s="104">
        <f t="shared" ca="1" si="1"/>
        <v>1.03E-2</v>
      </c>
    </row>
    <row r="438" spans="20:22">
      <c r="T438" s="103">
        <f ca="1">IFERROR(__xludf.DUMMYFUNCTION("""COMPUTED_VALUE"""),44713)</f>
        <v>44713</v>
      </c>
      <c r="U438">
        <f ca="1">IFERROR(__xludf.DUMMYFUNCTION("""COMPUTED_VALUE"""),1.02)</f>
        <v>1.02</v>
      </c>
      <c r="V438" s="104">
        <f t="shared" ca="1" si="1"/>
        <v>1.0200000000000001E-2</v>
      </c>
    </row>
    <row r="439" spans="20:22">
      <c r="T439" s="103">
        <f ca="1">IFERROR(__xludf.DUMMYFUNCTION("""COMPUTED_VALUE"""),44743)</f>
        <v>44743</v>
      </c>
      <c r="U439">
        <f ca="1">IFERROR(__xludf.DUMMYFUNCTION("""COMPUTED_VALUE"""),1.03)</f>
        <v>1.03</v>
      </c>
      <c r="V439" s="104">
        <f t="shared" ca="1" si="1"/>
        <v>1.03E-2</v>
      </c>
    </row>
    <row r="440" spans="20:22">
      <c r="T440" s="103">
        <f ca="1">IFERROR(__xludf.DUMMYFUNCTION("""COMPUTED_VALUE"""),44774)</f>
        <v>44774</v>
      </c>
      <c r="U440">
        <f ca="1">IFERROR(__xludf.DUMMYFUNCTION("""COMPUTED_VALUE"""),0.3)</f>
        <v>0.3</v>
      </c>
      <c r="V440" s="104">
        <f t="shared" ca="1" si="1"/>
        <v>3.0000000000000001E-3</v>
      </c>
    </row>
    <row r="441" spans="20:22">
      <c r="V441" s="104">
        <f t="shared" si="1"/>
        <v>0</v>
      </c>
    </row>
    <row r="442" spans="20:22">
      <c r="V442" s="104">
        <f t="shared" si="1"/>
        <v>0</v>
      </c>
    </row>
    <row r="443" spans="20:22">
      <c r="V443" s="104">
        <f t="shared" si="1"/>
        <v>0</v>
      </c>
    </row>
    <row r="444" spans="20:22">
      <c r="V444" s="104">
        <f t="shared" si="1"/>
        <v>0</v>
      </c>
    </row>
    <row r="445" spans="20:22">
      <c r="V445" s="104">
        <f t="shared" si="1"/>
        <v>0</v>
      </c>
    </row>
    <row r="446" spans="20:22">
      <c r="V446" s="104">
        <f t="shared" si="1"/>
        <v>0</v>
      </c>
    </row>
    <row r="447" spans="20:22">
      <c r="V447" s="104">
        <f t="shared" si="1"/>
        <v>0</v>
      </c>
    </row>
    <row r="448" spans="20:22">
      <c r="V448" s="104">
        <f t="shared" si="1"/>
        <v>0</v>
      </c>
    </row>
    <row r="449" spans="22:22">
      <c r="V449" s="104">
        <f t="shared" si="1"/>
        <v>0</v>
      </c>
    </row>
    <row r="450" spans="22:22">
      <c r="V450" s="104">
        <f t="shared" si="1"/>
        <v>0</v>
      </c>
    </row>
    <row r="451" spans="22:22">
      <c r="V451" s="104">
        <f t="shared" si="1"/>
        <v>0</v>
      </c>
    </row>
    <row r="452" spans="22:22">
      <c r="V452" s="104">
        <f t="shared" si="1"/>
        <v>0</v>
      </c>
    </row>
    <row r="453" spans="22:22">
      <c r="V453" s="104">
        <f t="shared" si="1"/>
        <v>0</v>
      </c>
    </row>
    <row r="454" spans="22:22">
      <c r="V454" s="104">
        <f t="shared" si="1"/>
        <v>0</v>
      </c>
    </row>
    <row r="455" spans="22:22">
      <c r="V455" s="104">
        <f t="shared" si="1"/>
        <v>0</v>
      </c>
    </row>
    <row r="456" spans="22:22">
      <c r="V456" s="104">
        <f t="shared" si="1"/>
        <v>0</v>
      </c>
    </row>
    <row r="457" spans="22:22">
      <c r="V457" s="104">
        <f t="shared" si="1"/>
        <v>0</v>
      </c>
    </row>
    <row r="458" spans="22:22">
      <c r="V458" s="104">
        <f t="shared" si="1"/>
        <v>0</v>
      </c>
    </row>
    <row r="459" spans="22:22">
      <c r="V459" s="104">
        <f t="shared" si="1"/>
        <v>0</v>
      </c>
    </row>
    <row r="460" spans="22:22">
      <c r="V460" s="104">
        <f t="shared" si="1"/>
        <v>0</v>
      </c>
    </row>
    <row r="461" spans="22:22">
      <c r="V461" s="104">
        <f t="shared" si="1"/>
        <v>0</v>
      </c>
    </row>
    <row r="462" spans="22:22">
      <c r="V462" s="104">
        <f t="shared" si="1"/>
        <v>0</v>
      </c>
    </row>
    <row r="463" spans="22:22">
      <c r="V463" s="104">
        <f t="shared" si="1"/>
        <v>0</v>
      </c>
    </row>
    <row r="464" spans="22:22">
      <c r="V464" s="104">
        <f t="shared" si="1"/>
        <v>0</v>
      </c>
    </row>
    <row r="465" spans="22:22">
      <c r="V465" s="104">
        <f t="shared" si="1"/>
        <v>0</v>
      </c>
    </row>
    <row r="466" spans="22:22">
      <c r="V466" s="104">
        <f t="shared" si="1"/>
        <v>0</v>
      </c>
    </row>
    <row r="467" spans="22:22">
      <c r="V467" s="104">
        <f t="shared" si="1"/>
        <v>0</v>
      </c>
    </row>
    <row r="468" spans="22:22">
      <c r="V468" s="104">
        <f t="shared" si="1"/>
        <v>0</v>
      </c>
    </row>
    <row r="469" spans="22:22">
      <c r="V469" s="104">
        <f t="shared" si="1"/>
        <v>0</v>
      </c>
    </row>
    <row r="470" spans="22:22">
      <c r="V470" s="104">
        <f t="shared" si="1"/>
        <v>0</v>
      </c>
    </row>
    <row r="471" spans="22:22">
      <c r="V471" s="104">
        <f t="shared" si="1"/>
        <v>0</v>
      </c>
    </row>
    <row r="472" spans="22:22">
      <c r="V472" s="104">
        <f t="shared" si="1"/>
        <v>0</v>
      </c>
    </row>
    <row r="473" spans="22:22">
      <c r="V473" s="104">
        <f t="shared" si="1"/>
        <v>0</v>
      </c>
    </row>
    <row r="474" spans="22:22">
      <c r="V474" s="104">
        <f t="shared" si="1"/>
        <v>0</v>
      </c>
    </row>
    <row r="475" spans="22:22">
      <c r="V475" s="104">
        <f t="shared" si="1"/>
        <v>0</v>
      </c>
    </row>
    <row r="476" spans="22:22">
      <c r="V476" s="104">
        <f t="shared" si="1"/>
        <v>0</v>
      </c>
    </row>
    <row r="477" spans="22:22">
      <c r="V477" s="104">
        <f t="shared" si="1"/>
        <v>0</v>
      </c>
    </row>
    <row r="478" spans="22:22">
      <c r="V478" s="104">
        <f t="shared" si="1"/>
        <v>0</v>
      </c>
    </row>
    <row r="479" spans="22:22">
      <c r="V479" s="104">
        <f t="shared" si="1"/>
        <v>0</v>
      </c>
    </row>
    <row r="480" spans="22:22">
      <c r="V480" s="104">
        <f t="shared" si="1"/>
        <v>0</v>
      </c>
    </row>
    <row r="481" spans="22:22">
      <c r="V481" s="104">
        <f t="shared" si="1"/>
        <v>0</v>
      </c>
    </row>
    <row r="482" spans="22:22">
      <c r="V482" s="104">
        <f t="shared" si="1"/>
        <v>0</v>
      </c>
    </row>
    <row r="483" spans="22:22">
      <c r="V483" s="104">
        <f t="shared" si="1"/>
        <v>0</v>
      </c>
    </row>
    <row r="484" spans="22:22">
      <c r="V484" s="104">
        <f t="shared" si="1"/>
        <v>0</v>
      </c>
    </row>
    <row r="485" spans="22:22">
      <c r="V485" s="104">
        <f t="shared" si="1"/>
        <v>0</v>
      </c>
    </row>
    <row r="486" spans="22:22">
      <c r="V486" s="104">
        <f t="shared" si="1"/>
        <v>0</v>
      </c>
    </row>
    <row r="487" spans="22:22">
      <c r="V487" s="104">
        <f t="shared" si="1"/>
        <v>0</v>
      </c>
    </row>
    <row r="488" spans="22:22">
      <c r="V488" s="104">
        <f t="shared" si="1"/>
        <v>0</v>
      </c>
    </row>
    <row r="489" spans="22:22">
      <c r="V489" s="104">
        <f t="shared" si="1"/>
        <v>0</v>
      </c>
    </row>
    <row r="490" spans="22:22">
      <c r="V490" s="104">
        <f t="shared" si="1"/>
        <v>0</v>
      </c>
    </row>
    <row r="491" spans="22:22">
      <c r="V491" s="104">
        <f t="shared" si="1"/>
        <v>0</v>
      </c>
    </row>
    <row r="492" spans="22:22">
      <c r="V492" s="104">
        <f t="shared" si="1"/>
        <v>0</v>
      </c>
    </row>
    <row r="493" spans="22:22">
      <c r="V493" s="104">
        <f t="shared" si="1"/>
        <v>0</v>
      </c>
    </row>
    <row r="494" spans="22:22">
      <c r="V494" s="104">
        <f t="shared" si="1"/>
        <v>0</v>
      </c>
    </row>
    <row r="495" spans="22:22">
      <c r="V495" s="104">
        <f t="shared" si="1"/>
        <v>0</v>
      </c>
    </row>
    <row r="496" spans="22:22">
      <c r="V496" s="104">
        <f t="shared" si="1"/>
        <v>0</v>
      </c>
    </row>
    <row r="497" spans="22:22">
      <c r="V497" s="104">
        <f t="shared" si="1"/>
        <v>0</v>
      </c>
    </row>
    <row r="498" spans="22:22">
      <c r="V498" s="104">
        <f t="shared" si="1"/>
        <v>0</v>
      </c>
    </row>
    <row r="499" spans="22:22">
      <c r="V499" s="104">
        <f t="shared" si="1"/>
        <v>0</v>
      </c>
    </row>
    <row r="500" spans="22:22">
      <c r="V500" s="104">
        <f t="shared" si="1"/>
        <v>0</v>
      </c>
    </row>
    <row r="501" spans="22:22">
      <c r="V501" s="104">
        <f t="shared" si="1"/>
        <v>0</v>
      </c>
    </row>
    <row r="502" spans="22:22">
      <c r="V502" s="104">
        <f t="shared" si="1"/>
        <v>0</v>
      </c>
    </row>
    <row r="503" spans="22:22">
      <c r="V503" s="104">
        <f t="shared" si="1"/>
        <v>0</v>
      </c>
    </row>
    <row r="504" spans="22:22">
      <c r="V504" s="104">
        <f t="shared" si="1"/>
        <v>0</v>
      </c>
    </row>
    <row r="505" spans="22:22">
      <c r="V505" s="104">
        <f t="shared" si="1"/>
        <v>0</v>
      </c>
    </row>
    <row r="506" spans="22:22">
      <c r="V506" s="104">
        <f t="shared" si="1"/>
        <v>0</v>
      </c>
    </row>
    <row r="507" spans="22:22">
      <c r="V507" s="104">
        <f t="shared" si="1"/>
        <v>0</v>
      </c>
    </row>
    <row r="508" spans="22:22">
      <c r="V508" s="104">
        <f t="shared" si="1"/>
        <v>0</v>
      </c>
    </row>
    <row r="509" spans="22:22">
      <c r="V509" s="104">
        <f t="shared" si="1"/>
        <v>0</v>
      </c>
    </row>
    <row r="510" spans="22:22">
      <c r="V510" s="104">
        <f t="shared" si="1"/>
        <v>0</v>
      </c>
    </row>
    <row r="511" spans="22:22">
      <c r="V511" s="104">
        <f t="shared" si="1"/>
        <v>0</v>
      </c>
    </row>
    <row r="512" spans="22:22">
      <c r="V512" s="104">
        <f t="shared" si="1"/>
        <v>0</v>
      </c>
    </row>
    <row r="513" spans="22:22">
      <c r="V513" s="104">
        <f t="shared" ref="V513:V559" si="2">U513/100</f>
        <v>0</v>
      </c>
    </row>
    <row r="514" spans="22:22">
      <c r="V514" s="104">
        <f t="shared" si="2"/>
        <v>0</v>
      </c>
    </row>
    <row r="515" spans="22:22">
      <c r="V515" s="104">
        <f t="shared" si="2"/>
        <v>0</v>
      </c>
    </row>
    <row r="516" spans="22:22">
      <c r="V516" s="104">
        <f t="shared" si="2"/>
        <v>0</v>
      </c>
    </row>
    <row r="517" spans="22:22">
      <c r="V517" s="104">
        <f t="shared" si="2"/>
        <v>0</v>
      </c>
    </row>
    <row r="518" spans="22:22">
      <c r="V518" s="104">
        <f t="shared" si="2"/>
        <v>0</v>
      </c>
    </row>
    <row r="519" spans="22:22">
      <c r="V519" s="104">
        <f t="shared" si="2"/>
        <v>0</v>
      </c>
    </row>
    <row r="520" spans="22:22">
      <c r="V520" s="104">
        <f t="shared" si="2"/>
        <v>0</v>
      </c>
    </row>
    <row r="521" spans="22:22">
      <c r="V521" s="104">
        <f t="shared" si="2"/>
        <v>0</v>
      </c>
    </row>
    <row r="522" spans="22:22">
      <c r="V522" s="104">
        <f t="shared" si="2"/>
        <v>0</v>
      </c>
    </row>
    <row r="523" spans="22:22">
      <c r="V523" s="104">
        <f t="shared" si="2"/>
        <v>0</v>
      </c>
    </row>
    <row r="524" spans="22:22">
      <c r="V524" s="104">
        <f t="shared" si="2"/>
        <v>0</v>
      </c>
    </row>
    <row r="525" spans="22:22">
      <c r="V525" s="104">
        <f t="shared" si="2"/>
        <v>0</v>
      </c>
    </row>
    <row r="526" spans="22:22">
      <c r="V526" s="104">
        <f t="shared" si="2"/>
        <v>0</v>
      </c>
    </row>
    <row r="527" spans="22:22">
      <c r="V527" s="104">
        <f t="shared" si="2"/>
        <v>0</v>
      </c>
    </row>
    <row r="528" spans="22:22">
      <c r="V528" s="104">
        <f t="shared" si="2"/>
        <v>0</v>
      </c>
    </row>
    <row r="529" spans="22:22">
      <c r="V529" s="104">
        <f t="shared" si="2"/>
        <v>0</v>
      </c>
    </row>
    <row r="530" spans="22:22">
      <c r="V530" s="104">
        <f t="shared" si="2"/>
        <v>0</v>
      </c>
    </row>
    <row r="531" spans="22:22">
      <c r="V531" s="104">
        <f t="shared" si="2"/>
        <v>0</v>
      </c>
    </row>
    <row r="532" spans="22:22">
      <c r="V532" s="104">
        <f t="shared" si="2"/>
        <v>0</v>
      </c>
    </row>
    <row r="533" spans="22:22">
      <c r="V533" s="104">
        <f t="shared" si="2"/>
        <v>0</v>
      </c>
    </row>
    <row r="534" spans="22:22">
      <c r="V534" s="104">
        <f t="shared" si="2"/>
        <v>0</v>
      </c>
    </row>
    <row r="535" spans="22:22">
      <c r="V535" s="104">
        <f t="shared" si="2"/>
        <v>0</v>
      </c>
    </row>
    <row r="536" spans="22:22">
      <c r="V536" s="104">
        <f t="shared" si="2"/>
        <v>0</v>
      </c>
    </row>
    <row r="537" spans="22:22">
      <c r="V537" s="104">
        <f t="shared" si="2"/>
        <v>0</v>
      </c>
    </row>
    <row r="538" spans="22:22">
      <c r="V538" s="104">
        <f t="shared" si="2"/>
        <v>0</v>
      </c>
    </row>
    <row r="539" spans="22:22">
      <c r="V539" s="104">
        <f t="shared" si="2"/>
        <v>0</v>
      </c>
    </row>
    <row r="540" spans="22:22">
      <c r="V540" s="104">
        <f t="shared" si="2"/>
        <v>0</v>
      </c>
    </row>
    <row r="541" spans="22:22">
      <c r="V541" s="104">
        <f t="shared" si="2"/>
        <v>0</v>
      </c>
    </row>
    <row r="542" spans="22:22">
      <c r="V542" s="104">
        <f t="shared" si="2"/>
        <v>0</v>
      </c>
    </row>
    <row r="543" spans="22:22">
      <c r="V543" s="104">
        <f t="shared" si="2"/>
        <v>0</v>
      </c>
    </row>
    <row r="544" spans="22:22">
      <c r="V544" s="104">
        <f t="shared" si="2"/>
        <v>0</v>
      </c>
    </row>
    <row r="545" spans="22:22">
      <c r="V545" s="104">
        <f t="shared" si="2"/>
        <v>0</v>
      </c>
    </row>
    <row r="546" spans="22:22">
      <c r="V546" s="104">
        <f t="shared" si="2"/>
        <v>0</v>
      </c>
    </row>
    <row r="547" spans="22:22">
      <c r="V547" s="104">
        <f t="shared" si="2"/>
        <v>0</v>
      </c>
    </row>
    <row r="548" spans="22:22">
      <c r="V548" s="104">
        <f t="shared" si="2"/>
        <v>0</v>
      </c>
    </row>
    <row r="549" spans="22:22">
      <c r="V549" s="104">
        <f t="shared" si="2"/>
        <v>0</v>
      </c>
    </row>
    <row r="550" spans="22:22">
      <c r="V550" s="104">
        <f t="shared" si="2"/>
        <v>0</v>
      </c>
    </row>
    <row r="551" spans="22:22">
      <c r="V551" s="104">
        <f t="shared" si="2"/>
        <v>0</v>
      </c>
    </row>
    <row r="552" spans="22:22">
      <c r="V552" s="104">
        <f t="shared" si="2"/>
        <v>0</v>
      </c>
    </row>
    <row r="553" spans="22:22">
      <c r="V553" s="104">
        <f t="shared" si="2"/>
        <v>0</v>
      </c>
    </row>
    <row r="554" spans="22:22">
      <c r="V554" s="104">
        <f t="shared" si="2"/>
        <v>0</v>
      </c>
    </row>
    <row r="555" spans="22:22">
      <c r="V555" s="104">
        <f t="shared" si="2"/>
        <v>0</v>
      </c>
    </row>
    <row r="556" spans="22:22">
      <c r="V556" s="104">
        <f t="shared" si="2"/>
        <v>0</v>
      </c>
    </row>
    <row r="557" spans="22:22">
      <c r="V557" s="104">
        <f t="shared" si="2"/>
        <v>0</v>
      </c>
    </row>
    <row r="558" spans="22:22">
      <c r="V558" s="104">
        <f t="shared" si="2"/>
        <v>0</v>
      </c>
    </row>
    <row r="559" spans="22:22">
      <c r="V559" s="104">
        <f t="shared" si="2"/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B7B7"/>
    <outlinePr summaryBelow="0" summaryRight="0"/>
  </sheetPr>
  <dimension ref="A1:X3071"/>
  <sheetViews>
    <sheetView showGridLines="0" workbookViewId="0"/>
  </sheetViews>
  <sheetFormatPr defaultColWidth="14.42578125" defaultRowHeight="15" customHeight="1"/>
  <cols>
    <col min="1" max="1" width="16.5703125" customWidth="1"/>
    <col min="2" max="2" width="46.85546875" customWidth="1"/>
    <col min="3" max="3" width="13.85546875" customWidth="1"/>
    <col min="4" max="4" width="18.140625" customWidth="1"/>
    <col min="5" max="5" width="21.7109375" customWidth="1"/>
    <col min="8" max="8" width="30.140625" customWidth="1"/>
  </cols>
  <sheetData>
    <row r="1" spans="1:24">
      <c r="A1" s="107" t="s">
        <v>1619</v>
      </c>
      <c r="B1" s="107" t="s">
        <v>1620</v>
      </c>
      <c r="C1" s="107" t="s">
        <v>1621</v>
      </c>
      <c r="D1" s="107" t="s">
        <v>1622</v>
      </c>
      <c r="E1" s="107" t="s">
        <v>1623</v>
      </c>
      <c r="F1" s="107" t="s">
        <v>1610</v>
      </c>
      <c r="G1" s="108"/>
      <c r="H1" s="107" t="s">
        <v>1624</v>
      </c>
      <c r="I1" s="108"/>
      <c r="J1" s="108"/>
      <c r="K1" s="108" t="str">
        <f ca="1">IFERROR(__xludf.DUMMYFUNCTION("importrange(""https://docs.google.com/spreadsheets/d/1twE6-cpnyykguqtenQ2Owd-uI9WHiQFG1eK6m-cZxDM/"",""Puxadora!S3:U"")"),"#REF!")</f>
        <v>#REF!</v>
      </c>
      <c r="L1" s="108"/>
      <c r="M1" s="108"/>
      <c r="N1" s="108"/>
      <c r="O1" s="109" t="s">
        <v>1625</v>
      </c>
      <c r="P1" s="108"/>
      <c r="Q1" s="108"/>
      <c r="R1" s="108"/>
      <c r="S1" s="108"/>
      <c r="T1" s="108"/>
      <c r="U1" s="108"/>
      <c r="V1" s="108"/>
      <c r="W1" s="108"/>
      <c r="X1" s="108"/>
    </row>
    <row r="2" spans="1:24">
      <c r="A2" s="110" t="s">
        <v>1626</v>
      </c>
      <c r="B2" s="111" t="s">
        <v>1627</v>
      </c>
      <c r="C2" s="109" t="s">
        <v>1628</v>
      </c>
      <c r="D2" s="112" t="s">
        <v>1629</v>
      </c>
      <c r="E2" s="109" t="s">
        <v>1630</v>
      </c>
      <c r="F2" s="108" t="s">
        <v>1592</v>
      </c>
      <c r="G2" s="108"/>
      <c r="H2" s="113" t="str">
        <f ca="1">IFERROR(__xludf.DUMMYFUNCTION("importrange(""https://docs.google.com/spreadsheets/d/1twE6-cpnyykguqtenQ2Owd-uI9WHiQFG1eK6m-cZxDM/"", ""Puxadora!W5:W"")"),"#REF!")</f>
        <v>#REF!</v>
      </c>
      <c r="I2" s="108" t="str">
        <f ca="1">IFERROR(__xludf.DUMMYFUNCTION("importrange(""https://docs.google.com/spreadsheets/d/1twE6-cpnyykguqtenQ2Owd-uI9WHiQFG1eK6m-cZxDM/"", ""Puxadora!AA5:AA"")"),"#REF!")</f>
        <v>#REF!</v>
      </c>
      <c r="J2" s="108"/>
      <c r="K2" s="108"/>
      <c r="L2" s="114"/>
      <c r="M2" s="108"/>
      <c r="N2" s="108"/>
      <c r="O2" s="109" t="s">
        <v>1631</v>
      </c>
      <c r="P2" s="108"/>
      <c r="Q2" s="108"/>
      <c r="R2" s="108"/>
      <c r="S2" s="108"/>
      <c r="T2" s="108"/>
      <c r="U2" s="108"/>
      <c r="V2" s="108"/>
      <c r="W2" s="108"/>
      <c r="X2" s="108"/>
    </row>
    <row r="3" spans="1:24">
      <c r="A3" s="109" t="s">
        <v>1632</v>
      </c>
      <c r="B3" s="111" t="s">
        <v>1633</v>
      </c>
      <c r="C3" s="109" t="s">
        <v>1634</v>
      </c>
      <c r="D3" s="112" t="s">
        <v>1635</v>
      </c>
      <c r="E3" s="109" t="s">
        <v>1636</v>
      </c>
      <c r="F3" s="108" t="s">
        <v>1593</v>
      </c>
      <c r="G3" s="108"/>
      <c r="H3" s="113"/>
      <c r="I3" s="108"/>
      <c r="J3" s="108"/>
      <c r="K3" s="108"/>
      <c r="L3" s="108"/>
      <c r="N3" s="108"/>
      <c r="O3" s="109" t="s">
        <v>1637</v>
      </c>
      <c r="P3" s="108"/>
      <c r="Q3" s="108"/>
      <c r="R3" s="108"/>
      <c r="S3" s="108"/>
      <c r="T3" s="108"/>
      <c r="U3" s="108"/>
      <c r="V3" s="108"/>
      <c r="W3" s="108"/>
      <c r="X3" s="108"/>
    </row>
    <row r="4" spans="1:24">
      <c r="A4" s="109" t="s">
        <v>1638</v>
      </c>
      <c r="B4" s="111" t="s">
        <v>1639</v>
      </c>
      <c r="C4" s="109" t="s">
        <v>1640</v>
      </c>
      <c r="D4" s="112" t="s">
        <v>38</v>
      </c>
      <c r="E4" s="109" t="s">
        <v>1641</v>
      </c>
      <c r="F4" s="108" t="s">
        <v>1594</v>
      </c>
      <c r="G4" s="108"/>
      <c r="H4" s="113"/>
      <c r="I4" s="108"/>
      <c r="J4" s="108"/>
      <c r="K4" s="108"/>
      <c r="L4" s="108"/>
      <c r="M4" s="108"/>
      <c r="N4" s="108"/>
      <c r="O4" s="109" t="s">
        <v>1642</v>
      </c>
      <c r="P4" s="108"/>
      <c r="Q4" s="108"/>
      <c r="R4" s="108"/>
      <c r="S4" s="108"/>
      <c r="T4" s="108"/>
      <c r="U4" s="108"/>
      <c r="V4" s="108"/>
      <c r="W4" s="108"/>
      <c r="X4" s="108"/>
    </row>
    <row r="5" spans="1:24">
      <c r="A5" s="109" t="s">
        <v>1643</v>
      </c>
      <c r="B5" s="109" t="s">
        <v>1644</v>
      </c>
      <c r="C5" s="109" t="s">
        <v>1645</v>
      </c>
      <c r="D5" s="108"/>
      <c r="E5" s="109" t="s">
        <v>1646</v>
      </c>
      <c r="F5" s="108"/>
      <c r="G5" s="108"/>
      <c r="H5" s="113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spans="1:24">
      <c r="A6" s="109" t="s">
        <v>1647</v>
      </c>
      <c r="B6" s="111" t="s">
        <v>1648</v>
      </c>
      <c r="C6" s="109" t="s">
        <v>1649</v>
      </c>
      <c r="D6" s="108"/>
      <c r="F6" s="108"/>
      <c r="G6" s="108"/>
      <c r="H6" s="113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</row>
    <row r="7" spans="1:24">
      <c r="A7" s="109" t="s">
        <v>1650</v>
      </c>
      <c r="B7" s="111" t="s">
        <v>88</v>
      </c>
      <c r="C7" s="109"/>
      <c r="D7" s="108"/>
      <c r="E7" s="108"/>
      <c r="F7" s="108"/>
      <c r="G7" s="108"/>
      <c r="H7" s="113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</row>
    <row r="8" spans="1:24">
      <c r="A8" s="109" t="s">
        <v>1651</v>
      </c>
      <c r="B8" s="111" t="s">
        <v>1652</v>
      </c>
      <c r="C8" s="108"/>
      <c r="D8" s="108"/>
      <c r="E8" s="108"/>
      <c r="F8" s="108"/>
      <c r="G8" s="108"/>
      <c r="H8" s="113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spans="1:24">
      <c r="A9" s="109" t="s">
        <v>1653</v>
      </c>
      <c r="B9" s="111" t="s">
        <v>1654</v>
      </c>
      <c r="C9" s="108"/>
      <c r="D9" s="108"/>
      <c r="E9" s="108"/>
      <c r="F9" s="108"/>
      <c r="G9" s="108"/>
      <c r="H9" s="113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</row>
    <row r="10" spans="1:24">
      <c r="A10" s="109" t="s">
        <v>1655</v>
      </c>
      <c r="B10" s="111" t="s">
        <v>1656</v>
      </c>
      <c r="C10" s="108"/>
      <c r="D10" s="108"/>
      <c r="E10" s="108"/>
      <c r="F10" s="108"/>
      <c r="G10" s="108"/>
      <c r="H10" s="113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</row>
    <row r="11" spans="1:24">
      <c r="A11" s="109" t="s">
        <v>1657</v>
      </c>
      <c r="B11" s="109" t="s">
        <v>1658</v>
      </c>
      <c r="C11" s="108"/>
      <c r="D11" s="108"/>
      <c r="E11" s="108"/>
      <c r="F11" s="108"/>
      <c r="G11" s="108"/>
      <c r="H11" s="113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spans="1:24">
      <c r="A12" s="108"/>
      <c r="B12" s="109" t="s">
        <v>1659</v>
      </c>
      <c r="C12" s="108"/>
      <c r="D12" s="108"/>
      <c r="E12" s="108"/>
      <c r="F12" s="108"/>
      <c r="G12" s="108"/>
      <c r="H12" s="113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</row>
    <row r="13" spans="1:24">
      <c r="A13" s="108"/>
      <c r="B13" s="109" t="s">
        <v>1660</v>
      </c>
      <c r="C13" s="108"/>
      <c r="D13" s="108"/>
      <c r="E13" s="108"/>
      <c r="F13" s="108"/>
      <c r="G13" s="108"/>
      <c r="H13" s="113"/>
      <c r="I13" s="108"/>
      <c r="J13" s="109"/>
      <c r="K13" s="109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</row>
    <row r="14" spans="1:24">
      <c r="A14" s="108"/>
      <c r="B14" s="109" t="s">
        <v>1511</v>
      </c>
      <c r="C14" s="108"/>
      <c r="D14" s="108"/>
      <c r="E14" s="108"/>
      <c r="F14" s="108"/>
      <c r="G14" s="108"/>
      <c r="H14" s="113"/>
      <c r="I14" s="108"/>
      <c r="J14" s="109"/>
      <c r="K14" s="109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</row>
    <row r="15" spans="1:24">
      <c r="A15" s="108"/>
      <c r="B15" s="111" t="s">
        <v>1661</v>
      </c>
      <c r="C15" s="108"/>
      <c r="D15" s="108"/>
      <c r="E15" s="108"/>
      <c r="F15" s="108"/>
      <c r="G15" s="108"/>
      <c r="H15" s="113"/>
      <c r="I15" s="108"/>
      <c r="J15" s="109"/>
      <c r="K15" s="109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</row>
    <row r="16" spans="1:24">
      <c r="A16" s="108"/>
      <c r="B16" s="109" t="s">
        <v>1662</v>
      </c>
      <c r="C16" s="108"/>
      <c r="D16" s="108"/>
      <c r="E16" s="108"/>
      <c r="F16" s="108"/>
      <c r="G16" s="108"/>
      <c r="H16" s="113"/>
      <c r="I16" s="108"/>
      <c r="J16" s="109"/>
      <c r="K16" s="109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</row>
    <row r="17" spans="1:24">
      <c r="A17" s="108"/>
      <c r="B17" s="109" t="s">
        <v>1663</v>
      </c>
      <c r="C17" s="108"/>
      <c r="D17" s="108"/>
      <c r="E17" s="108"/>
      <c r="F17" s="108"/>
      <c r="G17" s="108"/>
      <c r="H17" s="113"/>
      <c r="I17" s="108"/>
      <c r="J17" s="109"/>
      <c r="K17" s="109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</row>
    <row r="18" spans="1:24">
      <c r="A18" s="108"/>
      <c r="B18" s="111" t="s">
        <v>1664</v>
      </c>
      <c r="C18" s="108"/>
      <c r="D18" s="108"/>
      <c r="E18" s="108"/>
      <c r="F18" s="108"/>
      <c r="G18" s="108"/>
      <c r="H18" s="113"/>
      <c r="I18" s="108"/>
      <c r="J18" s="109"/>
      <c r="K18" s="109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</row>
    <row r="19" spans="1:24">
      <c r="A19" s="108"/>
      <c r="B19" s="111" t="s">
        <v>1665</v>
      </c>
      <c r="C19" s="108"/>
      <c r="D19" s="108"/>
      <c r="E19" s="108"/>
      <c r="F19" s="108"/>
      <c r="G19" s="108"/>
      <c r="H19" s="113"/>
      <c r="I19" s="108"/>
      <c r="J19" s="109"/>
      <c r="K19" s="109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</row>
    <row r="20" spans="1:24">
      <c r="A20" s="108"/>
      <c r="B20" s="109" t="s">
        <v>1666</v>
      </c>
      <c r="C20" s="108"/>
      <c r="D20" s="108"/>
      <c r="E20" s="108"/>
      <c r="F20" s="108"/>
      <c r="G20" s="108"/>
      <c r="H20" s="113"/>
      <c r="I20" s="108"/>
      <c r="J20" s="109"/>
      <c r="K20" s="109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</row>
    <row r="21" spans="1:24">
      <c r="A21" s="108"/>
      <c r="B21" s="109" t="s">
        <v>1667</v>
      </c>
      <c r="C21" s="108"/>
      <c r="D21" s="108"/>
      <c r="E21" s="108"/>
      <c r="F21" s="108"/>
      <c r="G21" s="108"/>
      <c r="H21" s="113"/>
      <c r="I21" s="108"/>
      <c r="J21" s="109"/>
      <c r="K21" s="109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</row>
    <row r="22" spans="1:24">
      <c r="A22" s="108"/>
      <c r="B22" s="109" t="s">
        <v>1668</v>
      </c>
      <c r="C22" s="108"/>
      <c r="D22" s="108"/>
      <c r="E22" s="108"/>
      <c r="F22" s="108"/>
      <c r="G22" s="108"/>
      <c r="H22" s="113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</row>
    <row r="23" spans="1:24">
      <c r="A23" s="108"/>
      <c r="B23" s="111" t="s">
        <v>1669</v>
      </c>
      <c r="C23" s="108"/>
      <c r="D23" s="108"/>
      <c r="E23" s="108"/>
      <c r="F23" s="108"/>
      <c r="G23" s="108"/>
      <c r="H23" s="113"/>
      <c r="I23" s="108"/>
      <c r="J23" s="109"/>
      <c r="K23" s="109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</row>
    <row r="24" spans="1:24">
      <c r="A24" s="108"/>
      <c r="B24" s="109" t="s">
        <v>1670</v>
      </c>
      <c r="C24" s="108"/>
      <c r="D24" s="108"/>
      <c r="E24" s="108"/>
      <c r="F24" s="108"/>
      <c r="G24" s="108"/>
      <c r="H24" s="113"/>
      <c r="I24" s="108"/>
      <c r="J24" s="109"/>
      <c r="K24" s="109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</row>
    <row r="25" spans="1:24">
      <c r="A25" s="108"/>
      <c r="B25" s="109" t="s">
        <v>1671</v>
      </c>
      <c r="C25" s="108"/>
      <c r="D25" s="108"/>
      <c r="E25" s="108"/>
      <c r="F25" s="108"/>
      <c r="G25" s="108"/>
      <c r="H25" s="113"/>
      <c r="I25" s="108"/>
      <c r="J25" s="109"/>
      <c r="K25" s="109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</row>
    <row r="26" spans="1:24">
      <c r="A26" s="108"/>
      <c r="B26" s="111" t="s">
        <v>1672</v>
      </c>
      <c r="C26" s="108"/>
      <c r="D26" s="108"/>
      <c r="E26" s="108"/>
      <c r="F26" s="108"/>
      <c r="G26" s="108"/>
      <c r="H26" s="113"/>
      <c r="I26" s="108"/>
      <c r="J26" s="109"/>
      <c r="K26" s="109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</row>
    <row r="27" spans="1:24">
      <c r="A27" s="108"/>
      <c r="B27" s="109" t="s">
        <v>1673</v>
      </c>
      <c r="C27" s="108"/>
      <c r="D27" s="108"/>
      <c r="E27" s="108"/>
      <c r="F27" s="108"/>
      <c r="G27" s="108"/>
      <c r="H27" s="113"/>
      <c r="I27" s="108"/>
      <c r="J27" s="109"/>
      <c r="K27" s="109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</row>
    <row r="28" spans="1:24">
      <c r="A28" s="108"/>
      <c r="B28" s="109" t="s">
        <v>234</v>
      </c>
      <c r="C28" s="108"/>
      <c r="D28" s="108"/>
      <c r="E28" s="108"/>
      <c r="F28" s="108"/>
      <c r="G28" s="108"/>
      <c r="H28" s="113"/>
      <c r="I28" s="108"/>
      <c r="J28" s="109"/>
      <c r="K28" s="109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</row>
    <row r="29" spans="1:24">
      <c r="A29" s="108"/>
      <c r="B29" s="111" t="s">
        <v>1674</v>
      </c>
      <c r="C29" s="108"/>
      <c r="D29" s="108"/>
      <c r="E29" s="108"/>
      <c r="F29" s="108"/>
      <c r="G29" s="108"/>
      <c r="H29" s="113"/>
      <c r="I29" s="108"/>
      <c r="J29" s="109"/>
      <c r="K29" s="109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</row>
    <row r="30" spans="1:24">
      <c r="A30" s="108"/>
      <c r="B30" s="109" t="s">
        <v>1675</v>
      </c>
      <c r="C30" s="108"/>
      <c r="D30" s="108"/>
      <c r="E30" s="108"/>
      <c r="F30" s="108"/>
      <c r="G30" s="108"/>
      <c r="H30" s="113"/>
      <c r="I30" s="108"/>
      <c r="J30" s="109"/>
      <c r="K30" s="109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</row>
    <row r="31" spans="1:24">
      <c r="A31" s="108"/>
      <c r="B31" s="109" t="s">
        <v>1676</v>
      </c>
      <c r="C31" s="108"/>
      <c r="D31" s="108"/>
      <c r="E31" s="108"/>
      <c r="F31" s="108"/>
      <c r="G31" s="108"/>
      <c r="H31" s="113"/>
      <c r="I31" s="108"/>
      <c r="J31" s="109"/>
      <c r="K31" s="109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</row>
    <row r="32" spans="1:24">
      <c r="A32" s="108"/>
      <c r="B32" s="109" t="s">
        <v>1677</v>
      </c>
      <c r="C32" s="108"/>
      <c r="D32" s="108"/>
      <c r="E32" s="108"/>
      <c r="F32" s="108"/>
      <c r="G32" s="108"/>
      <c r="H32" s="113"/>
      <c r="I32" s="108"/>
      <c r="J32" s="109"/>
      <c r="K32" s="109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</row>
    <row r="33" spans="1:24">
      <c r="A33" s="108"/>
      <c r="B33" s="111" t="s">
        <v>1678</v>
      </c>
      <c r="C33" s="108"/>
      <c r="D33" s="108"/>
      <c r="E33" s="108"/>
      <c r="F33" s="108"/>
      <c r="G33" s="108"/>
      <c r="H33" s="113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</row>
    <row r="34" spans="1:24">
      <c r="A34" s="108"/>
      <c r="B34" s="109" t="s">
        <v>1679</v>
      </c>
      <c r="C34" s="108"/>
      <c r="D34" s="108"/>
      <c r="E34" s="108"/>
      <c r="F34" s="108"/>
      <c r="G34" s="108"/>
      <c r="H34" s="113"/>
      <c r="I34" s="108"/>
      <c r="J34" s="109"/>
      <c r="K34" s="109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</row>
    <row r="35" spans="1:24">
      <c r="A35" s="108"/>
      <c r="B35" s="111" t="s">
        <v>1680</v>
      </c>
      <c r="C35" s="108"/>
      <c r="D35" s="108"/>
      <c r="E35" s="108"/>
      <c r="F35" s="108"/>
      <c r="G35" s="108"/>
      <c r="H35" s="113"/>
      <c r="I35" s="108"/>
      <c r="J35" s="109"/>
      <c r="K35" s="109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</row>
    <row r="36" spans="1:24">
      <c r="A36" s="108"/>
      <c r="B36" s="109" t="s">
        <v>1681</v>
      </c>
      <c r="C36" s="108"/>
      <c r="D36" s="108"/>
      <c r="E36" s="108"/>
      <c r="F36" s="108"/>
      <c r="G36" s="108"/>
      <c r="H36" s="113"/>
      <c r="I36" s="108"/>
      <c r="J36" s="109"/>
      <c r="K36" s="109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</row>
    <row r="37" spans="1:24">
      <c r="A37" s="108"/>
      <c r="B37" s="109" t="s">
        <v>1682</v>
      </c>
      <c r="C37" s="108"/>
      <c r="D37" s="108"/>
      <c r="E37" s="108"/>
      <c r="F37" s="108"/>
      <c r="G37" s="108"/>
      <c r="H37" s="113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</row>
    <row r="38" spans="1:24">
      <c r="A38" s="108"/>
      <c r="B38" s="111" t="s">
        <v>1683</v>
      </c>
      <c r="C38" s="108"/>
      <c r="D38" s="108"/>
      <c r="E38" s="108"/>
      <c r="F38" s="108"/>
      <c r="G38" s="108"/>
      <c r="H38" s="113"/>
      <c r="I38" s="108"/>
      <c r="J38" s="109"/>
      <c r="K38" s="109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</row>
    <row r="39" spans="1:24">
      <c r="A39" s="108"/>
      <c r="B39" s="111" t="s">
        <v>1684</v>
      </c>
      <c r="C39" s="108"/>
      <c r="D39" s="108"/>
      <c r="E39" s="108"/>
      <c r="F39" s="108"/>
      <c r="G39" s="108"/>
      <c r="H39" s="113"/>
      <c r="I39" s="108"/>
      <c r="J39" s="109"/>
      <c r="K39" s="109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</row>
    <row r="40" spans="1:24">
      <c r="A40" s="108"/>
      <c r="B40" s="109" t="s">
        <v>230</v>
      </c>
      <c r="C40" s="108"/>
      <c r="D40" s="108"/>
      <c r="E40" s="108"/>
      <c r="F40" s="108"/>
      <c r="G40" s="108"/>
      <c r="H40" s="113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</row>
    <row r="41" spans="1:24">
      <c r="A41" s="108"/>
      <c r="B41" s="111" t="s">
        <v>1685</v>
      </c>
      <c r="C41" s="108"/>
      <c r="D41" s="108"/>
      <c r="E41" s="108"/>
      <c r="F41" s="108"/>
      <c r="G41" s="108"/>
      <c r="H41" s="113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</row>
    <row r="42" spans="1:24">
      <c r="A42" s="108"/>
      <c r="B42" s="109" t="s">
        <v>1686</v>
      </c>
      <c r="C42" s="108"/>
      <c r="D42" s="108"/>
      <c r="E42" s="108"/>
      <c r="F42" s="108"/>
      <c r="G42" s="108"/>
      <c r="H42" s="113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</row>
    <row r="43" spans="1:24">
      <c r="A43" s="108"/>
      <c r="B43" s="111" t="s">
        <v>1687</v>
      </c>
      <c r="C43" s="108"/>
      <c r="D43" s="108"/>
      <c r="E43" s="108"/>
      <c r="F43" s="108"/>
      <c r="G43" s="108"/>
      <c r="H43" s="113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</row>
    <row r="44" spans="1:24">
      <c r="A44" s="108"/>
      <c r="B44" s="111" t="s">
        <v>1688</v>
      </c>
      <c r="C44" s="108"/>
      <c r="D44" s="108"/>
      <c r="E44" s="108"/>
      <c r="F44" s="108"/>
      <c r="G44" s="108"/>
      <c r="H44" s="113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</row>
    <row r="45" spans="1:24">
      <c r="A45" s="108"/>
      <c r="B45" s="111" t="s">
        <v>1689</v>
      </c>
      <c r="C45" s="108"/>
      <c r="D45" s="108"/>
      <c r="E45" s="108"/>
      <c r="F45" s="108"/>
      <c r="G45" s="108"/>
      <c r="H45" s="113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</row>
    <row r="46" spans="1:24">
      <c r="A46" s="108"/>
      <c r="B46" s="111" t="s">
        <v>1690</v>
      </c>
      <c r="C46" s="108"/>
      <c r="D46" s="108"/>
      <c r="E46" s="108"/>
      <c r="F46" s="108"/>
      <c r="G46" s="108"/>
      <c r="H46" s="113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</row>
    <row r="47" spans="1:24">
      <c r="A47" s="108"/>
      <c r="B47" s="111" t="s">
        <v>1691</v>
      </c>
      <c r="C47" s="108"/>
      <c r="D47" s="108"/>
      <c r="E47" s="108"/>
      <c r="F47" s="108"/>
      <c r="G47" s="108"/>
      <c r="H47" s="113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</row>
    <row r="48" spans="1:24">
      <c r="A48" s="108"/>
      <c r="B48" s="111" t="s">
        <v>1692</v>
      </c>
      <c r="C48" s="108"/>
      <c r="D48" s="108"/>
      <c r="E48" s="108"/>
      <c r="F48" s="108"/>
      <c r="G48" s="108"/>
      <c r="H48" s="113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</row>
    <row r="49" spans="1:24">
      <c r="A49" s="108"/>
      <c r="B49" s="111" t="s">
        <v>1693</v>
      </c>
      <c r="C49" s="108"/>
      <c r="D49" s="108"/>
      <c r="E49" s="108"/>
      <c r="F49" s="108"/>
      <c r="G49" s="108"/>
      <c r="H49" s="113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</row>
    <row r="50" spans="1:24">
      <c r="A50" s="108"/>
      <c r="B50" s="111" t="s">
        <v>1694</v>
      </c>
      <c r="C50" s="108"/>
      <c r="D50" s="108"/>
      <c r="E50" s="108"/>
      <c r="F50" s="108"/>
      <c r="G50" s="108"/>
      <c r="H50" s="113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</row>
    <row r="51" spans="1:24">
      <c r="A51" s="108"/>
      <c r="B51" s="111" t="s">
        <v>1695</v>
      </c>
      <c r="C51" s="108"/>
      <c r="D51" s="108"/>
      <c r="E51" s="108"/>
      <c r="F51" s="108"/>
      <c r="G51" s="108"/>
      <c r="H51" s="113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</row>
    <row r="52" spans="1:24">
      <c r="A52" s="108"/>
      <c r="B52" s="111" t="s">
        <v>1696</v>
      </c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</row>
    <row r="53" spans="1:24">
      <c r="A53" s="108"/>
      <c r="B53" s="111" t="s">
        <v>1697</v>
      </c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</row>
    <row r="54" spans="1:24">
      <c r="A54" s="108"/>
      <c r="B54" s="111" t="s">
        <v>1698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</row>
    <row r="55" spans="1:24">
      <c r="A55" s="108"/>
      <c r="B55" s="111" t="s">
        <v>1699</v>
      </c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</row>
    <row r="56" spans="1:24">
      <c r="A56" s="108"/>
      <c r="B56" s="109" t="s">
        <v>1700</v>
      </c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</row>
    <row r="57" spans="1:24">
      <c r="A57" s="108"/>
      <c r="B57" s="111" t="s">
        <v>1701</v>
      </c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</row>
    <row r="58" spans="1:24">
      <c r="A58" s="108"/>
      <c r="B58" s="111" t="s">
        <v>1702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</row>
    <row r="59" spans="1:24">
      <c r="A59" s="108"/>
      <c r="B59" s="111" t="s">
        <v>565</v>
      </c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</row>
    <row r="60" spans="1:24">
      <c r="A60" s="108"/>
      <c r="B60" s="109" t="s">
        <v>1703</v>
      </c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</row>
    <row r="61" spans="1:24">
      <c r="A61" s="108"/>
      <c r="B61" s="109" t="s">
        <v>1704</v>
      </c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</row>
    <row r="62" spans="1:24">
      <c r="A62" s="108"/>
      <c r="B62" s="111" t="s">
        <v>1705</v>
      </c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</row>
    <row r="63" spans="1:24">
      <c r="A63" s="108"/>
      <c r="B63" s="111" t="s">
        <v>1706</v>
      </c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</row>
    <row r="64" spans="1:24">
      <c r="A64" s="108"/>
      <c r="B64" s="111" t="s">
        <v>1707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</row>
    <row r="65" spans="1:24">
      <c r="A65" s="108"/>
      <c r="B65" s="111" t="s">
        <v>1708</v>
      </c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</row>
    <row r="66" spans="1:24">
      <c r="A66" s="108"/>
      <c r="B66" s="111" t="s">
        <v>1709</v>
      </c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</row>
    <row r="67" spans="1:24">
      <c r="A67" s="108"/>
      <c r="B67" s="111" t="s">
        <v>1192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</row>
    <row r="68" spans="1:24">
      <c r="A68" s="108"/>
      <c r="B68" s="111" t="s">
        <v>1710</v>
      </c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</row>
    <row r="69" spans="1:24">
      <c r="A69" s="108"/>
      <c r="B69" s="111" t="s">
        <v>1711</v>
      </c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</row>
    <row r="70" spans="1:24">
      <c r="A70" s="108"/>
      <c r="B70" s="111" t="s">
        <v>1712</v>
      </c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</row>
    <row r="71" spans="1:24">
      <c r="A71" s="108"/>
      <c r="B71" s="111" t="s">
        <v>1713</v>
      </c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</row>
    <row r="72" spans="1:24">
      <c r="A72" s="108"/>
      <c r="B72" s="111" t="s">
        <v>1714</v>
      </c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</row>
    <row r="73" spans="1:24">
      <c r="A73" s="108"/>
      <c r="B73" s="109" t="s">
        <v>1715</v>
      </c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</row>
    <row r="74" spans="1:24">
      <c r="A74" s="108"/>
      <c r="B74" s="111" t="s">
        <v>1716</v>
      </c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</row>
    <row r="75" spans="1:24">
      <c r="A75" s="108"/>
      <c r="B75" s="109" t="s">
        <v>1717</v>
      </c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</row>
    <row r="76" spans="1:24">
      <c r="A76" s="108"/>
      <c r="B76" s="111" t="s">
        <v>1718</v>
      </c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</row>
    <row r="77" spans="1:24">
      <c r="A77" s="108"/>
      <c r="B77" s="111" t="s">
        <v>1719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</row>
    <row r="78" spans="1:24">
      <c r="A78" s="108"/>
      <c r="B78" s="111" t="s">
        <v>1720</v>
      </c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</row>
    <row r="79" spans="1:24">
      <c r="A79" s="108"/>
      <c r="B79" s="111" t="s">
        <v>1721</v>
      </c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</row>
    <row r="80" spans="1:24">
      <c r="A80" s="108"/>
      <c r="B80" s="109" t="s">
        <v>1722</v>
      </c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</row>
    <row r="81" spans="1:24">
      <c r="A81" s="108"/>
      <c r="B81" s="111" t="s">
        <v>1723</v>
      </c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</row>
    <row r="82" spans="1:24">
      <c r="A82" s="108"/>
      <c r="B82" s="111" t="s">
        <v>1724</v>
      </c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</row>
    <row r="83" spans="1:24">
      <c r="A83" s="108"/>
      <c r="B83" s="111" t="s">
        <v>1725</v>
      </c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</row>
    <row r="84" spans="1:24">
      <c r="A84" s="108"/>
      <c r="B84" s="109" t="s">
        <v>1726</v>
      </c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</row>
    <row r="85" spans="1:24">
      <c r="A85" s="108"/>
      <c r="B85" s="111" t="s">
        <v>1727</v>
      </c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</row>
    <row r="86" spans="1:24">
      <c r="A86" s="108"/>
      <c r="B86" s="111" t="s">
        <v>1728</v>
      </c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</row>
    <row r="87" spans="1:24">
      <c r="A87" s="108"/>
      <c r="B87" s="111" t="s">
        <v>1729</v>
      </c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</row>
    <row r="88" spans="1:24">
      <c r="A88" s="108"/>
      <c r="B88" s="111" t="s">
        <v>75</v>
      </c>
      <c r="C88" s="115">
        <v>45519</v>
      </c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</row>
    <row r="89" spans="1:24">
      <c r="A89" s="108"/>
      <c r="B89" s="111" t="s">
        <v>83</v>
      </c>
      <c r="C89" s="115">
        <v>49444</v>
      </c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</row>
    <row r="90" spans="1:24">
      <c r="A90" s="108"/>
      <c r="B90" s="111" t="s">
        <v>85</v>
      </c>
      <c r="C90" s="115">
        <v>53097</v>
      </c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</row>
    <row r="91" spans="1:24">
      <c r="A91" s="108"/>
      <c r="B91" s="111" t="s">
        <v>89</v>
      </c>
      <c r="C91" s="115">
        <v>44058</v>
      </c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</row>
    <row r="92" spans="1:24">
      <c r="A92" s="108"/>
      <c r="B92" s="111" t="s">
        <v>92</v>
      </c>
      <c r="C92" s="115">
        <v>45519</v>
      </c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</row>
    <row r="93" spans="1:24">
      <c r="A93" s="108"/>
      <c r="B93" s="111" t="s">
        <v>94</v>
      </c>
      <c r="C93" s="115">
        <v>46249</v>
      </c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</row>
    <row r="94" spans="1:24">
      <c r="A94" s="108"/>
      <c r="B94" s="111" t="s">
        <v>101</v>
      </c>
      <c r="C94" s="115">
        <v>49444</v>
      </c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</row>
    <row r="95" spans="1:24">
      <c r="A95" s="108"/>
      <c r="B95" s="111" t="s">
        <v>108</v>
      </c>
      <c r="C95" s="115">
        <v>53097</v>
      </c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</row>
    <row r="96" spans="1:24">
      <c r="A96" s="108"/>
      <c r="B96" s="111" t="s">
        <v>111</v>
      </c>
      <c r="C96" s="115">
        <v>55015</v>
      </c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</row>
    <row r="97" spans="1:24">
      <c r="A97" s="108"/>
      <c r="B97" s="111" t="s">
        <v>1730</v>
      </c>
      <c r="C97" s="115">
        <v>43831</v>
      </c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</row>
    <row r="98" spans="1:24">
      <c r="A98" s="108"/>
      <c r="B98" s="111" t="s">
        <v>20</v>
      </c>
      <c r="C98" s="115">
        <v>44197</v>
      </c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</row>
    <row r="99" spans="1:24">
      <c r="A99" s="108"/>
      <c r="B99" s="111" t="s">
        <v>23</v>
      </c>
      <c r="C99" s="115">
        <v>44562</v>
      </c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</row>
    <row r="100" spans="1:24">
      <c r="A100" s="108"/>
      <c r="B100" s="111" t="s">
        <v>27</v>
      </c>
      <c r="C100" s="115">
        <v>44927</v>
      </c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</row>
    <row r="101" spans="1:24">
      <c r="A101" s="108"/>
      <c r="B101" s="111" t="s">
        <v>32</v>
      </c>
      <c r="C101" s="115">
        <v>45658</v>
      </c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</row>
    <row r="102" spans="1:24">
      <c r="A102" s="108"/>
      <c r="B102" s="111" t="s">
        <v>40</v>
      </c>
      <c r="C102" s="115">
        <v>44197</v>
      </c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</row>
    <row r="103" spans="1:24">
      <c r="A103" s="108"/>
      <c r="B103" s="111" t="s">
        <v>44</v>
      </c>
      <c r="C103" s="115">
        <v>44927</v>
      </c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</row>
    <row r="104" spans="1:24">
      <c r="A104" s="108"/>
      <c r="B104" s="111" t="s">
        <v>48</v>
      </c>
      <c r="C104" s="115">
        <v>45658</v>
      </c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</row>
    <row r="105" spans="1:24">
      <c r="A105" s="108"/>
      <c r="B105" s="111" t="s">
        <v>51</v>
      </c>
      <c r="C105" s="115">
        <v>46388</v>
      </c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</row>
    <row r="106" spans="1:24">
      <c r="A106" s="108"/>
      <c r="B106" s="111" t="s">
        <v>54</v>
      </c>
      <c r="C106" s="115">
        <v>47119</v>
      </c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</row>
    <row r="107" spans="1:24">
      <c r="A107" s="108"/>
      <c r="B107" s="111" t="s">
        <v>60</v>
      </c>
      <c r="C107" s="115">
        <v>44256</v>
      </c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</row>
    <row r="108" spans="1:24">
      <c r="A108" s="108"/>
      <c r="B108" s="111" t="s">
        <v>64</v>
      </c>
      <c r="C108" s="115">
        <v>44986</v>
      </c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</row>
    <row r="109" spans="1:24">
      <c r="A109" s="108"/>
      <c r="B109" s="111" t="s">
        <v>67</v>
      </c>
      <c r="C109" s="115">
        <v>45717</v>
      </c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</row>
    <row r="110" spans="1:24">
      <c r="A110" s="108"/>
      <c r="B110" s="111" t="s">
        <v>71</v>
      </c>
      <c r="C110" s="115">
        <v>44287</v>
      </c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</row>
    <row r="111" spans="1:24">
      <c r="A111" s="108"/>
      <c r="B111" s="111" t="s">
        <v>73</v>
      </c>
      <c r="C111" s="115">
        <v>47849</v>
      </c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</row>
    <row r="112" spans="1:24">
      <c r="A112" s="108"/>
      <c r="B112" s="111" t="str">
        <f ca="1">IFERROR(__xludf.DUMMYFUNCTION("importrange(""https://docs.google.com/spreadsheets/d/1twE6-cpnyykguqtenQ2Owd-uI9WHiQFG1eK6m-cZxDM/edit#gid=847377895"",""Puxadora!b6:b1000"")"),"#REF!")</f>
        <v>#REF!</v>
      </c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</row>
    <row r="113" spans="1:24">
      <c r="A113" s="108"/>
      <c r="B113" s="111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</row>
    <row r="114" spans="1:24">
      <c r="A114" s="108"/>
      <c r="B114" s="111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</row>
    <row r="115" spans="1:24">
      <c r="A115" s="108"/>
      <c r="B115" s="111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</row>
    <row r="116" spans="1:24">
      <c r="A116" s="108"/>
      <c r="B116" s="111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</row>
    <row r="117" spans="1:24">
      <c r="A117" s="108"/>
      <c r="B117" s="111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</row>
    <row r="118" spans="1:24">
      <c r="A118" s="108"/>
      <c r="B118" s="111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</row>
    <row r="119" spans="1:24">
      <c r="A119" s="108"/>
      <c r="B119" s="111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</row>
    <row r="120" spans="1:24">
      <c r="A120" s="108"/>
      <c r="B120" s="111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</row>
    <row r="121" spans="1:24">
      <c r="A121" s="108"/>
      <c r="B121" s="111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</row>
    <row r="122" spans="1:24">
      <c r="A122" s="108"/>
      <c r="B122" s="111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</row>
    <row r="123" spans="1:24">
      <c r="A123" s="108"/>
      <c r="B123" s="111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</row>
    <row r="124" spans="1:24">
      <c r="A124" s="108"/>
      <c r="B124" s="111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</row>
    <row r="125" spans="1:24">
      <c r="A125" s="108"/>
      <c r="B125" s="111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</row>
    <row r="126" spans="1:24">
      <c r="A126" s="108"/>
      <c r="B126" s="111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</row>
    <row r="127" spans="1:24">
      <c r="A127" s="108"/>
      <c r="B127" s="111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</row>
    <row r="128" spans="1:24">
      <c r="A128" s="108"/>
      <c r="B128" s="111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</row>
    <row r="129" spans="1:24">
      <c r="A129" s="108"/>
      <c r="B129" s="111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</row>
    <row r="130" spans="1:24">
      <c r="A130" s="108"/>
      <c r="B130" s="111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</row>
    <row r="131" spans="1:24">
      <c r="A131" s="108"/>
      <c r="B131" s="111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</row>
    <row r="132" spans="1:24">
      <c r="A132" s="108"/>
      <c r="B132" s="111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</row>
    <row r="133" spans="1:24">
      <c r="A133" s="108"/>
      <c r="B133" s="111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</row>
    <row r="134" spans="1:24">
      <c r="A134" s="108"/>
      <c r="B134" s="111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</row>
    <row r="135" spans="1:24">
      <c r="A135" s="108"/>
      <c r="B135" s="111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</row>
    <row r="136" spans="1:24">
      <c r="A136" s="108"/>
      <c r="B136" s="111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</row>
    <row r="137" spans="1:24">
      <c r="A137" s="108"/>
      <c r="B137" s="111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</row>
    <row r="138" spans="1:24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</row>
    <row r="139" spans="1:24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</row>
    <row r="140" spans="1:24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</row>
    <row r="141" spans="1:24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</row>
    <row r="142" spans="1:24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</row>
    <row r="143" spans="1:24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</row>
    <row r="144" spans="1:24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</row>
    <row r="145" spans="1:24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</row>
    <row r="146" spans="1:24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</row>
    <row r="147" spans="1:24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</row>
    <row r="148" spans="1:24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</row>
    <row r="149" spans="1:24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</row>
    <row r="150" spans="1:24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</row>
    <row r="151" spans="1:24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</row>
    <row r="152" spans="1:24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</row>
    <row r="153" spans="1:24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</row>
    <row r="154" spans="1:24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</row>
    <row r="155" spans="1:24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</row>
    <row r="156" spans="1:24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</row>
    <row r="157" spans="1:24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</row>
    <row r="158" spans="1:24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</row>
    <row r="159" spans="1:24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</row>
    <row r="160" spans="1:24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</row>
    <row r="161" spans="1:24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</row>
    <row r="162" spans="1:24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</row>
    <row r="163" spans="1:24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</row>
    <row r="164" spans="1:24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</row>
    <row r="165" spans="1:24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</row>
    <row r="166" spans="1:24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</row>
    <row r="167" spans="1:24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</row>
    <row r="168" spans="1:24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</row>
    <row r="169" spans="1:24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</row>
    <row r="170" spans="1:24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</row>
    <row r="171" spans="1:24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</row>
    <row r="172" spans="1:24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</row>
    <row r="173" spans="1:24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</row>
    <row r="174" spans="1:24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</row>
    <row r="175" spans="1:24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</row>
    <row r="176" spans="1:24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</row>
    <row r="177" spans="1:24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</row>
    <row r="178" spans="1:24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</row>
    <row r="179" spans="1:24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</row>
    <row r="180" spans="1:24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</row>
    <row r="181" spans="1:24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</row>
    <row r="182" spans="1:24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</row>
    <row r="183" spans="1:24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</row>
    <row r="184" spans="1:2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</row>
    <row r="185" spans="1:24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</row>
    <row r="186" spans="1:24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</row>
    <row r="187" spans="1:24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</row>
    <row r="188" spans="1:24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</row>
    <row r="189" spans="1:24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</row>
    <row r="190" spans="1:24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</row>
    <row r="191" spans="1:24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</row>
    <row r="192" spans="1:24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</row>
    <row r="193" spans="1:24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</row>
    <row r="194" spans="1:2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</row>
    <row r="195" spans="1:24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</row>
    <row r="196" spans="1:24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</row>
    <row r="197" spans="1:24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</row>
    <row r="198" spans="1:24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</row>
    <row r="199" spans="1:24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</row>
    <row r="200" spans="1:24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</row>
    <row r="201" spans="1:24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</row>
    <row r="202" spans="1:24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</row>
    <row r="203" spans="1:24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</row>
    <row r="204" spans="1:2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</row>
    <row r="205" spans="1:24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</row>
    <row r="206" spans="1:24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</row>
    <row r="207" spans="1:24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</row>
    <row r="208" spans="1:24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</row>
    <row r="209" spans="1:24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</row>
    <row r="210" spans="1:24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</row>
    <row r="211" spans="1:24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</row>
    <row r="212" spans="1:24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</row>
    <row r="213" spans="1:24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</row>
    <row r="214" spans="1:2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</row>
    <row r="215" spans="1:24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</row>
    <row r="216" spans="1:24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</row>
    <row r="217" spans="1:24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</row>
    <row r="218" spans="1:24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</row>
    <row r="219" spans="1:24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</row>
    <row r="220" spans="1:24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</row>
    <row r="221" spans="1:24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</row>
    <row r="222" spans="1:24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</row>
    <row r="223" spans="1:24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</row>
    <row r="224" spans="1: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</row>
    <row r="225" spans="1:24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</row>
    <row r="226" spans="1:24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</row>
    <row r="227" spans="1:24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</row>
    <row r="228" spans="1:24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</row>
    <row r="229" spans="1:24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</row>
    <row r="230" spans="1:24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</row>
    <row r="231" spans="1:24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</row>
    <row r="232" spans="1:24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</row>
    <row r="233" spans="1:24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</row>
    <row r="234" spans="1:2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</row>
    <row r="235" spans="1:24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</row>
    <row r="236" spans="1:24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</row>
    <row r="237" spans="1:24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</row>
    <row r="238" spans="1:24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</row>
    <row r="239" spans="1:24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</row>
    <row r="240" spans="1:24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</row>
    <row r="241" spans="1:24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</row>
    <row r="242" spans="1:24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</row>
    <row r="243" spans="1:24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</row>
    <row r="244" spans="1:2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</row>
    <row r="245" spans="1:24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</row>
    <row r="246" spans="1:24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</row>
    <row r="247" spans="1:24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</row>
    <row r="248" spans="1:24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</row>
    <row r="249" spans="1:24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</row>
    <row r="250" spans="1:24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</row>
    <row r="251" spans="1:24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</row>
    <row r="252" spans="1:24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</row>
    <row r="253" spans="1:24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</row>
    <row r="254" spans="1:2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</row>
    <row r="255" spans="1:24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</row>
    <row r="256" spans="1:24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</row>
    <row r="257" spans="1:24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</row>
    <row r="258" spans="1:24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</row>
    <row r="259" spans="1:24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</row>
    <row r="260" spans="1:24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</row>
    <row r="261" spans="1:24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</row>
    <row r="262" spans="1:24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</row>
    <row r="263" spans="1:24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</row>
    <row r="264" spans="1:2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</row>
    <row r="265" spans="1:24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</row>
    <row r="266" spans="1:24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</row>
    <row r="267" spans="1:24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</row>
    <row r="268" spans="1:24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</row>
    <row r="269" spans="1:24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</row>
    <row r="270" spans="1:24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</row>
    <row r="271" spans="1:24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</row>
    <row r="272" spans="1:24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</row>
    <row r="273" spans="1:24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</row>
    <row r="274" spans="1:2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</row>
    <row r="275" spans="1:24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</row>
    <row r="276" spans="1:24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</row>
    <row r="277" spans="1:24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</row>
    <row r="278" spans="1:24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</row>
    <row r="279" spans="1:24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</row>
    <row r="280" spans="1:24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</row>
    <row r="281" spans="1:24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</row>
    <row r="282" spans="1:24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</row>
    <row r="283" spans="1:24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</row>
    <row r="284" spans="1:2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</row>
    <row r="285" spans="1:24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</row>
    <row r="286" spans="1:24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</row>
    <row r="287" spans="1:24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</row>
    <row r="288" spans="1:24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</row>
    <row r="289" spans="1:24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</row>
    <row r="290" spans="1:24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</row>
    <row r="291" spans="1:24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</row>
    <row r="292" spans="1:24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</row>
    <row r="293" spans="1:24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</row>
    <row r="294" spans="1:2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</row>
    <row r="295" spans="1:24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</row>
    <row r="296" spans="1:24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</row>
    <row r="297" spans="1:24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</row>
    <row r="298" spans="1:24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</row>
    <row r="299" spans="1:24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</row>
    <row r="300" spans="1:24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</row>
    <row r="301" spans="1:24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</row>
    <row r="302" spans="1:24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</row>
    <row r="303" spans="1:24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</row>
    <row r="304" spans="1:2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</row>
    <row r="305" spans="1:24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</row>
    <row r="306" spans="1:24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</row>
    <row r="307" spans="1:24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</row>
    <row r="308" spans="1:24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</row>
    <row r="309" spans="1:24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</row>
    <row r="310" spans="1:24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</row>
    <row r="311" spans="1:24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</row>
    <row r="312" spans="1:24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</row>
    <row r="313" spans="1:24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</row>
    <row r="314" spans="1:2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</row>
    <row r="315" spans="1:24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</row>
    <row r="316" spans="1:24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</row>
    <row r="317" spans="1:24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</row>
    <row r="318" spans="1:24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</row>
    <row r="319" spans="1:24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</row>
    <row r="320" spans="1:24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</row>
    <row r="321" spans="1:24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</row>
    <row r="322" spans="1:24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</row>
    <row r="323" spans="1:24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</row>
    <row r="324" spans="1: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</row>
    <row r="325" spans="1:24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</row>
    <row r="326" spans="1:24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</row>
    <row r="327" spans="1:24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</row>
    <row r="328" spans="1:24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</row>
    <row r="329" spans="1:24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</row>
    <row r="330" spans="1:24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</row>
    <row r="331" spans="1:24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</row>
    <row r="332" spans="1:24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</row>
    <row r="333" spans="1:24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</row>
    <row r="334" spans="1:2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</row>
    <row r="335" spans="1:24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</row>
    <row r="336" spans="1:24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</row>
    <row r="337" spans="1:24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</row>
    <row r="338" spans="1:24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</row>
    <row r="339" spans="1:24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</row>
    <row r="340" spans="1:24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</row>
    <row r="341" spans="1:24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</row>
    <row r="342" spans="1:24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</row>
    <row r="343" spans="1:24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</row>
    <row r="344" spans="1:2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</row>
    <row r="345" spans="1:24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</row>
    <row r="346" spans="1:24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</row>
    <row r="347" spans="1:24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</row>
    <row r="348" spans="1:24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</row>
    <row r="349" spans="1:24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</row>
    <row r="350" spans="1:24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</row>
    <row r="351" spans="1:24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</row>
    <row r="352" spans="1:24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</row>
    <row r="353" spans="1:24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</row>
    <row r="354" spans="1:2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</row>
    <row r="355" spans="1:24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</row>
    <row r="356" spans="1:24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</row>
    <row r="357" spans="1:24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</row>
    <row r="358" spans="1:24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</row>
    <row r="359" spans="1:24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</row>
    <row r="360" spans="1:24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</row>
    <row r="361" spans="1:24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</row>
    <row r="362" spans="1:24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</row>
    <row r="363" spans="1:24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</row>
    <row r="364" spans="1:2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</row>
    <row r="365" spans="1:24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</row>
    <row r="366" spans="1:24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</row>
    <row r="367" spans="1:24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</row>
    <row r="368" spans="1:24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</row>
    <row r="369" spans="1:24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</row>
    <row r="370" spans="1:24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</row>
    <row r="371" spans="1:24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</row>
    <row r="372" spans="1:24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</row>
    <row r="373" spans="1:24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</row>
    <row r="374" spans="1:2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</row>
    <row r="375" spans="1:24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</row>
    <row r="376" spans="1:24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</row>
    <row r="377" spans="1:24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</row>
    <row r="378" spans="1:24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</row>
    <row r="379" spans="1:24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</row>
    <row r="380" spans="1:24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</row>
    <row r="381" spans="1:24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</row>
    <row r="382" spans="1:24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</row>
    <row r="383" spans="1:24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</row>
    <row r="384" spans="1:2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</row>
    <row r="385" spans="1:24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</row>
    <row r="386" spans="1:24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</row>
    <row r="387" spans="1:24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</row>
    <row r="388" spans="1:24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</row>
    <row r="389" spans="1:24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</row>
    <row r="390" spans="1:24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</row>
    <row r="391" spans="1:24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</row>
    <row r="392" spans="1:24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</row>
    <row r="393" spans="1:24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</row>
    <row r="394" spans="1:2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</row>
    <row r="395" spans="1:24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</row>
    <row r="396" spans="1:24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</row>
    <row r="397" spans="1:24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</row>
    <row r="398" spans="1:24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</row>
    <row r="399" spans="1:24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</row>
    <row r="400" spans="1:24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</row>
    <row r="401" spans="1:24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</row>
    <row r="402" spans="1:24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</row>
    <row r="403" spans="1:24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</row>
    <row r="404" spans="1:2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</row>
    <row r="405" spans="1:24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</row>
    <row r="406" spans="1:24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</row>
    <row r="407" spans="1:24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</row>
    <row r="408" spans="1:24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</row>
    <row r="409" spans="1:24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</row>
    <row r="410" spans="1:24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</row>
    <row r="411" spans="1:24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</row>
    <row r="412" spans="1:24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</row>
    <row r="413" spans="1:24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</row>
    <row r="414" spans="1:2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</row>
    <row r="415" spans="1:24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</row>
    <row r="416" spans="1:24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</row>
    <row r="417" spans="1:24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</row>
    <row r="418" spans="1:24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</row>
    <row r="419" spans="1:24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</row>
    <row r="420" spans="1:24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</row>
    <row r="421" spans="1:24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</row>
    <row r="422" spans="1:24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</row>
    <row r="423" spans="1:24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</row>
    <row r="424" spans="1: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</row>
    <row r="425" spans="1:24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</row>
    <row r="426" spans="1:24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</row>
    <row r="427" spans="1:24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</row>
    <row r="428" spans="1:24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</row>
    <row r="429" spans="1:24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</row>
    <row r="430" spans="1:24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</row>
    <row r="431" spans="1:24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</row>
    <row r="432" spans="1:24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</row>
    <row r="433" spans="1:24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</row>
    <row r="434" spans="1:2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</row>
    <row r="435" spans="1:24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</row>
    <row r="436" spans="1:24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</row>
    <row r="437" spans="1:24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</row>
    <row r="438" spans="1:24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</row>
    <row r="439" spans="1:24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</row>
    <row r="440" spans="1:24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</row>
    <row r="441" spans="1:24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</row>
    <row r="442" spans="1:24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</row>
    <row r="443" spans="1:24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</row>
    <row r="444" spans="1:2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</row>
    <row r="445" spans="1:24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</row>
    <row r="446" spans="1:24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</row>
    <row r="447" spans="1:24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</row>
    <row r="448" spans="1:24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</row>
    <row r="449" spans="1:24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</row>
    <row r="450" spans="1:24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</row>
    <row r="451" spans="1:24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</row>
    <row r="452" spans="1:24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</row>
    <row r="453" spans="1:24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</row>
    <row r="454" spans="1:2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</row>
    <row r="455" spans="1:24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</row>
    <row r="456" spans="1:24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</row>
    <row r="457" spans="1:24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</row>
    <row r="458" spans="1:24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</row>
    <row r="459" spans="1:24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</row>
    <row r="460" spans="1:24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</row>
    <row r="461" spans="1:24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</row>
    <row r="462" spans="1:24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</row>
    <row r="463" spans="1:24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</row>
    <row r="464" spans="1:2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</row>
    <row r="465" spans="1:24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</row>
    <row r="466" spans="1:24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</row>
    <row r="467" spans="1:24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</row>
    <row r="468" spans="1:24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</row>
    <row r="469" spans="1:24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</row>
    <row r="470" spans="1:24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</row>
    <row r="471" spans="1:24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</row>
    <row r="472" spans="1:24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</row>
    <row r="473" spans="1:24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</row>
    <row r="474" spans="1:2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</row>
    <row r="475" spans="1:24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</row>
    <row r="476" spans="1:24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</row>
    <row r="477" spans="1:24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</row>
    <row r="478" spans="1:24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</row>
    <row r="479" spans="1:24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</row>
    <row r="480" spans="1:24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</row>
    <row r="481" spans="1:24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</row>
    <row r="482" spans="1:24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</row>
    <row r="483" spans="1:24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</row>
    <row r="484" spans="1:2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</row>
    <row r="485" spans="1:24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</row>
    <row r="486" spans="1:24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</row>
    <row r="487" spans="1:24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</row>
    <row r="488" spans="1:24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</row>
    <row r="489" spans="1:24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</row>
    <row r="490" spans="1:24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</row>
    <row r="491" spans="1:24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</row>
    <row r="492" spans="1:24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</row>
    <row r="493" spans="1:24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</row>
    <row r="494" spans="1:2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</row>
    <row r="495" spans="1:24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</row>
    <row r="496" spans="1:24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</row>
    <row r="497" spans="1:24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</row>
    <row r="498" spans="1:24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</row>
    <row r="499" spans="1:24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</row>
    <row r="500" spans="1:24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</row>
    <row r="501" spans="1:24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</row>
    <row r="502" spans="1:24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</row>
    <row r="503" spans="1:24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</row>
    <row r="504" spans="1:2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</row>
    <row r="505" spans="1:24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</row>
    <row r="506" spans="1:24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</row>
    <row r="507" spans="1:24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</row>
    <row r="508" spans="1:24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</row>
    <row r="509" spans="1:24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</row>
    <row r="510" spans="1:24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</row>
    <row r="511" spans="1:24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</row>
    <row r="512" spans="1:24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</row>
    <row r="513" spans="1:24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</row>
    <row r="514" spans="1:2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</row>
    <row r="515" spans="1:24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</row>
    <row r="516" spans="1:24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</row>
    <row r="517" spans="1:24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</row>
    <row r="518" spans="1:24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</row>
    <row r="519" spans="1:24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</row>
    <row r="520" spans="1:24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</row>
    <row r="521" spans="1:24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</row>
    <row r="522" spans="1:24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</row>
    <row r="523" spans="1:24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</row>
    <row r="524" spans="1: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</row>
    <row r="525" spans="1:24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</row>
    <row r="526" spans="1:24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</row>
    <row r="527" spans="1:24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</row>
    <row r="528" spans="1:24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</row>
    <row r="529" spans="1:24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</row>
    <row r="530" spans="1:24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</row>
    <row r="531" spans="1:24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</row>
    <row r="532" spans="1:24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</row>
    <row r="533" spans="1:24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</row>
    <row r="534" spans="1:2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</row>
    <row r="535" spans="1:24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</row>
    <row r="536" spans="1:24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</row>
    <row r="537" spans="1:24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</row>
    <row r="538" spans="1:24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</row>
    <row r="539" spans="1:24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</row>
    <row r="540" spans="1:24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</row>
    <row r="541" spans="1:24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</row>
    <row r="542" spans="1:24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</row>
    <row r="543" spans="1:24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</row>
    <row r="544" spans="1:2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</row>
    <row r="545" spans="1:24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</row>
    <row r="546" spans="1:24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</row>
    <row r="547" spans="1:24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</row>
    <row r="548" spans="1:24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</row>
    <row r="549" spans="1:24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</row>
    <row r="550" spans="1:24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</row>
    <row r="551" spans="1:24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</row>
    <row r="552" spans="1:24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</row>
    <row r="553" spans="1:24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</row>
    <row r="554" spans="1:2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</row>
    <row r="555" spans="1:24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</row>
    <row r="556" spans="1:24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</row>
    <row r="557" spans="1:24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</row>
    <row r="558" spans="1:24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</row>
    <row r="559" spans="1:24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</row>
    <row r="560" spans="1:24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</row>
    <row r="561" spans="1:24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</row>
    <row r="562" spans="1:24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</row>
    <row r="563" spans="1:24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</row>
    <row r="564" spans="1:2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</row>
    <row r="565" spans="1:24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</row>
    <row r="566" spans="1:24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</row>
    <row r="567" spans="1:24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</row>
    <row r="568" spans="1:24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</row>
    <row r="569" spans="1:24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</row>
    <row r="570" spans="1:24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</row>
    <row r="571" spans="1:24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</row>
    <row r="572" spans="1:24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</row>
    <row r="573" spans="1:24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</row>
    <row r="574" spans="1:2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</row>
    <row r="575" spans="1:24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</row>
    <row r="576" spans="1:24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</row>
    <row r="577" spans="1:24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</row>
    <row r="578" spans="1:24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</row>
    <row r="579" spans="1:24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</row>
    <row r="580" spans="1:24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</row>
    <row r="581" spans="1:24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</row>
    <row r="582" spans="1:24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</row>
    <row r="583" spans="1:24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</row>
    <row r="584" spans="1:2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</row>
    <row r="585" spans="1:24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</row>
    <row r="586" spans="1:24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</row>
    <row r="587" spans="1:24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</row>
    <row r="588" spans="1:24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</row>
    <row r="589" spans="1:24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</row>
    <row r="590" spans="1:24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</row>
    <row r="591" spans="1:24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</row>
    <row r="592" spans="1:24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</row>
    <row r="593" spans="1:24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</row>
    <row r="594" spans="1:2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</row>
    <row r="595" spans="1:24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</row>
    <row r="596" spans="1:24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</row>
    <row r="597" spans="1:24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</row>
    <row r="598" spans="1:24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</row>
    <row r="599" spans="1:24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</row>
    <row r="600" spans="1:24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</row>
    <row r="601" spans="1:24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</row>
    <row r="602" spans="1:24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</row>
    <row r="603" spans="1:24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</row>
    <row r="604" spans="1:2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</row>
    <row r="605" spans="1:24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</row>
    <row r="606" spans="1:24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</row>
    <row r="607" spans="1:24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</row>
    <row r="608" spans="1:24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</row>
    <row r="609" spans="1:24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</row>
    <row r="610" spans="1:24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</row>
    <row r="611" spans="1:24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</row>
    <row r="612" spans="1:24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</row>
    <row r="613" spans="1:24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</row>
    <row r="614" spans="1:2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</row>
    <row r="615" spans="1:24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</row>
    <row r="616" spans="1:24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</row>
    <row r="617" spans="1:24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</row>
    <row r="618" spans="1:24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</row>
    <row r="619" spans="1:24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</row>
    <row r="620" spans="1:24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</row>
    <row r="621" spans="1:24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</row>
    <row r="622" spans="1:24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</row>
    <row r="623" spans="1:24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</row>
    <row r="624" spans="1: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</row>
    <row r="625" spans="1:24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</row>
    <row r="626" spans="1:24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</row>
    <row r="627" spans="1:24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</row>
    <row r="628" spans="1:24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</row>
    <row r="629" spans="1:24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</row>
    <row r="630" spans="1:24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</row>
    <row r="631" spans="1:24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</row>
    <row r="632" spans="1:24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</row>
    <row r="633" spans="1:24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</row>
    <row r="634" spans="1:2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</row>
    <row r="635" spans="1:24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</row>
    <row r="636" spans="1:24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</row>
    <row r="637" spans="1:24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</row>
    <row r="638" spans="1:24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</row>
    <row r="639" spans="1:24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</row>
    <row r="640" spans="1:24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</row>
    <row r="641" spans="1:24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</row>
    <row r="642" spans="1:24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</row>
    <row r="643" spans="1:24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</row>
    <row r="644" spans="1:2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</row>
    <row r="645" spans="1:24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</row>
    <row r="646" spans="1:24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</row>
    <row r="647" spans="1:24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</row>
    <row r="648" spans="1:24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</row>
    <row r="649" spans="1:24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</row>
    <row r="650" spans="1:24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</row>
    <row r="651" spans="1:24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</row>
    <row r="652" spans="1:24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</row>
    <row r="653" spans="1:24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</row>
    <row r="654" spans="1:2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</row>
    <row r="655" spans="1:24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</row>
    <row r="656" spans="1:24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</row>
    <row r="657" spans="1:24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</row>
    <row r="658" spans="1:24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</row>
    <row r="659" spans="1:24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</row>
    <row r="660" spans="1:24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</row>
    <row r="661" spans="1:24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</row>
    <row r="662" spans="1:24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</row>
    <row r="663" spans="1:24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</row>
    <row r="664" spans="1:2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</row>
    <row r="665" spans="1:24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</row>
    <row r="666" spans="1:24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</row>
    <row r="667" spans="1:24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</row>
    <row r="668" spans="1:24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</row>
    <row r="669" spans="1:24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</row>
    <row r="670" spans="1:24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</row>
    <row r="671" spans="1:24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</row>
    <row r="672" spans="1:24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</row>
    <row r="673" spans="1:24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</row>
    <row r="674" spans="1:2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</row>
    <row r="675" spans="1:24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</row>
    <row r="676" spans="1:24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</row>
    <row r="677" spans="1:24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</row>
    <row r="678" spans="1:24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</row>
    <row r="679" spans="1:24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</row>
    <row r="680" spans="1:24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</row>
    <row r="681" spans="1:24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</row>
    <row r="682" spans="1:24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</row>
    <row r="683" spans="1:24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</row>
    <row r="684" spans="1:2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</row>
    <row r="685" spans="1:24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</row>
    <row r="686" spans="1:24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</row>
    <row r="687" spans="1:24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</row>
    <row r="688" spans="1:24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</row>
    <row r="689" spans="1:24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</row>
    <row r="690" spans="1:24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</row>
    <row r="691" spans="1:24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</row>
    <row r="692" spans="1:24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</row>
    <row r="693" spans="1:24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</row>
    <row r="694" spans="1:2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</row>
    <row r="695" spans="1:24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</row>
    <row r="696" spans="1:24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</row>
    <row r="697" spans="1:24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</row>
    <row r="698" spans="1:24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</row>
    <row r="699" spans="1:24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</row>
    <row r="700" spans="1:24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</row>
    <row r="701" spans="1:24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</row>
    <row r="702" spans="1:24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</row>
    <row r="703" spans="1:24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</row>
    <row r="704" spans="1:2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</row>
    <row r="705" spans="1:24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</row>
    <row r="706" spans="1:24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</row>
    <row r="707" spans="1:24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</row>
    <row r="708" spans="1:24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</row>
    <row r="709" spans="1:24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</row>
    <row r="710" spans="1:24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</row>
    <row r="711" spans="1:24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</row>
    <row r="712" spans="1:24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</row>
    <row r="713" spans="1:24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</row>
    <row r="714" spans="1:2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</row>
    <row r="715" spans="1:24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</row>
    <row r="716" spans="1:24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</row>
    <row r="717" spans="1:24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</row>
    <row r="718" spans="1:24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</row>
    <row r="719" spans="1:24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</row>
    <row r="720" spans="1:24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</row>
    <row r="721" spans="1:24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</row>
    <row r="722" spans="1:24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</row>
    <row r="723" spans="1:24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</row>
    <row r="724" spans="1: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</row>
    <row r="725" spans="1:24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</row>
    <row r="726" spans="1:24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</row>
    <row r="727" spans="1:24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</row>
    <row r="728" spans="1:24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</row>
    <row r="729" spans="1:24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</row>
    <row r="730" spans="1:24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</row>
    <row r="731" spans="1:24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</row>
    <row r="732" spans="1:24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</row>
    <row r="733" spans="1:24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</row>
    <row r="734" spans="1:2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</row>
    <row r="735" spans="1:24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</row>
    <row r="736" spans="1:24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</row>
    <row r="737" spans="1:24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</row>
    <row r="738" spans="1:24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</row>
    <row r="739" spans="1:24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</row>
    <row r="740" spans="1:24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</row>
    <row r="741" spans="1:24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</row>
    <row r="742" spans="1:24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</row>
    <row r="743" spans="1:24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</row>
    <row r="744" spans="1:2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</row>
    <row r="745" spans="1:24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</row>
    <row r="746" spans="1:24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</row>
    <row r="747" spans="1:24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</row>
    <row r="748" spans="1:24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</row>
    <row r="749" spans="1:24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</row>
    <row r="750" spans="1:24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</row>
    <row r="751" spans="1:24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</row>
    <row r="752" spans="1:24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</row>
    <row r="753" spans="1:24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</row>
    <row r="754" spans="1:2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</row>
    <row r="755" spans="1:24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</row>
    <row r="756" spans="1:24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</row>
    <row r="757" spans="1:24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</row>
    <row r="758" spans="1:24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</row>
    <row r="759" spans="1:24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</row>
    <row r="760" spans="1:24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</row>
    <row r="761" spans="1:24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</row>
    <row r="762" spans="1:24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</row>
    <row r="763" spans="1:24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</row>
    <row r="764" spans="1:2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</row>
    <row r="765" spans="1:24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</row>
    <row r="766" spans="1:24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</row>
    <row r="767" spans="1:24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</row>
    <row r="768" spans="1:24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</row>
    <row r="769" spans="1:24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</row>
    <row r="770" spans="1:24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</row>
    <row r="771" spans="1:24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</row>
    <row r="772" spans="1:24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</row>
    <row r="773" spans="1:24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</row>
    <row r="774" spans="1:2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</row>
    <row r="775" spans="1:24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</row>
    <row r="776" spans="1:24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</row>
    <row r="777" spans="1:24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</row>
    <row r="778" spans="1:24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</row>
    <row r="779" spans="1:24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</row>
    <row r="780" spans="1:24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</row>
    <row r="781" spans="1:24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</row>
    <row r="782" spans="1:24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</row>
    <row r="783" spans="1:24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</row>
    <row r="784" spans="1:2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</row>
    <row r="785" spans="1:24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</row>
    <row r="786" spans="1:24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</row>
    <row r="787" spans="1:24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</row>
    <row r="788" spans="1:24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</row>
    <row r="789" spans="1:24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</row>
    <row r="790" spans="1:24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</row>
    <row r="791" spans="1:24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</row>
    <row r="792" spans="1:24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</row>
    <row r="793" spans="1:24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</row>
    <row r="794" spans="1:2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</row>
    <row r="795" spans="1:24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</row>
    <row r="796" spans="1:24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</row>
    <row r="797" spans="1:24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</row>
    <row r="798" spans="1:24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</row>
    <row r="799" spans="1:24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</row>
    <row r="800" spans="1:24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</row>
    <row r="801" spans="1:24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</row>
    <row r="802" spans="1:24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</row>
    <row r="803" spans="1:24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</row>
    <row r="804" spans="1:2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</row>
    <row r="805" spans="1:24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</row>
    <row r="806" spans="1:24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</row>
    <row r="807" spans="1:24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</row>
    <row r="808" spans="1:24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</row>
    <row r="809" spans="1:24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</row>
    <row r="810" spans="1:24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</row>
    <row r="811" spans="1:24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</row>
    <row r="812" spans="1:24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</row>
    <row r="813" spans="1:24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</row>
    <row r="814" spans="1:2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</row>
    <row r="815" spans="1:24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</row>
    <row r="816" spans="1:24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</row>
    <row r="817" spans="1:24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</row>
    <row r="818" spans="1:24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</row>
    <row r="819" spans="1:24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</row>
    <row r="820" spans="1:24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</row>
    <row r="821" spans="1:24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</row>
    <row r="822" spans="1:24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</row>
    <row r="823" spans="1:24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</row>
    <row r="824" spans="1: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</row>
    <row r="825" spans="1:24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</row>
    <row r="826" spans="1:24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</row>
    <row r="827" spans="1:24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</row>
    <row r="828" spans="1:24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</row>
    <row r="829" spans="1:24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</row>
    <row r="830" spans="1:24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</row>
    <row r="831" spans="1:24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</row>
    <row r="832" spans="1:24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</row>
    <row r="833" spans="1:24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</row>
    <row r="834" spans="1:2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</row>
    <row r="835" spans="1:24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</row>
    <row r="836" spans="1:24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</row>
    <row r="837" spans="1:24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</row>
    <row r="838" spans="1:24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</row>
    <row r="839" spans="1:24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</row>
    <row r="840" spans="1:24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</row>
    <row r="841" spans="1:24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</row>
    <row r="842" spans="1:24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</row>
    <row r="843" spans="1:24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</row>
    <row r="844" spans="1:2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</row>
    <row r="845" spans="1:24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</row>
    <row r="846" spans="1:24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</row>
    <row r="847" spans="1:24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</row>
    <row r="848" spans="1:24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</row>
    <row r="849" spans="1:24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</row>
    <row r="850" spans="1:24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</row>
    <row r="851" spans="1:24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</row>
    <row r="852" spans="1:24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</row>
    <row r="853" spans="1:24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</row>
    <row r="854" spans="1:2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</row>
    <row r="855" spans="1:24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</row>
    <row r="856" spans="1:24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</row>
    <row r="857" spans="1:24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</row>
    <row r="858" spans="1:24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</row>
    <row r="859" spans="1:24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</row>
    <row r="860" spans="1:24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</row>
    <row r="861" spans="1:24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</row>
    <row r="862" spans="1:24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</row>
    <row r="863" spans="1:24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</row>
    <row r="864" spans="1:2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</row>
    <row r="865" spans="1:24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</row>
    <row r="866" spans="1:24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</row>
    <row r="867" spans="1:24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</row>
    <row r="868" spans="1:24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</row>
    <row r="869" spans="1:24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</row>
    <row r="870" spans="1:24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</row>
    <row r="871" spans="1:24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</row>
    <row r="872" spans="1:24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</row>
    <row r="873" spans="1:24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</row>
    <row r="874" spans="1:2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</row>
    <row r="875" spans="1:24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</row>
    <row r="876" spans="1:24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</row>
    <row r="877" spans="1:24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</row>
    <row r="878" spans="1:24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</row>
    <row r="879" spans="1:24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</row>
    <row r="880" spans="1:24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</row>
    <row r="881" spans="1:24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</row>
    <row r="882" spans="1:24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</row>
    <row r="883" spans="1:24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</row>
    <row r="884" spans="1:2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</row>
    <row r="885" spans="1:24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</row>
    <row r="886" spans="1:24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</row>
    <row r="887" spans="1:24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</row>
    <row r="888" spans="1:24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</row>
    <row r="889" spans="1:24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</row>
    <row r="890" spans="1:24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</row>
    <row r="891" spans="1:24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</row>
    <row r="892" spans="1:24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</row>
    <row r="893" spans="1:24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</row>
    <row r="894" spans="1:2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</row>
    <row r="895" spans="1:24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</row>
    <row r="896" spans="1:24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</row>
    <row r="897" spans="1:24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</row>
    <row r="898" spans="1:24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</row>
    <row r="899" spans="1:24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</row>
    <row r="900" spans="1:24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</row>
    <row r="901" spans="1:24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</row>
    <row r="902" spans="1:24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</row>
    <row r="903" spans="1:24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</row>
    <row r="904" spans="1:2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</row>
    <row r="905" spans="1:24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</row>
    <row r="906" spans="1:24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</row>
    <row r="907" spans="1:24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</row>
    <row r="908" spans="1:24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</row>
    <row r="909" spans="1:24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</row>
    <row r="910" spans="1:24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</row>
    <row r="911" spans="1:24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</row>
    <row r="912" spans="1:24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</row>
    <row r="913" spans="1:24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</row>
    <row r="914" spans="1:2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</row>
    <row r="915" spans="1:24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</row>
    <row r="916" spans="1:24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</row>
    <row r="917" spans="1:24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</row>
    <row r="918" spans="1:24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</row>
    <row r="919" spans="1:24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</row>
    <row r="920" spans="1:24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</row>
    <row r="921" spans="1:24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</row>
    <row r="922" spans="1:24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</row>
    <row r="923" spans="1:24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</row>
    <row r="924" spans="1: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</row>
    <row r="925" spans="1:24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</row>
    <row r="926" spans="1:24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</row>
    <row r="927" spans="1:24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</row>
    <row r="928" spans="1:24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</row>
    <row r="929" spans="1:24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</row>
    <row r="930" spans="1:24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</row>
    <row r="931" spans="1:24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</row>
    <row r="932" spans="1:24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</row>
    <row r="933" spans="1:24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</row>
    <row r="934" spans="1:2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</row>
    <row r="935" spans="1:24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</row>
    <row r="936" spans="1:24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</row>
    <row r="937" spans="1:24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</row>
    <row r="938" spans="1:24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</row>
    <row r="939" spans="1:24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</row>
    <row r="940" spans="1:24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</row>
    <row r="941" spans="1:24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</row>
    <row r="942" spans="1:24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</row>
    <row r="943" spans="1:24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</row>
    <row r="944" spans="1:2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</row>
    <row r="945" spans="1:24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</row>
    <row r="946" spans="1:24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</row>
    <row r="947" spans="1:24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</row>
    <row r="948" spans="1:24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</row>
    <row r="949" spans="1:24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</row>
    <row r="950" spans="1:24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</row>
    <row r="951" spans="1:24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</row>
    <row r="952" spans="1:24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</row>
    <row r="953" spans="1:24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</row>
    <row r="954" spans="1:2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</row>
    <row r="955" spans="1:24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</row>
    <row r="956" spans="1:24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</row>
    <row r="957" spans="1:24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</row>
    <row r="958" spans="1:24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</row>
    <row r="959" spans="1:24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</row>
    <row r="960" spans="1:24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</row>
    <row r="961" spans="1:24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</row>
    <row r="962" spans="1:24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</row>
    <row r="963" spans="1:24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</row>
    <row r="964" spans="1:2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</row>
    <row r="965" spans="1:24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</row>
    <row r="966" spans="1:24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</row>
    <row r="967" spans="1:24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</row>
    <row r="968" spans="1:24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</row>
    <row r="969" spans="1:24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</row>
    <row r="970" spans="1:24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</row>
    <row r="971" spans="1:24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</row>
    <row r="972" spans="1:24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</row>
    <row r="973" spans="1:24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</row>
    <row r="974" spans="1:2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</row>
    <row r="975" spans="1:24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</row>
    <row r="976" spans="1:24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</row>
    <row r="977" spans="1:24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</row>
    <row r="978" spans="1:24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</row>
    <row r="979" spans="1:24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</row>
    <row r="980" spans="1:24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</row>
    <row r="981" spans="1:24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</row>
    <row r="982" spans="1:24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</row>
    <row r="983" spans="1:24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</row>
    <row r="984" spans="1:2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</row>
    <row r="985" spans="1:24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</row>
    <row r="986" spans="1:24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</row>
    <row r="987" spans="1:24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</row>
    <row r="988" spans="1:24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</row>
    <row r="989" spans="1:24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</row>
    <row r="990" spans="1:24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</row>
    <row r="991" spans="1:24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</row>
    <row r="992" spans="1:24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</row>
    <row r="993" spans="1:24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</row>
    <row r="994" spans="1:24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</row>
    <row r="995" spans="1:24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</row>
    <row r="996" spans="1:24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</row>
    <row r="997" spans="1:24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</row>
    <row r="998" spans="1:24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</row>
    <row r="999" spans="1:24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</row>
    <row r="1000" spans="1:24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</row>
    <row r="1001" spans="1:24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</row>
    <row r="1002" spans="1:24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</row>
    <row r="1003" spans="1:24">
      <c r="A1003" s="108"/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</row>
    <row r="1004" spans="1:24">
      <c r="A1004" s="108"/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</row>
    <row r="1005" spans="1:24">
      <c r="A1005" s="108"/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</row>
    <row r="1006" spans="1:24">
      <c r="A1006" s="108"/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</row>
    <row r="1007" spans="1:24">
      <c r="A1007" s="108"/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</row>
    <row r="1008" spans="1:24">
      <c r="A1008" s="108"/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</row>
    <row r="1009" spans="1:24">
      <c r="A1009" s="108"/>
      <c r="B1009" s="108"/>
      <c r="C1009" s="108"/>
      <c r="D1009" s="108"/>
      <c r="E1009" s="108"/>
      <c r="F1009" s="108"/>
      <c r="G1009" s="108"/>
      <c r="H1009" s="108"/>
      <c r="I1009" s="108"/>
      <c r="J1009" s="108"/>
      <c r="K1009" s="108"/>
      <c r="L1009" s="108"/>
      <c r="M1009" s="108"/>
      <c r="N1009" s="108"/>
      <c r="O1009" s="108"/>
      <c r="P1009" s="108"/>
      <c r="Q1009" s="108"/>
      <c r="R1009" s="108"/>
      <c r="S1009" s="108"/>
      <c r="T1009" s="108"/>
      <c r="U1009" s="108"/>
      <c r="V1009" s="108"/>
      <c r="W1009" s="108"/>
      <c r="X1009" s="108"/>
    </row>
    <row r="1010" spans="1:24">
      <c r="A1010" s="108"/>
      <c r="B1010" s="108"/>
      <c r="C1010" s="108"/>
      <c r="D1010" s="108"/>
      <c r="E1010" s="108"/>
      <c r="F1010" s="108"/>
      <c r="G1010" s="108"/>
      <c r="H1010" s="108"/>
      <c r="I1010" s="108"/>
      <c r="J1010" s="108"/>
      <c r="K1010" s="108"/>
      <c r="L1010" s="108"/>
      <c r="M1010" s="108"/>
      <c r="N1010" s="108"/>
      <c r="O1010" s="108"/>
      <c r="P1010" s="108"/>
      <c r="Q1010" s="108"/>
      <c r="R1010" s="108"/>
      <c r="S1010" s="108"/>
      <c r="T1010" s="108"/>
      <c r="U1010" s="108"/>
      <c r="V1010" s="108"/>
      <c r="W1010" s="108"/>
      <c r="X1010" s="108"/>
    </row>
    <row r="1011" spans="1:24">
      <c r="A1011" s="108"/>
      <c r="B1011" s="108"/>
      <c r="C1011" s="108"/>
      <c r="D1011" s="108"/>
      <c r="E1011" s="108"/>
      <c r="F1011" s="108"/>
      <c r="G1011" s="108"/>
      <c r="H1011" s="108"/>
      <c r="I1011" s="108"/>
      <c r="J1011" s="108"/>
      <c r="K1011" s="108"/>
      <c r="L1011" s="108"/>
      <c r="M1011" s="108"/>
      <c r="N1011" s="108"/>
      <c r="O1011" s="108"/>
      <c r="P1011" s="108"/>
      <c r="Q1011" s="108"/>
      <c r="R1011" s="108"/>
      <c r="S1011" s="108"/>
      <c r="T1011" s="108"/>
      <c r="U1011" s="108"/>
      <c r="V1011" s="108"/>
      <c r="W1011" s="108"/>
      <c r="X1011" s="108"/>
    </row>
    <row r="1012" spans="1:24">
      <c r="A1012" s="108"/>
      <c r="B1012" s="108"/>
      <c r="C1012" s="108"/>
      <c r="D1012" s="108"/>
      <c r="E1012" s="108"/>
      <c r="F1012" s="108"/>
      <c r="G1012" s="108"/>
      <c r="H1012" s="108"/>
      <c r="I1012" s="108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108"/>
      <c r="X1012" s="108"/>
    </row>
    <row r="1013" spans="1:24">
      <c r="A1013" s="108"/>
      <c r="B1013" s="108"/>
      <c r="C1013" s="108"/>
      <c r="D1013" s="108"/>
      <c r="E1013" s="108"/>
      <c r="F1013" s="108"/>
      <c r="G1013" s="108"/>
      <c r="H1013" s="108"/>
      <c r="I1013" s="108"/>
      <c r="J1013" s="108"/>
      <c r="K1013" s="108"/>
      <c r="L1013" s="108"/>
      <c r="M1013" s="108"/>
      <c r="N1013" s="108"/>
      <c r="O1013" s="108"/>
      <c r="P1013" s="108"/>
      <c r="Q1013" s="108"/>
      <c r="R1013" s="108"/>
      <c r="S1013" s="108"/>
      <c r="T1013" s="108"/>
      <c r="U1013" s="108"/>
      <c r="V1013" s="108"/>
      <c r="W1013" s="108"/>
      <c r="X1013" s="108"/>
    </row>
    <row r="1014" spans="1:24">
      <c r="A1014" s="108"/>
      <c r="B1014" s="108"/>
      <c r="C1014" s="108"/>
      <c r="D1014" s="108"/>
      <c r="E1014" s="108"/>
      <c r="F1014" s="108"/>
      <c r="G1014" s="108"/>
      <c r="H1014" s="108"/>
      <c r="I1014" s="108"/>
      <c r="J1014" s="108"/>
      <c r="K1014" s="108"/>
      <c r="L1014" s="108"/>
      <c r="M1014" s="108"/>
      <c r="N1014" s="108"/>
      <c r="O1014" s="108"/>
      <c r="P1014" s="108"/>
      <c r="Q1014" s="108"/>
      <c r="R1014" s="108"/>
      <c r="S1014" s="108"/>
      <c r="T1014" s="108"/>
      <c r="U1014" s="108"/>
      <c r="V1014" s="108"/>
      <c r="W1014" s="108"/>
      <c r="X1014" s="108"/>
    </row>
    <row r="1015" spans="1:24">
      <c r="A1015" s="108"/>
      <c r="B1015" s="108"/>
      <c r="C1015" s="108"/>
      <c r="D1015" s="108"/>
      <c r="E1015" s="108"/>
      <c r="F1015" s="108"/>
      <c r="G1015" s="108"/>
      <c r="H1015" s="108"/>
      <c r="I1015" s="108"/>
      <c r="J1015" s="108"/>
      <c r="K1015" s="108"/>
      <c r="L1015" s="108"/>
      <c r="M1015" s="108"/>
      <c r="N1015" s="108"/>
      <c r="O1015" s="108"/>
      <c r="P1015" s="108"/>
      <c r="Q1015" s="108"/>
      <c r="R1015" s="108"/>
      <c r="S1015" s="108"/>
      <c r="T1015" s="108"/>
      <c r="U1015" s="108"/>
      <c r="V1015" s="108"/>
      <c r="W1015" s="108"/>
      <c r="X1015" s="108"/>
    </row>
    <row r="1016" spans="1:24">
      <c r="A1016" s="108"/>
      <c r="B1016" s="108"/>
      <c r="C1016" s="108"/>
      <c r="D1016" s="108"/>
      <c r="E1016" s="108"/>
      <c r="F1016" s="108"/>
      <c r="G1016" s="108"/>
      <c r="H1016" s="108"/>
      <c r="I1016" s="108"/>
      <c r="J1016" s="108"/>
      <c r="K1016" s="108"/>
      <c r="L1016" s="108"/>
      <c r="M1016" s="108"/>
      <c r="N1016" s="108"/>
      <c r="O1016" s="108"/>
      <c r="P1016" s="108"/>
      <c r="Q1016" s="108"/>
      <c r="R1016" s="108"/>
      <c r="S1016" s="108"/>
      <c r="T1016" s="108"/>
      <c r="U1016" s="108"/>
      <c r="V1016" s="108"/>
      <c r="W1016" s="108"/>
      <c r="X1016" s="108"/>
    </row>
    <row r="1017" spans="1:24">
      <c r="A1017" s="108"/>
      <c r="B1017" s="108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108"/>
      <c r="O1017" s="108"/>
      <c r="P1017" s="108"/>
      <c r="Q1017" s="108"/>
      <c r="R1017" s="108"/>
      <c r="S1017" s="108"/>
      <c r="T1017" s="108"/>
      <c r="U1017" s="108"/>
      <c r="V1017" s="108"/>
      <c r="W1017" s="108"/>
      <c r="X1017" s="108"/>
    </row>
    <row r="1018" spans="1:24">
      <c r="A1018" s="108"/>
      <c r="B1018" s="108"/>
      <c r="C1018" s="108"/>
      <c r="D1018" s="108"/>
      <c r="E1018" s="108"/>
      <c r="F1018" s="108"/>
      <c r="G1018" s="108"/>
      <c r="H1018" s="108"/>
      <c r="I1018" s="108"/>
      <c r="J1018" s="108"/>
      <c r="K1018" s="108"/>
      <c r="L1018" s="108"/>
      <c r="M1018" s="108"/>
      <c r="N1018" s="108"/>
      <c r="O1018" s="108"/>
      <c r="P1018" s="108"/>
      <c r="Q1018" s="108"/>
      <c r="R1018" s="108"/>
      <c r="S1018" s="108"/>
      <c r="T1018" s="108"/>
      <c r="U1018" s="108"/>
      <c r="V1018" s="108"/>
      <c r="W1018" s="108"/>
      <c r="X1018" s="108"/>
    </row>
    <row r="1019" spans="1:24">
      <c r="A1019" s="108"/>
      <c r="B1019" s="108"/>
      <c r="C1019" s="108"/>
      <c r="D1019" s="108"/>
      <c r="E1019" s="108"/>
      <c r="F1019" s="108"/>
      <c r="G1019" s="108"/>
      <c r="H1019" s="108"/>
      <c r="I1019" s="108"/>
      <c r="J1019" s="108"/>
      <c r="K1019" s="108"/>
      <c r="L1019" s="108"/>
      <c r="M1019" s="108"/>
      <c r="N1019" s="108"/>
      <c r="O1019" s="108"/>
      <c r="P1019" s="108"/>
      <c r="Q1019" s="108"/>
      <c r="R1019" s="108"/>
      <c r="S1019" s="108"/>
      <c r="T1019" s="108"/>
      <c r="U1019" s="108"/>
      <c r="V1019" s="108"/>
      <c r="W1019" s="108"/>
      <c r="X1019" s="108"/>
    </row>
    <row r="1020" spans="1:24">
      <c r="A1020" s="108"/>
      <c r="B1020" s="108"/>
      <c r="C1020" s="108"/>
      <c r="D1020" s="108"/>
      <c r="E1020" s="108"/>
      <c r="F1020" s="108"/>
      <c r="G1020" s="108"/>
      <c r="H1020" s="108"/>
      <c r="I1020" s="108"/>
      <c r="J1020" s="108"/>
      <c r="K1020" s="108"/>
      <c r="L1020" s="108"/>
      <c r="M1020" s="108"/>
      <c r="N1020" s="108"/>
      <c r="O1020" s="108"/>
      <c r="P1020" s="108"/>
      <c r="Q1020" s="108"/>
      <c r="R1020" s="108"/>
      <c r="S1020" s="108"/>
      <c r="T1020" s="108"/>
      <c r="U1020" s="108"/>
      <c r="V1020" s="108"/>
      <c r="W1020" s="108"/>
      <c r="X1020" s="108"/>
    </row>
    <row r="1021" spans="1:24">
      <c r="A1021" s="108"/>
      <c r="B1021" s="108"/>
      <c r="C1021" s="108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</row>
    <row r="1022" spans="1:24">
      <c r="A1022" s="108"/>
      <c r="B1022" s="108"/>
      <c r="C1022" s="108"/>
      <c r="D1022" s="108"/>
      <c r="E1022" s="108"/>
      <c r="F1022" s="108"/>
      <c r="G1022" s="108"/>
      <c r="H1022" s="108"/>
      <c r="I1022" s="108"/>
      <c r="J1022" s="108"/>
      <c r="K1022" s="108"/>
      <c r="L1022" s="108"/>
      <c r="M1022" s="108"/>
      <c r="N1022" s="108"/>
      <c r="O1022" s="108"/>
      <c r="P1022" s="108"/>
      <c r="Q1022" s="108"/>
      <c r="R1022" s="108"/>
      <c r="S1022" s="108"/>
      <c r="T1022" s="108"/>
      <c r="U1022" s="108"/>
      <c r="V1022" s="108"/>
      <c r="W1022" s="108"/>
      <c r="X1022" s="108"/>
    </row>
    <row r="1023" spans="1:24">
      <c r="A1023" s="108"/>
      <c r="B1023" s="108"/>
      <c r="C1023" s="108"/>
      <c r="D1023" s="108"/>
      <c r="E1023" s="108"/>
      <c r="F1023" s="108"/>
      <c r="G1023" s="108"/>
      <c r="H1023" s="108"/>
      <c r="I1023" s="108"/>
      <c r="J1023" s="108"/>
      <c r="K1023" s="108"/>
      <c r="L1023" s="108"/>
      <c r="M1023" s="108"/>
      <c r="N1023" s="108"/>
      <c r="O1023" s="108"/>
      <c r="P1023" s="108"/>
      <c r="Q1023" s="108"/>
      <c r="R1023" s="108"/>
      <c r="S1023" s="108"/>
      <c r="T1023" s="108"/>
      <c r="U1023" s="108"/>
      <c r="V1023" s="108"/>
      <c r="W1023" s="108"/>
      <c r="X1023" s="108"/>
    </row>
    <row r="1024" spans="1:24">
      <c r="A1024" s="108"/>
      <c r="B1024" s="108"/>
      <c r="C1024" s="108"/>
      <c r="D1024" s="108"/>
      <c r="E1024" s="108"/>
      <c r="F1024" s="108"/>
      <c r="G1024" s="108"/>
      <c r="H1024" s="108"/>
      <c r="I1024" s="108"/>
      <c r="J1024" s="108"/>
      <c r="K1024" s="108"/>
      <c r="L1024" s="108"/>
      <c r="M1024" s="108"/>
      <c r="N1024" s="108"/>
      <c r="O1024" s="108"/>
      <c r="P1024" s="108"/>
      <c r="Q1024" s="108"/>
      <c r="R1024" s="108"/>
      <c r="S1024" s="108"/>
      <c r="T1024" s="108"/>
      <c r="U1024" s="108"/>
      <c r="V1024" s="108"/>
      <c r="W1024" s="108"/>
      <c r="X1024" s="108"/>
    </row>
    <row r="1025" spans="1:24">
      <c r="A1025" s="108"/>
      <c r="B1025" s="108"/>
      <c r="C1025" s="108"/>
      <c r="D1025" s="108"/>
      <c r="E1025" s="108"/>
      <c r="F1025" s="108"/>
      <c r="G1025" s="108"/>
      <c r="H1025" s="108"/>
      <c r="I1025" s="108"/>
      <c r="J1025" s="108"/>
      <c r="K1025" s="108"/>
      <c r="L1025" s="108"/>
      <c r="M1025" s="108"/>
      <c r="N1025" s="108"/>
      <c r="O1025" s="108"/>
      <c r="P1025" s="108"/>
      <c r="Q1025" s="108"/>
      <c r="R1025" s="108"/>
      <c r="S1025" s="108"/>
      <c r="T1025" s="108"/>
      <c r="U1025" s="108"/>
      <c r="V1025" s="108"/>
      <c r="W1025" s="108"/>
      <c r="X1025" s="108"/>
    </row>
    <row r="1026" spans="1:24">
      <c r="A1026" s="108"/>
      <c r="B1026" s="108"/>
      <c r="C1026" s="108"/>
      <c r="D1026" s="108"/>
      <c r="E1026" s="108"/>
      <c r="F1026" s="108"/>
      <c r="G1026" s="108"/>
      <c r="H1026" s="108"/>
      <c r="I1026" s="108"/>
      <c r="J1026" s="108"/>
      <c r="K1026" s="108"/>
      <c r="L1026" s="108"/>
      <c r="M1026" s="108"/>
      <c r="N1026" s="108"/>
      <c r="O1026" s="108"/>
      <c r="P1026" s="108"/>
      <c r="Q1026" s="108"/>
      <c r="R1026" s="108"/>
      <c r="S1026" s="108"/>
      <c r="T1026" s="108"/>
      <c r="U1026" s="108"/>
      <c r="V1026" s="108"/>
      <c r="W1026" s="108"/>
      <c r="X1026" s="108"/>
    </row>
    <row r="1027" spans="1:24">
      <c r="A1027" s="108"/>
      <c r="B1027" s="108"/>
      <c r="C1027" s="108"/>
      <c r="D1027" s="108"/>
      <c r="E1027" s="108"/>
      <c r="F1027" s="108"/>
      <c r="G1027" s="108"/>
      <c r="H1027" s="108"/>
      <c r="I1027" s="108"/>
      <c r="J1027" s="108"/>
      <c r="K1027" s="108"/>
      <c r="L1027" s="108"/>
      <c r="M1027" s="108"/>
      <c r="N1027" s="108"/>
      <c r="O1027" s="108"/>
      <c r="P1027" s="108"/>
      <c r="Q1027" s="108"/>
      <c r="R1027" s="108"/>
      <c r="S1027" s="108"/>
      <c r="T1027" s="108"/>
      <c r="U1027" s="108"/>
      <c r="V1027" s="108"/>
      <c r="W1027" s="108"/>
      <c r="X1027" s="108"/>
    </row>
    <row r="1028" spans="1:24">
      <c r="A1028" s="108"/>
      <c r="B1028" s="108"/>
      <c r="C1028" s="108"/>
      <c r="D1028" s="108"/>
      <c r="E1028" s="108"/>
      <c r="F1028" s="108"/>
      <c r="G1028" s="108"/>
      <c r="H1028" s="108"/>
      <c r="I1028" s="108"/>
      <c r="J1028" s="108"/>
      <c r="K1028" s="108"/>
      <c r="L1028" s="108"/>
      <c r="M1028" s="108"/>
      <c r="N1028" s="108"/>
      <c r="O1028" s="108"/>
      <c r="P1028" s="108"/>
      <c r="Q1028" s="108"/>
      <c r="R1028" s="108"/>
      <c r="S1028" s="108"/>
      <c r="T1028" s="108"/>
      <c r="U1028" s="108"/>
      <c r="V1028" s="108"/>
      <c r="W1028" s="108"/>
      <c r="X1028" s="108"/>
    </row>
    <row r="1029" spans="1:24">
      <c r="A1029" s="108"/>
      <c r="B1029" s="108"/>
      <c r="C1029" s="108"/>
      <c r="D1029" s="108"/>
      <c r="E1029" s="108"/>
      <c r="F1029" s="108"/>
      <c r="G1029" s="108"/>
      <c r="H1029" s="108"/>
      <c r="I1029" s="108"/>
      <c r="J1029" s="108"/>
      <c r="K1029" s="108"/>
      <c r="L1029" s="108"/>
      <c r="M1029" s="108"/>
      <c r="N1029" s="108"/>
      <c r="O1029" s="108"/>
      <c r="P1029" s="108"/>
      <c r="Q1029" s="108"/>
      <c r="R1029" s="108"/>
      <c r="S1029" s="108"/>
      <c r="T1029" s="108"/>
      <c r="U1029" s="108"/>
      <c r="V1029" s="108"/>
      <c r="W1029" s="108"/>
      <c r="X1029" s="108"/>
    </row>
    <row r="1030" spans="1:24">
      <c r="A1030" s="108"/>
      <c r="B1030" s="108"/>
      <c r="C1030" s="108"/>
      <c r="D1030" s="108"/>
      <c r="E1030" s="108"/>
      <c r="F1030" s="108"/>
      <c r="G1030" s="108"/>
      <c r="H1030" s="108"/>
      <c r="I1030" s="108"/>
      <c r="J1030" s="108"/>
      <c r="K1030" s="108"/>
      <c r="L1030" s="108"/>
      <c r="M1030" s="108"/>
      <c r="N1030" s="108"/>
      <c r="O1030" s="108"/>
      <c r="P1030" s="108"/>
      <c r="Q1030" s="108"/>
      <c r="R1030" s="108"/>
      <c r="S1030" s="108"/>
      <c r="T1030" s="108"/>
      <c r="U1030" s="108"/>
      <c r="V1030" s="108"/>
      <c r="W1030" s="108"/>
      <c r="X1030" s="108"/>
    </row>
    <row r="1031" spans="1:24">
      <c r="A1031" s="108"/>
      <c r="B1031" s="108"/>
      <c r="C1031" s="108"/>
      <c r="D1031" s="108"/>
      <c r="E1031" s="108"/>
      <c r="F1031" s="108"/>
      <c r="G1031" s="108"/>
      <c r="H1031" s="108"/>
      <c r="I1031" s="108"/>
      <c r="J1031" s="108"/>
      <c r="K1031" s="108"/>
      <c r="L1031" s="108"/>
      <c r="M1031" s="108"/>
      <c r="N1031" s="108"/>
      <c r="O1031" s="108"/>
      <c r="P1031" s="108"/>
      <c r="Q1031" s="108"/>
      <c r="R1031" s="108"/>
      <c r="S1031" s="108"/>
      <c r="T1031" s="108"/>
      <c r="U1031" s="108"/>
      <c r="V1031" s="108"/>
      <c r="W1031" s="108"/>
      <c r="X1031" s="108"/>
    </row>
    <row r="1032" spans="1:24">
      <c r="A1032" s="108"/>
      <c r="B1032" s="108"/>
      <c r="C1032" s="108"/>
      <c r="D1032" s="108"/>
      <c r="E1032" s="108"/>
      <c r="F1032" s="108"/>
      <c r="G1032" s="108"/>
      <c r="H1032" s="108"/>
      <c r="I1032" s="108"/>
      <c r="J1032" s="108"/>
      <c r="K1032" s="108"/>
      <c r="L1032" s="108"/>
      <c r="M1032" s="108"/>
      <c r="N1032" s="108"/>
      <c r="O1032" s="108"/>
      <c r="P1032" s="108"/>
      <c r="Q1032" s="108"/>
      <c r="R1032" s="108"/>
      <c r="S1032" s="108"/>
      <c r="T1032" s="108"/>
      <c r="U1032" s="108"/>
      <c r="V1032" s="108"/>
      <c r="W1032" s="108"/>
      <c r="X1032" s="108"/>
    </row>
    <row r="1033" spans="1:24">
      <c r="A1033" s="108"/>
      <c r="B1033" s="108"/>
      <c r="C1033" s="108"/>
      <c r="D1033" s="108"/>
      <c r="E1033" s="108"/>
      <c r="F1033" s="108"/>
      <c r="G1033" s="108"/>
      <c r="H1033" s="108"/>
      <c r="I1033" s="108"/>
      <c r="J1033" s="108"/>
      <c r="K1033" s="108"/>
      <c r="L1033" s="108"/>
      <c r="M1033" s="108"/>
      <c r="N1033" s="108"/>
      <c r="O1033" s="108"/>
      <c r="P1033" s="108"/>
      <c r="Q1033" s="108"/>
      <c r="R1033" s="108"/>
      <c r="S1033" s="108"/>
      <c r="T1033" s="108"/>
      <c r="U1033" s="108"/>
      <c r="V1033" s="108"/>
      <c r="W1033" s="108"/>
      <c r="X1033" s="108"/>
    </row>
    <row r="1034" spans="1:24">
      <c r="A1034" s="108"/>
      <c r="B1034" s="108"/>
      <c r="C1034" s="108"/>
      <c r="D1034" s="108"/>
      <c r="E1034" s="108"/>
      <c r="F1034" s="108"/>
      <c r="G1034" s="108"/>
      <c r="H1034" s="108"/>
      <c r="I1034" s="108"/>
      <c r="J1034" s="108"/>
      <c r="K1034" s="108"/>
      <c r="L1034" s="108"/>
      <c r="M1034" s="108"/>
      <c r="N1034" s="108"/>
      <c r="O1034" s="108"/>
      <c r="P1034" s="108"/>
      <c r="Q1034" s="108"/>
      <c r="R1034" s="108"/>
      <c r="S1034" s="108"/>
      <c r="T1034" s="108"/>
      <c r="U1034" s="108"/>
      <c r="V1034" s="108"/>
      <c r="W1034" s="108"/>
      <c r="X1034" s="108"/>
    </row>
    <row r="1035" spans="1:24">
      <c r="A1035" s="108"/>
      <c r="B1035" s="108"/>
      <c r="C1035" s="108"/>
      <c r="D1035" s="108"/>
      <c r="E1035" s="108"/>
      <c r="F1035" s="108"/>
      <c r="G1035" s="108"/>
      <c r="H1035" s="108"/>
      <c r="I1035" s="108"/>
      <c r="J1035" s="108"/>
      <c r="K1035" s="108"/>
      <c r="L1035" s="108"/>
      <c r="M1035" s="108"/>
      <c r="N1035" s="108"/>
      <c r="O1035" s="108"/>
      <c r="P1035" s="108"/>
      <c r="Q1035" s="108"/>
      <c r="R1035" s="108"/>
      <c r="S1035" s="108"/>
      <c r="T1035" s="108"/>
      <c r="U1035" s="108"/>
      <c r="V1035" s="108"/>
      <c r="W1035" s="108"/>
      <c r="X1035" s="108"/>
    </row>
    <row r="1036" spans="1:24">
      <c r="A1036" s="108"/>
      <c r="B1036" s="108"/>
      <c r="C1036" s="108"/>
      <c r="D1036" s="108"/>
      <c r="E1036" s="108"/>
      <c r="F1036" s="108"/>
      <c r="G1036" s="108"/>
      <c r="H1036" s="108"/>
      <c r="I1036" s="108"/>
      <c r="J1036" s="108"/>
      <c r="K1036" s="108"/>
      <c r="L1036" s="108"/>
      <c r="M1036" s="108"/>
      <c r="N1036" s="108"/>
      <c r="O1036" s="108"/>
      <c r="P1036" s="108"/>
      <c r="Q1036" s="108"/>
      <c r="R1036" s="108"/>
      <c r="S1036" s="108"/>
      <c r="T1036" s="108"/>
      <c r="U1036" s="108"/>
      <c r="V1036" s="108"/>
      <c r="W1036" s="108"/>
      <c r="X1036" s="108"/>
    </row>
    <row r="1037" spans="1:24">
      <c r="A1037" s="108"/>
      <c r="B1037" s="108"/>
      <c r="C1037" s="108"/>
      <c r="D1037" s="108"/>
      <c r="E1037" s="108"/>
      <c r="F1037" s="108"/>
      <c r="G1037" s="108"/>
      <c r="H1037" s="108"/>
      <c r="I1037" s="108"/>
      <c r="J1037" s="108"/>
      <c r="K1037" s="108"/>
      <c r="L1037" s="108"/>
      <c r="M1037" s="108"/>
      <c r="N1037" s="108"/>
      <c r="O1037" s="108"/>
      <c r="P1037" s="108"/>
      <c r="Q1037" s="108"/>
      <c r="R1037" s="108"/>
      <c r="S1037" s="108"/>
      <c r="T1037" s="108"/>
      <c r="U1037" s="108"/>
      <c r="V1037" s="108"/>
      <c r="W1037" s="108"/>
      <c r="X1037" s="108"/>
    </row>
    <row r="1038" spans="1:24">
      <c r="A1038" s="108"/>
      <c r="B1038" s="108"/>
      <c r="C1038" s="108"/>
      <c r="D1038" s="108"/>
      <c r="E1038" s="108"/>
      <c r="F1038" s="108"/>
      <c r="G1038" s="108"/>
      <c r="H1038" s="108"/>
      <c r="I1038" s="108"/>
      <c r="J1038" s="108"/>
      <c r="K1038" s="108"/>
      <c r="L1038" s="108"/>
      <c r="M1038" s="108"/>
      <c r="N1038" s="108"/>
      <c r="O1038" s="108"/>
      <c r="P1038" s="108"/>
      <c r="Q1038" s="108"/>
      <c r="R1038" s="108"/>
      <c r="S1038" s="108"/>
      <c r="T1038" s="108"/>
      <c r="U1038" s="108"/>
      <c r="V1038" s="108"/>
      <c r="W1038" s="108"/>
      <c r="X1038" s="108"/>
    </row>
    <row r="1039" spans="1:24">
      <c r="A1039" s="108"/>
      <c r="B1039" s="108"/>
      <c r="C1039" s="108"/>
      <c r="D1039" s="108"/>
      <c r="E1039" s="108"/>
      <c r="F1039" s="108"/>
      <c r="G1039" s="108"/>
      <c r="H1039" s="108"/>
      <c r="I1039" s="108"/>
      <c r="J1039" s="108"/>
      <c r="K1039" s="108"/>
      <c r="L1039" s="108"/>
      <c r="M1039" s="108"/>
      <c r="N1039" s="108"/>
      <c r="O1039" s="108"/>
      <c r="P1039" s="108"/>
      <c r="Q1039" s="108"/>
      <c r="R1039" s="108"/>
      <c r="S1039" s="108"/>
      <c r="T1039" s="108"/>
      <c r="U1039" s="108"/>
      <c r="V1039" s="108"/>
      <c r="W1039" s="108"/>
      <c r="X1039" s="108"/>
    </row>
    <row r="1040" spans="1:24">
      <c r="A1040" s="108"/>
      <c r="B1040" s="108"/>
      <c r="C1040" s="108"/>
      <c r="D1040" s="108"/>
      <c r="E1040" s="108"/>
      <c r="F1040" s="108"/>
      <c r="G1040" s="108"/>
      <c r="H1040" s="108"/>
      <c r="I1040" s="108"/>
      <c r="J1040" s="108"/>
      <c r="K1040" s="108"/>
      <c r="L1040" s="108"/>
      <c r="M1040" s="108"/>
      <c r="N1040" s="108"/>
      <c r="O1040" s="108"/>
      <c r="P1040" s="108"/>
      <c r="Q1040" s="108"/>
      <c r="R1040" s="108"/>
      <c r="S1040" s="108"/>
      <c r="T1040" s="108"/>
      <c r="U1040" s="108"/>
      <c r="V1040" s="108"/>
      <c r="W1040" s="108"/>
      <c r="X1040" s="108"/>
    </row>
    <row r="1041" spans="1:24">
      <c r="A1041" s="108"/>
      <c r="B1041" s="108"/>
      <c r="C1041" s="108"/>
      <c r="D1041" s="108"/>
      <c r="E1041" s="108"/>
      <c r="F1041" s="108"/>
      <c r="G1041" s="108"/>
      <c r="H1041" s="108"/>
      <c r="I1041" s="108"/>
      <c r="J1041" s="108"/>
      <c r="K1041" s="108"/>
      <c r="L1041" s="108"/>
      <c r="M1041" s="108"/>
      <c r="N1041" s="108"/>
      <c r="O1041" s="108"/>
      <c r="P1041" s="108"/>
      <c r="Q1041" s="108"/>
      <c r="R1041" s="108"/>
      <c r="S1041" s="108"/>
      <c r="T1041" s="108"/>
      <c r="U1041" s="108"/>
      <c r="V1041" s="108"/>
      <c r="W1041" s="108"/>
      <c r="X1041" s="108"/>
    </row>
    <row r="1042" spans="1:24">
      <c r="A1042" s="108"/>
      <c r="B1042" s="108"/>
      <c r="C1042" s="108"/>
      <c r="D1042" s="108"/>
      <c r="E1042" s="108"/>
      <c r="F1042" s="108"/>
      <c r="G1042" s="108"/>
      <c r="H1042" s="108"/>
      <c r="I1042" s="108"/>
      <c r="J1042" s="108"/>
      <c r="K1042" s="108"/>
      <c r="L1042" s="108"/>
      <c r="M1042" s="108"/>
      <c r="N1042" s="108"/>
      <c r="O1042" s="108"/>
      <c r="P1042" s="108"/>
      <c r="Q1042" s="108"/>
      <c r="R1042" s="108"/>
      <c r="S1042" s="108"/>
      <c r="T1042" s="108"/>
      <c r="U1042" s="108"/>
      <c r="V1042" s="108"/>
      <c r="W1042" s="108"/>
      <c r="X1042" s="108"/>
    </row>
    <row r="1043" spans="1:24">
      <c r="A1043" s="108"/>
      <c r="B1043" s="108"/>
      <c r="C1043" s="108"/>
      <c r="D1043" s="108"/>
      <c r="E1043" s="108"/>
      <c r="F1043" s="108"/>
      <c r="G1043" s="108"/>
      <c r="H1043" s="108"/>
      <c r="I1043" s="108"/>
      <c r="J1043" s="108"/>
      <c r="K1043" s="108"/>
      <c r="L1043" s="108"/>
      <c r="M1043" s="108"/>
      <c r="N1043" s="108"/>
      <c r="O1043" s="108"/>
      <c r="P1043" s="108"/>
      <c r="Q1043" s="108"/>
      <c r="R1043" s="108"/>
      <c r="S1043" s="108"/>
      <c r="T1043" s="108"/>
      <c r="U1043" s="108"/>
      <c r="V1043" s="108"/>
      <c r="W1043" s="108"/>
      <c r="X1043" s="108"/>
    </row>
    <row r="1044" spans="1:24">
      <c r="A1044" s="108"/>
      <c r="B1044" s="108"/>
      <c r="C1044" s="108"/>
      <c r="D1044" s="108"/>
      <c r="E1044" s="108"/>
      <c r="F1044" s="108"/>
      <c r="G1044" s="108"/>
      <c r="H1044" s="108"/>
      <c r="I1044" s="108"/>
      <c r="J1044" s="108"/>
      <c r="K1044" s="108"/>
      <c r="L1044" s="108"/>
      <c r="M1044" s="108"/>
      <c r="N1044" s="108"/>
      <c r="O1044" s="108"/>
      <c r="P1044" s="108"/>
      <c r="Q1044" s="108"/>
      <c r="R1044" s="108"/>
      <c r="S1044" s="108"/>
      <c r="T1044" s="108"/>
      <c r="U1044" s="108"/>
      <c r="V1044" s="108"/>
      <c r="W1044" s="108"/>
      <c r="X1044" s="108"/>
    </row>
    <row r="1045" spans="1:24">
      <c r="A1045" s="108"/>
      <c r="B1045" s="108"/>
      <c r="C1045" s="108"/>
      <c r="D1045" s="108"/>
      <c r="E1045" s="108"/>
      <c r="F1045" s="108"/>
      <c r="G1045" s="108"/>
      <c r="H1045" s="108"/>
      <c r="I1045" s="108"/>
      <c r="J1045" s="108"/>
      <c r="K1045" s="108"/>
      <c r="L1045" s="108"/>
      <c r="M1045" s="108"/>
      <c r="N1045" s="108"/>
      <c r="O1045" s="108"/>
      <c r="P1045" s="108"/>
      <c r="Q1045" s="108"/>
      <c r="R1045" s="108"/>
      <c r="S1045" s="108"/>
      <c r="T1045" s="108"/>
      <c r="U1045" s="108"/>
      <c r="V1045" s="108"/>
      <c r="W1045" s="108"/>
      <c r="X1045" s="108"/>
    </row>
    <row r="1046" spans="1:24">
      <c r="A1046" s="108"/>
      <c r="B1046" s="108"/>
      <c r="C1046" s="108"/>
      <c r="D1046" s="108"/>
      <c r="E1046" s="108"/>
      <c r="F1046" s="108"/>
      <c r="G1046" s="108"/>
      <c r="H1046" s="108"/>
      <c r="I1046" s="108"/>
      <c r="J1046" s="108"/>
      <c r="K1046" s="108"/>
      <c r="L1046" s="108"/>
      <c r="M1046" s="108"/>
      <c r="N1046" s="108"/>
      <c r="O1046" s="108"/>
      <c r="P1046" s="108"/>
      <c r="Q1046" s="108"/>
      <c r="R1046" s="108"/>
      <c r="S1046" s="108"/>
      <c r="T1046" s="108"/>
      <c r="U1046" s="108"/>
      <c r="V1046" s="108"/>
      <c r="W1046" s="108"/>
      <c r="X1046" s="108"/>
    </row>
    <row r="1047" spans="1:24">
      <c r="A1047" s="108"/>
      <c r="B1047" s="108"/>
      <c r="C1047" s="108"/>
      <c r="D1047" s="108"/>
      <c r="E1047" s="108"/>
      <c r="F1047" s="108"/>
      <c r="G1047" s="108"/>
      <c r="H1047" s="108"/>
      <c r="I1047" s="108"/>
      <c r="J1047" s="108"/>
      <c r="K1047" s="108"/>
      <c r="L1047" s="108"/>
      <c r="M1047" s="108"/>
      <c r="N1047" s="108"/>
      <c r="O1047" s="108"/>
      <c r="P1047" s="108"/>
      <c r="Q1047" s="108"/>
      <c r="R1047" s="108"/>
      <c r="S1047" s="108"/>
      <c r="T1047" s="108"/>
      <c r="U1047" s="108"/>
      <c r="V1047" s="108"/>
      <c r="W1047" s="108"/>
      <c r="X1047" s="108"/>
    </row>
    <row r="1048" spans="1:24">
      <c r="A1048" s="108"/>
      <c r="B1048" s="108"/>
      <c r="C1048" s="108"/>
      <c r="D1048" s="108"/>
      <c r="E1048" s="108"/>
      <c r="F1048" s="108"/>
      <c r="G1048" s="108"/>
      <c r="H1048" s="108"/>
      <c r="I1048" s="108"/>
      <c r="J1048" s="108"/>
      <c r="K1048" s="108"/>
      <c r="L1048" s="108"/>
      <c r="M1048" s="108"/>
      <c r="N1048" s="108"/>
      <c r="O1048" s="108"/>
      <c r="P1048" s="108"/>
      <c r="Q1048" s="108"/>
      <c r="R1048" s="108"/>
      <c r="S1048" s="108"/>
      <c r="T1048" s="108"/>
      <c r="U1048" s="108"/>
      <c r="V1048" s="108"/>
      <c r="W1048" s="108"/>
      <c r="X1048" s="108"/>
    </row>
    <row r="1049" spans="1:24">
      <c r="A1049" s="108"/>
      <c r="B1049" s="108"/>
      <c r="C1049" s="108"/>
      <c r="D1049" s="108"/>
      <c r="E1049" s="108"/>
      <c r="F1049" s="108"/>
      <c r="G1049" s="108"/>
      <c r="H1049" s="108"/>
      <c r="I1049" s="108"/>
      <c r="J1049" s="108"/>
      <c r="K1049" s="108"/>
      <c r="L1049" s="108"/>
      <c r="M1049" s="108"/>
      <c r="N1049" s="108"/>
      <c r="O1049" s="108"/>
      <c r="P1049" s="108"/>
      <c r="Q1049" s="108"/>
      <c r="R1049" s="108"/>
      <c r="S1049" s="108"/>
      <c r="T1049" s="108"/>
      <c r="U1049" s="108"/>
      <c r="V1049" s="108"/>
      <c r="W1049" s="108"/>
      <c r="X1049" s="108"/>
    </row>
    <row r="1050" spans="1:24">
      <c r="A1050" s="108"/>
      <c r="B1050" s="108"/>
      <c r="C1050" s="108"/>
      <c r="D1050" s="108"/>
      <c r="E1050" s="108"/>
      <c r="F1050" s="108"/>
      <c r="G1050" s="108"/>
      <c r="H1050" s="108"/>
      <c r="I1050" s="108"/>
      <c r="J1050" s="108"/>
      <c r="K1050" s="108"/>
      <c r="L1050" s="108"/>
      <c r="M1050" s="108"/>
      <c r="N1050" s="108"/>
      <c r="O1050" s="108"/>
      <c r="P1050" s="108"/>
      <c r="Q1050" s="108"/>
      <c r="R1050" s="108"/>
      <c r="S1050" s="108"/>
      <c r="T1050" s="108"/>
      <c r="U1050" s="108"/>
      <c r="V1050" s="108"/>
      <c r="W1050" s="108"/>
      <c r="X1050" s="108"/>
    </row>
    <row r="1051" spans="1:24">
      <c r="A1051" s="108"/>
      <c r="B1051" s="108"/>
      <c r="C1051" s="108"/>
      <c r="D1051" s="108"/>
      <c r="E1051" s="108"/>
      <c r="F1051" s="108"/>
      <c r="G1051" s="108"/>
      <c r="H1051" s="108"/>
      <c r="I1051" s="108"/>
      <c r="J1051" s="108"/>
      <c r="K1051" s="108"/>
      <c r="L1051" s="108"/>
      <c r="M1051" s="108"/>
      <c r="N1051" s="108"/>
      <c r="O1051" s="108"/>
      <c r="P1051" s="108"/>
      <c r="Q1051" s="108"/>
      <c r="R1051" s="108"/>
      <c r="S1051" s="108"/>
      <c r="T1051" s="108"/>
      <c r="U1051" s="108"/>
      <c r="V1051" s="108"/>
      <c r="W1051" s="108"/>
      <c r="X1051" s="108"/>
    </row>
    <row r="1052" spans="1:24">
      <c r="A1052" s="108"/>
      <c r="B1052" s="108"/>
      <c r="C1052" s="108"/>
      <c r="D1052" s="108"/>
      <c r="E1052" s="108"/>
      <c r="F1052" s="108"/>
      <c r="G1052" s="108"/>
      <c r="H1052" s="108"/>
      <c r="I1052" s="108"/>
      <c r="J1052" s="108"/>
      <c r="K1052" s="108"/>
      <c r="L1052" s="108"/>
      <c r="M1052" s="108"/>
      <c r="N1052" s="108"/>
      <c r="O1052" s="108"/>
      <c r="P1052" s="108"/>
      <c r="Q1052" s="108"/>
      <c r="R1052" s="108"/>
      <c r="S1052" s="108"/>
      <c r="T1052" s="108"/>
      <c r="U1052" s="108"/>
      <c r="V1052" s="108"/>
      <c r="W1052" s="108"/>
      <c r="X1052" s="108"/>
    </row>
    <row r="1053" spans="1:24">
      <c r="A1053" s="108"/>
      <c r="B1053" s="108"/>
      <c r="C1053" s="108"/>
      <c r="D1053" s="108"/>
      <c r="E1053" s="108"/>
      <c r="F1053" s="108"/>
      <c r="G1053" s="108"/>
      <c r="H1053" s="108"/>
      <c r="I1053" s="108"/>
      <c r="J1053" s="108"/>
      <c r="K1053" s="108"/>
      <c r="L1053" s="108"/>
      <c r="M1053" s="108"/>
      <c r="N1053" s="108"/>
      <c r="O1053" s="108"/>
      <c r="P1053" s="108"/>
      <c r="Q1053" s="108"/>
      <c r="R1053" s="108"/>
      <c r="S1053" s="108"/>
      <c r="T1053" s="108"/>
      <c r="U1053" s="108"/>
      <c r="V1053" s="108"/>
      <c r="W1053" s="108"/>
      <c r="X1053" s="108"/>
    </row>
    <row r="1054" spans="1:24">
      <c r="A1054" s="108"/>
      <c r="B1054" s="108"/>
      <c r="C1054" s="108"/>
      <c r="D1054" s="108"/>
      <c r="E1054" s="108"/>
      <c r="F1054" s="108"/>
      <c r="G1054" s="108"/>
      <c r="H1054" s="108"/>
      <c r="I1054" s="108"/>
      <c r="J1054" s="108"/>
      <c r="K1054" s="108"/>
      <c r="L1054" s="108"/>
      <c r="M1054" s="108"/>
      <c r="N1054" s="108"/>
      <c r="O1054" s="108"/>
      <c r="P1054" s="108"/>
      <c r="Q1054" s="108"/>
      <c r="R1054" s="108"/>
      <c r="S1054" s="108"/>
      <c r="T1054" s="108"/>
      <c r="U1054" s="108"/>
      <c r="V1054" s="108"/>
      <c r="W1054" s="108"/>
      <c r="X1054" s="108"/>
    </row>
    <row r="1055" spans="1:24">
      <c r="A1055" s="108"/>
      <c r="B1055" s="108"/>
      <c r="C1055" s="108"/>
      <c r="D1055" s="108"/>
      <c r="E1055" s="108"/>
      <c r="F1055" s="108"/>
      <c r="G1055" s="108"/>
      <c r="H1055" s="108"/>
      <c r="I1055" s="108"/>
      <c r="J1055" s="108"/>
      <c r="K1055" s="108"/>
      <c r="L1055" s="108"/>
      <c r="M1055" s="108"/>
      <c r="N1055" s="108"/>
      <c r="O1055" s="108"/>
      <c r="P1055" s="108"/>
      <c r="Q1055" s="108"/>
      <c r="R1055" s="108"/>
      <c r="S1055" s="108"/>
      <c r="T1055" s="108"/>
      <c r="U1055" s="108"/>
      <c r="V1055" s="108"/>
      <c r="W1055" s="108"/>
      <c r="X1055" s="108"/>
    </row>
    <row r="1056" spans="1:24">
      <c r="A1056" s="108"/>
      <c r="B1056" s="108"/>
      <c r="C1056" s="108"/>
      <c r="D1056" s="108"/>
      <c r="E1056" s="108"/>
      <c r="F1056" s="108"/>
      <c r="G1056" s="108"/>
      <c r="H1056" s="108"/>
      <c r="I1056" s="108"/>
      <c r="J1056" s="108"/>
      <c r="K1056" s="108"/>
      <c r="L1056" s="108"/>
      <c r="M1056" s="108"/>
      <c r="N1056" s="108"/>
      <c r="O1056" s="108"/>
      <c r="P1056" s="108"/>
      <c r="Q1056" s="108"/>
      <c r="R1056" s="108"/>
      <c r="S1056" s="108"/>
      <c r="T1056" s="108"/>
      <c r="U1056" s="108"/>
      <c r="V1056" s="108"/>
      <c r="W1056" s="108"/>
      <c r="X1056" s="108"/>
    </row>
    <row r="1057" spans="1:24">
      <c r="A1057" s="108"/>
      <c r="B1057" s="108"/>
      <c r="C1057" s="108"/>
      <c r="D1057" s="108"/>
      <c r="E1057" s="108"/>
      <c r="F1057" s="108"/>
      <c r="G1057" s="108"/>
      <c r="H1057" s="108"/>
      <c r="I1057" s="108"/>
      <c r="J1057" s="108"/>
      <c r="K1057" s="108"/>
      <c r="L1057" s="108"/>
      <c r="M1057" s="108"/>
      <c r="N1057" s="108"/>
      <c r="O1057" s="108"/>
      <c r="P1057" s="108"/>
      <c r="Q1057" s="108"/>
      <c r="R1057" s="108"/>
      <c r="S1057" s="108"/>
      <c r="T1057" s="108"/>
      <c r="U1057" s="108"/>
      <c r="V1057" s="108"/>
      <c r="W1057" s="108"/>
      <c r="X1057" s="108"/>
    </row>
    <row r="1058" spans="1:24">
      <c r="A1058" s="108"/>
      <c r="B1058" s="108"/>
      <c r="C1058" s="108"/>
      <c r="D1058" s="108"/>
      <c r="E1058" s="108"/>
      <c r="F1058" s="108"/>
      <c r="G1058" s="108"/>
      <c r="H1058" s="108"/>
      <c r="I1058" s="108"/>
      <c r="J1058" s="108"/>
      <c r="K1058" s="108"/>
      <c r="L1058" s="108"/>
      <c r="M1058" s="108"/>
      <c r="N1058" s="108"/>
      <c r="O1058" s="108"/>
      <c r="P1058" s="108"/>
      <c r="Q1058" s="108"/>
      <c r="R1058" s="108"/>
      <c r="S1058" s="108"/>
      <c r="T1058" s="108"/>
      <c r="U1058" s="108"/>
      <c r="V1058" s="108"/>
      <c r="W1058" s="108"/>
      <c r="X1058" s="108"/>
    </row>
    <row r="1059" spans="1:24">
      <c r="A1059" s="108"/>
      <c r="B1059" s="108"/>
      <c r="C1059" s="108"/>
      <c r="D1059" s="108"/>
      <c r="E1059" s="108"/>
      <c r="F1059" s="108"/>
      <c r="G1059" s="108"/>
      <c r="H1059" s="108"/>
      <c r="I1059" s="108"/>
      <c r="J1059" s="108"/>
      <c r="K1059" s="108"/>
      <c r="L1059" s="108"/>
      <c r="M1059" s="108"/>
      <c r="N1059" s="108"/>
      <c r="O1059" s="108"/>
      <c r="P1059" s="108"/>
      <c r="Q1059" s="108"/>
      <c r="R1059" s="108"/>
      <c r="S1059" s="108"/>
      <c r="T1059" s="108"/>
      <c r="U1059" s="108"/>
      <c r="V1059" s="108"/>
      <c r="W1059" s="108"/>
      <c r="X1059" s="108"/>
    </row>
    <row r="1060" spans="1:24">
      <c r="A1060" s="108"/>
      <c r="B1060" s="108"/>
      <c r="C1060" s="108"/>
      <c r="D1060" s="108"/>
      <c r="E1060" s="108"/>
      <c r="F1060" s="108"/>
      <c r="G1060" s="108"/>
      <c r="H1060" s="108"/>
      <c r="I1060" s="108"/>
      <c r="J1060" s="108"/>
      <c r="K1060" s="108"/>
      <c r="L1060" s="108"/>
      <c r="M1060" s="108"/>
      <c r="N1060" s="108"/>
      <c r="O1060" s="108"/>
      <c r="P1060" s="108"/>
      <c r="Q1060" s="108"/>
      <c r="R1060" s="108"/>
      <c r="S1060" s="108"/>
      <c r="T1060" s="108"/>
      <c r="U1060" s="108"/>
      <c r="V1060" s="108"/>
      <c r="W1060" s="108"/>
      <c r="X1060" s="108"/>
    </row>
    <row r="1061" spans="1:24">
      <c r="A1061" s="108"/>
      <c r="B1061" s="108"/>
      <c r="C1061" s="108"/>
      <c r="D1061" s="108"/>
      <c r="E1061" s="108"/>
      <c r="F1061" s="108"/>
      <c r="G1061" s="108"/>
      <c r="H1061" s="108"/>
      <c r="I1061" s="108"/>
      <c r="J1061" s="108"/>
      <c r="K1061" s="108"/>
      <c r="L1061" s="108"/>
      <c r="M1061" s="108"/>
      <c r="N1061" s="108"/>
      <c r="O1061" s="108"/>
      <c r="P1061" s="108"/>
      <c r="Q1061" s="108"/>
      <c r="R1061" s="108"/>
      <c r="S1061" s="108"/>
      <c r="T1061" s="108"/>
      <c r="U1061" s="108"/>
      <c r="V1061" s="108"/>
      <c r="W1061" s="108"/>
      <c r="X1061" s="108"/>
    </row>
    <row r="1062" spans="1:24">
      <c r="A1062" s="108"/>
      <c r="B1062" s="108"/>
      <c r="C1062" s="108"/>
      <c r="D1062" s="108"/>
      <c r="E1062" s="108"/>
      <c r="F1062" s="108"/>
      <c r="G1062" s="108"/>
      <c r="H1062" s="108"/>
      <c r="I1062" s="108"/>
      <c r="J1062" s="108"/>
      <c r="K1062" s="108"/>
      <c r="L1062" s="108"/>
      <c r="M1062" s="108"/>
      <c r="N1062" s="108"/>
      <c r="O1062" s="108"/>
      <c r="P1062" s="108"/>
      <c r="Q1062" s="108"/>
      <c r="R1062" s="108"/>
      <c r="S1062" s="108"/>
      <c r="T1062" s="108"/>
      <c r="U1062" s="108"/>
      <c r="V1062" s="108"/>
      <c r="W1062" s="108"/>
      <c r="X1062" s="108"/>
    </row>
    <row r="1063" spans="1:24">
      <c r="A1063" s="108"/>
      <c r="B1063" s="108"/>
      <c r="C1063" s="108"/>
      <c r="D1063" s="108"/>
      <c r="E1063" s="108"/>
      <c r="F1063" s="108"/>
      <c r="G1063" s="108"/>
      <c r="H1063" s="108"/>
      <c r="I1063" s="108"/>
      <c r="J1063" s="108"/>
      <c r="K1063" s="108"/>
      <c r="L1063" s="108"/>
      <c r="M1063" s="108"/>
      <c r="N1063" s="108"/>
      <c r="O1063" s="108"/>
      <c r="P1063" s="108"/>
      <c r="Q1063" s="108"/>
      <c r="R1063" s="108"/>
      <c r="S1063" s="108"/>
      <c r="T1063" s="108"/>
      <c r="U1063" s="108"/>
      <c r="V1063" s="108"/>
      <c r="W1063" s="108"/>
      <c r="X1063" s="108"/>
    </row>
    <row r="1064" spans="1:24">
      <c r="A1064" s="108"/>
      <c r="B1064" s="108"/>
      <c r="C1064" s="108"/>
      <c r="D1064" s="108"/>
      <c r="E1064" s="108"/>
      <c r="F1064" s="108"/>
      <c r="G1064" s="108"/>
      <c r="H1064" s="108"/>
      <c r="I1064" s="108"/>
      <c r="J1064" s="108"/>
      <c r="K1064" s="108"/>
      <c r="L1064" s="108"/>
      <c r="M1064" s="108"/>
      <c r="N1064" s="108"/>
      <c r="O1064" s="108"/>
      <c r="P1064" s="108"/>
      <c r="Q1064" s="108"/>
      <c r="R1064" s="108"/>
      <c r="S1064" s="108"/>
      <c r="T1064" s="108"/>
      <c r="U1064" s="108"/>
      <c r="V1064" s="108"/>
      <c r="W1064" s="108"/>
      <c r="X1064" s="108"/>
    </row>
    <row r="1065" spans="1:24">
      <c r="A1065" s="108"/>
      <c r="B1065" s="108"/>
      <c r="C1065" s="108"/>
      <c r="D1065" s="108"/>
      <c r="E1065" s="108"/>
      <c r="F1065" s="108"/>
      <c r="G1065" s="108"/>
      <c r="H1065" s="108"/>
      <c r="I1065" s="108"/>
      <c r="J1065" s="108"/>
      <c r="K1065" s="108"/>
      <c r="L1065" s="108"/>
      <c r="M1065" s="108"/>
      <c r="N1065" s="108"/>
      <c r="O1065" s="108"/>
      <c r="P1065" s="108"/>
      <c r="Q1065" s="108"/>
      <c r="R1065" s="108"/>
      <c r="S1065" s="108"/>
      <c r="T1065" s="108"/>
      <c r="U1065" s="108"/>
      <c r="V1065" s="108"/>
      <c r="W1065" s="108"/>
      <c r="X1065" s="108"/>
    </row>
    <row r="1066" spans="1:24">
      <c r="A1066" s="108"/>
      <c r="B1066" s="108"/>
      <c r="C1066" s="108"/>
      <c r="D1066" s="108"/>
      <c r="E1066" s="108"/>
      <c r="F1066" s="108"/>
      <c r="G1066" s="108"/>
      <c r="H1066" s="108"/>
      <c r="I1066" s="108"/>
      <c r="J1066" s="108"/>
      <c r="K1066" s="108"/>
      <c r="L1066" s="108"/>
      <c r="M1066" s="108"/>
      <c r="N1066" s="108"/>
      <c r="O1066" s="108"/>
      <c r="P1066" s="108"/>
      <c r="Q1066" s="108"/>
      <c r="R1066" s="108"/>
      <c r="S1066" s="108"/>
      <c r="T1066" s="108"/>
      <c r="U1066" s="108"/>
      <c r="V1066" s="108"/>
      <c r="W1066" s="108"/>
      <c r="X1066" s="108"/>
    </row>
    <row r="1067" spans="1:24">
      <c r="A1067" s="108"/>
      <c r="B1067" s="108"/>
      <c r="C1067" s="108"/>
      <c r="D1067" s="108"/>
      <c r="E1067" s="108"/>
      <c r="F1067" s="108"/>
      <c r="G1067" s="108"/>
      <c r="H1067" s="108"/>
      <c r="I1067" s="108"/>
      <c r="J1067" s="108"/>
      <c r="K1067" s="108"/>
      <c r="L1067" s="108"/>
      <c r="M1067" s="108"/>
      <c r="N1067" s="108"/>
      <c r="O1067" s="108"/>
      <c r="P1067" s="108"/>
      <c r="Q1067" s="108"/>
      <c r="R1067" s="108"/>
      <c r="S1067" s="108"/>
      <c r="T1067" s="108"/>
      <c r="U1067" s="108"/>
      <c r="V1067" s="108"/>
      <c r="W1067" s="108"/>
      <c r="X1067" s="108"/>
    </row>
    <row r="1068" spans="1:24">
      <c r="A1068" s="108"/>
      <c r="B1068" s="108"/>
      <c r="C1068" s="108"/>
      <c r="D1068" s="108"/>
      <c r="E1068" s="108"/>
      <c r="F1068" s="108"/>
      <c r="G1068" s="108"/>
      <c r="H1068" s="108"/>
      <c r="I1068" s="108"/>
      <c r="J1068" s="108"/>
      <c r="K1068" s="108"/>
      <c r="L1068" s="108"/>
      <c r="M1068" s="108"/>
      <c r="N1068" s="108"/>
      <c r="O1068" s="108"/>
      <c r="P1068" s="108"/>
      <c r="Q1068" s="108"/>
      <c r="R1068" s="108"/>
      <c r="S1068" s="108"/>
      <c r="T1068" s="108"/>
      <c r="U1068" s="108"/>
      <c r="V1068" s="108"/>
      <c r="W1068" s="108"/>
      <c r="X1068" s="108"/>
    </row>
    <row r="1069" spans="1:24">
      <c r="A1069" s="108"/>
      <c r="B1069" s="108"/>
      <c r="C1069" s="108"/>
      <c r="D1069" s="108"/>
      <c r="E1069" s="108"/>
      <c r="F1069" s="108"/>
      <c r="G1069" s="108"/>
      <c r="H1069" s="108"/>
      <c r="I1069" s="108"/>
      <c r="J1069" s="108"/>
      <c r="K1069" s="108"/>
      <c r="L1069" s="108"/>
      <c r="M1069" s="108"/>
      <c r="N1069" s="108"/>
      <c r="O1069" s="108"/>
      <c r="P1069" s="108"/>
      <c r="Q1069" s="108"/>
      <c r="R1069" s="108"/>
      <c r="S1069" s="108"/>
      <c r="T1069" s="108"/>
      <c r="U1069" s="108"/>
      <c r="V1069" s="108"/>
      <c r="W1069" s="108"/>
      <c r="X1069" s="108"/>
    </row>
    <row r="1070" spans="1:24">
      <c r="A1070" s="108"/>
      <c r="B1070" s="108"/>
      <c r="C1070" s="108"/>
      <c r="D1070" s="108"/>
      <c r="E1070" s="108"/>
      <c r="F1070" s="108"/>
      <c r="G1070" s="108"/>
      <c r="H1070" s="108"/>
      <c r="I1070" s="108"/>
      <c r="J1070" s="108"/>
      <c r="K1070" s="108"/>
      <c r="L1070" s="108"/>
      <c r="M1070" s="108"/>
      <c r="N1070" s="108"/>
      <c r="O1070" s="108"/>
      <c r="P1070" s="108"/>
      <c r="Q1070" s="108"/>
      <c r="R1070" s="108"/>
      <c r="S1070" s="108"/>
      <c r="T1070" s="108"/>
      <c r="U1070" s="108"/>
      <c r="V1070" s="108"/>
      <c r="W1070" s="108"/>
      <c r="X1070" s="108"/>
    </row>
    <row r="1071" spans="1:24">
      <c r="A1071" s="108"/>
      <c r="B1071" s="108"/>
      <c r="C1071" s="108"/>
      <c r="D1071" s="108"/>
      <c r="E1071" s="108"/>
      <c r="F1071" s="108"/>
      <c r="G1071" s="108"/>
      <c r="H1071" s="108"/>
      <c r="I1071" s="108"/>
      <c r="J1071" s="108"/>
      <c r="K1071" s="108"/>
      <c r="L1071" s="108"/>
      <c r="M1071" s="108"/>
      <c r="N1071" s="108"/>
      <c r="O1071" s="108"/>
      <c r="P1071" s="108"/>
      <c r="Q1071" s="108"/>
      <c r="R1071" s="108"/>
      <c r="S1071" s="108"/>
      <c r="T1071" s="108"/>
      <c r="U1071" s="108"/>
      <c r="V1071" s="108"/>
      <c r="W1071" s="108"/>
      <c r="X1071" s="108"/>
    </row>
    <row r="1072" spans="1:24">
      <c r="A1072" s="108"/>
      <c r="B1072" s="108"/>
      <c r="C1072" s="108"/>
      <c r="D1072" s="108"/>
      <c r="E1072" s="108"/>
      <c r="F1072" s="108"/>
      <c r="G1072" s="108"/>
      <c r="H1072" s="108"/>
      <c r="I1072" s="108"/>
      <c r="J1072" s="108"/>
      <c r="K1072" s="108"/>
      <c r="L1072" s="108"/>
      <c r="M1072" s="108"/>
      <c r="N1072" s="108"/>
      <c r="O1072" s="108"/>
      <c r="P1072" s="108"/>
      <c r="Q1072" s="108"/>
      <c r="R1072" s="108"/>
      <c r="S1072" s="108"/>
      <c r="T1072" s="108"/>
      <c r="U1072" s="108"/>
      <c r="V1072" s="108"/>
      <c r="W1072" s="108"/>
      <c r="X1072" s="108"/>
    </row>
    <row r="1073" spans="1:24">
      <c r="A1073" s="108"/>
      <c r="B1073" s="108"/>
      <c r="C1073" s="108"/>
      <c r="D1073" s="108"/>
      <c r="E1073" s="108"/>
      <c r="F1073" s="108"/>
      <c r="G1073" s="108"/>
      <c r="H1073" s="108"/>
      <c r="I1073" s="108"/>
      <c r="J1073" s="108"/>
      <c r="K1073" s="108"/>
      <c r="L1073" s="108"/>
      <c r="M1073" s="108"/>
      <c r="N1073" s="108"/>
      <c r="O1073" s="108"/>
      <c r="P1073" s="108"/>
      <c r="Q1073" s="108"/>
      <c r="R1073" s="108"/>
      <c r="S1073" s="108"/>
      <c r="T1073" s="108"/>
      <c r="U1073" s="108"/>
      <c r="V1073" s="108"/>
      <c r="W1073" s="108"/>
      <c r="X1073" s="108"/>
    </row>
    <row r="1074" spans="1:24">
      <c r="A1074" s="108"/>
      <c r="B1074" s="108"/>
      <c r="C1074" s="108"/>
      <c r="D1074" s="108"/>
      <c r="E1074" s="108"/>
      <c r="F1074" s="108"/>
      <c r="G1074" s="108"/>
      <c r="H1074" s="108"/>
      <c r="I1074" s="108"/>
      <c r="J1074" s="108"/>
      <c r="K1074" s="108"/>
      <c r="L1074" s="108"/>
      <c r="M1074" s="108"/>
      <c r="N1074" s="108"/>
      <c r="O1074" s="108"/>
      <c r="P1074" s="108"/>
      <c r="Q1074" s="108"/>
      <c r="R1074" s="108"/>
      <c r="S1074" s="108"/>
      <c r="T1074" s="108"/>
      <c r="U1074" s="108"/>
      <c r="V1074" s="108"/>
      <c r="W1074" s="108"/>
      <c r="X1074" s="108"/>
    </row>
    <row r="1075" spans="1:24">
      <c r="A1075" s="108"/>
      <c r="B1075" s="108"/>
      <c r="C1075" s="108"/>
      <c r="D1075" s="108"/>
      <c r="E1075" s="108"/>
      <c r="F1075" s="108"/>
      <c r="G1075" s="108"/>
      <c r="H1075" s="108"/>
      <c r="I1075" s="108"/>
      <c r="J1075" s="108"/>
      <c r="K1075" s="108"/>
      <c r="L1075" s="108"/>
      <c r="M1075" s="108"/>
      <c r="N1075" s="108"/>
      <c r="O1075" s="108"/>
      <c r="P1075" s="108"/>
      <c r="Q1075" s="108"/>
      <c r="R1075" s="108"/>
      <c r="S1075" s="108"/>
      <c r="T1075" s="108"/>
      <c r="U1075" s="108"/>
      <c r="V1075" s="108"/>
      <c r="W1075" s="108"/>
      <c r="X1075" s="108"/>
    </row>
    <row r="1076" spans="1:24">
      <c r="A1076" s="108"/>
      <c r="B1076" s="108"/>
      <c r="C1076" s="108"/>
      <c r="D1076" s="108"/>
      <c r="E1076" s="108"/>
      <c r="F1076" s="108"/>
      <c r="G1076" s="108"/>
      <c r="H1076" s="108"/>
      <c r="I1076" s="108"/>
      <c r="J1076" s="108"/>
      <c r="K1076" s="108"/>
      <c r="L1076" s="108"/>
      <c r="M1076" s="108"/>
      <c r="N1076" s="108"/>
      <c r="O1076" s="108"/>
      <c r="P1076" s="108"/>
      <c r="Q1076" s="108"/>
      <c r="R1076" s="108"/>
      <c r="S1076" s="108"/>
      <c r="T1076" s="108"/>
      <c r="U1076" s="108"/>
      <c r="V1076" s="108"/>
      <c r="W1076" s="108"/>
      <c r="X1076" s="108"/>
    </row>
    <row r="1077" spans="1:24">
      <c r="A1077" s="108"/>
      <c r="B1077" s="108"/>
      <c r="C1077" s="108"/>
      <c r="D1077" s="108"/>
      <c r="E1077" s="108"/>
      <c r="F1077" s="108"/>
      <c r="G1077" s="108"/>
      <c r="H1077" s="108"/>
      <c r="I1077" s="108"/>
      <c r="J1077" s="108"/>
      <c r="K1077" s="108"/>
      <c r="L1077" s="108"/>
      <c r="M1077" s="108"/>
      <c r="N1077" s="108"/>
      <c r="O1077" s="108"/>
      <c r="P1077" s="108"/>
      <c r="Q1077" s="108"/>
      <c r="R1077" s="108"/>
      <c r="S1077" s="108"/>
      <c r="T1077" s="108"/>
      <c r="U1077" s="108"/>
      <c r="V1077" s="108"/>
      <c r="W1077" s="108"/>
      <c r="X1077" s="108"/>
    </row>
    <row r="1078" spans="1:24">
      <c r="A1078" s="108"/>
      <c r="B1078" s="108"/>
      <c r="C1078" s="108"/>
      <c r="D1078" s="108"/>
      <c r="E1078" s="108"/>
      <c r="F1078" s="108"/>
      <c r="G1078" s="108"/>
      <c r="H1078" s="108"/>
      <c r="I1078" s="108"/>
      <c r="J1078" s="108"/>
      <c r="K1078" s="108"/>
      <c r="L1078" s="108"/>
      <c r="M1078" s="108"/>
      <c r="N1078" s="108"/>
      <c r="O1078" s="108"/>
      <c r="P1078" s="108"/>
      <c r="Q1078" s="108"/>
      <c r="R1078" s="108"/>
      <c r="S1078" s="108"/>
      <c r="T1078" s="108"/>
      <c r="U1078" s="108"/>
      <c r="V1078" s="108"/>
      <c r="W1078" s="108"/>
      <c r="X1078" s="108"/>
    </row>
    <row r="1079" spans="1:24">
      <c r="A1079" s="108"/>
      <c r="B1079" s="108"/>
      <c r="C1079" s="108"/>
      <c r="D1079" s="108"/>
      <c r="E1079" s="108"/>
      <c r="F1079" s="108"/>
      <c r="G1079" s="108"/>
      <c r="H1079" s="108"/>
      <c r="I1079" s="108"/>
      <c r="J1079" s="108"/>
      <c r="K1079" s="108"/>
      <c r="L1079" s="108"/>
      <c r="M1079" s="108"/>
      <c r="N1079" s="108"/>
      <c r="O1079" s="108"/>
      <c r="P1079" s="108"/>
      <c r="Q1079" s="108"/>
      <c r="R1079" s="108"/>
      <c r="S1079" s="108"/>
      <c r="T1079" s="108"/>
      <c r="U1079" s="108"/>
      <c r="V1079" s="108"/>
      <c r="W1079" s="108"/>
      <c r="X1079" s="108"/>
    </row>
    <row r="1080" spans="1:24">
      <c r="A1080" s="108"/>
      <c r="B1080" s="108"/>
      <c r="C1080" s="108"/>
      <c r="D1080" s="108"/>
      <c r="E1080" s="108"/>
      <c r="F1080" s="108"/>
      <c r="G1080" s="108"/>
      <c r="H1080" s="108"/>
      <c r="I1080" s="108"/>
      <c r="J1080" s="108"/>
      <c r="K1080" s="108"/>
      <c r="L1080" s="108"/>
      <c r="M1080" s="108"/>
      <c r="N1080" s="108"/>
      <c r="O1080" s="108"/>
      <c r="P1080" s="108"/>
      <c r="Q1080" s="108"/>
      <c r="R1080" s="108"/>
      <c r="S1080" s="108"/>
      <c r="T1080" s="108"/>
      <c r="U1080" s="108"/>
      <c r="V1080" s="108"/>
      <c r="W1080" s="108"/>
      <c r="X1080" s="108"/>
    </row>
    <row r="1081" spans="1:24">
      <c r="A1081" s="108"/>
      <c r="B1081" s="108"/>
      <c r="C1081" s="108"/>
      <c r="D1081" s="108"/>
      <c r="E1081" s="108"/>
      <c r="F1081" s="108"/>
      <c r="G1081" s="108"/>
      <c r="H1081" s="108"/>
      <c r="I1081" s="108"/>
      <c r="J1081" s="108"/>
      <c r="K1081" s="108"/>
      <c r="L1081" s="108"/>
      <c r="M1081" s="108"/>
      <c r="N1081" s="108"/>
      <c r="O1081" s="108"/>
      <c r="P1081" s="108"/>
      <c r="Q1081" s="108"/>
      <c r="R1081" s="108"/>
      <c r="S1081" s="108"/>
      <c r="T1081" s="108"/>
      <c r="U1081" s="108"/>
      <c r="V1081" s="108"/>
      <c r="W1081" s="108"/>
      <c r="X1081" s="108"/>
    </row>
    <row r="1082" spans="1:24">
      <c r="A1082" s="108"/>
      <c r="B1082" s="108"/>
      <c r="C1082" s="108"/>
      <c r="D1082" s="108"/>
      <c r="E1082" s="108"/>
      <c r="F1082" s="108"/>
      <c r="G1082" s="108"/>
      <c r="H1082" s="108"/>
      <c r="I1082" s="108"/>
      <c r="J1082" s="108"/>
      <c r="K1082" s="108"/>
      <c r="L1082" s="108"/>
      <c r="M1082" s="108"/>
      <c r="N1082" s="108"/>
      <c r="O1082" s="108"/>
      <c r="P1082" s="108"/>
      <c r="Q1082" s="108"/>
      <c r="R1082" s="108"/>
      <c r="S1082" s="108"/>
      <c r="T1082" s="108"/>
      <c r="U1082" s="108"/>
      <c r="V1082" s="108"/>
      <c r="W1082" s="108"/>
      <c r="X1082" s="108"/>
    </row>
    <row r="1083" spans="1:24">
      <c r="A1083" s="108"/>
      <c r="B1083" s="108"/>
      <c r="C1083" s="108"/>
      <c r="D1083" s="108"/>
      <c r="E1083" s="108"/>
      <c r="F1083" s="108"/>
      <c r="G1083" s="108"/>
      <c r="H1083" s="108"/>
      <c r="I1083" s="108"/>
      <c r="J1083" s="108"/>
      <c r="K1083" s="108"/>
      <c r="L1083" s="108"/>
      <c r="M1083" s="108"/>
      <c r="N1083" s="108"/>
      <c r="O1083" s="108"/>
      <c r="P1083" s="108"/>
      <c r="Q1083" s="108"/>
      <c r="R1083" s="108"/>
      <c r="S1083" s="108"/>
      <c r="T1083" s="108"/>
      <c r="U1083" s="108"/>
      <c r="V1083" s="108"/>
      <c r="W1083" s="108"/>
      <c r="X1083" s="108"/>
    </row>
    <row r="1084" spans="1:24">
      <c r="A1084" s="108"/>
      <c r="B1084" s="108"/>
      <c r="C1084" s="108"/>
      <c r="D1084" s="108"/>
      <c r="E1084" s="108"/>
      <c r="F1084" s="108"/>
      <c r="G1084" s="108"/>
      <c r="H1084" s="108"/>
      <c r="I1084" s="108"/>
      <c r="J1084" s="108"/>
      <c r="K1084" s="108"/>
      <c r="L1084" s="108"/>
      <c r="M1084" s="108"/>
      <c r="N1084" s="108"/>
      <c r="O1084" s="108"/>
      <c r="P1084" s="108"/>
      <c r="Q1084" s="108"/>
      <c r="R1084" s="108"/>
      <c r="S1084" s="108"/>
      <c r="T1084" s="108"/>
      <c r="U1084" s="108"/>
      <c r="V1084" s="108"/>
      <c r="W1084" s="108"/>
      <c r="X1084" s="108"/>
    </row>
    <row r="1085" spans="1:24">
      <c r="A1085" s="108"/>
      <c r="B1085" s="108"/>
      <c r="C1085" s="108"/>
      <c r="D1085" s="108"/>
      <c r="E1085" s="108"/>
      <c r="F1085" s="108"/>
      <c r="G1085" s="108"/>
      <c r="H1085" s="108"/>
      <c r="I1085" s="108"/>
      <c r="J1085" s="108"/>
      <c r="K1085" s="108"/>
      <c r="L1085" s="108"/>
      <c r="M1085" s="108"/>
      <c r="N1085" s="108"/>
      <c r="O1085" s="108"/>
      <c r="P1085" s="108"/>
      <c r="Q1085" s="108"/>
      <c r="R1085" s="108"/>
      <c r="S1085" s="108"/>
      <c r="T1085" s="108"/>
      <c r="U1085" s="108"/>
      <c r="V1085" s="108"/>
      <c r="W1085" s="108"/>
      <c r="X1085" s="108"/>
    </row>
    <row r="1086" spans="1:24">
      <c r="A1086" s="108"/>
      <c r="B1086" s="108"/>
      <c r="C1086" s="108"/>
      <c r="D1086" s="108"/>
      <c r="E1086" s="108"/>
      <c r="F1086" s="108"/>
      <c r="G1086" s="108"/>
      <c r="H1086" s="108"/>
      <c r="I1086" s="108"/>
      <c r="J1086" s="108"/>
      <c r="K1086" s="108"/>
      <c r="L1086" s="108"/>
      <c r="M1086" s="108"/>
      <c r="N1086" s="108"/>
      <c r="O1086" s="108"/>
      <c r="P1086" s="108"/>
      <c r="Q1086" s="108"/>
      <c r="R1086" s="108"/>
      <c r="S1086" s="108"/>
      <c r="T1086" s="108"/>
      <c r="U1086" s="108"/>
      <c r="V1086" s="108"/>
      <c r="W1086" s="108"/>
      <c r="X1086" s="108"/>
    </row>
    <row r="1087" spans="1:24">
      <c r="A1087" s="108"/>
      <c r="B1087" s="108"/>
      <c r="C1087" s="108"/>
      <c r="D1087" s="108"/>
      <c r="E1087" s="108"/>
      <c r="F1087" s="108"/>
      <c r="G1087" s="108"/>
      <c r="H1087" s="108"/>
      <c r="I1087" s="108"/>
      <c r="J1087" s="108"/>
      <c r="K1087" s="108"/>
      <c r="L1087" s="108"/>
      <c r="M1087" s="108"/>
      <c r="N1087" s="108"/>
      <c r="O1087" s="108"/>
      <c r="P1087" s="108"/>
      <c r="Q1087" s="108"/>
      <c r="R1087" s="108"/>
      <c r="S1087" s="108"/>
      <c r="T1087" s="108"/>
      <c r="U1087" s="108"/>
      <c r="V1087" s="108"/>
      <c r="W1087" s="108"/>
      <c r="X1087" s="108"/>
    </row>
    <row r="1088" spans="1:24">
      <c r="A1088" s="108"/>
      <c r="B1088" s="108"/>
      <c r="C1088" s="108"/>
      <c r="D1088" s="108"/>
      <c r="E1088" s="108"/>
      <c r="F1088" s="108"/>
      <c r="G1088" s="108"/>
      <c r="H1088" s="108"/>
      <c r="I1088" s="108"/>
      <c r="J1088" s="108"/>
      <c r="K1088" s="108"/>
      <c r="L1088" s="108"/>
      <c r="M1088" s="108"/>
      <c r="N1088" s="108"/>
      <c r="O1088" s="108"/>
      <c r="P1088" s="108"/>
      <c r="Q1088" s="108"/>
      <c r="R1088" s="108"/>
      <c r="S1088" s="108"/>
      <c r="T1088" s="108"/>
      <c r="U1088" s="108"/>
      <c r="V1088" s="108"/>
      <c r="W1088" s="108"/>
      <c r="X1088" s="108"/>
    </row>
    <row r="1089" spans="1:24">
      <c r="A1089" s="108"/>
      <c r="B1089" s="108"/>
      <c r="C1089" s="108"/>
      <c r="D1089" s="108"/>
      <c r="E1089" s="108"/>
      <c r="F1089" s="108"/>
      <c r="G1089" s="108"/>
      <c r="H1089" s="108"/>
      <c r="I1089" s="108"/>
      <c r="J1089" s="108"/>
      <c r="K1089" s="108"/>
      <c r="L1089" s="108"/>
      <c r="M1089" s="108"/>
      <c r="N1089" s="108"/>
      <c r="O1089" s="108"/>
      <c r="P1089" s="108"/>
      <c r="Q1089" s="108"/>
      <c r="R1089" s="108"/>
      <c r="S1089" s="108"/>
      <c r="T1089" s="108"/>
      <c r="U1089" s="108"/>
      <c r="V1089" s="108"/>
      <c r="W1089" s="108"/>
      <c r="X1089" s="108"/>
    </row>
    <row r="1090" spans="1:24">
      <c r="A1090" s="108"/>
      <c r="B1090" s="108"/>
      <c r="C1090" s="108"/>
      <c r="D1090" s="108"/>
      <c r="E1090" s="108"/>
      <c r="F1090" s="108"/>
      <c r="G1090" s="108"/>
      <c r="H1090" s="108"/>
      <c r="I1090" s="108"/>
      <c r="J1090" s="108"/>
      <c r="K1090" s="108"/>
      <c r="L1090" s="108"/>
      <c r="M1090" s="108"/>
      <c r="N1090" s="108"/>
      <c r="O1090" s="108"/>
      <c r="P1090" s="108"/>
      <c r="Q1090" s="108"/>
      <c r="R1090" s="108"/>
      <c r="S1090" s="108"/>
      <c r="T1090" s="108"/>
      <c r="U1090" s="108"/>
      <c r="V1090" s="108"/>
      <c r="W1090" s="108"/>
      <c r="X1090" s="108"/>
    </row>
    <row r="1091" spans="1:24">
      <c r="A1091" s="108"/>
      <c r="B1091" s="108"/>
      <c r="C1091" s="108"/>
      <c r="D1091" s="108"/>
      <c r="E1091" s="108"/>
      <c r="F1091" s="108"/>
      <c r="G1091" s="108"/>
      <c r="H1091" s="108"/>
      <c r="I1091" s="108"/>
      <c r="J1091" s="108"/>
      <c r="K1091" s="108"/>
      <c r="L1091" s="108"/>
      <c r="M1091" s="108"/>
      <c r="N1091" s="108"/>
      <c r="O1091" s="108"/>
      <c r="P1091" s="108"/>
      <c r="Q1091" s="108"/>
      <c r="R1091" s="108"/>
      <c r="S1091" s="108"/>
      <c r="T1091" s="108"/>
      <c r="U1091" s="108"/>
      <c r="V1091" s="108"/>
      <c r="W1091" s="108"/>
      <c r="X1091" s="108"/>
    </row>
    <row r="1092" spans="1:24">
      <c r="A1092" s="108"/>
      <c r="B1092" s="108"/>
      <c r="C1092" s="108"/>
      <c r="D1092" s="108"/>
      <c r="E1092" s="108"/>
      <c r="F1092" s="108"/>
      <c r="G1092" s="108"/>
      <c r="H1092" s="108"/>
      <c r="I1092" s="108"/>
      <c r="J1092" s="108"/>
      <c r="K1092" s="108"/>
      <c r="L1092" s="108"/>
      <c r="M1092" s="108"/>
      <c r="N1092" s="108"/>
      <c r="O1092" s="108"/>
      <c r="P1092" s="108"/>
      <c r="Q1092" s="108"/>
      <c r="R1092" s="108"/>
      <c r="S1092" s="108"/>
      <c r="T1092" s="108"/>
      <c r="U1092" s="108"/>
      <c r="V1092" s="108"/>
      <c r="W1092" s="108"/>
      <c r="X1092" s="108"/>
    </row>
    <row r="1093" spans="1:24">
      <c r="A1093" s="108"/>
      <c r="B1093" s="108"/>
      <c r="C1093" s="108"/>
      <c r="D1093" s="108"/>
      <c r="E1093" s="108"/>
      <c r="F1093" s="108"/>
      <c r="G1093" s="108"/>
      <c r="H1093" s="108"/>
      <c r="I1093" s="108"/>
      <c r="J1093" s="108"/>
      <c r="K1093" s="108"/>
      <c r="L1093" s="108"/>
      <c r="M1093" s="108"/>
      <c r="N1093" s="108"/>
      <c r="O1093" s="108"/>
      <c r="P1093" s="108"/>
      <c r="Q1093" s="108"/>
      <c r="R1093" s="108"/>
      <c r="S1093" s="108"/>
      <c r="T1093" s="108"/>
      <c r="U1093" s="108"/>
      <c r="V1093" s="108"/>
      <c r="W1093" s="108"/>
      <c r="X1093" s="108"/>
    </row>
    <row r="1094" spans="1:24">
      <c r="A1094" s="108"/>
      <c r="B1094" s="108"/>
      <c r="C1094" s="108"/>
      <c r="D1094" s="108"/>
      <c r="E1094" s="108"/>
      <c r="F1094" s="108"/>
      <c r="G1094" s="108"/>
      <c r="H1094" s="108"/>
      <c r="I1094" s="108"/>
      <c r="J1094" s="108"/>
      <c r="K1094" s="108"/>
      <c r="L1094" s="108"/>
      <c r="M1094" s="108"/>
      <c r="N1094" s="108"/>
      <c r="O1094" s="108"/>
      <c r="P1094" s="108"/>
      <c r="Q1094" s="108"/>
      <c r="R1094" s="108"/>
      <c r="S1094" s="108"/>
      <c r="T1094" s="108"/>
      <c r="U1094" s="108"/>
      <c r="V1094" s="108"/>
      <c r="W1094" s="108"/>
      <c r="X1094" s="108"/>
    </row>
    <row r="1095" spans="1:24">
      <c r="A1095" s="108"/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</row>
    <row r="1096" spans="1:24">
      <c r="A1096" s="108"/>
      <c r="B1096" s="108"/>
      <c r="C1096" s="108"/>
      <c r="D1096" s="108"/>
      <c r="E1096" s="108"/>
      <c r="F1096" s="108"/>
      <c r="G1096" s="108"/>
      <c r="H1096" s="108"/>
      <c r="I1096" s="108"/>
      <c r="J1096" s="108"/>
      <c r="K1096" s="108"/>
      <c r="L1096" s="108"/>
      <c r="M1096" s="108"/>
      <c r="N1096" s="108"/>
      <c r="O1096" s="108"/>
      <c r="P1096" s="108"/>
      <c r="Q1096" s="108"/>
      <c r="R1096" s="108"/>
      <c r="S1096" s="108"/>
      <c r="T1096" s="108"/>
      <c r="U1096" s="108"/>
      <c r="V1096" s="108"/>
      <c r="W1096" s="108"/>
      <c r="X1096" s="108"/>
    </row>
    <row r="1097" spans="1:24">
      <c r="A1097" s="108"/>
      <c r="B1097" s="108"/>
      <c r="C1097" s="108"/>
      <c r="D1097" s="108"/>
      <c r="E1097" s="108"/>
      <c r="F1097" s="108"/>
      <c r="G1097" s="108"/>
      <c r="H1097" s="108"/>
      <c r="I1097" s="108"/>
      <c r="J1097" s="108"/>
      <c r="K1097" s="108"/>
      <c r="L1097" s="108"/>
      <c r="M1097" s="108"/>
      <c r="N1097" s="108"/>
      <c r="O1097" s="108"/>
      <c r="P1097" s="108"/>
      <c r="Q1097" s="108"/>
      <c r="R1097" s="108"/>
      <c r="S1097" s="108"/>
      <c r="T1097" s="108"/>
      <c r="U1097" s="108"/>
      <c r="V1097" s="108"/>
      <c r="W1097" s="108"/>
      <c r="X1097" s="108"/>
    </row>
    <row r="1098" spans="1:24">
      <c r="A1098" s="108"/>
      <c r="B1098" s="108"/>
      <c r="C1098" s="108"/>
      <c r="D1098" s="108"/>
      <c r="E1098" s="108"/>
      <c r="F1098" s="108"/>
      <c r="G1098" s="108"/>
      <c r="H1098" s="108"/>
      <c r="I1098" s="108"/>
      <c r="J1098" s="108"/>
      <c r="K1098" s="108"/>
      <c r="L1098" s="108"/>
      <c r="M1098" s="108"/>
      <c r="N1098" s="108"/>
      <c r="O1098" s="108"/>
      <c r="P1098" s="108"/>
      <c r="Q1098" s="108"/>
      <c r="R1098" s="108"/>
      <c r="S1098" s="108"/>
      <c r="T1098" s="108"/>
      <c r="U1098" s="108"/>
      <c r="V1098" s="108"/>
      <c r="W1098" s="108"/>
      <c r="X1098" s="108"/>
    </row>
    <row r="1099" spans="1:24">
      <c r="A1099" s="108"/>
      <c r="B1099" s="108"/>
      <c r="C1099" s="108"/>
      <c r="D1099" s="108"/>
      <c r="E1099" s="108"/>
      <c r="F1099" s="108"/>
      <c r="G1099" s="108"/>
      <c r="H1099" s="108"/>
      <c r="I1099" s="108"/>
      <c r="J1099" s="108"/>
      <c r="K1099" s="108"/>
      <c r="L1099" s="108"/>
      <c r="M1099" s="108"/>
      <c r="N1099" s="108"/>
      <c r="O1099" s="108"/>
      <c r="P1099" s="108"/>
      <c r="Q1099" s="108"/>
      <c r="R1099" s="108"/>
      <c r="S1099" s="108"/>
      <c r="T1099" s="108"/>
      <c r="U1099" s="108"/>
      <c r="V1099" s="108"/>
      <c r="W1099" s="108"/>
      <c r="X1099" s="108"/>
    </row>
    <row r="1100" spans="1:24">
      <c r="A1100" s="108"/>
      <c r="B1100" s="108"/>
      <c r="C1100" s="108"/>
      <c r="D1100" s="108"/>
      <c r="E1100" s="108"/>
      <c r="F1100" s="108"/>
      <c r="G1100" s="108"/>
      <c r="H1100" s="108"/>
      <c r="I1100" s="108"/>
      <c r="J1100" s="108"/>
      <c r="K1100" s="108"/>
      <c r="L1100" s="108"/>
      <c r="M1100" s="108"/>
      <c r="N1100" s="108"/>
      <c r="O1100" s="108"/>
      <c r="P1100" s="108"/>
      <c r="Q1100" s="108"/>
      <c r="R1100" s="108"/>
      <c r="S1100" s="108"/>
      <c r="T1100" s="108"/>
      <c r="U1100" s="108"/>
      <c r="V1100" s="108"/>
      <c r="W1100" s="108"/>
      <c r="X1100" s="108"/>
    </row>
    <row r="1101" spans="1:24">
      <c r="A1101" s="108"/>
      <c r="B1101" s="108"/>
      <c r="C1101" s="108"/>
      <c r="D1101" s="108"/>
      <c r="E1101" s="108"/>
      <c r="F1101" s="108"/>
      <c r="G1101" s="108"/>
      <c r="H1101" s="108"/>
      <c r="I1101" s="108"/>
      <c r="J1101" s="108"/>
      <c r="K1101" s="108"/>
      <c r="L1101" s="108"/>
      <c r="M1101" s="108"/>
      <c r="N1101" s="108"/>
      <c r="O1101" s="108"/>
      <c r="P1101" s="108"/>
      <c r="Q1101" s="108"/>
      <c r="R1101" s="108"/>
      <c r="S1101" s="108"/>
      <c r="T1101" s="108"/>
      <c r="U1101" s="108"/>
      <c r="V1101" s="108"/>
      <c r="W1101" s="108"/>
      <c r="X1101" s="108"/>
    </row>
    <row r="1102" spans="1:24">
      <c r="A1102" s="108"/>
      <c r="B1102" s="108"/>
      <c r="C1102" s="108"/>
      <c r="D1102" s="108"/>
      <c r="E1102" s="108"/>
      <c r="F1102" s="108"/>
      <c r="G1102" s="108"/>
      <c r="H1102" s="108"/>
      <c r="I1102" s="108"/>
      <c r="J1102" s="108"/>
      <c r="K1102" s="108"/>
      <c r="L1102" s="108"/>
      <c r="M1102" s="108"/>
      <c r="N1102" s="108"/>
      <c r="O1102" s="108"/>
      <c r="P1102" s="108"/>
      <c r="Q1102" s="108"/>
      <c r="R1102" s="108"/>
      <c r="S1102" s="108"/>
      <c r="T1102" s="108"/>
      <c r="U1102" s="108"/>
      <c r="V1102" s="108"/>
      <c r="W1102" s="108"/>
      <c r="X1102" s="108"/>
    </row>
    <row r="1103" spans="1:24">
      <c r="A1103" s="108"/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</row>
    <row r="1104" spans="1:24">
      <c r="A1104" s="108"/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</row>
    <row r="1105" spans="1:24">
      <c r="A1105" s="108"/>
      <c r="B1105" s="108"/>
      <c r="C1105" s="108"/>
      <c r="D1105" s="108"/>
      <c r="E1105" s="108"/>
      <c r="F1105" s="108"/>
      <c r="G1105" s="108"/>
      <c r="H1105" s="108"/>
      <c r="I1105" s="108"/>
      <c r="J1105" s="108"/>
      <c r="K1105" s="108"/>
      <c r="L1105" s="108"/>
      <c r="M1105" s="108"/>
      <c r="N1105" s="108"/>
      <c r="O1105" s="108"/>
      <c r="P1105" s="108"/>
      <c r="Q1105" s="108"/>
      <c r="R1105" s="108"/>
      <c r="S1105" s="108"/>
      <c r="T1105" s="108"/>
      <c r="U1105" s="108"/>
      <c r="V1105" s="108"/>
      <c r="W1105" s="108"/>
      <c r="X1105" s="108"/>
    </row>
    <row r="1106" spans="1:24">
      <c r="A1106" s="108"/>
      <c r="B1106" s="108"/>
      <c r="C1106" s="108"/>
      <c r="D1106" s="108"/>
      <c r="E1106" s="108"/>
      <c r="F1106" s="108"/>
      <c r="G1106" s="108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</row>
    <row r="1107" spans="1:24">
      <c r="A1107" s="108"/>
      <c r="B1107" s="108"/>
      <c r="C1107" s="108"/>
      <c r="D1107" s="108"/>
      <c r="E1107" s="108"/>
      <c r="F1107" s="108"/>
      <c r="G1107" s="108"/>
      <c r="H1107" s="108"/>
      <c r="I1107" s="108"/>
      <c r="J1107" s="108"/>
      <c r="K1107" s="108"/>
      <c r="L1107" s="108"/>
      <c r="M1107" s="108"/>
      <c r="N1107" s="108"/>
      <c r="O1107" s="108"/>
      <c r="P1107" s="108"/>
      <c r="Q1107" s="108"/>
      <c r="R1107" s="108"/>
      <c r="S1107" s="108"/>
      <c r="T1107" s="108"/>
      <c r="U1107" s="108"/>
      <c r="V1107" s="108"/>
      <c r="W1107" s="108"/>
      <c r="X1107" s="108"/>
    </row>
    <row r="1108" spans="1:24">
      <c r="A1108" s="108"/>
      <c r="B1108" s="108"/>
      <c r="C1108" s="108"/>
      <c r="D1108" s="108"/>
      <c r="E1108" s="108"/>
      <c r="F1108" s="108"/>
      <c r="G1108" s="108"/>
      <c r="H1108" s="108"/>
      <c r="I1108" s="108"/>
      <c r="J1108" s="108"/>
      <c r="K1108" s="108"/>
      <c r="L1108" s="108"/>
      <c r="M1108" s="108"/>
      <c r="N1108" s="108"/>
      <c r="O1108" s="108"/>
      <c r="P1108" s="108"/>
      <c r="Q1108" s="108"/>
      <c r="R1108" s="108"/>
      <c r="S1108" s="108"/>
      <c r="T1108" s="108"/>
      <c r="U1108" s="108"/>
      <c r="V1108" s="108"/>
      <c r="W1108" s="108"/>
      <c r="X1108" s="108"/>
    </row>
    <row r="1109" spans="1:24">
      <c r="A1109" s="108"/>
      <c r="B1109" s="108"/>
      <c r="C1109" s="108"/>
      <c r="D1109" s="108"/>
      <c r="E1109" s="108"/>
      <c r="F1109" s="108"/>
      <c r="G1109" s="108"/>
      <c r="H1109" s="108"/>
      <c r="I1109" s="108"/>
      <c r="J1109" s="108"/>
      <c r="K1109" s="108"/>
      <c r="L1109" s="108"/>
      <c r="M1109" s="108"/>
      <c r="N1109" s="108"/>
      <c r="O1109" s="108"/>
      <c r="P1109" s="108"/>
      <c r="Q1109" s="108"/>
      <c r="R1109" s="108"/>
      <c r="S1109" s="108"/>
      <c r="T1109" s="108"/>
      <c r="U1109" s="108"/>
      <c r="V1109" s="108"/>
      <c r="W1109" s="108"/>
      <c r="X1109" s="108"/>
    </row>
    <row r="1110" spans="1:24">
      <c r="A1110" s="108"/>
      <c r="B1110" s="108"/>
      <c r="C1110" s="108"/>
      <c r="D1110" s="108"/>
      <c r="E1110" s="108"/>
      <c r="F1110" s="108"/>
      <c r="G1110" s="108"/>
      <c r="H1110" s="108"/>
      <c r="I1110" s="108"/>
      <c r="J1110" s="108"/>
      <c r="K1110" s="108"/>
      <c r="L1110" s="108"/>
      <c r="M1110" s="108"/>
      <c r="N1110" s="108"/>
      <c r="O1110" s="108"/>
      <c r="P1110" s="108"/>
      <c r="Q1110" s="108"/>
      <c r="R1110" s="108"/>
      <c r="S1110" s="108"/>
      <c r="T1110" s="108"/>
      <c r="U1110" s="108"/>
      <c r="V1110" s="108"/>
      <c r="W1110" s="108"/>
      <c r="X1110" s="108"/>
    </row>
    <row r="1111" spans="1:24">
      <c r="A1111" s="108"/>
      <c r="B1111" s="108"/>
      <c r="C1111" s="108"/>
      <c r="D1111" s="108"/>
      <c r="E1111" s="108"/>
      <c r="F1111" s="108"/>
      <c r="G1111" s="108"/>
      <c r="H1111" s="108"/>
      <c r="I1111" s="108"/>
      <c r="J1111" s="108"/>
      <c r="K1111" s="108"/>
      <c r="L1111" s="108"/>
      <c r="M1111" s="108"/>
      <c r="N1111" s="108"/>
      <c r="O1111" s="108"/>
      <c r="P1111" s="108"/>
      <c r="Q1111" s="108"/>
      <c r="R1111" s="108"/>
      <c r="S1111" s="108"/>
      <c r="T1111" s="108"/>
      <c r="U1111" s="108"/>
      <c r="V1111" s="108"/>
      <c r="W1111" s="108"/>
      <c r="X1111" s="108"/>
    </row>
    <row r="1112" spans="1:24">
      <c r="A1112" s="108"/>
      <c r="B1112" s="108"/>
      <c r="C1112" s="108"/>
      <c r="D1112" s="108"/>
      <c r="E1112" s="108"/>
      <c r="F1112" s="108"/>
      <c r="G1112" s="108"/>
      <c r="H1112" s="108"/>
      <c r="I1112" s="108"/>
      <c r="J1112" s="108"/>
      <c r="K1112" s="108"/>
      <c r="L1112" s="108"/>
      <c r="M1112" s="108"/>
      <c r="N1112" s="108"/>
      <c r="O1112" s="108"/>
      <c r="P1112" s="108"/>
      <c r="Q1112" s="108"/>
      <c r="R1112" s="108"/>
      <c r="S1112" s="108"/>
      <c r="T1112" s="108"/>
      <c r="U1112" s="108"/>
      <c r="V1112" s="108"/>
      <c r="W1112" s="108"/>
      <c r="X1112" s="108"/>
    </row>
    <row r="1113" spans="1:24">
      <c r="A1113" s="108"/>
      <c r="B1113" s="108"/>
      <c r="C1113" s="108"/>
      <c r="D1113" s="108"/>
      <c r="E1113" s="108"/>
      <c r="F1113" s="108"/>
      <c r="G1113" s="108"/>
      <c r="H1113" s="108"/>
      <c r="I1113" s="108"/>
      <c r="J1113" s="108"/>
      <c r="K1113" s="108"/>
      <c r="L1113" s="108"/>
      <c r="M1113" s="108"/>
      <c r="N1113" s="108"/>
      <c r="O1113" s="108"/>
      <c r="P1113" s="108"/>
      <c r="Q1113" s="108"/>
      <c r="R1113" s="108"/>
      <c r="S1113" s="108"/>
      <c r="T1113" s="108"/>
      <c r="U1113" s="108"/>
      <c r="V1113" s="108"/>
      <c r="W1113" s="108"/>
      <c r="X1113" s="108"/>
    </row>
    <row r="1114" spans="1:24">
      <c r="A1114" s="108"/>
      <c r="B1114" s="108"/>
      <c r="C1114" s="108"/>
      <c r="D1114" s="108"/>
      <c r="E1114" s="108"/>
      <c r="F1114" s="108"/>
      <c r="G1114" s="108"/>
      <c r="H1114" s="108"/>
      <c r="I1114" s="108"/>
      <c r="J1114" s="108"/>
      <c r="K1114" s="108"/>
      <c r="L1114" s="108"/>
      <c r="M1114" s="108"/>
      <c r="N1114" s="108"/>
      <c r="O1114" s="108"/>
      <c r="P1114" s="108"/>
      <c r="Q1114" s="108"/>
      <c r="R1114" s="108"/>
      <c r="S1114" s="108"/>
      <c r="T1114" s="108"/>
      <c r="U1114" s="108"/>
      <c r="V1114" s="108"/>
      <c r="W1114" s="108"/>
      <c r="X1114" s="108"/>
    </row>
    <row r="1115" spans="1:24">
      <c r="A1115" s="108"/>
      <c r="B1115" s="108"/>
      <c r="C1115" s="108"/>
      <c r="D1115" s="108"/>
      <c r="E1115" s="108"/>
      <c r="F1115" s="108"/>
      <c r="G1115" s="108"/>
      <c r="H1115" s="108"/>
      <c r="I1115" s="108"/>
      <c r="J1115" s="108"/>
      <c r="K1115" s="108"/>
      <c r="L1115" s="108"/>
      <c r="M1115" s="108"/>
      <c r="N1115" s="108"/>
      <c r="O1115" s="108"/>
      <c r="P1115" s="108"/>
      <c r="Q1115" s="108"/>
      <c r="R1115" s="108"/>
      <c r="S1115" s="108"/>
      <c r="T1115" s="108"/>
      <c r="U1115" s="108"/>
      <c r="V1115" s="108"/>
      <c r="W1115" s="108"/>
      <c r="X1115" s="108"/>
    </row>
    <row r="1116" spans="1:24">
      <c r="A1116" s="108"/>
      <c r="B1116" s="108"/>
      <c r="C1116" s="108"/>
      <c r="D1116" s="108"/>
      <c r="E1116" s="108"/>
      <c r="F1116" s="108"/>
      <c r="G1116" s="108"/>
      <c r="H1116" s="108"/>
      <c r="I1116" s="108"/>
      <c r="J1116" s="108"/>
      <c r="K1116" s="108"/>
      <c r="L1116" s="108"/>
      <c r="M1116" s="108"/>
      <c r="N1116" s="108"/>
      <c r="O1116" s="108"/>
      <c r="P1116" s="108"/>
      <c r="Q1116" s="108"/>
      <c r="R1116" s="108"/>
      <c r="S1116" s="108"/>
      <c r="T1116" s="108"/>
      <c r="U1116" s="108"/>
      <c r="V1116" s="108"/>
      <c r="W1116" s="108"/>
      <c r="X1116" s="108"/>
    </row>
    <row r="1117" spans="1:24">
      <c r="A1117" s="108"/>
      <c r="B1117" s="108"/>
      <c r="C1117" s="108"/>
      <c r="D1117" s="108"/>
      <c r="E1117" s="108"/>
      <c r="F1117" s="108"/>
      <c r="G1117" s="108"/>
      <c r="H1117" s="108"/>
      <c r="I1117" s="108"/>
      <c r="J1117" s="108"/>
      <c r="K1117" s="108"/>
      <c r="L1117" s="108"/>
      <c r="M1117" s="108"/>
      <c r="N1117" s="108"/>
      <c r="O1117" s="108"/>
      <c r="P1117" s="108"/>
      <c r="Q1117" s="108"/>
      <c r="R1117" s="108"/>
      <c r="S1117" s="108"/>
      <c r="T1117" s="108"/>
      <c r="U1117" s="108"/>
      <c r="V1117" s="108"/>
      <c r="W1117" s="108"/>
      <c r="X1117" s="108"/>
    </row>
    <row r="1118" spans="1:24">
      <c r="A1118" s="108"/>
      <c r="B1118" s="108"/>
      <c r="C1118" s="108"/>
      <c r="D1118" s="108"/>
      <c r="E1118" s="108"/>
      <c r="F1118" s="108"/>
      <c r="G1118" s="108"/>
      <c r="H1118" s="108"/>
      <c r="I1118" s="108"/>
      <c r="J1118" s="108"/>
      <c r="K1118" s="108"/>
      <c r="L1118" s="108"/>
      <c r="M1118" s="108"/>
      <c r="N1118" s="108"/>
      <c r="O1118" s="108"/>
      <c r="P1118" s="108"/>
      <c r="Q1118" s="108"/>
      <c r="R1118" s="108"/>
      <c r="S1118" s="108"/>
      <c r="T1118" s="108"/>
      <c r="U1118" s="108"/>
      <c r="V1118" s="108"/>
      <c r="W1118" s="108"/>
      <c r="X1118" s="108"/>
    </row>
    <row r="1119" spans="1:24">
      <c r="A1119" s="108"/>
      <c r="B1119" s="108"/>
      <c r="C1119" s="108"/>
      <c r="D1119" s="108"/>
      <c r="E1119" s="108"/>
      <c r="F1119" s="108"/>
      <c r="G1119" s="108"/>
      <c r="H1119" s="108"/>
      <c r="I1119" s="108"/>
      <c r="J1119" s="108"/>
      <c r="K1119" s="108"/>
      <c r="L1119" s="108"/>
      <c r="M1119" s="108"/>
      <c r="N1119" s="108"/>
      <c r="O1119" s="108"/>
      <c r="P1119" s="108"/>
      <c r="Q1119" s="108"/>
      <c r="R1119" s="108"/>
      <c r="S1119" s="108"/>
      <c r="T1119" s="108"/>
      <c r="U1119" s="108"/>
      <c r="V1119" s="108"/>
      <c r="W1119" s="108"/>
      <c r="X1119" s="108"/>
    </row>
    <row r="1120" spans="1:24">
      <c r="A1120" s="108"/>
      <c r="B1120" s="108"/>
      <c r="C1120" s="108"/>
      <c r="D1120" s="108"/>
      <c r="E1120" s="108"/>
      <c r="F1120" s="108"/>
      <c r="G1120" s="108"/>
      <c r="H1120" s="108"/>
      <c r="I1120" s="108"/>
      <c r="J1120" s="108"/>
      <c r="K1120" s="108"/>
      <c r="L1120" s="108"/>
      <c r="M1120" s="108"/>
      <c r="N1120" s="108"/>
      <c r="O1120" s="108"/>
      <c r="P1120" s="108"/>
      <c r="Q1120" s="108"/>
      <c r="R1120" s="108"/>
      <c r="S1120" s="108"/>
      <c r="T1120" s="108"/>
      <c r="U1120" s="108"/>
      <c r="V1120" s="108"/>
      <c r="W1120" s="108"/>
      <c r="X1120" s="108"/>
    </row>
    <row r="1121" spans="1:24">
      <c r="A1121" s="108"/>
      <c r="B1121" s="108"/>
      <c r="C1121" s="108"/>
      <c r="D1121" s="108"/>
      <c r="E1121" s="108"/>
      <c r="F1121" s="108"/>
      <c r="G1121" s="108"/>
      <c r="H1121" s="108"/>
      <c r="I1121" s="108"/>
      <c r="J1121" s="108"/>
      <c r="K1121" s="108"/>
      <c r="L1121" s="108"/>
      <c r="M1121" s="108"/>
      <c r="N1121" s="108"/>
      <c r="O1121" s="108"/>
      <c r="P1121" s="108"/>
      <c r="Q1121" s="108"/>
      <c r="R1121" s="108"/>
      <c r="S1121" s="108"/>
      <c r="T1121" s="108"/>
      <c r="U1121" s="108"/>
      <c r="V1121" s="108"/>
      <c r="W1121" s="108"/>
      <c r="X1121" s="108"/>
    </row>
    <row r="1122" spans="1:24">
      <c r="A1122" s="108"/>
      <c r="B1122" s="108"/>
      <c r="C1122" s="108"/>
      <c r="D1122" s="108"/>
      <c r="E1122" s="108"/>
      <c r="F1122" s="108"/>
      <c r="G1122" s="108"/>
      <c r="H1122" s="108"/>
      <c r="I1122" s="108"/>
      <c r="J1122" s="108"/>
      <c r="K1122" s="108"/>
      <c r="L1122" s="108"/>
      <c r="M1122" s="108"/>
      <c r="N1122" s="108"/>
      <c r="O1122" s="108"/>
      <c r="P1122" s="108"/>
      <c r="Q1122" s="108"/>
      <c r="R1122" s="108"/>
      <c r="S1122" s="108"/>
      <c r="T1122" s="108"/>
      <c r="U1122" s="108"/>
      <c r="V1122" s="108"/>
      <c r="W1122" s="108"/>
      <c r="X1122" s="108"/>
    </row>
    <row r="1123" spans="1:24">
      <c r="A1123" s="108"/>
      <c r="B1123" s="108"/>
      <c r="C1123" s="108"/>
      <c r="D1123" s="108"/>
      <c r="E1123" s="108"/>
      <c r="F1123" s="108"/>
      <c r="G1123" s="108"/>
      <c r="H1123" s="108"/>
      <c r="I1123" s="108"/>
      <c r="J1123" s="108"/>
      <c r="K1123" s="108"/>
      <c r="L1123" s="108"/>
      <c r="M1123" s="108"/>
      <c r="N1123" s="108"/>
      <c r="O1123" s="108"/>
      <c r="P1123" s="108"/>
      <c r="Q1123" s="108"/>
      <c r="R1123" s="108"/>
      <c r="S1123" s="108"/>
      <c r="T1123" s="108"/>
      <c r="U1123" s="108"/>
      <c r="V1123" s="108"/>
      <c r="W1123" s="108"/>
      <c r="X1123" s="108"/>
    </row>
    <row r="1124" spans="1:24">
      <c r="A1124" s="108"/>
      <c r="B1124" s="108"/>
      <c r="C1124" s="108"/>
      <c r="D1124" s="108"/>
      <c r="E1124" s="108"/>
      <c r="F1124" s="108"/>
      <c r="G1124" s="108"/>
      <c r="H1124" s="108"/>
      <c r="I1124" s="108"/>
      <c r="J1124" s="108"/>
      <c r="K1124" s="108"/>
      <c r="L1124" s="108"/>
      <c r="M1124" s="108"/>
      <c r="N1124" s="108"/>
      <c r="O1124" s="108"/>
      <c r="P1124" s="108"/>
      <c r="Q1124" s="108"/>
      <c r="R1124" s="108"/>
      <c r="S1124" s="108"/>
      <c r="T1124" s="108"/>
      <c r="U1124" s="108"/>
      <c r="V1124" s="108"/>
      <c r="W1124" s="108"/>
      <c r="X1124" s="108"/>
    </row>
    <row r="1125" spans="1:24">
      <c r="A1125" s="108"/>
      <c r="B1125" s="108"/>
      <c r="C1125" s="108"/>
      <c r="D1125" s="108"/>
      <c r="E1125" s="108"/>
      <c r="F1125" s="108"/>
      <c r="G1125" s="108"/>
      <c r="H1125" s="108"/>
      <c r="I1125" s="108"/>
      <c r="J1125" s="108"/>
      <c r="K1125" s="108"/>
      <c r="L1125" s="108"/>
      <c r="M1125" s="108"/>
      <c r="N1125" s="108"/>
      <c r="O1125" s="108"/>
      <c r="P1125" s="108"/>
      <c r="Q1125" s="108"/>
      <c r="R1125" s="108"/>
      <c r="S1125" s="108"/>
      <c r="T1125" s="108"/>
      <c r="U1125" s="108"/>
      <c r="V1125" s="108"/>
      <c r="W1125" s="108"/>
      <c r="X1125" s="108"/>
    </row>
    <row r="1126" spans="1:24">
      <c r="A1126" s="108"/>
      <c r="B1126" s="108"/>
      <c r="C1126" s="108"/>
      <c r="D1126" s="108"/>
      <c r="E1126" s="108"/>
      <c r="F1126" s="108"/>
      <c r="G1126" s="108"/>
      <c r="H1126" s="108"/>
      <c r="I1126" s="108"/>
      <c r="J1126" s="108"/>
      <c r="K1126" s="108"/>
      <c r="L1126" s="108"/>
      <c r="M1126" s="108"/>
      <c r="N1126" s="108"/>
      <c r="O1126" s="108"/>
      <c r="P1126" s="108"/>
      <c r="Q1126" s="108"/>
      <c r="R1126" s="108"/>
      <c r="S1126" s="108"/>
      <c r="T1126" s="108"/>
      <c r="U1126" s="108"/>
      <c r="V1126" s="108"/>
      <c r="W1126" s="108"/>
      <c r="X1126" s="108"/>
    </row>
    <row r="1127" spans="1:24">
      <c r="A1127" s="108"/>
      <c r="B1127" s="108" t="str">
        <f t="shared" ref="B1127:B1264" ca="1" si="0">H2</f>
        <v>#REF!</v>
      </c>
      <c r="C1127" s="108"/>
      <c r="D1127" s="108"/>
      <c r="E1127" s="108"/>
      <c r="F1127" s="108"/>
      <c r="G1127" s="108"/>
      <c r="H1127" s="108"/>
      <c r="I1127" s="108"/>
      <c r="J1127" s="108"/>
      <c r="K1127" s="108"/>
      <c r="L1127" s="108"/>
      <c r="M1127" s="108"/>
      <c r="N1127" s="108"/>
      <c r="O1127" s="108"/>
      <c r="P1127" s="108"/>
      <c r="Q1127" s="108"/>
      <c r="R1127" s="108"/>
      <c r="S1127" s="108"/>
      <c r="T1127" s="108"/>
      <c r="U1127" s="108"/>
      <c r="V1127" s="108"/>
      <c r="W1127" s="108"/>
      <c r="X1127" s="108"/>
    </row>
    <row r="1128" spans="1:24">
      <c r="A1128" s="108"/>
      <c r="B1128" s="108">
        <f t="shared" si="0"/>
        <v>0</v>
      </c>
      <c r="C1128" s="108"/>
      <c r="D1128" s="108"/>
      <c r="E1128" s="108"/>
      <c r="F1128" s="108"/>
      <c r="G1128" s="108"/>
      <c r="H1128" s="108"/>
      <c r="I1128" s="108"/>
      <c r="J1128" s="108"/>
      <c r="K1128" s="108"/>
      <c r="L1128" s="108"/>
      <c r="M1128" s="108"/>
      <c r="N1128" s="108"/>
      <c r="O1128" s="108"/>
      <c r="P1128" s="108"/>
      <c r="Q1128" s="108"/>
      <c r="R1128" s="108"/>
      <c r="S1128" s="108"/>
      <c r="T1128" s="108"/>
      <c r="U1128" s="108"/>
      <c r="V1128" s="108"/>
      <c r="W1128" s="108"/>
      <c r="X1128" s="108"/>
    </row>
    <row r="1129" spans="1:24">
      <c r="A1129" s="108"/>
      <c r="B1129" s="108">
        <f t="shared" si="0"/>
        <v>0</v>
      </c>
      <c r="C1129" s="108"/>
      <c r="D1129" s="108"/>
      <c r="E1129" s="108"/>
      <c r="F1129" s="108"/>
      <c r="G1129" s="108"/>
      <c r="H1129" s="108"/>
      <c r="I1129" s="108"/>
      <c r="J1129" s="108"/>
      <c r="K1129" s="108"/>
      <c r="L1129" s="108"/>
      <c r="M1129" s="108"/>
      <c r="N1129" s="108"/>
      <c r="O1129" s="108"/>
      <c r="P1129" s="108"/>
      <c r="Q1129" s="108"/>
      <c r="R1129" s="108"/>
      <c r="S1129" s="108"/>
      <c r="T1129" s="108"/>
      <c r="U1129" s="108"/>
      <c r="V1129" s="108"/>
      <c r="W1129" s="108"/>
      <c r="X1129" s="108"/>
    </row>
    <row r="1130" spans="1:24">
      <c r="A1130" s="108"/>
      <c r="B1130" s="108">
        <f t="shared" si="0"/>
        <v>0</v>
      </c>
      <c r="C1130" s="108"/>
      <c r="D1130" s="108"/>
      <c r="E1130" s="108"/>
      <c r="F1130" s="108"/>
      <c r="G1130" s="108"/>
      <c r="H1130" s="108"/>
      <c r="I1130" s="108"/>
      <c r="J1130" s="108"/>
      <c r="K1130" s="108"/>
      <c r="L1130" s="108"/>
      <c r="M1130" s="108"/>
      <c r="N1130" s="108"/>
      <c r="O1130" s="108"/>
      <c r="P1130" s="108"/>
      <c r="Q1130" s="108"/>
      <c r="R1130" s="108"/>
      <c r="S1130" s="108"/>
      <c r="T1130" s="108"/>
      <c r="U1130" s="108"/>
      <c r="V1130" s="108"/>
      <c r="W1130" s="108"/>
      <c r="X1130" s="108"/>
    </row>
    <row r="1131" spans="1:24">
      <c r="A1131" s="108"/>
      <c r="B1131" s="108">
        <f t="shared" si="0"/>
        <v>0</v>
      </c>
      <c r="C1131" s="108"/>
      <c r="D1131" s="108"/>
      <c r="E1131" s="108"/>
      <c r="F1131" s="108"/>
      <c r="G1131" s="108"/>
      <c r="H1131" s="108"/>
      <c r="I1131" s="108"/>
      <c r="J1131" s="108"/>
      <c r="K1131" s="108"/>
      <c r="L1131" s="108"/>
      <c r="M1131" s="108"/>
      <c r="N1131" s="108"/>
      <c r="O1131" s="108"/>
      <c r="P1131" s="108"/>
      <c r="Q1131" s="108"/>
      <c r="R1131" s="108"/>
      <c r="S1131" s="108"/>
      <c r="T1131" s="108"/>
      <c r="U1131" s="108"/>
      <c r="V1131" s="108"/>
      <c r="W1131" s="108"/>
      <c r="X1131" s="108"/>
    </row>
    <row r="1132" spans="1:24">
      <c r="A1132" s="108"/>
      <c r="B1132" s="108">
        <f t="shared" si="0"/>
        <v>0</v>
      </c>
      <c r="C1132" s="108"/>
      <c r="D1132" s="108"/>
      <c r="E1132" s="108"/>
      <c r="F1132" s="108"/>
      <c r="G1132" s="108"/>
      <c r="H1132" s="108"/>
      <c r="I1132" s="108"/>
      <c r="J1132" s="108"/>
      <c r="K1132" s="108"/>
      <c r="L1132" s="108"/>
      <c r="M1132" s="108"/>
      <c r="N1132" s="108"/>
      <c r="O1132" s="108"/>
      <c r="P1132" s="108"/>
      <c r="Q1132" s="108"/>
      <c r="R1132" s="108"/>
      <c r="S1132" s="108"/>
      <c r="T1132" s="108"/>
      <c r="U1132" s="108"/>
      <c r="V1132" s="108"/>
      <c r="W1132" s="108"/>
      <c r="X1132" s="108"/>
    </row>
    <row r="1133" spans="1:24">
      <c r="A1133" s="108"/>
      <c r="B1133" s="108">
        <f t="shared" si="0"/>
        <v>0</v>
      </c>
      <c r="C1133" s="108"/>
      <c r="D1133" s="108"/>
      <c r="E1133" s="108"/>
      <c r="F1133" s="108"/>
      <c r="G1133" s="108"/>
      <c r="H1133" s="108"/>
      <c r="I1133" s="108"/>
      <c r="J1133" s="108"/>
      <c r="K1133" s="108"/>
      <c r="L1133" s="108"/>
      <c r="M1133" s="108"/>
      <c r="N1133" s="108"/>
      <c r="O1133" s="108"/>
      <c r="P1133" s="108"/>
      <c r="Q1133" s="108"/>
      <c r="R1133" s="108"/>
      <c r="S1133" s="108"/>
      <c r="T1133" s="108"/>
      <c r="U1133" s="108"/>
      <c r="V1133" s="108"/>
      <c r="W1133" s="108"/>
      <c r="X1133" s="108"/>
    </row>
    <row r="1134" spans="1:24">
      <c r="A1134" s="108"/>
      <c r="B1134" s="108">
        <f t="shared" si="0"/>
        <v>0</v>
      </c>
      <c r="C1134" s="108"/>
      <c r="D1134" s="108"/>
      <c r="E1134" s="108"/>
      <c r="F1134" s="108"/>
      <c r="G1134" s="108"/>
      <c r="H1134" s="108"/>
      <c r="I1134" s="108"/>
      <c r="J1134" s="108"/>
      <c r="K1134" s="108"/>
      <c r="L1134" s="108"/>
      <c r="M1134" s="108"/>
      <c r="N1134" s="108"/>
      <c r="O1134" s="108"/>
      <c r="P1134" s="108"/>
      <c r="Q1134" s="108"/>
      <c r="R1134" s="108"/>
      <c r="S1134" s="108"/>
      <c r="T1134" s="108"/>
      <c r="U1134" s="108"/>
      <c r="V1134" s="108"/>
      <c r="W1134" s="108"/>
      <c r="X1134" s="108"/>
    </row>
    <row r="1135" spans="1:24">
      <c r="A1135" s="108"/>
      <c r="B1135" s="108">
        <f t="shared" si="0"/>
        <v>0</v>
      </c>
      <c r="C1135" s="108"/>
      <c r="D1135" s="108"/>
      <c r="E1135" s="108"/>
      <c r="F1135" s="108"/>
      <c r="G1135" s="108"/>
      <c r="H1135" s="108"/>
      <c r="I1135" s="108"/>
      <c r="J1135" s="108"/>
      <c r="K1135" s="108"/>
      <c r="L1135" s="108"/>
      <c r="M1135" s="108"/>
      <c r="N1135" s="108"/>
      <c r="O1135" s="108"/>
      <c r="P1135" s="108"/>
      <c r="Q1135" s="108"/>
      <c r="R1135" s="108"/>
      <c r="S1135" s="108"/>
      <c r="T1135" s="108"/>
      <c r="U1135" s="108"/>
      <c r="V1135" s="108"/>
      <c r="W1135" s="108"/>
      <c r="X1135" s="108"/>
    </row>
    <row r="1136" spans="1:24">
      <c r="A1136" s="108"/>
      <c r="B1136" s="108">
        <f t="shared" si="0"/>
        <v>0</v>
      </c>
      <c r="C1136" s="108"/>
      <c r="D1136" s="108"/>
      <c r="E1136" s="108"/>
      <c r="F1136" s="108"/>
      <c r="G1136" s="108"/>
      <c r="H1136" s="108"/>
      <c r="I1136" s="108"/>
      <c r="J1136" s="108"/>
      <c r="K1136" s="108"/>
      <c r="L1136" s="108"/>
      <c r="M1136" s="108"/>
      <c r="N1136" s="108"/>
      <c r="O1136" s="108"/>
      <c r="P1136" s="108"/>
      <c r="Q1136" s="108"/>
      <c r="R1136" s="108"/>
      <c r="S1136" s="108"/>
      <c r="T1136" s="108"/>
      <c r="U1136" s="108"/>
      <c r="V1136" s="108"/>
      <c r="W1136" s="108"/>
      <c r="X1136" s="108"/>
    </row>
    <row r="1137" spans="1:24">
      <c r="A1137" s="108"/>
      <c r="B1137" s="108">
        <f t="shared" si="0"/>
        <v>0</v>
      </c>
      <c r="C1137" s="108"/>
      <c r="D1137" s="108"/>
      <c r="E1137" s="108"/>
      <c r="F1137" s="108"/>
      <c r="G1137" s="108"/>
      <c r="H1137" s="108"/>
      <c r="I1137" s="108"/>
      <c r="J1137" s="108"/>
      <c r="K1137" s="108"/>
      <c r="L1137" s="108"/>
      <c r="M1137" s="108"/>
      <c r="N1137" s="108"/>
      <c r="O1137" s="108"/>
      <c r="P1137" s="108"/>
      <c r="Q1137" s="108"/>
      <c r="R1137" s="108"/>
      <c r="S1137" s="108"/>
      <c r="T1137" s="108"/>
      <c r="U1137" s="108"/>
      <c r="V1137" s="108"/>
      <c r="W1137" s="108"/>
      <c r="X1137" s="108"/>
    </row>
    <row r="1138" spans="1:24">
      <c r="A1138" s="108"/>
      <c r="B1138" s="108">
        <f t="shared" si="0"/>
        <v>0</v>
      </c>
      <c r="C1138" s="108"/>
      <c r="D1138" s="108"/>
      <c r="E1138" s="108"/>
      <c r="F1138" s="108"/>
      <c r="G1138" s="108"/>
      <c r="H1138" s="108"/>
      <c r="I1138" s="108"/>
      <c r="J1138" s="108"/>
      <c r="K1138" s="108"/>
      <c r="L1138" s="108"/>
      <c r="M1138" s="108"/>
      <c r="N1138" s="108"/>
      <c r="O1138" s="108"/>
      <c r="P1138" s="108"/>
      <c r="Q1138" s="108"/>
      <c r="R1138" s="108"/>
      <c r="S1138" s="108"/>
      <c r="T1138" s="108"/>
      <c r="U1138" s="108"/>
      <c r="V1138" s="108"/>
      <c r="W1138" s="108"/>
      <c r="X1138" s="108"/>
    </row>
    <row r="1139" spans="1:24">
      <c r="A1139" s="108"/>
      <c r="B1139" s="108">
        <f t="shared" si="0"/>
        <v>0</v>
      </c>
      <c r="C1139" s="108"/>
      <c r="D1139" s="108"/>
      <c r="E1139" s="108"/>
      <c r="F1139" s="108"/>
      <c r="G1139" s="108"/>
      <c r="H1139" s="108"/>
      <c r="I1139" s="108"/>
      <c r="J1139" s="108"/>
      <c r="K1139" s="108"/>
      <c r="L1139" s="108"/>
      <c r="M1139" s="108"/>
      <c r="N1139" s="108"/>
      <c r="O1139" s="108"/>
      <c r="P1139" s="108"/>
      <c r="Q1139" s="108"/>
      <c r="R1139" s="108"/>
      <c r="S1139" s="108"/>
      <c r="T1139" s="108"/>
      <c r="U1139" s="108"/>
      <c r="V1139" s="108"/>
      <c r="W1139" s="108"/>
      <c r="X1139" s="108"/>
    </row>
    <row r="1140" spans="1:24">
      <c r="A1140" s="108"/>
      <c r="B1140" s="108">
        <f t="shared" si="0"/>
        <v>0</v>
      </c>
      <c r="C1140" s="108"/>
      <c r="D1140" s="108"/>
      <c r="E1140" s="108"/>
      <c r="F1140" s="108"/>
      <c r="G1140" s="108"/>
      <c r="H1140" s="108"/>
      <c r="I1140" s="108"/>
      <c r="J1140" s="108"/>
      <c r="K1140" s="108"/>
      <c r="L1140" s="108"/>
      <c r="M1140" s="108"/>
      <c r="N1140" s="108"/>
      <c r="O1140" s="108"/>
      <c r="P1140" s="108"/>
      <c r="Q1140" s="108"/>
      <c r="R1140" s="108"/>
      <c r="S1140" s="108"/>
      <c r="T1140" s="108"/>
      <c r="U1140" s="108"/>
      <c r="V1140" s="108"/>
      <c r="W1140" s="108"/>
      <c r="X1140" s="108"/>
    </row>
    <row r="1141" spans="1:24">
      <c r="A1141" s="108"/>
      <c r="B1141" s="108">
        <f t="shared" si="0"/>
        <v>0</v>
      </c>
      <c r="C1141" s="108"/>
      <c r="D1141" s="108"/>
      <c r="E1141" s="108"/>
      <c r="F1141" s="108"/>
      <c r="G1141" s="108"/>
      <c r="H1141" s="108"/>
      <c r="I1141" s="108"/>
      <c r="J1141" s="108"/>
      <c r="K1141" s="108"/>
      <c r="L1141" s="108"/>
      <c r="M1141" s="108"/>
      <c r="N1141" s="108"/>
      <c r="O1141" s="108"/>
      <c r="P1141" s="108"/>
      <c r="Q1141" s="108"/>
      <c r="R1141" s="108"/>
      <c r="S1141" s="108"/>
      <c r="T1141" s="108"/>
      <c r="U1141" s="108"/>
      <c r="V1141" s="108"/>
      <c r="W1141" s="108"/>
      <c r="X1141" s="108"/>
    </row>
    <row r="1142" spans="1:24">
      <c r="A1142" s="108"/>
      <c r="B1142" s="108">
        <f t="shared" si="0"/>
        <v>0</v>
      </c>
      <c r="C1142" s="108"/>
      <c r="D1142" s="108"/>
      <c r="E1142" s="108"/>
      <c r="F1142" s="108"/>
      <c r="G1142" s="108"/>
      <c r="H1142" s="108"/>
      <c r="I1142" s="108"/>
      <c r="J1142" s="108"/>
      <c r="K1142" s="108"/>
      <c r="L1142" s="108"/>
      <c r="M1142" s="108"/>
      <c r="N1142" s="108"/>
      <c r="O1142" s="108"/>
      <c r="P1142" s="108"/>
      <c r="Q1142" s="108"/>
      <c r="R1142" s="108"/>
      <c r="S1142" s="108"/>
      <c r="T1142" s="108"/>
      <c r="U1142" s="108"/>
      <c r="V1142" s="108"/>
      <c r="W1142" s="108"/>
      <c r="X1142" s="108"/>
    </row>
    <row r="1143" spans="1:24">
      <c r="A1143" s="108"/>
      <c r="B1143" s="108">
        <f t="shared" si="0"/>
        <v>0</v>
      </c>
      <c r="C1143" s="108"/>
      <c r="D1143" s="108"/>
      <c r="E1143" s="108"/>
      <c r="F1143" s="108"/>
      <c r="G1143" s="108"/>
      <c r="H1143" s="108"/>
      <c r="I1143" s="108"/>
      <c r="J1143" s="108"/>
      <c r="K1143" s="108"/>
      <c r="L1143" s="108"/>
      <c r="M1143" s="108"/>
      <c r="N1143" s="108"/>
      <c r="O1143" s="108"/>
      <c r="P1143" s="108"/>
      <c r="Q1143" s="108"/>
      <c r="R1143" s="108"/>
      <c r="S1143" s="108"/>
      <c r="T1143" s="108"/>
      <c r="U1143" s="108"/>
      <c r="V1143" s="108"/>
      <c r="W1143" s="108"/>
      <c r="X1143" s="108"/>
    </row>
    <row r="1144" spans="1:24">
      <c r="A1144" s="108"/>
      <c r="B1144" s="108">
        <f t="shared" si="0"/>
        <v>0</v>
      </c>
      <c r="C1144" s="108"/>
      <c r="D1144" s="108"/>
      <c r="E1144" s="108"/>
      <c r="F1144" s="108"/>
      <c r="G1144" s="108"/>
      <c r="H1144" s="108"/>
      <c r="I1144" s="108"/>
      <c r="J1144" s="108"/>
      <c r="K1144" s="108"/>
      <c r="L1144" s="108"/>
      <c r="M1144" s="108"/>
      <c r="N1144" s="108"/>
      <c r="O1144" s="108"/>
      <c r="P1144" s="108"/>
      <c r="Q1144" s="108"/>
      <c r="R1144" s="108"/>
      <c r="S1144" s="108"/>
      <c r="T1144" s="108"/>
      <c r="U1144" s="108"/>
      <c r="V1144" s="108"/>
      <c r="W1144" s="108"/>
      <c r="X1144" s="108"/>
    </row>
    <row r="1145" spans="1:24">
      <c r="A1145" s="108"/>
      <c r="B1145" s="108">
        <f t="shared" si="0"/>
        <v>0</v>
      </c>
      <c r="C1145" s="108"/>
      <c r="D1145" s="108"/>
      <c r="E1145" s="108"/>
      <c r="F1145" s="108"/>
      <c r="G1145" s="108"/>
      <c r="H1145" s="108"/>
      <c r="I1145" s="108"/>
      <c r="J1145" s="108"/>
      <c r="K1145" s="108"/>
      <c r="L1145" s="108"/>
      <c r="M1145" s="108"/>
      <c r="N1145" s="108"/>
      <c r="O1145" s="108"/>
      <c r="P1145" s="108"/>
      <c r="Q1145" s="108"/>
      <c r="R1145" s="108"/>
      <c r="S1145" s="108"/>
      <c r="T1145" s="108"/>
      <c r="U1145" s="108"/>
      <c r="V1145" s="108"/>
      <c r="W1145" s="108"/>
      <c r="X1145" s="108"/>
    </row>
    <row r="1146" spans="1:24">
      <c r="A1146" s="108"/>
      <c r="B1146" s="108">
        <f t="shared" si="0"/>
        <v>0</v>
      </c>
      <c r="C1146" s="108"/>
      <c r="D1146" s="108"/>
      <c r="E1146" s="108"/>
      <c r="F1146" s="108"/>
      <c r="G1146" s="108"/>
      <c r="H1146" s="108"/>
      <c r="I1146" s="108"/>
      <c r="J1146" s="108"/>
      <c r="K1146" s="108"/>
      <c r="L1146" s="108"/>
      <c r="M1146" s="108"/>
      <c r="N1146" s="108"/>
      <c r="O1146" s="108"/>
      <c r="P1146" s="108"/>
      <c r="Q1146" s="108"/>
      <c r="R1146" s="108"/>
      <c r="S1146" s="108"/>
      <c r="T1146" s="108"/>
      <c r="U1146" s="108"/>
      <c r="V1146" s="108"/>
      <c r="W1146" s="108"/>
      <c r="X1146" s="108"/>
    </row>
    <row r="1147" spans="1:24">
      <c r="A1147" s="108"/>
      <c r="B1147" s="108">
        <f t="shared" si="0"/>
        <v>0</v>
      </c>
      <c r="C1147" s="108"/>
      <c r="D1147" s="108"/>
      <c r="E1147" s="108"/>
      <c r="F1147" s="108"/>
      <c r="G1147" s="108"/>
      <c r="H1147" s="108"/>
      <c r="I1147" s="108"/>
      <c r="J1147" s="108"/>
      <c r="K1147" s="108"/>
      <c r="L1147" s="108"/>
      <c r="M1147" s="108"/>
      <c r="N1147" s="108"/>
      <c r="O1147" s="108"/>
      <c r="P1147" s="108"/>
      <c r="Q1147" s="108"/>
      <c r="R1147" s="108"/>
      <c r="S1147" s="108"/>
      <c r="T1147" s="108"/>
      <c r="U1147" s="108"/>
      <c r="V1147" s="108"/>
      <c r="W1147" s="108"/>
      <c r="X1147" s="108"/>
    </row>
    <row r="1148" spans="1:24">
      <c r="A1148" s="108"/>
      <c r="B1148" s="108">
        <f t="shared" si="0"/>
        <v>0</v>
      </c>
      <c r="C1148" s="108"/>
      <c r="D1148" s="108"/>
      <c r="E1148" s="108"/>
      <c r="F1148" s="108"/>
      <c r="G1148" s="108"/>
      <c r="H1148" s="108"/>
      <c r="I1148" s="108"/>
      <c r="J1148" s="108"/>
      <c r="K1148" s="108"/>
      <c r="L1148" s="108"/>
      <c r="M1148" s="108"/>
      <c r="N1148" s="108"/>
      <c r="O1148" s="108"/>
      <c r="P1148" s="108"/>
      <c r="Q1148" s="108"/>
      <c r="R1148" s="108"/>
      <c r="S1148" s="108"/>
      <c r="T1148" s="108"/>
      <c r="U1148" s="108"/>
      <c r="V1148" s="108"/>
      <c r="W1148" s="108"/>
      <c r="X1148" s="108"/>
    </row>
    <row r="1149" spans="1:24">
      <c r="A1149" s="108"/>
      <c r="B1149" s="108">
        <f t="shared" si="0"/>
        <v>0</v>
      </c>
      <c r="C1149" s="108"/>
      <c r="D1149" s="108"/>
      <c r="E1149" s="108"/>
      <c r="F1149" s="108"/>
      <c r="G1149" s="108"/>
      <c r="H1149" s="108"/>
      <c r="I1149" s="108"/>
      <c r="J1149" s="108"/>
      <c r="K1149" s="108"/>
      <c r="L1149" s="108"/>
      <c r="M1149" s="108"/>
      <c r="N1149" s="108"/>
      <c r="O1149" s="108"/>
      <c r="P1149" s="108"/>
      <c r="Q1149" s="108"/>
      <c r="R1149" s="108"/>
      <c r="S1149" s="108"/>
      <c r="T1149" s="108"/>
      <c r="U1149" s="108"/>
      <c r="V1149" s="108"/>
      <c r="W1149" s="108"/>
      <c r="X1149" s="108"/>
    </row>
    <row r="1150" spans="1:24">
      <c r="A1150" s="108"/>
      <c r="B1150" s="108">
        <f t="shared" si="0"/>
        <v>0</v>
      </c>
      <c r="C1150" s="108"/>
      <c r="D1150" s="108"/>
      <c r="E1150" s="108"/>
      <c r="F1150" s="108"/>
      <c r="G1150" s="108"/>
      <c r="H1150" s="108"/>
      <c r="I1150" s="108"/>
      <c r="J1150" s="108"/>
      <c r="K1150" s="108"/>
      <c r="L1150" s="108"/>
      <c r="M1150" s="108"/>
      <c r="N1150" s="108"/>
      <c r="O1150" s="108"/>
      <c r="P1150" s="108"/>
      <c r="Q1150" s="108"/>
      <c r="R1150" s="108"/>
      <c r="S1150" s="108"/>
      <c r="T1150" s="108"/>
      <c r="U1150" s="108"/>
      <c r="V1150" s="108"/>
      <c r="W1150" s="108"/>
      <c r="X1150" s="108"/>
    </row>
    <row r="1151" spans="1:24">
      <c r="A1151" s="108"/>
      <c r="B1151" s="108">
        <f t="shared" si="0"/>
        <v>0</v>
      </c>
      <c r="C1151" s="108"/>
      <c r="D1151" s="108"/>
      <c r="E1151" s="108"/>
      <c r="F1151" s="108"/>
      <c r="G1151" s="108"/>
      <c r="H1151" s="108"/>
      <c r="I1151" s="108"/>
      <c r="J1151" s="108"/>
      <c r="K1151" s="108"/>
      <c r="L1151" s="108"/>
      <c r="M1151" s="108"/>
      <c r="N1151" s="108"/>
      <c r="O1151" s="108"/>
      <c r="P1151" s="108"/>
      <c r="Q1151" s="108"/>
      <c r="R1151" s="108"/>
      <c r="S1151" s="108"/>
      <c r="T1151" s="108"/>
      <c r="U1151" s="108"/>
      <c r="V1151" s="108"/>
      <c r="W1151" s="108"/>
      <c r="X1151" s="108"/>
    </row>
    <row r="1152" spans="1:24">
      <c r="A1152" s="108"/>
      <c r="B1152" s="108">
        <f t="shared" si="0"/>
        <v>0</v>
      </c>
      <c r="C1152" s="108"/>
      <c r="D1152" s="108"/>
      <c r="E1152" s="108"/>
      <c r="F1152" s="108"/>
      <c r="G1152" s="108"/>
      <c r="H1152" s="108"/>
      <c r="I1152" s="108"/>
      <c r="J1152" s="108"/>
      <c r="K1152" s="108"/>
      <c r="L1152" s="108"/>
      <c r="M1152" s="108"/>
      <c r="N1152" s="108"/>
      <c r="O1152" s="108"/>
      <c r="P1152" s="108"/>
      <c r="Q1152" s="108"/>
      <c r="R1152" s="108"/>
      <c r="S1152" s="108"/>
      <c r="T1152" s="108"/>
      <c r="U1152" s="108"/>
      <c r="V1152" s="108"/>
      <c r="W1152" s="108"/>
      <c r="X1152" s="108"/>
    </row>
    <row r="1153" spans="1:24">
      <c r="A1153" s="108"/>
      <c r="B1153" s="108">
        <f t="shared" si="0"/>
        <v>0</v>
      </c>
      <c r="C1153" s="108"/>
      <c r="D1153" s="108"/>
      <c r="E1153" s="108"/>
      <c r="F1153" s="108"/>
      <c r="G1153" s="108"/>
      <c r="H1153" s="108"/>
      <c r="I1153" s="108"/>
      <c r="J1153" s="108"/>
      <c r="K1153" s="108"/>
      <c r="L1153" s="108"/>
      <c r="M1153" s="108"/>
      <c r="N1153" s="108"/>
      <c r="O1153" s="108"/>
      <c r="P1153" s="108"/>
      <c r="Q1153" s="108"/>
      <c r="R1153" s="108"/>
      <c r="S1153" s="108"/>
      <c r="T1153" s="108"/>
      <c r="U1153" s="108"/>
      <c r="V1153" s="108"/>
      <c r="W1153" s="108"/>
      <c r="X1153" s="108"/>
    </row>
    <row r="1154" spans="1:24">
      <c r="A1154" s="108"/>
      <c r="B1154" s="108">
        <f t="shared" si="0"/>
        <v>0</v>
      </c>
      <c r="C1154" s="108"/>
      <c r="D1154" s="108"/>
      <c r="E1154" s="108"/>
      <c r="F1154" s="108"/>
      <c r="G1154" s="108"/>
      <c r="H1154" s="108"/>
      <c r="I1154" s="108"/>
      <c r="J1154" s="108"/>
      <c r="K1154" s="108"/>
      <c r="L1154" s="108"/>
      <c r="M1154" s="108"/>
      <c r="N1154" s="108"/>
      <c r="O1154" s="108"/>
      <c r="P1154" s="108"/>
      <c r="Q1154" s="108"/>
      <c r="R1154" s="108"/>
      <c r="S1154" s="108"/>
      <c r="T1154" s="108"/>
      <c r="U1154" s="108"/>
      <c r="V1154" s="108"/>
      <c r="W1154" s="108"/>
      <c r="X1154" s="108"/>
    </row>
    <row r="1155" spans="1:24">
      <c r="A1155" s="108"/>
      <c r="B1155" s="108">
        <f t="shared" si="0"/>
        <v>0</v>
      </c>
      <c r="C1155" s="108"/>
      <c r="D1155" s="108"/>
      <c r="E1155" s="108"/>
      <c r="F1155" s="108"/>
      <c r="G1155" s="108"/>
      <c r="H1155" s="108"/>
      <c r="I1155" s="108"/>
      <c r="J1155" s="108"/>
      <c r="K1155" s="108"/>
      <c r="L1155" s="108"/>
      <c r="M1155" s="108"/>
      <c r="N1155" s="108"/>
      <c r="O1155" s="108"/>
      <c r="P1155" s="108"/>
      <c r="Q1155" s="108"/>
      <c r="R1155" s="108"/>
      <c r="S1155" s="108"/>
      <c r="T1155" s="108"/>
      <c r="U1155" s="108"/>
      <c r="V1155" s="108"/>
      <c r="W1155" s="108"/>
      <c r="X1155" s="108"/>
    </row>
    <row r="1156" spans="1:24">
      <c r="A1156" s="108"/>
      <c r="B1156" s="108">
        <f t="shared" si="0"/>
        <v>0</v>
      </c>
      <c r="C1156" s="108"/>
      <c r="D1156" s="108"/>
      <c r="E1156" s="108"/>
      <c r="F1156" s="108"/>
      <c r="G1156" s="108"/>
      <c r="H1156" s="108"/>
      <c r="I1156" s="108"/>
      <c r="J1156" s="108"/>
      <c r="K1156" s="108"/>
      <c r="L1156" s="108"/>
      <c r="M1156" s="108"/>
      <c r="N1156" s="108"/>
      <c r="O1156" s="108"/>
      <c r="P1156" s="108"/>
      <c r="Q1156" s="108"/>
      <c r="R1156" s="108"/>
      <c r="S1156" s="108"/>
      <c r="T1156" s="108"/>
      <c r="U1156" s="108"/>
      <c r="V1156" s="108"/>
      <c r="W1156" s="108"/>
      <c r="X1156" s="108"/>
    </row>
    <row r="1157" spans="1:24">
      <c r="A1157" s="108"/>
      <c r="B1157" s="108">
        <f t="shared" si="0"/>
        <v>0</v>
      </c>
      <c r="C1157" s="108"/>
      <c r="D1157" s="108"/>
      <c r="E1157" s="108"/>
      <c r="F1157" s="108"/>
      <c r="G1157" s="108"/>
      <c r="H1157" s="108"/>
      <c r="I1157" s="108"/>
      <c r="J1157" s="108"/>
      <c r="K1157" s="108"/>
      <c r="L1157" s="108"/>
      <c r="M1157" s="108"/>
      <c r="N1157" s="108"/>
      <c r="O1157" s="108"/>
      <c r="P1157" s="108"/>
      <c r="Q1157" s="108"/>
      <c r="R1157" s="108"/>
      <c r="S1157" s="108"/>
      <c r="T1157" s="108"/>
      <c r="U1157" s="108"/>
      <c r="V1157" s="108"/>
      <c r="W1157" s="108"/>
      <c r="X1157" s="108"/>
    </row>
    <row r="1158" spans="1:24">
      <c r="A1158" s="108"/>
      <c r="B1158" s="108">
        <f t="shared" si="0"/>
        <v>0</v>
      </c>
      <c r="C1158" s="108"/>
      <c r="D1158" s="108"/>
      <c r="E1158" s="108"/>
      <c r="F1158" s="108"/>
      <c r="G1158" s="108"/>
      <c r="H1158" s="108"/>
      <c r="I1158" s="108"/>
      <c r="J1158" s="108"/>
      <c r="K1158" s="108"/>
      <c r="L1158" s="108"/>
      <c r="M1158" s="108"/>
      <c r="N1158" s="108"/>
      <c r="O1158" s="108"/>
      <c r="P1158" s="108"/>
      <c r="Q1158" s="108"/>
      <c r="R1158" s="108"/>
      <c r="S1158" s="108"/>
      <c r="T1158" s="108"/>
      <c r="U1158" s="108"/>
      <c r="V1158" s="108"/>
      <c r="W1158" s="108"/>
      <c r="X1158" s="108"/>
    </row>
    <row r="1159" spans="1:24">
      <c r="A1159" s="108"/>
      <c r="B1159" s="108">
        <f t="shared" si="0"/>
        <v>0</v>
      </c>
      <c r="C1159" s="108"/>
      <c r="D1159" s="108"/>
      <c r="E1159" s="108"/>
      <c r="F1159" s="108"/>
      <c r="G1159" s="108"/>
      <c r="H1159" s="108"/>
      <c r="I1159" s="108"/>
      <c r="J1159" s="108"/>
      <c r="K1159" s="108"/>
      <c r="L1159" s="108"/>
      <c r="M1159" s="108"/>
      <c r="N1159" s="108"/>
      <c r="O1159" s="108"/>
      <c r="P1159" s="108"/>
      <c r="Q1159" s="108"/>
      <c r="R1159" s="108"/>
      <c r="S1159" s="108"/>
      <c r="T1159" s="108"/>
      <c r="U1159" s="108"/>
      <c r="V1159" s="108"/>
      <c r="W1159" s="108"/>
      <c r="X1159" s="108"/>
    </row>
    <row r="1160" spans="1:24">
      <c r="A1160" s="108"/>
      <c r="B1160" s="108">
        <f t="shared" si="0"/>
        <v>0</v>
      </c>
      <c r="C1160" s="108"/>
      <c r="D1160" s="108"/>
      <c r="E1160" s="108"/>
      <c r="F1160" s="108"/>
      <c r="G1160" s="108"/>
      <c r="H1160" s="108"/>
      <c r="I1160" s="108"/>
      <c r="J1160" s="108"/>
      <c r="K1160" s="108"/>
      <c r="L1160" s="108"/>
      <c r="M1160" s="108"/>
      <c r="N1160" s="108"/>
      <c r="O1160" s="108"/>
      <c r="P1160" s="108"/>
      <c r="Q1160" s="108"/>
      <c r="R1160" s="108"/>
      <c r="S1160" s="108"/>
      <c r="T1160" s="108"/>
      <c r="U1160" s="108"/>
      <c r="V1160" s="108"/>
      <c r="W1160" s="108"/>
      <c r="X1160" s="108"/>
    </row>
    <row r="1161" spans="1:24">
      <c r="A1161" s="108"/>
      <c r="B1161" s="108">
        <f t="shared" si="0"/>
        <v>0</v>
      </c>
      <c r="C1161" s="108"/>
      <c r="D1161" s="108"/>
      <c r="E1161" s="108"/>
      <c r="F1161" s="108"/>
      <c r="G1161" s="108"/>
      <c r="H1161" s="108"/>
      <c r="I1161" s="108"/>
      <c r="J1161" s="108"/>
      <c r="K1161" s="108"/>
      <c r="L1161" s="108"/>
      <c r="M1161" s="108"/>
      <c r="N1161" s="108"/>
      <c r="O1161" s="108"/>
      <c r="P1161" s="108"/>
      <c r="Q1161" s="108"/>
      <c r="R1161" s="108"/>
      <c r="S1161" s="108"/>
      <c r="T1161" s="108"/>
      <c r="U1161" s="108"/>
      <c r="V1161" s="108"/>
      <c r="W1161" s="108"/>
      <c r="X1161" s="108"/>
    </row>
    <row r="1162" spans="1:24">
      <c r="A1162" s="108"/>
      <c r="B1162" s="108">
        <f t="shared" si="0"/>
        <v>0</v>
      </c>
      <c r="C1162" s="108"/>
      <c r="D1162" s="108"/>
      <c r="E1162" s="108"/>
      <c r="F1162" s="108"/>
      <c r="G1162" s="108"/>
      <c r="H1162" s="108"/>
      <c r="I1162" s="108"/>
      <c r="J1162" s="108"/>
      <c r="K1162" s="108"/>
      <c r="L1162" s="108"/>
      <c r="M1162" s="108"/>
      <c r="N1162" s="108"/>
      <c r="O1162" s="108"/>
      <c r="P1162" s="108"/>
      <c r="Q1162" s="108"/>
      <c r="R1162" s="108"/>
      <c r="S1162" s="108"/>
      <c r="T1162" s="108"/>
      <c r="U1162" s="108"/>
      <c r="V1162" s="108"/>
      <c r="W1162" s="108"/>
      <c r="X1162" s="108"/>
    </row>
    <row r="1163" spans="1:24">
      <c r="A1163" s="108"/>
      <c r="B1163" s="108">
        <f t="shared" si="0"/>
        <v>0</v>
      </c>
      <c r="C1163" s="108"/>
      <c r="D1163" s="108"/>
      <c r="E1163" s="108"/>
      <c r="F1163" s="108"/>
      <c r="G1163" s="108"/>
      <c r="H1163" s="108"/>
      <c r="I1163" s="108"/>
      <c r="J1163" s="108"/>
      <c r="K1163" s="108"/>
      <c r="L1163" s="108"/>
      <c r="M1163" s="108"/>
      <c r="N1163" s="108"/>
      <c r="O1163" s="108"/>
      <c r="P1163" s="108"/>
      <c r="Q1163" s="108"/>
      <c r="R1163" s="108"/>
      <c r="S1163" s="108"/>
      <c r="T1163" s="108"/>
      <c r="U1163" s="108"/>
      <c r="V1163" s="108"/>
      <c r="W1163" s="108"/>
      <c r="X1163" s="108"/>
    </row>
    <row r="1164" spans="1:24">
      <c r="A1164" s="108"/>
      <c r="B1164" s="108">
        <f t="shared" si="0"/>
        <v>0</v>
      </c>
      <c r="C1164" s="108"/>
      <c r="D1164" s="108"/>
      <c r="E1164" s="108"/>
      <c r="F1164" s="108"/>
      <c r="G1164" s="108"/>
      <c r="H1164" s="108"/>
      <c r="I1164" s="108"/>
      <c r="J1164" s="108"/>
      <c r="K1164" s="108"/>
      <c r="L1164" s="108"/>
      <c r="M1164" s="108"/>
      <c r="N1164" s="108"/>
      <c r="O1164" s="108"/>
      <c r="P1164" s="108"/>
      <c r="Q1164" s="108"/>
      <c r="R1164" s="108"/>
      <c r="S1164" s="108"/>
      <c r="T1164" s="108"/>
      <c r="U1164" s="108"/>
      <c r="V1164" s="108"/>
      <c r="W1164" s="108"/>
      <c r="X1164" s="108"/>
    </row>
    <row r="1165" spans="1:24">
      <c r="A1165" s="108"/>
      <c r="B1165" s="108">
        <f t="shared" si="0"/>
        <v>0</v>
      </c>
      <c r="C1165" s="108"/>
      <c r="D1165" s="108"/>
      <c r="E1165" s="108"/>
      <c r="F1165" s="108"/>
      <c r="G1165" s="108"/>
      <c r="H1165" s="108"/>
      <c r="I1165" s="108"/>
      <c r="J1165" s="108"/>
      <c r="K1165" s="108"/>
      <c r="L1165" s="108"/>
      <c r="M1165" s="108"/>
      <c r="N1165" s="108"/>
      <c r="O1165" s="108"/>
      <c r="P1165" s="108"/>
      <c r="Q1165" s="108"/>
      <c r="R1165" s="108"/>
      <c r="S1165" s="108"/>
      <c r="T1165" s="108"/>
      <c r="U1165" s="108"/>
      <c r="V1165" s="108"/>
      <c r="W1165" s="108"/>
      <c r="X1165" s="108"/>
    </row>
    <row r="1166" spans="1:24">
      <c r="A1166" s="108"/>
      <c r="B1166" s="108">
        <f t="shared" si="0"/>
        <v>0</v>
      </c>
      <c r="C1166" s="108"/>
      <c r="D1166" s="108"/>
      <c r="E1166" s="108"/>
      <c r="F1166" s="108"/>
      <c r="G1166" s="108"/>
      <c r="H1166" s="108"/>
      <c r="I1166" s="108"/>
      <c r="J1166" s="108"/>
      <c r="K1166" s="108"/>
      <c r="L1166" s="108"/>
      <c r="M1166" s="108"/>
      <c r="N1166" s="108"/>
      <c r="O1166" s="108"/>
      <c r="P1166" s="108"/>
      <c r="Q1166" s="108"/>
      <c r="R1166" s="108"/>
      <c r="S1166" s="108"/>
      <c r="T1166" s="108"/>
      <c r="U1166" s="108"/>
      <c r="V1166" s="108"/>
      <c r="W1166" s="108"/>
      <c r="X1166" s="108"/>
    </row>
    <row r="1167" spans="1:24">
      <c r="A1167" s="108"/>
      <c r="B1167" s="108">
        <f t="shared" si="0"/>
        <v>0</v>
      </c>
      <c r="C1167" s="108"/>
      <c r="D1167" s="108"/>
      <c r="E1167" s="108"/>
      <c r="F1167" s="108"/>
      <c r="G1167" s="108"/>
      <c r="H1167" s="108"/>
      <c r="I1167" s="108"/>
      <c r="J1167" s="108"/>
      <c r="K1167" s="108"/>
      <c r="L1167" s="108"/>
      <c r="M1167" s="108"/>
      <c r="N1167" s="108"/>
      <c r="O1167" s="108"/>
      <c r="P1167" s="108"/>
      <c r="Q1167" s="108"/>
      <c r="R1167" s="108"/>
      <c r="S1167" s="108"/>
      <c r="T1167" s="108"/>
      <c r="U1167" s="108"/>
      <c r="V1167" s="108"/>
      <c r="W1167" s="108"/>
      <c r="X1167" s="108"/>
    </row>
    <row r="1168" spans="1:24">
      <c r="A1168" s="108"/>
      <c r="B1168" s="108">
        <f t="shared" si="0"/>
        <v>0</v>
      </c>
      <c r="C1168" s="108"/>
      <c r="D1168" s="108"/>
      <c r="E1168" s="108"/>
      <c r="F1168" s="108"/>
      <c r="G1168" s="108"/>
      <c r="H1168" s="108"/>
      <c r="I1168" s="108"/>
      <c r="J1168" s="108"/>
      <c r="K1168" s="108"/>
      <c r="L1168" s="108"/>
      <c r="M1168" s="108"/>
      <c r="N1168" s="108"/>
      <c r="O1168" s="108"/>
      <c r="P1168" s="108"/>
      <c r="Q1168" s="108"/>
      <c r="R1168" s="108"/>
      <c r="S1168" s="108"/>
      <c r="T1168" s="108"/>
      <c r="U1168" s="108"/>
      <c r="V1168" s="108"/>
      <c r="W1168" s="108"/>
      <c r="X1168" s="108"/>
    </row>
    <row r="1169" spans="1:24">
      <c r="A1169" s="108"/>
      <c r="B1169" s="108">
        <f t="shared" si="0"/>
        <v>0</v>
      </c>
      <c r="C1169" s="108"/>
      <c r="D1169" s="108"/>
      <c r="E1169" s="108"/>
      <c r="F1169" s="108"/>
      <c r="G1169" s="108"/>
      <c r="H1169" s="108"/>
      <c r="I1169" s="108"/>
      <c r="J1169" s="108"/>
      <c r="K1169" s="108"/>
      <c r="L1169" s="108"/>
      <c r="M1169" s="108"/>
      <c r="N1169" s="108"/>
      <c r="O1169" s="108"/>
      <c r="P1169" s="108"/>
      <c r="Q1169" s="108"/>
      <c r="R1169" s="108"/>
      <c r="S1169" s="108"/>
      <c r="T1169" s="108"/>
      <c r="U1169" s="108"/>
      <c r="V1169" s="108"/>
      <c r="W1169" s="108"/>
      <c r="X1169" s="108"/>
    </row>
    <row r="1170" spans="1:24">
      <c r="A1170" s="108"/>
      <c r="B1170" s="108">
        <f t="shared" si="0"/>
        <v>0</v>
      </c>
      <c r="C1170" s="108"/>
      <c r="D1170" s="108"/>
      <c r="E1170" s="108"/>
      <c r="F1170" s="108"/>
      <c r="G1170" s="108"/>
      <c r="H1170" s="108"/>
      <c r="I1170" s="108"/>
      <c r="J1170" s="108"/>
      <c r="K1170" s="108"/>
      <c r="L1170" s="108"/>
      <c r="M1170" s="108"/>
      <c r="N1170" s="108"/>
      <c r="O1170" s="108"/>
      <c r="P1170" s="108"/>
      <c r="Q1170" s="108"/>
      <c r="R1170" s="108"/>
      <c r="S1170" s="108"/>
      <c r="T1170" s="108"/>
      <c r="U1170" s="108"/>
      <c r="V1170" s="108"/>
      <c r="W1170" s="108"/>
      <c r="X1170" s="108"/>
    </row>
    <row r="1171" spans="1:24">
      <c r="A1171" s="108"/>
      <c r="B1171" s="108">
        <f t="shared" si="0"/>
        <v>0</v>
      </c>
      <c r="C1171" s="108"/>
      <c r="D1171" s="108"/>
      <c r="E1171" s="108"/>
      <c r="F1171" s="108"/>
      <c r="G1171" s="108"/>
      <c r="H1171" s="108"/>
      <c r="I1171" s="108"/>
      <c r="J1171" s="108"/>
      <c r="K1171" s="108"/>
      <c r="L1171" s="108"/>
      <c r="M1171" s="108"/>
      <c r="N1171" s="108"/>
      <c r="O1171" s="108"/>
      <c r="P1171" s="108"/>
      <c r="Q1171" s="108"/>
      <c r="R1171" s="108"/>
      <c r="S1171" s="108"/>
      <c r="T1171" s="108"/>
      <c r="U1171" s="108"/>
      <c r="V1171" s="108"/>
      <c r="W1171" s="108"/>
      <c r="X1171" s="108"/>
    </row>
    <row r="1172" spans="1:24">
      <c r="A1172" s="108"/>
      <c r="B1172" s="108">
        <f t="shared" si="0"/>
        <v>0</v>
      </c>
      <c r="C1172" s="108"/>
      <c r="D1172" s="108"/>
      <c r="E1172" s="108"/>
      <c r="F1172" s="108"/>
      <c r="G1172" s="108"/>
      <c r="H1172" s="108"/>
      <c r="I1172" s="108"/>
      <c r="J1172" s="108"/>
      <c r="K1172" s="108"/>
      <c r="L1172" s="108"/>
      <c r="M1172" s="108"/>
      <c r="N1172" s="108"/>
      <c r="O1172" s="108"/>
      <c r="P1172" s="108"/>
      <c r="Q1172" s="108"/>
      <c r="R1172" s="108"/>
      <c r="S1172" s="108"/>
      <c r="T1172" s="108"/>
      <c r="U1172" s="108"/>
      <c r="V1172" s="108"/>
      <c r="W1172" s="108"/>
      <c r="X1172" s="108"/>
    </row>
    <row r="1173" spans="1:24">
      <c r="A1173" s="108"/>
      <c r="B1173" s="108">
        <f t="shared" si="0"/>
        <v>0</v>
      </c>
      <c r="C1173" s="108"/>
      <c r="D1173" s="108"/>
      <c r="E1173" s="108"/>
      <c r="F1173" s="108"/>
      <c r="G1173" s="108"/>
      <c r="H1173" s="108"/>
      <c r="I1173" s="108"/>
      <c r="J1173" s="108"/>
      <c r="K1173" s="108"/>
      <c r="L1173" s="108"/>
      <c r="M1173" s="108"/>
      <c r="N1173" s="108"/>
      <c r="O1173" s="108"/>
      <c r="P1173" s="108"/>
      <c r="Q1173" s="108"/>
      <c r="R1173" s="108"/>
      <c r="S1173" s="108"/>
      <c r="T1173" s="108"/>
      <c r="U1173" s="108"/>
      <c r="V1173" s="108"/>
      <c r="W1173" s="108"/>
      <c r="X1173" s="108"/>
    </row>
    <row r="1174" spans="1:24">
      <c r="A1174" s="108"/>
      <c r="B1174" s="108">
        <f t="shared" si="0"/>
        <v>0</v>
      </c>
      <c r="C1174" s="108"/>
      <c r="D1174" s="108"/>
      <c r="E1174" s="108"/>
      <c r="F1174" s="108"/>
      <c r="G1174" s="108"/>
      <c r="H1174" s="108"/>
      <c r="I1174" s="108"/>
      <c r="J1174" s="108"/>
      <c r="K1174" s="108"/>
      <c r="L1174" s="108"/>
      <c r="M1174" s="108"/>
      <c r="N1174" s="108"/>
      <c r="O1174" s="108"/>
      <c r="P1174" s="108"/>
      <c r="Q1174" s="108"/>
      <c r="R1174" s="108"/>
      <c r="S1174" s="108"/>
      <c r="T1174" s="108"/>
      <c r="U1174" s="108"/>
      <c r="V1174" s="108"/>
      <c r="W1174" s="108"/>
      <c r="X1174" s="108"/>
    </row>
    <row r="1175" spans="1:24">
      <c r="A1175" s="108"/>
      <c r="B1175" s="108">
        <f t="shared" si="0"/>
        <v>0</v>
      </c>
      <c r="C1175" s="108"/>
      <c r="D1175" s="108"/>
      <c r="E1175" s="108"/>
      <c r="F1175" s="108"/>
      <c r="G1175" s="108"/>
      <c r="H1175" s="108"/>
      <c r="I1175" s="108"/>
      <c r="J1175" s="108"/>
      <c r="K1175" s="108"/>
      <c r="L1175" s="108"/>
      <c r="M1175" s="108"/>
      <c r="N1175" s="108"/>
      <c r="O1175" s="108"/>
      <c r="P1175" s="108"/>
      <c r="Q1175" s="108"/>
      <c r="R1175" s="108"/>
      <c r="S1175" s="108"/>
      <c r="T1175" s="108"/>
      <c r="U1175" s="108"/>
      <c r="V1175" s="108"/>
      <c r="W1175" s="108"/>
      <c r="X1175" s="108"/>
    </row>
    <row r="1176" spans="1:24">
      <c r="A1176" s="108"/>
      <c r="B1176" s="108">
        <f t="shared" si="0"/>
        <v>0</v>
      </c>
      <c r="C1176" s="108"/>
      <c r="D1176" s="108"/>
      <c r="E1176" s="108"/>
      <c r="F1176" s="108"/>
      <c r="G1176" s="108"/>
      <c r="H1176" s="108"/>
      <c r="I1176" s="108"/>
      <c r="J1176" s="108"/>
      <c r="K1176" s="108"/>
      <c r="L1176" s="108"/>
      <c r="M1176" s="108"/>
      <c r="N1176" s="108"/>
      <c r="O1176" s="108"/>
      <c r="P1176" s="108"/>
      <c r="Q1176" s="108"/>
      <c r="R1176" s="108"/>
      <c r="S1176" s="108"/>
      <c r="T1176" s="108"/>
      <c r="U1176" s="108"/>
      <c r="V1176" s="108"/>
      <c r="W1176" s="108"/>
      <c r="X1176" s="108"/>
    </row>
    <row r="1177" spans="1:24">
      <c r="A1177" s="108"/>
      <c r="B1177" s="108">
        <f t="shared" si="0"/>
        <v>0</v>
      </c>
      <c r="C1177" s="108"/>
      <c r="D1177" s="108"/>
      <c r="E1177" s="108"/>
      <c r="F1177" s="108"/>
      <c r="G1177" s="108"/>
      <c r="H1177" s="108"/>
      <c r="I1177" s="108"/>
      <c r="J1177" s="108"/>
      <c r="K1177" s="108"/>
      <c r="L1177" s="108"/>
      <c r="M1177" s="108"/>
      <c r="N1177" s="108"/>
      <c r="O1177" s="108"/>
      <c r="P1177" s="108"/>
      <c r="Q1177" s="108"/>
      <c r="R1177" s="108"/>
      <c r="S1177" s="108"/>
      <c r="T1177" s="108"/>
      <c r="U1177" s="108"/>
      <c r="V1177" s="108"/>
      <c r="W1177" s="108"/>
      <c r="X1177" s="108"/>
    </row>
    <row r="1178" spans="1:24">
      <c r="A1178" s="108"/>
      <c r="B1178" s="108">
        <f t="shared" si="0"/>
        <v>0</v>
      </c>
      <c r="C1178" s="108"/>
      <c r="D1178" s="108"/>
      <c r="E1178" s="108"/>
      <c r="F1178" s="108"/>
      <c r="G1178" s="108"/>
      <c r="H1178" s="108"/>
      <c r="I1178" s="108"/>
      <c r="J1178" s="108"/>
      <c r="K1178" s="108"/>
      <c r="L1178" s="108"/>
      <c r="M1178" s="108"/>
      <c r="N1178" s="108"/>
      <c r="O1178" s="108"/>
      <c r="P1178" s="108"/>
      <c r="Q1178" s="108"/>
      <c r="R1178" s="108"/>
      <c r="S1178" s="108"/>
      <c r="T1178" s="108"/>
      <c r="U1178" s="108"/>
      <c r="V1178" s="108"/>
      <c r="W1178" s="108"/>
      <c r="X1178" s="108"/>
    </row>
    <row r="1179" spans="1:24">
      <c r="A1179" s="108"/>
      <c r="B1179" s="108">
        <f t="shared" si="0"/>
        <v>0</v>
      </c>
      <c r="C1179" s="108"/>
      <c r="D1179" s="108"/>
      <c r="E1179" s="108"/>
      <c r="F1179" s="108"/>
      <c r="G1179" s="108"/>
      <c r="H1179" s="108"/>
      <c r="I1179" s="108"/>
      <c r="J1179" s="108"/>
      <c r="K1179" s="108"/>
      <c r="L1179" s="108"/>
      <c r="M1179" s="108"/>
      <c r="N1179" s="108"/>
      <c r="O1179" s="108"/>
      <c r="P1179" s="108"/>
      <c r="Q1179" s="108"/>
      <c r="R1179" s="108"/>
      <c r="S1179" s="108"/>
      <c r="T1179" s="108"/>
      <c r="U1179" s="108"/>
      <c r="V1179" s="108"/>
      <c r="W1179" s="108"/>
      <c r="X1179" s="108"/>
    </row>
    <row r="1180" spans="1:24">
      <c r="A1180" s="108"/>
      <c r="B1180" s="108">
        <f t="shared" si="0"/>
        <v>0</v>
      </c>
      <c r="C1180" s="108"/>
      <c r="D1180" s="108"/>
      <c r="E1180" s="108"/>
      <c r="F1180" s="108"/>
      <c r="G1180" s="108"/>
      <c r="H1180" s="108"/>
      <c r="I1180" s="108"/>
      <c r="J1180" s="108"/>
      <c r="K1180" s="108"/>
      <c r="L1180" s="108"/>
      <c r="M1180" s="108"/>
      <c r="N1180" s="108"/>
      <c r="O1180" s="108"/>
      <c r="P1180" s="108"/>
      <c r="Q1180" s="108"/>
      <c r="R1180" s="108"/>
      <c r="S1180" s="108"/>
      <c r="T1180" s="108"/>
      <c r="U1180" s="108"/>
      <c r="V1180" s="108"/>
      <c r="W1180" s="108"/>
      <c r="X1180" s="108"/>
    </row>
    <row r="1181" spans="1:24">
      <c r="A1181" s="108"/>
      <c r="B1181" s="108">
        <f t="shared" si="0"/>
        <v>0</v>
      </c>
      <c r="C1181" s="108"/>
      <c r="D1181" s="108"/>
      <c r="E1181" s="108"/>
      <c r="F1181" s="108"/>
      <c r="G1181" s="108"/>
      <c r="H1181" s="108"/>
      <c r="I1181" s="108"/>
      <c r="J1181" s="108"/>
      <c r="K1181" s="108"/>
      <c r="L1181" s="108"/>
      <c r="M1181" s="108"/>
      <c r="N1181" s="108"/>
      <c r="O1181" s="108"/>
      <c r="P1181" s="108"/>
      <c r="Q1181" s="108"/>
      <c r="R1181" s="108"/>
      <c r="S1181" s="108"/>
      <c r="T1181" s="108"/>
      <c r="U1181" s="108"/>
      <c r="V1181" s="108"/>
      <c r="W1181" s="108"/>
      <c r="X1181" s="108"/>
    </row>
    <row r="1182" spans="1:24">
      <c r="A1182" s="108"/>
      <c r="B1182" s="108">
        <f t="shared" si="0"/>
        <v>0</v>
      </c>
      <c r="C1182" s="108"/>
      <c r="D1182" s="108"/>
      <c r="E1182" s="108"/>
      <c r="F1182" s="108"/>
      <c r="G1182" s="108"/>
      <c r="H1182" s="108"/>
      <c r="I1182" s="108"/>
      <c r="J1182" s="108"/>
      <c r="K1182" s="108"/>
      <c r="L1182" s="108"/>
      <c r="M1182" s="108"/>
      <c r="N1182" s="108"/>
      <c r="O1182" s="108"/>
      <c r="P1182" s="108"/>
      <c r="Q1182" s="108"/>
      <c r="R1182" s="108"/>
      <c r="S1182" s="108"/>
      <c r="T1182" s="108"/>
      <c r="U1182" s="108"/>
      <c r="V1182" s="108"/>
      <c r="W1182" s="108"/>
      <c r="X1182" s="108"/>
    </row>
    <row r="1183" spans="1:24">
      <c r="A1183" s="108"/>
      <c r="B1183" s="108">
        <f t="shared" si="0"/>
        <v>0</v>
      </c>
      <c r="C1183" s="108"/>
      <c r="D1183" s="108"/>
      <c r="E1183" s="108"/>
      <c r="F1183" s="108"/>
      <c r="G1183" s="108"/>
      <c r="H1183" s="108"/>
      <c r="I1183" s="108"/>
      <c r="J1183" s="108"/>
      <c r="K1183" s="108"/>
      <c r="L1183" s="108"/>
      <c r="M1183" s="108"/>
      <c r="N1183" s="108"/>
      <c r="O1183" s="108"/>
      <c r="P1183" s="108"/>
      <c r="Q1183" s="108"/>
      <c r="R1183" s="108"/>
      <c r="S1183" s="108"/>
      <c r="T1183" s="108"/>
      <c r="U1183" s="108"/>
      <c r="V1183" s="108"/>
      <c r="W1183" s="108"/>
      <c r="X1183" s="108"/>
    </row>
    <row r="1184" spans="1:24">
      <c r="A1184" s="108"/>
      <c r="B1184" s="108">
        <f t="shared" si="0"/>
        <v>0</v>
      </c>
      <c r="C1184" s="108"/>
      <c r="D1184" s="108"/>
      <c r="E1184" s="108"/>
      <c r="F1184" s="108"/>
      <c r="G1184" s="108"/>
      <c r="H1184" s="108"/>
      <c r="I1184" s="108"/>
      <c r="J1184" s="108"/>
      <c r="K1184" s="108"/>
      <c r="L1184" s="108"/>
      <c r="M1184" s="108"/>
      <c r="N1184" s="108"/>
      <c r="O1184" s="108"/>
      <c r="P1184" s="108"/>
      <c r="Q1184" s="108"/>
      <c r="R1184" s="108"/>
      <c r="S1184" s="108"/>
      <c r="T1184" s="108"/>
      <c r="U1184" s="108"/>
      <c r="V1184" s="108"/>
      <c r="W1184" s="108"/>
      <c r="X1184" s="108"/>
    </row>
    <row r="1185" spans="1:24">
      <c r="A1185" s="108"/>
      <c r="B1185" s="108">
        <f t="shared" si="0"/>
        <v>0</v>
      </c>
      <c r="C1185" s="108"/>
      <c r="D1185" s="108"/>
      <c r="E1185" s="108"/>
      <c r="F1185" s="108"/>
      <c r="G1185" s="108"/>
      <c r="H1185" s="108"/>
      <c r="I1185" s="108"/>
      <c r="J1185" s="108"/>
      <c r="K1185" s="108"/>
      <c r="L1185" s="108"/>
      <c r="M1185" s="108"/>
      <c r="N1185" s="108"/>
      <c r="O1185" s="108"/>
      <c r="P1185" s="108"/>
      <c r="Q1185" s="108"/>
      <c r="R1185" s="108"/>
      <c r="S1185" s="108"/>
      <c r="T1185" s="108"/>
      <c r="U1185" s="108"/>
      <c r="V1185" s="108"/>
      <c r="W1185" s="108"/>
      <c r="X1185" s="108"/>
    </row>
    <row r="1186" spans="1:24">
      <c r="A1186" s="108"/>
      <c r="B1186" s="108">
        <f t="shared" si="0"/>
        <v>0</v>
      </c>
      <c r="C1186" s="108"/>
      <c r="D1186" s="108"/>
      <c r="E1186" s="108"/>
      <c r="F1186" s="108"/>
      <c r="G1186" s="108"/>
      <c r="H1186" s="108"/>
      <c r="I1186" s="108"/>
      <c r="J1186" s="108"/>
      <c r="K1186" s="108"/>
      <c r="L1186" s="108"/>
      <c r="M1186" s="108"/>
      <c r="N1186" s="108"/>
      <c r="O1186" s="108"/>
      <c r="P1186" s="108"/>
      <c r="Q1186" s="108"/>
      <c r="R1186" s="108"/>
      <c r="S1186" s="108"/>
      <c r="T1186" s="108"/>
      <c r="U1186" s="108"/>
      <c r="V1186" s="108"/>
      <c r="W1186" s="108"/>
      <c r="X1186" s="108"/>
    </row>
    <row r="1187" spans="1:24">
      <c r="A1187" s="108"/>
      <c r="B1187" s="108">
        <f t="shared" si="0"/>
        <v>0</v>
      </c>
      <c r="C1187" s="108"/>
      <c r="D1187" s="108"/>
      <c r="E1187" s="108"/>
      <c r="F1187" s="108"/>
      <c r="G1187" s="108"/>
      <c r="H1187" s="108"/>
      <c r="I1187" s="108"/>
      <c r="J1187" s="108"/>
      <c r="K1187" s="108"/>
      <c r="L1187" s="108"/>
      <c r="M1187" s="108"/>
      <c r="N1187" s="108"/>
      <c r="O1187" s="108"/>
      <c r="P1187" s="108"/>
      <c r="Q1187" s="108"/>
      <c r="R1187" s="108"/>
      <c r="S1187" s="108"/>
      <c r="T1187" s="108"/>
      <c r="U1187" s="108"/>
      <c r="V1187" s="108"/>
      <c r="W1187" s="108"/>
      <c r="X1187" s="108"/>
    </row>
    <row r="1188" spans="1:24">
      <c r="A1188" s="108"/>
      <c r="B1188" s="108">
        <f t="shared" si="0"/>
        <v>0</v>
      </c>
      <c r="C1188" s="108"/>
      <c r="D1188" s="108"/>
      <c r="E1188" s="108"/>
      <c r="F1188" s="108"/>
      <c r="G1188" s="108"/>
      <c r="H1188" s="108"/>
      <c r="I1188" s="108"/>
      <c r="J1188" s="108"/>
      <c r="K1188" s="108"/>
      <c r="L1188" s="108"/>
      <c r="M1188" s="108"/>
      <c r="N1188" s="108"/>
      <c r="O1188" s="108"/>
      <c r="P1188" s="108"/>
      <c r="Q1188" s="108"/>
      <c r="R1188" s="108"/>
      <c r="S1188" s="108"/>
      <c r="T1188" s="108"/>
      <c r="U1188" s="108"/>
      <c r="V1188" s="108"/>
      <c r="W1188" s="108"/>
      <c r="X1188" s="108"/>
    </row>
    <row r="1189" spans="1:24">
      <c r="A1189" s="108"/>
      <c r="B1189" s="108">
        <f t="shared" si="0"/>
        <v>0</v>
      </c>
      <c r="C1189" s="108"/>
      <c r="D1189" s="108"/>
      <c r="E1189" s="108"/>
      <c r="F1189" s="108"/>
      <c r="G1189" s="108"/>
      <c r="H1189" s="108"/>
      <c r="I1189" s="108"/>
      <c r="J1189" s="108"/>
      <c r="K1189" s="108"/>
      <c r="L1189" s="108"/>
      <c r="M1189" s="108"/>
      <c r="N1189" s="108"/>
      <c r="O1189" s="108"/>
      <c r="P1189" s="108"/>
      <c r="Q1189" s="108"/>
      <c r="R1189" s="108"/>
      <c r="S1189" s="108"/>
      <c r="T1189" s="108"/>
      <c r="U1189" s="108"/>
      <c r="V1189" s="108"/>
      <c r="W1189" s="108"/>
      <c r="X1189" s="108"/>
    </row>
    <row r="1190" spans="1:24">
      <c r="A1190" s="108"/>
      <c r="B1190" s="108">
        <f t="shared" si="0"/>
        <v>0</v>
      </c>
      <c r="C1190" s="108"/>
      <c r="D1190" s="108"/>
      <c r="E1190" s="108"/>
      <c r="F1190" s="108"/>
      <c r="G1190" s="108"/>
      <c r="H1190" s="108"/>
      <c r="I1190" s="108"/>
      <c r="J1190" s="108"/>
      <c r="K1190" s="108"/>
      <c r="L1190" s="108"/>
      <c r="M1190" s="108"/>
      <c r="N1190" s="108"/>
      <c r="O1190" s="108"/>
      <c r="P1190" s="108"/>
      <c r="Q1190" s="108"/>
      <c r="R1190" s="108"/>
      <c r="S1190" s="108"/>
      <c r="T1190" s="108"/>
      <c r="U1190" s="108"/>
      <c r="V1190" s="108"/>
      <c r="W1190" s="108"/>
      <c r="X1190" s="108"/>
    </row>
    <row r="1191" spans="1:24">
      <c r="A1191" s="108"/>
      <c r="B1191" s="108">
        <f t="shared" si="0"/>
        <v>0</v>
      </c>
      <c r="C1191" s="108"/>
      <c r="D1191" s="108"/>
      <c r="E1191" s="108"/>
      <c r="F1191" s="108"/>
      <c r="G1191" s="108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</row>
    <row r="1192" spans="1:24">
      <c r="A1192" s="108"/>
      <c r="B1192" s="108">
        <f t="shared" si="0"/>
        <v>0</v>
      </c>
      <c r="C1192" s="108"/>
      <c r="D1192" s="108"/>
      <c r="E1192" s="108"/>
      <c r="F1192" s="108"/>
      <c r="G1192" s="108"/>
      <c r="H1192" s="108"/>
      <c r="I1192" s="108"/>
      <c r="J1192" s="108"/>
      <c r="K1192" s="108"/>
      <c r="L1192" s="108"/>
      <c r="M1192" s="108"/>
      <c r="N1192" s="108"/>
      <c r="O1192" s="108"/>
      <c r="P1192" s="108"/>
      <c r="Q1192" s="108"/>
      <c r="R1192" s="108"/>
      <c r="S1192" s="108"/>
      <c r="T1192" s="108"/>
      <c r="U1192" s="108"/>
      <c r="V1192" s="108"/>
      <c r="W1192" s="108"/>
      <c r="X1192" s="108"/>
    </row>
    <row r="1193" spans="1:24">
      <c r="A1193" s="108"/>
      <c r="B1193" s="108">
        <f t="shared" si="0"/>
        <v>0</v>
      </c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</row>
    <row r="1194" spans="1:24">
      <c r="A1194" s="108"/>
      <c r="B1194" s="108">
        <f t="shared" si="0"/>
        <v>0</v>
      </c>
      <c r="C1194" s="108"/>
      <c r="D1194" s="108"/>
      <c r="E1194" s="108"/>
      <c r="F1194" s="108"/>
      <c r="G1194" s="108"/>
      <c r="H1194" s="108"/>
      <c r="I1194" s="108"/>
      <c r="J1194" s="108"/>
      <c r="K1194" s="108"/>
      <c r="L1194" s="108"/>
      <c r="M1194" s="108"/>
      <c r="N1194" s="108"/>
      <c r="O1194" s="108"/>
      <c r="P1194" s="108"/>
      <c r="Q1194" s="108"/>
      <c r="R1194" s="108"/>
      <c r="S1194" s="108"/>
      <c r="T1194" s="108"/>
      <c r="U1194" s="108"/>
      <c r="V1194" s="108"/>
      <c r="W1194" s="108"/>
      <c r="X1194" s="108"/>
    </row>
    <row r="1195" spans="1:24">
      <c r="A1195" s="108"/>
      <c r="B1195" s="108">
        <f t="shared" si="0"/>
        <v>0</v>
      </c>
      <c r="C1195" s="108"/>
      <c r="D1195" s="108"/>
      <c r="E1195" s="108"/>
      <c r="F1195" s="108"/>
      <c r="G1195" s="108"/>
      <c r="H1195" s="108"/>
      <c r="I1195" s="108"/>
      <c r="J1195" s="108"/>
      <c r="K1195" s="108"/>
      <c r="L1195" s="108"/>
      <c r="M1195" s="108"/>
      <c r="N1195" s="108"/>
      <c r="O1195" s="108"/>
      <c r="P1195" s="108"/>
      <c r="Q1195" s="108"/>
      <c r="R1195" s="108"/>
      <c r="S1195" s="108"/>
      <c r="T1195" s="108"/>
      <c r="U1195" s="108"/>
      <c r="V1195" s="108"/>
      <c r="W1195" s="108"/>
      <c r="X1195" s="108"/>
    </row>
    <row r="1196" spans="1:24">
      <c r="A1196" s="108"/>
      <c r="B1196" s="108">
        <f t="shared" si="0"/>
        <v>0</v>
      </c>
      <c r="C1196" s="108"/>
      <c r="D1196" s="108"/>
      <c r="E1196" s="108"/>
      <c r="F1196" s="108"/>
      <c r="G1196" s="108"/>
      <c r="H1196" s="108"/>
      <c r="I1196" s="108"/>
      <c r="J1196" s="108"/>
      <c r="K1196" s="108"/>
      <c r="L1196" s="108"/>
      <c r="M1196" s="108"/>
      <c r="N1196" s="108"/>
      <c r="O1196" s="108"/>
      <c r="P1196" s="108"/>
      <c r="Q1196" s="108"/>
      <c r="R1196" s="108"/>
      <c r="S1196" s="108"/>
      <c r="T1196" s="108"/>
      <c r="U1196" s="108"/>
      <c r="V1196" s="108"/>
      <c r="W1196" s="108"/>
      <c r="X1196" s="108"/>
    </row>
    <row r="1197" spans="1:24">
      <c r="A1197" s="108"/>
      <c r="B1197" s="108">
        <f t="shared" si="0"/>
        <v>0</v>
      </c>
      <c r="C1197" s="108"/>
      <c r="D1197" s="108"/>
      <c r="E1197" s="108"/>
      <c r="F1197" s="108"/>
      <c r="G1197" s="108"/>
      <c r="H1197" s="108"/>
      <c r="I1197" s="108"/>
      <c r="J1197" s="108"/>
      <c r="K1197" s="108"/>
      <c r="L1197" s="108"/>
      <c r="M1197" s="108"/>
      <c r="N1197" s="108"/>
      <c r="O1197" s="108"/>
      <c r="P1197" s="108"/>
      <c r="Q1197" s="108"/>
      <c r="R1197" s="108"/>
      <c r="S1197" s="108"/>
      <c r="T1197" s="108"/>
      <c r="U1197" s="108"/>
      <c r="V1197" s="108"/>
      <c r="W1197" s="108"/>
      <c r="X1197" s="108"/>
    </row>
    <row r="1198" spans="1:24">
      <c r="A1198" s="108"/>
      <c r="B1198" s="108">
        <f t="shared" si="0"/>
        <v>0</v>
      </c>
      <c r="C1198" s="108"/>
      <c r="D1198" s="108"/>
      <c r="E1198" s="108"/>
      <c r="F1198" s="108"/>
      <c r="G1198" s="108"/>
      <c r="H1198" s="108"/>
      <c r="I1198" s="108"/>
      <c r="J1198" s="108"/>
      <c r="K1198" s="108"/>
      <c r="L1198" s="108"/>
      <c r="M1198" s="108"/>
      <c r="N1198" s="108"/>
      <c r="O1198" s="108"/>
      <c r="P1198" s="108"/>
      <c r="Q1198" s="108"/>
      <c r="R1198" s="108"/>
      <c r="S1198" s="108"/>
      <c r="T1198" s="108"/>
      <c r="U1198" s="108"/>
      <c r="V1198" s="108"/>
      <c r="W1198" s="108"/>
      <c r="X1198" s="108"/>
    </row>
    <row r="1199" spans="1:24">
      <c r="A1199" s="108"/>
      <c r="B1199" s="108">
        <f t="shared" si="0"/>
        <v>0</v>
      </c>
      <c r="C1199" s="108"/>
      <c r="D1199" s="108"/>
      <c r="E1199" s="108"/>
      <c r="F1199" s="108"/>
      <c r="G1199" s="108"/>
      <c r="H1199" s="108"/>
      <c r="I1199" s="108"/>
      <c r="J1199" s="108"/>
      <c r="K1199" s="108"/>
      <c r="L1199" s="108"/>
      <c r="M1199" s="108"/>
      <c r="N1199" s="108"/>
      <c r="O1199" s="108"/>
      <c r="P1199" s="108"/>
      <c r="Q1199" s="108"/>
      <c r="R1199" s="108"/>
      <c r="S1199" s="108"/>
      <c r="T1199" s="108"/>
      <c r="U1199" s="108"/>
      <c r="V1199" s="108"/>
      <c r="W1199" s="108"/>
      <c r="X1199" s="108"/>
    </row>
    <row r="1200" spans="1:24">
      <c r="A1200" s="108"/>
      <c r="B1200" s="108">
        <f t="shared" si="0"/>
        <v>0</v>
      </c>
      <c r="C1200" s="108"/>
      <c r="D1200" s="108"/>
      <c r="E1200" s="108"/>
      <c r="F1200" s="108"/>
      <c r="G1200" s="108"/>
      <c r="H1200" s="108"/>
      <c r="I1200" s="108"/>
      <c r="J1200" s="108"/>
      <c r="K1200" s="108"/>
      <c r="L1200" s="108"/>
      <c r="M1200" s="108"/>
      <c r="N1200" s="108"/>
      <c r="O1200" s="108"/>
      <c r="P1200" s="108"/>
      <c r="Q1200" s="108"/>
      <c r="R1200" s="108"/>
      <c r="S1200" s="108"/>
      <c r="T1200" s="108"/>
      <c r="U1200" s="108"/>
      <c r="V1200" s="108"/>
      <c r="W1200" s="108"/>
      <c r="X1200" s="108"/>
    </row>
    <row r="1201" spans="1:24">
      <c r="A1201" s="108"/>
      <c r="B1201" s="108">
        <f t="shared" si="0"/>
        <v>0</v>
      </c>
      <c r="C1201" s="108"/>
      <c r="D1201" s="108"/>
      <c r="E1201" s="108"/>
      <c r="F1201" s="108"/>
      <c r="G1201" s="108"/>
      <c r="H1201" s="108"/>
      <c r="I1201" s="108"/>
      <c r="J1201" s="108"/>
      <c r="K1201" s="108"/>
      <c r="L1201" s="108"/>
      <c r="M1201" s="108"/>
      <c r="N1201" s="108"/>
      <c r="O1201" s="108"/>
      <c r="P1201" s="108"/>
      <c r="Q1201" s="108"/>
      <c r="R1201" s="108"/>
      <c r="S1201" s="108"/>
      <c r="T1201" s="108"/>
      <c r="U1201" s="108"/>
      <c r="V1201" s="108"/>
      <c r="W1201" s="108"/>
      <c r="X1201" s="108"/>
    </row>
    <row r="1202" spans="1:24">
      <c r="A1202" s="108"/>
      <c r="B1202" s="108">
        <f t="shared" si="0"/>
        <v>0</v>
      </c>
      <c r="C1202" s="108"/>
      <c r="D1202" s="108"/>
      <c r="E1202" s="108"/>
      <c r="F1202" s="108"/>
      <c r="G1202" s="108"/>
      <c r="H1202" s="108"/>
      <c r="I1202" s="108"/>
      <c r="J1202" s="108"/>
      <c r="K1202" s="108"/>
      <c r="L1202" s="108"/>
      <c r="M1202" s="108"/>
      <c r="N1202" s="108"/>
      <c r="O1202" s="108"/>
      <c r="P1202" s="108"/>
      <c r="Q1202" s="108"/>
      <c r="R1202" s="108"/>
      <c r="S1202" s="108"/>
      <c r="T1202" s="108"/>
      <c r="U1202" s="108"/>
      <c r="V1202" s="108"/>
      <c r="W1202" s="108"/>
      <c r="X1202" s="108"/>
    </row>
    <row r="1203" spans="1:24">
      <c r="A1203" s="108"/>
      <c r="B1203" s="108">
        <f t="shared" si="0"/>
        <v>0</v>
      </c>
      <c r="C1203" s="108"/>
      <c r="D1203" s="108"/>
      <c r="E1203" s="108"/>
      <c r="F1203" s="108"/>
      <c r="G1203" s="108"/>
      <c r="H1203" s="108"/>
      <c r="I1203" s="108"/>
      <c r="J1203" s="108"/>
      <c r="K1203" s="108"/>
      <c r="L1203" s="108"/>
      <c r="M1203" s="108"/>
      <c r="N1203" s="108"/>
      <c r="O1203" s="108"/>
      <c r="P1203" s="108"/>
      <c r="Q1203" s="108"/>
      <c r="R1203" s="108"/>
      <c r="S1203" s="108"/>
      <c r="T1203" s="108"/>
      <c r="U1203" s="108"/>
      <c r="V1203" s="108"/>
      <c r="W1203" s="108"/>
      <c r="X1203" s="108"/>
    </row>
    <row r="1204" spans="1:24">
      <c r="A1204" s="108"/>
      <c r="B1204" s="108">
        <f t="shared" si="0"/>
        <v>0</v>
      </c>
      <c r="C1204" s="108"/>
      <c r="D1204" s="108"/>
      <c r="E1204" s="108"/>
      <c r="F1204" s="108"/>
      <c r="G1204" s="108"/>
      <c r="H1204" s="108"/>
      <c r="I1204" s="108"/>
      <c r="J1204" s="108"/>
      <c r="K1204" s="108"/>
      <c r="L1204" s="108"/>
      <c r="M1204" s="108"/>
      <c r="N1204" s="108"/>
      <c r="O1204" s="108"/>
      <c r="P1204" s="108"/>
      <c r="Q1204" s="108"/>
      <c r="R1204" s="108"/>
      <c r="S1204" s="108"/>
      <c r="T1204" s="108"/>
      <c r="U1204" s="108"/>
      <c r="V1204" s="108"/>
      <c r="W1204" s="108"/>
      <c r="X1204" s="108"/>
    </row>
    <row r="1205" spans="1:24">
      <c r="A1205" s="108"/>
      <c r="B1205" s="108">
        <f t="shared" si="0"/>
        <v>0</v>
      </c>
      <c r="C1205" s="108"/>
      <c r="D1205" s="108"/>
      <c r="E1205" s="108"/>
      <c r="F1205" s="108"/>
      <c r="G1205" s="108"/>
      <c r="H1205" s="108"/>
      <c r="I1205" s="108"/>
      <c r="J1205" s="108"/>
      <c r="K1205" s="108"/>
      <c r="L1205" s="108"/>
      <c r="M1205" s="108"/>
      <c r="N1205" s="108"/>
      <c r="O1205" s="108"/>
      <c r="P1205" s="108"/>
      <c r="Q1205" s="108"/>
      <c r="R1205" s="108"/>
      <c r="S1205" s="108"/>
      <c r="T1205" s="108"/>
      <c r="U1205" s="108"/>
      <c r="V1205" s="108"/>
      <c r="W1205" s="108"/>
      <c r="X1205" s="108"/>
    </row>
    <row r="1206" spans="1:24">
      <c r="A1206" s="108"/>
      <c r="B1206" s="108">
        <f t="shared" si="0"/>
        <v>0</v>
      </c>
      <c r="C1206" s="108"/>
      <c r="D1206" s="108"/>
      <c r="E1206" s="108"/>
      <c r="F1206" s="108"/>
      <c r="G1206" s="108"/>
      <c r="H1206" s="108"/>
      <c r="I1206" s="108"/>
      <c r="J1206" s="108"/>
      <c r="K1206" s="108"/>
      <c r="L1206" s="108"/>
      <c r="M1206" s="108"/>
      <c r="N1206" s="108"/>
      <c r="O1206" s="108"/>
      <c r="P1206" s="108"/>
      <c r="Q1206" s="108"/>
      <c r="R1206" s="108"/>
      <c r="S1206" s="108"/>
      <c r="T1206" s="108"/>
      <c r="U1206" s="108"/>
      <c r="V1206" s="108"/>
      <c r="W1206" s="108"/>
      <c r="X1206" s="108"/>
    </row>
    <row r="1207" spans="1:24">
      <c r="A1207" s="108"/>
      <c r="B1207" s="108">
        <f t="shared" si="0"/>
        <v>0</v>
      </c>
      <c r="C1207" s="108"/>
      <c r="D1207" s="108"/>
      <c r="E1207" s="108"/>
      <c r="F1207" s="108"/>
      <c r="G1207" s="108"/>
      <c r="H1207" s="108"/>
      <c r="I1207" s="108"/>
      <c r="J1207" s="108"/>
      <c r="K1207" s="108"/>
      <c r="L1207" s="108"/>
      <c r="M1207" s="108"/>
      <c r="N1207" s="108"/>
      <c r="O1207" s="108"/>
      <c r="P1207" s="108"/>
      <c r="Q1207" s="108"/>
      <c r="R1207" s="108"/>
      <c r="S1207" s="108"/>
      <c r="T1207" s="108"/>
      <c r="U1207" s="108"/>
      <c r="V1207" s="108"/>
      <c r="W1207" s="108"/>
      <c r="X1207" s="108"/>
    </row>
    <row r="1208" spans="1:24">
      <c r="A1208" s="108"/>
      <c r="B1208" s="108">
        <f t="shared" si="0"/>
        <v>0</v>
      </c>
      <c r="C1208" s="108"/>
      <c r="D1208" s="108"/>
      <c r="E1208" s="108"/>
      <c r="F1208" s="108"/>
      <c r="G1208" s="108"/>
      <c r="H1208" s="108"/>
      <c r="I1208" s="108"/>
      <c r="J1208" s="108"/>
      <c r="K1208" s="108"/>
      <c r="L1208" s="108"/>
      <c r="M1208" s="108"/>
      <c r="N1208" s="108"/>
      <c r="O1208" s="108"/>
      <c r="P1208" s="108"/>
      <c r="Q1208" s="108"/>
      <c r="R1208" s="108"/>
      <c r="S1208" s="108"/>
      <c r="T1208" s="108"/>
      <c r="U1208" s="108"/>
      <c r="V1208" s="108"/>
      <c r="W1208" s="108"/>
      <c r="X1208" s="108"/>
    </row>
    <row r="1209" spans="1:24">
      <c r="A1209" s="108"/>
      <c r="B1209" s="108">
        <f t="shared" si="0"/>
        <v>0</v>
      </c>
      <c r="C1209" s="108"/>
      <c r="D1209" s="108"/>
      <c r="E1209" s="108"/>
      <c r="F1209" s="108"/>
      <c r="G1209" s="108"/>
      <c r="H1209" s="108"/>
      <c r="I1209" s="108"/>
      <c r="J1209" s="108"/>
      <c r="K1209" s="108"/>
      <c r="L1209" s="108"/>
      <c r="M1209" s="108"/>
      <c r="N1209" s="108"/>
      <c r="O1209" s="108"/>
      <c r="P1209" s="108"/>
      <c r="Q1209" s="108"/>
      <c r="R1209" s="108"/>
      <c r="S1209" s="108"/>
      <c r="T1209" s="108"/>
      <c r="U1209" s="108"/>
      <c r="V1209" s="108"/>
      <c r="W1209" s="108"/>
      <c r="X1209" s="108"/>
    </row>
    <row r="1210" spans="1:24">
      <c r="A1210" s="108"/>
      <c r="B1210" s="108">
        <f t="shared" si="0"/>
        <v>0</v>
      </c>
      <c r="C1210" s="108"/>
      <c r="D1210" s="108"/>
      <c r="E1210" s="108"/>
      <c r="F1210" s="108"/>
      <c r="G1210" s="108"/>
      <c r="H1210" s="108"/>
      <c r="I1210" s="108"/>
      <c r="J1210" s="108"/>
      <c r="K1210" s="108"/>
      <c r="L1210" s="108"/>
      <c r="M1210" s="108"/>
      <c r="N1210" s="108"/>
      <c r="O1210" s="108"/>
      <c r="P1210" s="108"/>
      <c r="Q1210" s="108"/>
      <c r="R1210" s="108"/>
      <c r="S1210" s="108"/>
      <c r="T1210" s="108"/>
      <c r="U1210" s="108"/>
      <c r="V1210" s="108"/>
      <c r="W1210" s="108"/>
      <c r="X1210" s="108"/>
    </row>
    <row r="1211" spans="1:24">
      <c r="A1211" s="108"/>
      <c r="B1211" s="108">
        <f t="shared" si="0"/>
        <v>0</v>
      </c>
      <c r="C1211" s="108"/>
      <c r="D1211" s="108"/>
      <c r="E1211" s="108"/>
      <c r="F1211" s="108"/>
      <c r="G1211" s="108"/>
      <c r="H1211" s="108"/>
      <c r="I1211" s="108"/>
      <c r="J1211" s="108"/>
      <c r="K1211" s="108"/>
      <c r="L1211" s="108"/>
      <c r="M1211" s="108"/>
      <c r="N1211" s="108"/>
      <c r="O1211" s="108"/>
      <c r="P1211" s="108"/>
      <c r="Q1211" s="108"/>
      <c r="R1211" s="108"/>
      <c r="S1211" s="108"/>
      <c r="T1211" s="108"/>
      <c r="U1211" s="108"/>
      <c r="V1211" s="108"/>
      <c r="W1211" s="108"/>
      <c r="X1211" s="108"/>
    </row>
    <row r="1212" spans="1:24">
      <c r="A1212" s="108"/>
      <c r="B1212" s="108">
        <f t="shared" si="0"/>
        <v>0</v>
      </c>
      <c r="C1212" s="108"/>
      <c r="D1212" s="108"/>
      <c r="E1212" s="108"/>
      <c r="F1212" s="108"/>
      <c r="G1212" s="108"/>
      <c r="H1212" s="108"/>
      <c r="I1212" s="108"/>
      <c r="J1212" s="108"/>
      <c r="K1212" s="108"/>
      <c r="L1212" s="108"/>
      <c r="M1212" s="108"/>
      <c r="N1212" s="108"/>
      <c r="O1212" s="108"/>
      <c r="P1212" s="108"/>
      <c r="Q1212" s="108"/>
      <c r="R1212" s="108"/>
      <c r="S1212" s="108"/>
      <c r="T1212" s="108"/>
      <c r="U1212" s="108"/>
      <c r="V1212" s="108"/>
      <c r="W1212" s="108"/>
      <c r="X1212" s="108"/>
    </row>
    <row r="1213" spans="1:24">
      <c r="A1213" s="108"/>
      <c r="B1213" s="108">
        <f t="shared" si="0"/>
        <v>0</v>
      </c>
      <c r="C1213" s="108"/>
      <c r="D1213" s="108"/>
      <c r="E1213" s="108"/>
      <c r="F1213" s="108"/>
      <c r="G1213" s="108"/>
      <c r="H1213" s="108"/>
      <c r="I1213" s="108"/>
      <c r="J1213" s="108"/>
      <c r="K1213" s="108"/>
      <c r="L1213" s="108"/>
      <c r="M1213" s="108"/>
      <c r="N1213" s="108"/>
      <c r="O1213" s="108"/>
      <c r="P1213" s="108"/>
      <c r="Q1213" s="108"/>
      <c r="R1213" s="108"/>
      <c r="S1213" s="108"/>
      <c r="T1213" s="108"/>
      <c r="U1213" s="108"/>
      <c r="V1213" s="108"/>
      <c r="W1213" s="108"/>
      <c r="X1213" s="108"/>
    </row>
    <row r="1214" spans="1:24">
      <c r="A1214" s="108"/>
      <c r="B1214" s="108">
        <f t="shared" si="0"/>
        <v>0</v>
      </c>
      <c r="C1214" s="108"/>
      <c r="D1214" s="108"/>
      <c r="E1214" s="108"/>
      <c r="F1214" s="108"/>
      <c r="G1214" s="108"/>
      <c r="H1214" s="108"/>
      <c r="I1214" s="108"/>
      <c r="J1214" s="108"/>
      <c r="K1214" s="108"/>
      <c r="L1214" s="108"/>
      <c r="M1214" s="108"/>
      <c r="N1214" s="108"/>
      <c r="O1214" s="108"/>
      <c r="P1214" s="108"/>
      <c r="Q1214" s="108"/>
      <c r="R1214" s="108"/>
      <c r="S1214" s="108"/>
      <c r="T1214" s="108"/>
      <c r="U1214" s="108"/>
      <c r="V1214" s="108"/>
      <c r="W1214" s="108"/>
      <c r="X1214" s="108"/>
    </row>
    <row r="1215" spans="1:24">
      <c r="A1215" s="108"/>
      <c r="B1215" s="108">
        <f t="shared" si="0"/>
        <v>0</v>
      </c>
      <c r="C1215" s="108"/>
      <c r="D1215" s="108"/>
      <c r="E1215" s="108"/>
      <c r="F1215" s="108"/>
      <c r="G1215" s="108"/>
      <c r="H1215" s="108"/>
      <c r="I1215" s="108"/>
      <c r="J1215" s="108"/>
      <c r="K1215" s="108"/>
      <c r="L1215" s="108"/>
      <c r="M1215" s="108"/>
      <c r="N1215" s="108"/>
      <c r="O1215" s="108"/>
      <c r="P1215" s="108"/>
      <c r="Q1215" s="108"/>
      <c r="R1215" s="108"/>
      <c r="S1215" s="108"/>
      <c r="T1215" s="108"/>
      <c r="U1215" s="108"/>
      <c r="V1215" s="108"/>
      <c r="W1215" s="108"/>
      <c r="X1215" s="108"/>
    </row>
    <row r="1216" spans="1:24">
      <c r="A1216" s="108"/>
      <c r="B1216" s="108">
        <f t="shared" si="0"/>
        <v>0</v>
      </c>
      <c r="C1216" s="108"/>
      <c r="D1216" s="108"/>
      <c r="E1216" s="108"/>
      <c r="F1216" s="108"/>
      <c r="G1216" s="108"/>
      <c r="H1216" s="108"/>
      <c r="I1216" s="108"/>
      <c r="J1216" s="108"/>
      <c r="K1216" s="108"/>
      <c r="L1216" s="108"/>
      <c r="M1216" s="108"/>
      <c r="N1216" s="108"/>
      <c r="O1216" s="108"/>
      <c r="P1216" s="108"/>
      <c r="Q1216" s="108"/>
      <c r="R1216" s="108"/>
      <c r="S1216" s="108"/>
      <c r="T1216" s="108"/>
      <c r="U1216" s="108"/>
      <c r="V1216" s="108"/>
      <c r="W1216" s="108"/>
      <c r="X1216" s="108"/>
    </row>
    <row r="1217" spans="1:24">
      <c r="A1217" s="108"/>
      <c r="B1217" s="108">
        <f t="shared" si="0"/>
        <v>0</v>
      </c>
      <c r="C1217" s="108"/>
      <c r="D1217" s="108"/>
      <c r="E1217" s="108"/>
      <c r="F1217" s="108"/>
      <c r="G1217" s="108"/>
      <c r="H1217" s="108"/>
      <c r="I1217" s="108"/>
      <c r="J1217" s="108"/>
      <c r="K1217" s="108"/>
      <c r="L1217" s="108"/>
      <c r="M1217" s="108"/>
      <c r="N1217" s="108"/>
      <c r="O1217" s="108"/>
      <c r="P1217" s="108"/>
      <c r="Q1217" s="108"/>
      <c r="R1217" s="108"/>
      <c r="S1217" s="108"/>
      <c r="T1217" s="108"/>
      <c r="U1217" s="108"/>
      <c r="V1217" s="108"/>
      <c r="W1217" s="108"/>
      <c r="X1217" s="108"/>
    </row>
    <row r="1218" spans="1:24">
      <c r="A1218" s="108"/>
      <c r="B1218" s="108">
        <f t="shared" si="0"/>
        <v>0</v>
      </c>
      <c r="C1218" s="108"/>
      <c r="D1218" s="108"/>
      <c r="E1218" s="108"/>
      <c r="F1218" s="108"/>
      <c r="G1218" s="108"/>
      <c r="H1218" s="108"/>
      <c r="I1218" s="108"/>
      <c r="J1218" s="108"/>
      <c r="K1218" s="108"/>
      <c r="L1218" s="108"/>
      <c r="M1218" s="108"/>
      <c r="N1218" s="108"/>
      <c r="O1218" s="108"/>
      <c r="P1218" s="108"/>
      <c r="Q1218" s="108"/>
      <c r="R1218" s="108"/>
      <c r="S1218" s="108"/>
      <c r="T1218" s="108"/>
      <c r="U1218" s="108"/>
      <c r="V1218" s="108"/>
      <c r="W1218" s="108"/>
      <c r="X1218" s="108"/>
    </row>
    <row r="1219" spans="1:24">
      <c r="A1219" s="108"/>
      <c r="B1219" s="108">
        <f t="shared" si="0"/>
        <v>0</v>
      </c>
      <c r="C1219" s="108"/>
      <c r="D1219" s="108"/>
      <c r="E1219" s="108"/>
      <c r="F1219" s="108"/>
      <c r="G1219" s="108"/>
      <c r="H1219" s="108"/>
      <c r="I1219" s="108"/>
      <c r="J1219" s="108"/>
      <c r="K1219" s="108"/>
      <c r="L1219" s="108"/>
      <c r="M1219" s="108"/>
      <c r="N1219" s="108"/>
      <c r="O1219" s="108"/>
      <c r="P1219" s="108"/>
      <c r="Q1219" s="108"/>
      <c r="R1219" s="108"/>
      <c r="S1219" s="108"/>
      <c r="T1219" s="108"/>
      <c r="U1219" s="108"/>
      <c r="V1219" s="108"/>
      <c r="W1219" s="108"/>
      <c r="X1219" s="108"/>
    </row>
    <row r="1220" spans="1:24">
      <c r="A1220" s="108"/>
      <c r="B1220" s="108">
        <f t="shared" si="0"/>
        <v>0</v>
      </c>
      <c r="C1220" s="108"/>
      <c r="D1220" s="108"/>
      <c r="E1220" s="108"/>
      <c r="F1220" s="108"/>
      <c r="G1220" s="108"/>
      <c r="H1220" s="108"/>
      <c r="I1220" s="108"/>
      <c r="J1220" s="108"/>
      <c r="K1220" s="108"/>
      <c r="L1220" s="108"/>
      <c r="M1220" s="108"/>
      <c r="N1220" s="108"/>
      <c r="O1220" s="108"/>
      <c r="P1220" s="108"/>
      <c r="Q1220" s="108"/>
      <c r="R1220" s="108"/>
      <c r="S1220" s="108"/>
      <c r="T1220" s="108"/>
      <c r="U1220" s="108"/>
      <c r="V1220" s="108"/>
      <c r="W1220" s="108"/>
      <c r="X1220" s="108"/>
    </row>
    <row r="1221" spans="1:24">
      <c r="A1221" s="108"/>
      <c r="B1221" s="108">
        <f t="shared" si="0"/>
        <v>0</v>
      </c>
      <c r="C1221" s="108"/>
      <c r="D1221" s="108"/>
      <c r="E1221" s="108"/>
      <c r="F1221" s="108"/>
      <c r="G1221" s="108"/>
      <c r="H1221" s="108"/>
      <c r="I1221" s="108"/>
      <c r="J1221" s="108"/>
      <c r="K1221" s="108"/>
      <c r="L1221" s="108"/>
      <c r="M1221" s="108"/>
      <c r="N1221" s="108"/>
      <c r="O1221" s="108"/>
      <c r="P1221" s="108"/>
      <c r="Q1221" s="108"/>
      <c r="R1221" s="108"/>
      <c r="S1221" s="108"/>
      <c r="T1221" s="108"/>
      <c r="U1221" s="108"/>
      <c r="V1221" s="108"/>
      <c r="W1221" s="108"/>
      <c r="X1221" s="108"/>
    </row>
    <row r="1222" spans="1:24">
      <c r="A1222" s="108"/>
      <c r="B1222" s="108">
        <f t="shared" si="0"/>
        <v>0</v>
      </c>
      <c r="C1222" s="108"/>
      <c r="D1222" s="108"/>
      <c r="E1222" s="108"/>
      <c r="F1222" s="108"/>
      <c r="G1222" s="108"/>
      <c r="H1222" s="108"/>
      <c r="I1222" s="108"/>
      <c r="J1222" s="108"/>
      <c r="K1222" s="108"/>
      <c r="L1222" s="108"/>
      <c r="M1222" s="108"/>
      <c r="N1222" s="108"/>
      <c r="O1222" s="108"/>
      <c r="P1222" s="108"/>
      <c r="Q1222" s="108"/>
      <c r="R1222" s="108"/>
      <c r="S1222" s="108"/>
      <c r="T1222" s="108"/>
      <c r="U1222" s="108"/>
      <c r="V1222" s="108"/>
      <c r="W1222" s="108"/>
      <c r="X1222" s="108"/>
    </row>
    <row r="1223" spans="1:24">
      <c r="A1223" s="108"/>
      <c r="B1223" s="108">
        <f t="shared" si="0"/>
        <v>0</v>
      </c>
      <c r="C1223" s="108"/>
      <c r="D1223" s="108"/>
      <c r="E1223" s="108"/>
      <c r="F1223" s="108"/>
      <c r="G1223" s="108"/>
      <c r="H1223" s="108"/>
      <c r="I1223" s="108"/>
      <c r="J1223" s="108"/>
      <c r="K1223" s="108"/>
      <c r="L1223" s="108"/>
      <c r="M1223" s="108"/>
      <c r="N1223" s="108"/>
      <c r="O1223" s="108"/>
      <c r="P1223" s="108"/>
      <c r="Q1223" s="108"/>
      <c r="R1223" s="108"/>
      <c r="S1223" s="108"/>
      <c r="T1223" s="108"/>
      <c r="U1223" s="108"/>
      <c r="V1223" s="108"/>
      <c r="W1223" s="108"/>
      <c r="X1223" s="108"/>
    </row>
    <row r="1224" spans="1:24">
      <c r="A1224" s="108"/>
      <c r="B1224" s="108">
        <f t="shared" si="0"/>
        <v>0</v>
      </c>
      <c r="C1224" s="108"/>
      <c r="D1224" s="108"/>
      <c r="E1224" s="108"/>
      <c r="F1224" s="108"/>
      <c r="G1224" s="108"/>
      <c r="H1224" s="108"/>
      <c r="I1224" s="108"/>
      <c r="J1224" s="108"/>
      <c r="K1224" s="108"/>
      <c r="L1224" s="108"/>
      <c r="M1224" s="108"/>
      <c r="N1224" s="108"/>
      <c r="O1224" s="108"/>
      <c r="P1224" s="108"/>
      <c r="Q1224" s="108"/>
      <c r="R1224" s="108"/>
      <c r="S1224" s="108"/>
      <c r="T1224" s="108"/>
      <c r="U1224" s="108"/>
      <c r="V1224" s="108"/>
      <c r="W1224" s="108"/>
      <c r="X1224" s="108"/>
    </row>
    <row r="1225" spans="1:24">
      <c r="A1225" s="108"/>
      <c r="B1225" s="108">
        <f t="shared" si="0"/>
        <v>0</v>
      </c>
      <c r="C1225" s="108"/>
      <c r="D1225" s="108"/>
      <c r="E1225" s="108"/>
      <c r="F1225" s="108"/>
      <c r="G1225" s="108"/>
      <c r="H1225" s="108"/>
      <c r="I1225" s="108"/>
      <c r="J1225" s="108"/>
      <c r="K1225" s="108"/>
      <c r="L1225" s="108"/>
      <c r="M1225" s="108"/>
      <c r="N1225" s="108"/>
      <c r="O1225" s="108"/>
      <c r="P1225" s="108"/>
      <c r="Q1225" s="108"/>
      <c r="R1225" s="108"/>
      <c r="S1225" s="108"/>
      <c r="T1225" s="108"/>
      <c r="U1225" s="108"/>
      <c r="V1225" s="108"/>
      <c r="W1225" s="108"/>
      <c r="X1225" s="108"/>
    </row>
    <row r="1226" spans="1:24">
      <c r="A1226" s="108"/>
      <c r="B1226" s="108">
        <f t="shared" si="0"/>
        <v>0</v>
      </c>
      <c r="C1226" s="108"/>
      <c r="D1226" s="108"/>
      <c r="E1226" s="108"/>
      <c r="F1226" s="108"/>
      <c r="G1226" s="108"/>
      <c r="H1226" s="108"/>
      <c r="I1226" s="108"/>
      <c r="J1226" s="108"/>
      <c r="K1226" s="108"/>
      <c r="L1226" s="108"/>
      <c r="M1226" s="108"/>
      <c r="N1226" s="108"/>
      <c r="O1226" s="108"/>
      <c r="P1226" s="108"/>
      <c r="Q1226" s="108"/>
      <c r="R1226" s="108"/>
      <c r="S1226" s="108"/>
      <c r="T1226" s="108"/>
      <c r="U1226" s="108"/>
      <c r="V1226" s="108"/>
      <c r="W1226" s="108"/>
      <c r="X1226" s="108"/>
    </row>
    <row r="1227" spans="1:24">
      <c r="A1227" s="108"/>
      <c r="B1227" s="108">
        <f t="shared" si="0"/>
        <v>0</v>
      </c>
      <c r="C1227" s="108"/>
      <c r="D1227" s="108"/>
      <c r="E1227" s="108"/>
      <c r="F1227" s="108"/>
      <c r="G1227" s="108"/>
      <c r="H1227" s="108"/>
      <c r="I1227" s="108"/>
      <c r="J1227" s="108"/>
      <c r="K1227" s="108"/>
      <c r="L1227" s="108"/>
      <c r="M1227" s="108"/>
      <c r="N1227" s="108"/>
      <c r="O1227" s="108"/>
      <c r="P1227" s="108"/>
      <c r="Q1227" s="108"/>
      <c r="R1227" s="108"/>
      <c r="S1227" s="108"/>
      <c r="T1227" s="108"/>
      <c r="U1227" s="108"/>
      <c r="V1227" s="108"/>
      <c r="W1227" s="108"/>
      <c r="X1227" s="108"/>
    </row>
    <row r="1228" spans="1:24">
      <c r="A1228" s="108"/>
      <c r="B1228" s="108">
        <f t="shared" si="0"/>
        <v>0</v>
      </c>
      <c r="C1228" s="108"/>
      <c r="D1228" s="108"/>
      <c r="E1228" s="108"/>
      <c r="F1228" s="108"/>
      <c r="G1228" s="108"/>
      <c r="H1228" s="108"/>
      <c r="I1228" s="108"/>
      <c r="J1228" s="108"/>
      <c r="K1228" s="108"/>
      <c r="L1228" s="108"/>
      <c r="M1228" s="108"/>
      <c r="N1228" s="108"/>
      <c r="O1228" s="108"/>
      <c r="P1228" s="108"/>
      <c r="Q1228" s="108"/>
      <c r="R1228" s="108"/>
      <c r="S1228" s="108"/>
      <c r="T1228" s="108"/>
      <c r="U1228" s="108"/>
      <c r="V1228" s="108"/>
      <c r="W1228" s="108"/>
      <c r="X1228" s="108"/>
    </row>
    <row r="1229" spans="1:24">
      <c r="A1229" s="108"/>
      <c r="B1229" s="108">
        <f t="shared" si="0"/>
        <v>0</v>
      </c>
      <c r="C1229" s="108"/>
      <c r="D1229" s="108"/>
      <c r="E1229" s="108"/>
      <c r="F1229" s="108"/>
      <c r="G1229" s="108"/>
      <c r="H1229" s="108"/>
      <c r="I1229" s="108"/>
      <c r="J1229" s="108"/>
      <c r="K1229" s="108"/>
      <c r="L1229" s="108"/>
      <c r="M1229" s="108"/>
      <c r="N1229" s="108"/>
      <c r="O1229" s="108"/>
      <c r="P1229" s="108"/>
      <c r="Q1229" s="108"/>
      <c r="R1229" s="108"/>
      <c r="S1229" s="108"/>
      <c r="T1229" s="108"/>
      <c r="U1229" s="108"/>
      <c r="V1229" s="108"/>
      <c r="W1229" s="108"/>
      <c r="X1229" s="108"/>
    </row>
    <row r="1230" spans="1:24">
      <c r="A1230" s="108"/>
      <c r="B1230" s="108">
        <f t="shared" si="0"/>
        <v>0</v>
      </c>
      <c r="C1230" s="108"/>
      <c r="D1230" s="108"/>
      <c r="E1230" s="108"/>
      <c r="F1230" s="108"/>
      <c r="G1230" s="108"/>
      <c r="H1230" s="108"/>
      <c r="I1230" s="108"/>
      <c r="J1230" s="108"/>
      <c r="K1230" s="108"/>
      <c r="L1230" s="108"/>
      <c r="M1230" s="108"/>
      <c r="N1230" s="108"/>
      <c r="O1230" s="108"/>
      <c r="P1230" s="108"/>
      <c r="Q1230" s="108"/>
      <c r="R1230" s="108"/>
      <c r="S1230" s="108"/>
      <c r="T1230" s="108"/>
      <c r="U1230" s="108"/>
      <c r="V1230" s="108"/>
      <c r="W1230" s="108"/>
      <c r="X1230" s="108"/>
    </row>
    <row r="1231" spans="1:24">
      <c r="A1231" s="108"/>
      <c r="B1231" s="108">
        <f t="shared" si="0"/>
        <v>0</v>
      </c>
      <c r="C1231" s="108"/>
      <c r="D1231" s="108"/>
      <c r="E1231" s="108"/>
      <c r="F1231" s="108"/>
      <c r="G1231" s="108"/>
      <c r="H1231" s="108"/>
      <c r="I1231" s="108"/>
      <c r="J1231" s="108"/>
      <c r="K1231" s="108"/>
      <c r="L1231" s="108"/>
      <c r="M1231" s="108"/>
      <c r="N1231" s="108"/>
      <c r="O1231" s="108"/>
      <c r="P1231" s="108"/>
      <c r="Q1231" s="108"/>
      <c r="R1231" s="108"/>
      <c r="S1231" s="108"/>
      <c r="T1231" s="108"/>
      <c r="U1231" s="108"/>
      <c r="V1231" s="108"/>
      <c r="W1231" s="108"/>
      <c r="X1231" s="108"/>
    </row>
    <row r="1232" spans="1:24">
      <c r="A1232" s="108"/>
      <c r="B1232" s="108">
        <f t="shared" si="0"/>
        <v>0</v>
      </c>
      <c r="C1232" s="108"/>
      <c r="D1232" s="108"/>
      <c r="E1232" s="108"/>
      <c r="F1232" s="108"/>
      <c r="G1232" s="108"/>
      <c r="H1232" s="108"/>
      <c r="I1232" s="108"/>
      <c r="J1232" s="108"/>
      <c r="K1232" s="108"/>
      <c r="L1232" s="108"/>
      <c r="M1232" s="108"/>
      <c r="N1232" s="108"/>
      <c r="O1232" s="108"/>
      <c r="P1232" s="108"/>
      <c r="Q1232" s="108"/>
      <c r="R1232" s="108"/>
      <c r="S1232" s="108"/>
      <c r="T1232" s="108"/>
      <c r="U1232" s="108"/>
      <c r="V1232" s="108"/>
      <c r="W1232" s="108"/>
      <c r="X1232" s="108"/>
    </row>
    <row r="1233" spans="1:24">
      <c r="A1233" s="108"/>
      <c r="B1233" s="108">
        <f t="shared" si="0"/>
        <v>0</v>
      </c>
      <c r="C1233" s="108"/>
      <c r="D1233" s="108"/>
      <c r="E1233" s="108"/>
      <c r="F1233" s="108"/>
      <c r="G1233" s="108"/>
      <c r="H1233" s="108"/>
      <c r="I1233" s="108"/>
      <c r="J1233" s="108"/>
      <c r="K1233" s="108"/>
      <c r="L1233" s="108"/>
      <c r="M1233" s="108"/>
      <c r="N1233" s="108"/>
      <c r="O1233" s="108"/>
      <c r="P1233" s="108"/>
      <c r="Q1233" s="108"/>
      <c r="R1233" s="108"/>
      <c r="S1233" s="108"/>
      <c r="T1233" s="108"/>
      <c r="U1233" s="108"/>
      <c r="V1233" s="108"/>
      <c r="W1233" s="108"/>
      <c r="X1233" s="108"/>
    </row>
    <row r="1234" spans="1:24">
      <c r="A1234" s="108"/>
      <c r="B1234" s="108">
        <f t="shared" si="0"/>
        <v>0</v>
      </c>
      <c r="C1234" s="108"/>
      <c r="D1234" s="108"/>
      <c r="E1234" s="108"/>
      <c r="F1234" s="108"/>
      <c r="G1234" s="108"/>
      <c r="H1234" s="108"/>
      <c r="I1234" s="108"/>
      <c r="J1234" s="108"/>
      <c r="K1234" s="108"/>
      <c r="L1234" s="108"/>
      <c r="M1234" s="108"/>
      <c r="N1234" s="108"/>
      <c r="O1234" s="108"/>
      <c r="P1234" s="108"/>
      <c r="Q1234" s="108"/>
      <c r="R1234" s="108"/>
      <c r="S1234" s="108"/>
      <c r="T1234" s="108"/>
      <c r="U1234" s="108"/>
      <c r="V1234" s="108"/>
      <c r="W1234" s="108"/>
      <c r="X1234" s="108"/>
    </row>
    <row r="1235" spans="1:24">
      <c r="A1235" s="108"/>
      <c r="B1235" s="108">
        <f t="shared" si="0"/>
        <v>0</v>
      </c>
      <c r="C1235" s="108"/>
      <c r="D1235" s="108"/>
      <c r="E1235" s="108"/>
      <c r="F1235" s="108"/>
      <c r="G1235" s="108"/>
      <c r="H1235" s="108"/>
      <c r="I1235" s="108"/>
      <c r="J1235" s="108"/>
      <c r="K1235" s="108"/>
      <c r="L1235" s="108"/>
      <c r="M1235" s="108"/>
      <c r="N1235" s="108"/>
      <c r="O1235" s="108"/>
      <c r="P1235" s="108"/>
      <c r="Q1235" s="108"/>
      <c r="R1235" s="108"/>
      <c r="S1235" s="108"/>
      <c r="T1235" s="108"/>
      <c r="U1235" s="108"/>
      <c r="V1235" s="108"/>
      <c r="W1235" s="108"/>
      <c r="X1235" s="108"/>
    </row>
    <row r="1236" spans="1:24">
      <c r="A1236" s="108"/>
      <c r="B1236" s="108">
        <f t="shared" si="0"/>
        <v>0</v>
      </c>
      <c r="C1236" s="108"/>
      <c r="D1236" s="108"/>
      <c r="E1236" s="108"/>
      <c r="F1236" s="108"/>
      <c r="G1236" s="108"/>
      <c r="H1236" s="108"/>
      <c r="I1236" s="108"/>
      <c r="J1236" s="108"/>
      <c r="K1236" s="108"/>
      <c r="L1236" s="108"/>
      <c r="M1236" s="108"/>
      <c r="N1236" s="108"/>
      <c r="O1236" s="108"/>
      <c r="P1236" s="108"/>
      <c r="Q1236" s="108"/>
      <c r="R1236" s="108"/>
      <c r="S1236" s="108"/>
      <c r="T1236" s="108"/>
      <c r="U1236" s="108"/>
      <c r="V1236" s="108"/>
      <c r="W1236" s="108"/>
      <c r="X1236" s="108"/>
    </row>
    <row r="1237" spans="1:24">
      <c r="A1237" s="108"/>
      <c r="B1237" s="108">
        <f t="shared" si="0"/>
        <v>0</v>
      </c>
      <c r="C1237" s="108"/>
      <c r="D1237" s="108"/>
      <c r="E1237" s="108"/>
      <c r="F1237" s="108"/>
      <c r="G1237" s="108"/>
      <c r="H1237" s="108"/>
      <c r="I1237" s="108"/>
      <c r="J1237" s="108"/>
      <c r="K1237" s="108"/>
      <c r="L1237" s="108"/>
      <c r="M1237" s="108"/>
      <c r="N1237" s="108"/>
      <c r="O1237" s="108"/>
      <c r="P1237" s="108"/>
      <c r="Q1237" s="108"/>
      <c r="R1237" s="108"/>
      <c r="S1237" s="108"/>
      <c r="T1237" s="108"/>
      <c r="U1237" s="108"/>
      <c r="V1237" s="108"/>
      <c r="W1237" s="108"/>
      <c r="X1237" s="108"/>
    </row>
    <row r="1238" spans="1:24">
      <c r="A1238" s="108"/>
      <c r="B1238" s="108">
        <f t="shared" si="0"/>
        <v>0</v>
      </c>
      <c r="C1238" s="108"/>
      <c r="D1238" s="108"/>
      <c r="E1238" s="108"/>
      <c r="F1238" s="108"/>
      <c r="G1238" s="108"/>
      <c r="H1238" s="108"/>
      <c r="I1238" s="108"/>
      <c r="J1238" s="108"/>
      <c r="K1238" s="108"/>
      <c r="L1238" s="108"/>
      <c r="M1238" s="108"/>
      <c r="N1238" s="108"/>
      <c r="O1238" s="108"/>
      <c r="P1238" s="108"/>
      <c r="Q1238" s="108"/>
      <c r="R1238" s="108"/>
      <c r="S1238" s="108"/>
      <c r="T1238" s="108"/>
      <c r="U1238" s="108"/>
      <c r="V1238" s="108"/>
      <c r="W1238" s="108"/>
      <c r="X1238" s="108"/>
    </row>
    <row r="1239" spans="1:24">
      <c r="A1239" s="108"/>
      <c r="B1239" s="108">
        <f t="shared" si="0"/>
        <v>0</v>
      </c>
      <c r="C1239" s="108"/>
      <c r="D1239" s="108"/>
      <c r="E1239" s="108"/>
      <c r="F1239" s="108"/>
      <c r="G1239" s="108"/>
      <c r="H1239" s="108"/>
      <c r="I1239" s="108"/>
      <c r="J1239" s="108"/>
      <c r="K1239" s="108"/>
      <c r="L1239" s="108"/>
      <c r="M1239" s="108"/>
      <c r="N1239" s="108"/>
      <c r="O1239" s="108"/>
      <c r="P1239" s="108"/>
      <c r="Q1239" s="108"/>
      <c r="R1239" s="108"/>
      <c r="S1239" s="108"/>
      <c r="T1239" s="108"/>
      <c r="U1239" s="108"/>
      <c r="V1239" s="108"/>
      <c r="W1239" s="108"/>
      <c r="X1239" s="108"/>
    </row>
    <row r="1240" spans="1:24">
      <c r="A1240" s="108"/>
      <c r="B1240" s="108">
        <f t="shared" si="0"/>
        <v>0</v>
      </c>
      <c r="C1240" s="108"/>
      <c r="D1240" s="108"/>
      <c r="E1240" s="108"/>
      <c r="F1240" s="108"/>
      <c r="G1240" s="108"/>
      <c r="H1240" s="108"/>
      <c r="I1240" s="108"/>
      <c r="J1240" s="108"/>
      <c r="K1240" s="108"/>
      <c r="L1240" s="108"/>
      <c r="M1240" s="108"/>
      <c r="N1240" s="108"/>
      <c r="O1240" s="108"/>
      <c r="P1240" s="108"/>
      <c r="Q1240" s="108"/>
      <c r="R1240" s="108"/>
      <c r="S1240" s="108"/>
      <c r="T1240" s="108"/>
      <c r="U1240" s="108"/>
      <c r="V1240" s="108"/>
      <c r="W1240" s="108"/>
      <c r="X1240" s="108"/>
    </row>
    <row r="1241" spans="1:24">
      <c r="A1241" s="108"/>
      <c r="B1241" s="108">
        <f t="shared" si="0"/>
        <v>0</v>
      </c>
      <c r="C1241" s="108"/>
      <c r="D1241" s="108"/>
      <c r="E1241" s="108"/>
      <c r="F1241" s="108"/>
      <c r="G1241" s="108"/>
      <c r="H1241" s="108"/>
      <c r="I1241" s="108"/>
      <c r="J1241" s="108"/>
      <c r="K1241" s="108"/>
      <c r="L1241" s="108"/>
      <c r="M1241" s="108"/>
      <c r="N1241" s="108"/>
      <c r="O1241" s="108"/>
      <c r="P1241" s="108"/>
      <c r="Q1241" s="108"/>
      <c r="R1241" s="108"/>
      <c r="S1241" s="108"/>
      <c r="T1241" s="108"/>
      <c r="U1241" s="108"/>
      <c r="V1241" s="108"/>
      <c r="W1241" s="108"/>
      <c r="X1241" s="108"/>
    </row>
    <row r="1242" spans="1:24">
      <c r="A1242" s="108"/>
      <c r="B1242" s="108">
        <f t="shared" si="0"/>
        <v>0</v>
      </c>
      <c r="C1242" s="108"/>
      <c r="D1242" s="108"/>
      <c r="E1242" s="108"/>
      <c r="F1242" s="108"/>
      <c r="G1242" s="108"/>
      <c r="H1242" s="108"/>
      <c r="I1242" s="108"/>
      <c r="J1242" s="108"/>
      <c r="K1242" s="108"/>
      <c r="L1242" s="108"/>
      <c r="M1242" s="108"/>
      <c r="N1242" s="108"/>
      <c r="O1242" s="108"/>
      <c r="P1242" s="108"/>
      <c r="Q1242" s="108"/>
      <c r="R1242" s="108"/>
      <c r="S1242" s="108"/>
      <c r="T1242" s="108"/>
      <c r="U1242" s="108"/>
      <c r="V1242" s="108"/>
      <c r="W1242" s="108"/>
      <c r="X1242" s="108"/>
    </row>
    <row r="1243" spans="1:24">
      <c r="A1243" s="108"/>
      <c r="B1243" s="108">
        <f t="shared" si="0"/>
        <v>0</v>
      </c>
      <c r="C1243" s="108"/>
      <c r="D1243" s="108"/>
      <c r="E1243" s="108"/>
      <c r="F1243" s="108"/>
      <c r="G1243" s="108"/>
      <c r="H1243" s="108"/>
      <c r="I1243" s="108"/>
      <c r="J1243" s="108"/>
      <c r="K1243" s="108"/>
      <c r="L1243" s="108"/>
      <c r="M1243" s="108"/>
      <c r="N1243" s="108"/>
      <c r="O1243" s="108"/>
      <c r="P1243" s="108"/>
      <c r="Q1243" s="108"/>
      <c r="R1243" s="108"/>
      <c r="S1243" s="108"/>
      <c r="T1243" s="108"/>
      <c r="U1243" s="108"/>
      <c r="V1243" s="108"/>
      <c r="W1243" s="108"/>
      <c r="X1243" s="108"/>
    </row>
    <row r="1244" spans="1:24">
      <c r="A1244" s="108"/>
      <c r="B1244" s="108">
        <f t="shared" si="0"/>
        <v>0</v>
      </c>
      <c r="C1244" s="108"/>
      <c r="D1244" s="108"/>
      <c r="E1244" s="108"/>
      <c r="F1244" s="108"/>
      <c r="G1244" s="108"/>
      <c r="H1244" s="108"/>
      <c r="I1244" s="108"/>
      <c r="J1244" s="108"/>
      <c r="K1244" s="108"/>
      <c r="L1244" s="108"/>
      <c r="M1244" s="108"/>
      <c r="N1244" s="108"/>
      <c r="O1244" s="108"/>
      <c r="P1244" s="108"/>
      <c r="Q1244" s="108"/>
      <c r="R1244" s="108"/>
      <c r="S1244" s="108"/>
      <c r="T1244" s="108"/>
      <c r="U1244" s="108"/>
      <c r="V1244" s="108"/>
      <c r="W1244" s="108"/>
      <c r="X1244" s="108"/>
    </row>
    <row r="1245" spans="1:24">
      <c r="A1245" s="108"/>
      <c r="B1245" s="108">
        <f t="shared" si="0"/>
        <v>0</v>
      </c>
      <c r="C1245" s="108"/>
      <c r="D1245" s="108"/>
      <c r="E1245" s="108"/>
      <c r="F1245" s="108"/>
      <c r="G1245" s="108"/>
      <c r="H1245" s="108"/>
      <c r="I1245" s="108"/>
      <c r="J1245" s="108"/>
      <c r="K1245" s="108"/>
      <c r="L1245" s="108"/>
      <c r="M1245" s="108"/>
      <c r="N1245" s="108"/>
      <c r="O1245" s="108"/>
      <c r="P1245" s="108"/>
      <c r="Q1245" s="108"/>
      <c r="R1245" s="108"/>
      <c r="S1245" s="108"/>
      <c r="T1245" s="108"/>
      <c r="U1245" s="108"/>
      <c r="V1245" s="108"/>
      <c r="W1245" s="108"/>
      <c r="X1245" s="108"/>
    </row>
    <row r="1246" spans="1:24">
      <c r="A1246" s="108"/>
      <c r="B1246" s="108">
        <f t="shared" si="0"/>
        <v>0</v>
      </c>
      <c r="C1246" s="108"/>
      <c r="D1246" s="108"/>
      <c r="E1246" s="108"/>
      <c r="F1246" s="108"/>
      <c r="G1246" s="108"/>
      <c r="H1246" s="108"/>
      <c r="I1246" s="108"/>
      <c r="J1246" s="108"/>
      <c r="K1246" s="108"/>
      <c r="L1246" s="108"/>
      <c r="M1246" s="108"/>
      <c r="N1246" s="108"/>
      <c r="O1246" s="108"/>
      <c r="P1246" s="108"/>
      <c r="Q1246" s="108"/>
      <c r="R1246" s="108"/>
      <c r="S1246" s="108"/>
      <c r="T1246" s="108"/>
      <c r="U1246" s="108"/>
      <c r="V1246" s="108"/>
      <c r="W1246" s="108"/>
      <c r="X1246" s="108"/>
    </row>
    <row r="1247" spans="1:24">
      <c r="A1247" s="108"/>
      <c r="B1247" s="108">
        <f t="shared" si="0"/>
        <v>0</v>
      </c>
      <c r="C1247" s="108"/>
      <c r="D1247" s="108"/>
      <c r="E1247" s="108"/>
      <c r="F1247" s="108"/>
      <c r="G1247" s="108"/>
      <c r="H1247" s="108"/>
      <c r="I1247" s="108"/>
      <c r="J1247" s="108"/>
      <c r="K1247" s="108"/>
      <c r="L1247" s="108"/>
      <c r="M1247" s="108"/>
      <c r="N1247" s="108"/>
      <c r="O1247" s="108"/>
      <c r="P1247" s="108"/>
      <c r="Q1247" s="108"/>
      <c r="R1247" s="108"/>
      <c r="S1247" s="108"/>
      <c r="T1247" s="108"/>
      <c r="U1247" s="108"/>
      <c r="V1247" s="108"/>
      <c r="W1247" s="108"/>
      <c r="X1247" s="108"/>
    </row>
    <row r="1248" spans="1:24">
      <c r="A1248" s="108"/>
      <c r="B1248" s="108">
        <f t="shared" si="0"/>
        <v>0</v>
      </c>
      <c r="C1248" s="108"/>
      <c r="D1248" s="108"/>
      <c r="E1248" s="108"/>
      <c r="F1248" s="108"/>
      <c r="G1248" s="108"/>
      <c r="H1248" s="108"/>
      <c r="I1248" s="108"/>
      <c r="J1248" s="108"/>
      <c r="K1248" s="108"/>
      <c r="L1248" s="108"/>
      <c r="M1248" s="108"/>
      <c r="N1248" s="108"/>
      <c r="O1248" s="108"/>
      <c r="P1248" s="108"/>
      <c r="Q1248" s="108"/>
      <c r="R1248" s="108"/>
      <c r="S1248" s="108"/>
      <c r="T1248" s="108"/>
      <c r="U1248" s="108"/>
      <c r="V1248" s="108"/>
      <c r="W1248" s="108"/>
      <c r="X1248" s="108"/>
    </row>
    <row r="1249" spans="1:24">
      <c r="A1249" s="108"/>
      <c r="B1249" s="108">
        <f t="shared" si="0"/>
        <v>0</v>
      </c>
      <c r="C1249" s="108"/>
      <c r="D1249" s="108"/>
      <c r="E1249" s="108"/>
      <c r="F1249" s="108"/>
      <c r="G1249" s="108"/>
      <c r="H1249" s="108"/>
      <c r="I1249" s="108"/>
      <c r="J1249" s="108"/>
      <c r="K1249" s="108"/>
      <c r="L1249" s="108"/>
      <c r="M1249" s="108"/>
      <c r="N1249" s="108"/>
      <c r="O1249" s="108"/>
      <c r="P1249" s="108"/>
      <c r="Q1249" s="108"/>
      <c r="R1249" s="108"/>
      <c r="S1249" s="108"/>
      <c r="T1249" s="108"/>
      <c r="U1249" s="108"/>
      <c r="V1249" s="108"/>
      <c r="W1249" s="108"/>
      <c r="X1249" s="108"/>
    </row>
    <row r="1250" spans="1:24">
      <c r="A1250" s="108"/>
      <c r="B1250" s="108">
        <f t="shared" si="0"/>
        <v>0</v>
      </c>
      <c r="C1250" s="108"/>
      <c r="D1250" s="108"/>
      <c r="E1250" s="108"/>
      <c r="F1250" s="108"/>
      <c r="G1250" s="108"/>
      <c r="H1250" s="108"/>
      <c r="I1250" s="108"/>
      <c r="J1250" s="108"/>
      <c r="K1250" s="108"/>
      <c r="L1250" s="108"/>
      <c r="M1250" s="108"/>
      <c r="N1250" s="108"/>
      <c r="O1250" s="108"/>
      <c r="P1250" s="108"/>
      <c r="Q1250" s="108"/>
      <c r="R1250" s="108"/>
      <c r="S1250" s="108"/>
      <c r="T1250" s="108"/>
      <c r="U1250" s="108"/>
      <c r="V1250" s="108"/>
      <c r="W1250" s="108"/>
      <c r="X1250" s="108"/>
    </row>
    <row r="1251" spans="1:24">
      <c r="A1251" s="108"/>
      <c r="B1251" s="108">
        <f t="shared" si="0"/>
        <v>0</v>
      </c>
      <c r="C1251" s="108"/>
      <c r="D1251" s="108"/>
      <c r="E1251" s="108"/>
      <c r="F1251" s="108"/>
      <c r="G1251" s="108"/>
      <c r="H1251" s="108"/>
      <c r="I1251" s="108"/>
      <c r="J1251" s="108"/>
      <c r="K1251" s="108"/>
      <c r="L1251" s="108"/>
      <c r="M1251" s="108"/>
      <c r="N1251" s="108"/>
      <c r="O1251" s="108"/>
      <c r="P1251" s="108"/>
      <c r="Q1251" s="108"/>
      <c r="R1251" s="108"/>
      <c r="S1251" s="108"/>
      <c r="T1251" s="108"/>
      <c r="U1251" s="108"/>
      <c r="V1251" s="108"/>
      <c r="W1251" s="108"/>
      <c r="X1251" s="108"/>
    </row>
    <row r="1252" spans="1:24">
      <c r="A1252" s="108"/>
      <c r="B1252" s="108">
        <f t="shared" si="0"/>
        <v>0</v>
      </c>
      <c r="C1252" s="108"/>
      <c r="D1252" s="108"/>
      <c r="E1252" s="108"/>
      <c r="F1252" s="108"/>
      <c r="G1252" s="108"/>
      <c r="H1252" s="108"/>
      <c r="I1252" s="108"/>
      <c r="J1252" s="108"/>
      <c r="K1252" s="108"/>
      <c r="L1252" s="108"/>
      <c r="M1252" s="108"/>
      <c r="N1252" s="108"/>
      <c r="O1252" s="108"/>
      <c r="P1252" s="108"/>
      <c r="Q1252" s="108"/>
      <c r="R1252" s="108"/>
      <c r="S1252" s="108"/>
      <c r="T1252" s="108"/>
      <c r="U1252" s="108"/>
      <c r="V1252" s="108"/>
      <c r="W1252" s="108"/>
      <c r="X1252" s="108"/>
    </row>
    <row r="1253" spans="1:24">
      <c r="A1253" s="108"/>
      <c r="B1253" s="108">
        <f t="shared" si="0"/>
        <v>0</v>
      </c>
      <c r="C1253" s="108"/>
      <c r="D1253" s="108"/>
      <c r="E1253" s="108"/>
      <c r="F1253" s="108"/>
      <c r="G1253" s="108"/>
      <c r="H1253" s="108"/>
      <c r="I1253" s="108"/>
      <c r="J1253" s="108"/>
      <c r="K1253" s="108"/>
      <c r="L1253" s="108"/>
      <c r="M1253" s="108"/>
      <c r="N1253" s="108"/>
      <c r="O1253" s="108"/>
      <c r="P1253" s="108"/>
      <c r="Q1253" s="108"/>
      <c r="R1253" s="108"/>
      <c r="S1253" s="108"/>
      <c r="T1253" s="108"/>
      <c r="U1253" s="108"/>
      <c r="V1253" s="108"/>
      <c r="W1253" s="108"/>
      <c r="X1253" s="108"/>
    </row>
    <row r="1254" spans="1:24">
      <c r="A1254" s="108"/>
      <c r="B1254" s="108">
        <f t="shared" si="0"/>
        <v>0</v>
      </c>
      <c r="C1254" s="108"/>
      <c r="D1254" s="108"/>
      <c r="E1254" s="108"/>
      <c r="F1254" s="108"/>
      <c r="G1254" s="108"/>
      <c r="H1254" s="108"/>
      <c r="I1254" s="108"/>
      <c r="J1254" s="108"/>
      <c r="K1254" s="108"/>
      <c r="L1254" s="108"/>
      <c r="M1254" s="108"/>
      <c r="N1254" s="108"/>
      <c r="O1254" s="108"/>
      <c r="P1254" s="108"/>
      <c r="Q1254" s="108"/>
      <c r="R1254" s="108"/>
      <c r="S1254" s="108"/>
      <c r="T1254" s="108"/>
      <c r="U1254" s="108"/>
      <c r="V1254" s="108"/>
      <c r="W1254" s="108"/>
      <c r="X1254" s="108"/>
    </row>
    <row r="1255" spans="1:24">
      <c r="A1255" s="108"/>
      <c r="B1255" s="108">
        <f t="shared" si="0"/>
        <v>0</v>
      </c>
      <c r="C1255" s="108"/>
      <c r="D1255" s="108"/>
      <c r="E1255" s="108"/>
      <c r="F1255" s="108"/>
      <c r="G1255" s="108"/>
      <c r="H1255" s="108"/>
      <c r="I1255" s="108"/>
      <c r="J1255" s="108"/>
      <c r="K1255" s="108"/>
      <c r="L1255" s="108"/>
      <c r="M1255" s="108"/>
      <c r="N1255" s="108"/>
      <c r="O1255" s="108"/>
      <c r="P1255" s="108"/>
      <c r="Q1255" s="108"/>
      <c r="R1255" s="108"/>
      <c r="S1255" s="108"/>
      <c r="T1255" s="108"/>
      <c r="U1255" s="108"/>
      <c r="V1255" s="108"/>
      <c r="W1255" s="108"/>
      <c r="X1255" s="108"/>
    </row>
    <row r="1256" spans="1:24">
      <c r="A1256" s="108"/>
      <c r="B1256" s="108">
        <f t="shared" si="0"/>
        <v>0</v>
      </c>
      <c r="C1256" s="108"/>
      <c r="D1256" s="108"/>
      <c r="E1256" s="108"/>
      <c r="F1256" s="108"/>
      <c r="G1256" s="108"/>
      <c r="H1256" s="108"/>
      <c r="I1256" s="108"/>
      <c r="J1256" s="108"/>
      <c r="K1256" s="108"/>
      <c r="L1256" s="108"/>
      <c r="M1256" s="108"/>
      <c r="N1256" s="108"/>
      <c r="O1256" s="108"/>
      <c r="P1256" s="108"/>
      <c r="Q1256" s="108"/>
      <c r="R1256" s="108"/>
      <c r="S1256" s="108"/>
      <c r="T1256" s="108"/>
      <c r="U1256" s="108"/>
      <c r="V1256" s="108"/>
      <c r="W1256" s="108"/>
      <c r="X1256" s="108"/>
    </row>
    <row r="1257" spans="1:24">
      <c r="A1257" s="108"/>
      <c r="B1257" s="108">
        <f t="shared" si="0"/>
        <v>0</v>
      </c>
      <c r="C1257" s="108"/>
      <c r="D1257" s="108"/>
      <c r="E1257" s="108"/>
      <c r="F1257" s="108"/>
      <c r="G1257" s="108"/>
      <c r="H1257" s="108"/>
      <c r="I1257" s="108"/>
      <c r="J1257" s="108"/>
      <c r="K1257" s="108"/>
      <c r="L1257" s="108"/>
      <c r="M1257" s="108"/>
      <c r="N1257" s="108"/>
      <c r="O1257" s="108"/>
      <c r="P1257" s="108"/>
      <c r="Q1257" s="108"/>
      <c r="R1257" s="108"/>
      <c r="S1257" s="108"/>
      <c r="T1257" s="108"/>
      <c r="U1257" s="108"/>
      <c r="V1257" s="108"/>
      <c r="W1257" s="108"/>
      <c r="X1257" s="108"/>
    </row>
    <row r="1258" spans="1:24">
      <c r="A1258" s="108"/>
      <c r="B1258" s="108">
        <f t="shared" si="0"/>
        <v>0</v>
      </c>
      <c r="C1258" s="108"/>
      <c r="D1258" s="108"/>
      <c r="E1258" s="108"/>
      <c r="F1258" s="108"/>
      <c r="G1258" s="108"/>
      <c r="H1258" s="108"/>
      <c r="I1258" s="108"/>
      <c r="J1258" s="108"/>
      <c r="K1258" s="108"/>
      <c r="L1258" s="108"/>
      <c r="M1258" s="108"/>
      <c r="N1258" s="108"/>
      <c r="O1258" s="108"/>
      <c r="P1258" s="108"/>
      <c r="Q1258" s="108"/>
      <c r="R1258" s="108"/>
      <c r="S1258" s="108"/>
      <c r="T1258" s="108"/>
      <c r="U1258" s="108"/>
      <c r="V1258" s="108"/>
      <c r="W1258" s="108"/>
      <c r="X1258" s="108"/>
    </row>
    <row r="1259" spans="1:24">
      <c r="A1259" s="108"/>
      <c r="B1259" s="108">
        <f t="shared" si="0"/>
        <v>0</v>
      </c>
      <c r="C1259" s="108"/>
      <c r="D1259" s="108"/>
      <c r="E1259" s="108"/>
      <c r="F1259" s="108"/>
      <c r="G1259" s="108"/>
      <c r="H1259" s="108"/>
      <c r="I1259" s="108"/>
      <c r="J1259" s="108"/>
      <c r="K1259" s="108"/>
      <c r="L1259" s="108"/>
      <c r="M1259" s="108"/>
      <c r="N1259" s="108"/>
      <c r="O1259" s="108"/>
      <c r="P1259" s="108"/>
      <c r="Q1259" s="108"/>
      <c r="R1259" s="108"/>
      <c r="S1259" s="108"/>
      <c r="T1259" s="108"/>
      <c r="U1259" s="108"/>
      <c r="V1259" s="108"/>
      <c r="W1259" s="108"/>
      <c r="X1259" s="108"/>
    </row>
    <row r="1260" spans="1:24">
      <c r="A1260" s="108"/>
      <c r="B1260" s="108">
        <f t="shared" si="0"/>
        <v>0</v>
      </c>
      <c r="C1260" s="108"/>
      <c r="D1260" s="108"/>
      <c r="E1260" s="108"/>
      <c r="F1260" s="108"/>
      <c r="G1260" s="108"/>
      <c r="H1260" s="108"/>
      <c r="I1260" s="108"/>
      <c r="J1260" s="108"/>
      <c r="K1260" s="108"/>
      <c r="L1260" s="108"/>
      <c r="M1260" s="108"/>
      <c r="N1260" s="108"/>
      <c r="O1260" s="108"/>
      <c r="P1260" s="108"/>
      <c r="Q1260" s="108"/>
      <c r="R1260" s="108"/>
      <c r="S1260" s="108"/>
      <c r="T1260" s="108"/>
      <c r="U1260" s="108"/>
      <c r="V1260" s="108"/>
      <c r="W1260" s="108"/>
      <c r="X1260" s="108"/>
    </row>
    <row r="1261" spans="1:24">
      <c r="A1261" s="108"/>
      <c r="B1261" s="108">
        <f t="shared" si="0"/>
        <v>0</v>
      </c>
      <c r="C1261" s="108"/>
      <c r="D1261" s="108"/>
      <c r="E1261" s="108"/>
      <c r="F1261" s="108"/>
      <c r="G1261" s="108"/>
      <c r="H1261" s="108"/>
      <c r="I1261" s="108"/>
      <c r="J1261" s="108"/>
      <c r="K1261" s="108"/>
      <c r="L1261" s="108"/>
      <c r="M1261" s="108"/>
      <c r="N1261" s="108"/>
      <c r="O1261" s="108"/>
      <c r="P1261" s="108"/>
      <c r="Q1261" s="108"/>
      <c r="R1261" s="108"/>
      <c r="S1261" s="108"/>
      <c r="T1261" s="108"/>
      <c r="U1261" s="108"/>
      <c r="V1261" s="108"/>
      <c r="W1261" s="108"/>
      <c r="X1261" s="108"/>
    </row>
    <row r="1262" spans="1:24">
      <c r="A1262" s="108"/>
      <c r="B1262" s="108">
        <f t="shared" si="0"/>
        <v>0</v>
      </c>
      <c r="C1262" s="108"/>
      <c r="D1262" s="108"/>
      <c r="E1262" s="108"/>
      <c r="F1262" s="108"/>
      <c r="G1262" s="108"/>
      <c r="H1262" s="108"/>
      <c r="I1262" s="108"/>
      <c r="J1262" s="108"/>
      <c r="K1262" s="108"/>
      <c r="L1262" s="108"/>
      <c r="M1262" s="108"/>
      <c r="N1262" s="108"/>
      <c r="O1262" s="108"/>
      <c r="P1262" s="108"/>
      <c r="Q1262" s="108"/>
      <c r="R1262" s="108"/>
      <c r="S1262" s="108"/>
      <c r="T1262" s="108"/>
      <c r="U1262" s="108"/>
      <c r="V1262" s="108"/>
      <c r="W1262" s="108"/>
      <c r="X1262" s="108"/>
    </row>
    <row r="1263" spans="1:24">
      <c r="A1263" s="108"/>
      <c r="B1263" s="108">
        <f t="shared" si="0"/>
        <v>0</v>
      </c>
      <c r="C1263" s="108"/>
      <c r="D1263" s="108"/>
      <c r="E1263" s="108"/>
      <c r="F1263" s="108"/>
      <c r="G1263" s="108"/>
      <c r="H1263" s="108"/>
      <c r="I1263" s="108"/>
      <c r="J1263" s="108"/>
      <c r="K1263" s="108"/>
      <c r="L1263" s="108"/>
      <c r="M1263" s="108"/>
      <c r="N1263" s="108"/>
      <c r="O1263" s="108"/>
      <c r="P1263" s="108"/>
      <c r="Q1263" s="108"/>
      <c r="R1263" s="108"/>
      <c r="S1263" s="108"/>
      <c r="T1263" s="108"/>
      <c r="U1263" s="108"/>
      <c r="V1263" s="108"/>
      <c r="W1263" s="108"/>
      <c r="X1263" s="108"/>
    </row>
    <row r="1264" spans="1:24">
      <c r="A1264" s="108"/>
      <c r="B1264" s="108">
        <f t="shared" si="0"/>
        <v>0</v>
      </c>
      <c r="C1264" s="108"/>
      <c r="D1264" s="108"/>
      <c r="E1264" s="108"/>
      <c r="F1264" s="108"/>
      <c r="G1264" s="108"/>
      <c r="H1264" s="108"/>
      <c r="I1264" s="108"/>
      <c r="J1264" s="108"/>
      <c r="K1264" s="108"/>
      <c r="L1264" s="108"/>
      <c r="M1264" s="108"/>
      <c r="N1264" s="108"/>
      <c r="O1264" s="108"/>
      <c r="P1264" s="108"/>
      <c r="Q1264" s="108"/>
      <c r="R1264" s="108"/>
      <c r="S1264" s="108"/>
      <c r="T1264" s="108"/>
      <c r="U1264" s="108"/>
      <c r="V1264" s="108"/>
      <c r="W1264" s="108"/>
      <c r="X1264" s="108"/>
    </row>
    <row r="1265" spans="1:24">
      <c r="A1265" s="108"/>
      <c r="B1265" s="108"/>
      <c r="C1265" s="108"/>
      <c r="D1265" s="108"/>
      <c r="E1265" s="108"/>
      <c r="F1265" s="108"/>
      <c r="G1265" s="108"/>
      <c r="H1265" s="108"/>
      <c r="I1265" s="108"/>
      <c r="J1265" s="108"/>
      <c r="K1265" s="108"/>
      <c r="L1265" s="108"/>
      <c r="M1265" s="108"/>
      <c r="N1265" s="108"/>
      <c r="O1265" s="108"/>
      <c r="P1265" s="108"/>
      <c r="Q1265" s="108"/>
      <c r="R1265" s="108"/>
      <c r="S1265" s="108"/>
      <c r="T1265" s="108"/>
      <c r="U1265" s="108"/>
      <c r="V1265" s="108"/>
      <c r="W1265" s="108"/>
      <c r="X1265" s="108"/>
    </row>
    <row r="1266" spans="1:24">
      <c r="A1266" s="108"/>
      <c r="B1266" s="108"/>
      <c r="C1266" s="108"/>
      <c r="D1266" s="108"/>
      <c r="E1266" s="108"/>
      <c r="F1266" s="108"/>
      <c r="G1266" s="108"/>
      <c r="H1266" s="108"/>
      <c r="I1266" s="108"/>
      <c r="J1266" s="108"/>
      <c r="K1266" s="108"/>
      <c r="L1266" s="108"/>
      <c r="M1266" s="108"/>
      <c r="N1266" s="108"/>
      <c r="O1266" s="108"/>
      <c r="P1266" s="108"/>
      <c r="Q1266" s="108"/>
      <c r="R1266" s="108"/>
      <c r="S1266" s="108"/>
      <c r="T1266" s="108"/>
      <c r="U1266" s="108"/>
      <c r="V1266" s="108"/>
      <c r="W1266" s="108"/>
      <c r="X1266" s="108"/>
    </row>
    <row r="1267" spans="1:24">
      <c r="A1267" s="108"/>
      <c r="B1267" s="108"/>
      <c r="C1267" s="108"/>
      <c r="D1267" s="108"/>
      <c r="E1267" s="108"/>
      <c r="F1267" s="108"/>
      <c r="G1267" s="108"/>
      <c r="H1267" s="108"/>
      <c r="I1267" s="108"/>
      <c r="J1267" s="108"/>
      <c r="K1267" s="108"/>
      <c r="L1267" s="108"/>
      <c r="M1267" s="108"/>
      <c r="N1267" s="108"/>
      <c r="O1267" s="108"/>
      <c r="P1267" s="108"/>
      <c r="Q1267" s="108"/>
      <c r="R1267" s="108"/>
      <c r="S1267" s="108"/>
      <c r="T1267" s="108"/>
      <c r="U1267" s="108"/>
      <c r="V1267" s="108"/>
      <c r="W1267" s="108"/>
      <c r="X1267" s="108"/>
    </row>
    <row r="1268" spans="1:24">
      <c r="A1268" s="108"/>
      <c r="B1268" s="108"/>
      <c r="C1268" s="108"/>
      <c r="D1268" s="108"/>
      <c r="E1268" s="108"/>
      <c r="F1268" s="108"/>
      <c r="G1268" s="108"/>
      <c r="H1268" s="108"/>
      <c r="I1268" s="108"/>
      <c r="J1268" s="108"/>
      <c r="K1268" s="108"/>
      <c r="L1268" s="108"/>
      <c r="M1268" s="108"/>
      <c r="N1268" s="108"/>
      <c r="O1268" s="108"/>
      <c r="P1268" s="108"/>
      <c r="Q1268" s="108"/>
      <c r="R1268" s="108"/>
      <c r="S1268" s="108"/>
      <c r="T1268" s="108"/>
      <c r="U1268" s="108"/>
      <c r="V1268" s="108"/>
      <c r="W1268" s="108"/>
      <c r="X1268" s="108"/>
    </row>
    <row r="1269" spans="1:24">
      <c r="A1269" s="108"/>
      <c r="B1269" s="108"/>
      <c r="C1269" s="108"/>
      <c r="D1269" s="108"/>
      <c r="E1269" s="108"/>
      <c r="F1269" s="108"/>
      <c r="G1269" s="108"/>
      <c r="H1269" s="108"/>
      <c r="I1269" s="108"/>
      <c r="J1269" s="108"/>
      <c r="K1269" s="108"/>
      <c r="L1269" s="108"/>
      <c r="M1269" s="108"/>
      <c r="N1269" s="108"/>
      <c r="O1269" s="108"/>
      <c r="P1269" s="108"/>
      <c r="Q1269" s="108"/>
      <c r="R1269" s="108"/>
      <c r="S1269" s="108"/>
      <c r="T1269" s="108"/>
      <c r="U1269" s="108"/>
      <c r="V1269" s="108"/>
      <c r="W1269" s="108"/>
      <c r="X1269" s="108"/>
    </row>
    <row r="1270" spans="1:24">
      <c r="A1270" s="108"/>
      <c r="B1270" s="108"/>
      <c r="C1270" s="108"/>
      <c r="D1270" s="108"/>
      <c r="E1270" s="108"/>
      <c r="F1270" s="108"/>
      <c r="G1270" s="108"/>
      <c r="H1270" s="108"/>
      <c r="I1270" s="108"/>
      <c r="J1270" s="108"/>
      <c r="K1270" s="108"/>
      <c r="L1270" s="108"/>
      <c r="M1270" s="108"/>
      <c r="N1270" s="108"/>
      <c r="O1270" s="108"/>
      <c r="P1270" s="108"/>
      <c r="Q1270" s="108"/>
      <c r="R1270" s="108"/>
      <c r="S1270" s="108"/>
      <c r="T1270" s="108"/>
      <c r="U1270" s="108"/>
      <c r="V1270" s="108"/>
      <c r="W1270" s="108"/>
      <c r="X1270" s="108"/>
    </row>
    <row r="1271" spans="1:24">
      <c r="A1271" s="108"/>
      <c r="B1271" s="108"/>
      <c r="C1271" s="108"/>
      <c r="D1271" s="108"/>
      <c r="E1271" s="108"/>
      <c r="F1271" s="108"/>
      <c r="G1271" s="108"/>
      <c r="H1271" s="108"/>
      <c r="I1271" s="108"/>
      <c r="J1271" s="108"/>
      <c r="K1271" s="108"/>
      <c r="L1271" s="108"/>
      <c r="M1271" s="108"/>
      <c r="N1271" s="108"/>
      <c r="O1271" s="108"/>
      <c r="P1271" s="108"/>
      <c r="Q1271" s="108"/>
      <c r="R1271" s="108"/>
      <c r="S1271" s="108"/>
      <c r="T1271" s="108"/>
      <c r="U1271" s="108"/>
      <c r="V1271" s="108"/>
      <c r="W1271" s="108"/>
      <c r="X1271" s="108"/>
    </row>
    <row r="1272" spans="1:24">
      <c r="A1272" s="108"/>
      <c r="B1272" s="108"/>
      <c r="C1272" s="108"/>
      <c r="D1272" s="108"/>
      <c r="E1272" s="108"/>
      <c r="F1272" s="108"/>
      <c r="G1272" s="108"/>
      <c r="H1272" s="108"/>
      <c r="I1272" s="108"/>
      <c r="J1272" s="108"/>
      <c r="K1272" s="108"/>
      <c r="L1272" s="108"/>
      <c r="M1272" s="108"/>
      <c r="N1272" s="108"/>
      <c r="O1272" s="108"/>
      <c r="P1272" s="108"/>
      <c r="Q1272" s="108"/>
      <c r="R1272" s="108"/>
      <c r="S1272" s="108"/>
      <c r="T1272" s="108"/>
      <c r="U1272" s="108"/>
      <c r="V1272" s="108"/>
      <c r="W1272" s="108"/>
      <c r="X1272" s="108"/>
    </row>
    <row r="1273" spans="1:24">
      <c r="A1273" s="108"/>
      <c r="B1273" s="108"/>
      <c r="C1273" s="108"/>
      <c r="D1273" s="108"/>
      <c r="E1273" s="108"/>
      <c r="F1273" s="108"/>
      <c r="G1273" s="108"/>
      <c r="H1273" s="108"/>
      <c r="I1273" s="108"/>
      <c r="J1273" s="108"/>
      <c r="K1273" s="108"/>
      <c r="L1273" s="108"/>
      <c r="M1273" s="108"/>
      <c r="N1273" s="108"/>
      <c r="O1273" s="108"/>
      <c r="P1273" s="108"/>
      <c r="Q1273" s="108"/>
      <c r="R1273" s="108"/>
      <c r="S1273" s="108"/>
      <c r="T1273" s="108"/>
      <c r="U1273" s="108"/>
      <c r="V1273" s="108"/>
      <c r="W1273" s="108"/>
      <c r="X1273" s="108"/>
    </row>
    <row r="1274" spans="1:24">
      <c r="A1274" s="108"/>
      <c r="B1274" s="108"/>
      <c r="C1274" s="108"/>
      <c r="D1274" s="108"/>
      <c r="E1274" s="108"/>
      <c r="F1274" s="108"/>
      <c r="G1274" s="108"/>
      <c r="H1274" s="108"/>
      <c r="I1274" s="108"/>
      <c r="J1274" s="108"/>
      <c r="K1274" s="108"/>
      <c r="L1274" s="108"/>
      <c r="M1274" s="108"/>
      <c r="N1274" s="108"/>
      <c r="O1274" s="108"/>
      <c r="P1274" s="108"/>
      <c r="Q1274" s="108"/>
      <c r="R1274" s="108"/>
      <c r="S1274" s="108"/>
      <c r="T1274" s="108"/>
      <c r="U1274" s="108"/>
      <c r="V1274" s="108"/>
      <c r="W1274" s="108"/>
      <c r="X1274" s="108"/>
    </row>
    <row r="1275" spans="1:24">
      <c r="A1275" s="108"/>
      <c r="B1275" s="108"/>
      <c r="C1275" s="108"/>
      <c r="D1275" s="108"/>
      <c r="E1275" s="108"/>
      <c r="F1275" s="108"/>
      <c r="G1275" s="108"/>
      <c r="H1275" s="108"/>
      <c r="I1275" s="108"/>
      <c r="J1275" s="108"/>
      <c r="K1275" s="108"/>
      <c r="L1275" s="108"/>
      <c r="M1275" s="108"/>
      <c r="N1275" s="108"/>
      <c r="O1275" s="108"/>
      <c r="P1275" s="108"/>
      <c r="Q1275" s="108"/>
      <c r="R1275" s="108"/>
      <c r="S1275" s="108"/>
      <c r="T1275" s="108"/>
      <c r="U1275" s="108"/>
      <c r="V1275" s="108"/>
      <c r="W1275" s="108"/>
      <c r="X1275" s="108"/>
    </row>
    <row r="1276" spans="1:24">
      <c r="A1276" s="108"/>
      <c r="B1276" s="108"/>
      <c r="C1276" s="108"/>
      <c r="D1276" s="108"/>
      <c r="E1276" s="108"/>
      <c r="F1276" s="108"/>
      <c r="G1276" s="108"/>
      <c r="H1276" s="108"/>
      <c r="I1276" s="108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</row>
    <row r="1277" spans="1:24">
      <c r="A1277" s="108"/>
      <c r="B1277" s="108"/>
      <c r="C1277" s="108"/>
      <c r="D1277" s="108"/>
      <c r="E1277" s="108"/>
      <c r="F1277" s="108"/>
      <c r="G1277" s="108"/>
      <c r="H1277" s="108"/>
      <c r="I1277" s="108"/>
      <c r="J1277" s="108"/>
      <c r="K1277" s="108"/>
      <c r="L1277" s="108"/>
      <c r="M1277" s="108"/>
      <c r="N1277" s="108"/>
      <c r="O1277" s="108"/>
      <c r="P1277" s="108"/>
      <c r="Q1277" s="108"/>
      <c r="R1277" s="108"/>
      <c r="S1277" s="108"/>
      <c r="T1277" s="108"/>
      <c r="U1277" s="108"/>
      <c r="V1277" s="108"/>
      <c r="W1277" s="108"/>
      <c r="X1277" s="108"/>
    </row>
    <row r="1278" spans="1:24">
      <c r="A1278" s="108"/>
      <c r="B1278" s="108"/>
      <c r="C1278" s="108"/>
      <c r="D1278" s="108"/>
      <c r="E1278" s="108"/>
      <c r="F1278" s="108"/>
      <c r="G1278" s="108"/>
      <c r="H1278" s="108"/>
      <c r="I1278" s="108"/>
      <c r="J1278" s="108"/>
      <c r="K1278" s="108"/>
      <c r="L1278" s="108"/>
      <c r="M1278" s="108"/>
      <c r="N1278" s="108"/>
      <c r="O1278" s="108"/>
      <c r="P1278" s="108"/>
      <c r="Q1278" s="108"/>
      <c r="R1278" s="108"/>
      <c r="S1278" s="108"/>
      <c r="T1278" s="108"/>
      <c r="U1278" s="108"/>
      <c r="V1278" s="108"/>
      <c r="W1278" s="108"/>
      <c r="X1278" s="108"/>
    </row>
    <row r="1279" spans="1:24">
      <c r="A1279" s="108"/>
      <c r="B1279" s="108"/>
      <c r="C1279" s="108"/>
      <c r="D1279" s="108"/>
      <c r="E1279" s="108"/>
      <c r="F1279" s="108"/>
      <c r="G1279" s="108"/>
      <c r="H1279" s="108"/>
      <c r="I1279" s="108"/>
      <c r="J1279" s="108"/>
      <c r="K1279" s="108"/>
      <c r="L1279" s="108"/>
      <c r="M1279" s="108"/>
      <c r="N1279" s="108"/>
      <c r="O1279" s="108"/>
      <c r="P1279" s="108"/>
      <c r="Q1279" s="108"/>
      <c r="R1279" s="108"/>
      <c r="S1279" s="108"/>
      <c r="T1279" s="108"/>
      <c r="U1279" s="108"/>
      <c r="V1279" s="108"/>
      <c r="W1279" s="108"/>
      <c r="X1279" s="108"/>
    </row>
    <row r="1280" spans="1:24">
      <c r="A1280" s="108"/>
      <c r="B1280" s="108"/>
      <c r="C1280" s="108"/>
      <c r="D1280" s="108"/>
      <c r="E1280" s="108"/>
      <c r="F1280" s="108"/>
      <c r="G1280" s="108"/>
      <c r="H1280" s="108"/>
      <c r="I1280" s="108"/>
      <c r="J1280" s="108"/>
      <c r="K1280" s="108"/>
      <c r="L1280" s="108"/>
      <c r="M1280" s="108"/>
      <c r="N1280" s="108"/>
      <c r="O1280" s="108"/>
      <c r="P1280" s="108"/>
      <c r="Q1280" s="108"/>
      <c r="R1280" s="108"/>
      <c r="S1280" s="108"/>
      <c r="T1280" s="108"/>
      <c r="U1280" s="108"/>
      <c r="V1280" s="108"/>
      <c r="W1280" s="108"/>
      <c r="X1280" s="108"/>
    </row>
    <row r="1281" spans="1:24">
      <c r="A1281" s="108"/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</row>
    <row r="1282" spans="1:24">
      <c r="A1282" s="108"/>
      <c r="B1282" s="108"/>
      <c r="C1282" s="108"/>
      <c r="D1282" s="108"/>
      <c r="E1282" s="108"/>
      <c r="F1282" s="108"/>
      <c r="G1282" s="108"/>
      <c r="H1282" s="108"/>
      <c r="I1282" s="108"/>
      <c r="J1282" s="108"/>
      <c r="K1282" s="108"/>
      <c r="L1282" s="108"/>
      <c r="M1282" s="108"/>
      <c r="N1282" s="108"/>
      <c r="O1282" s="108"/>
      <c r="P1282" s="108"/>
      <c r="Q1282" s="108"/>
      <c r="R1282" s="108"/>
      <c r="S1282" s="108"/>
      <c r="T1282" s="108"/>
      <c r="U1282" s="108"/>
      <c r="V1282" s="108"/>
      <c r="W1282" s="108"/>
      <c r="X1282" s="108"/>
    </row>
    <row r="1283" spans="1:24">
      <c r="A1283" s="108"/>
      <c r="B1283" s="108"/>
      <c r="C1283" s="108"/>
      <c r="D1283" s="108"/>
      <c r="E1283" s="108"/>
      <c r="F1283" s="108"/>
      <c r="G1283" s="108"/>
      <c r="H1283" s="108"/>
      <c r="I1283" s="108"/>
      <c r="J1283" s="108"/>
      <c r="K1283" s="108"/>
      <c r="L1283" s="108"/>
      <c r="M1283" s="108"/>
      <c r="N1283" s="108"/>
      <c r="O1283" s="108"/>
      <c r="P1283" s="108"/>
      <c r="Q1283" s="108"/>
      <c r="R1283" s="108"/>
      <c r="S1283" s="108"/>
      <c r="T1283" s="108"/>
      <c r="U1283" s="108"/>
      <c r="V1283" s="108"/>
      <c r="W1283" s="108"/>
      <c r="X1283" s="108"/>
    </row>
    <row r="1284" spans="1:24">
      <c r="A1284" s="108"/>
      <c r="B1284" s="108"/>
      <c r="C1284" s="108"/>
      <c r="D1284" s="108"/>
      <c r="E1284" s="108"/>
      <c r="F1284" s="108"/>
      <c r="G1284" s="108"/>
      <c r="H1284" s="108"/>
      <c r="I1284" s="108"/>
      <c r="J1284" s="108"/>
      <c r="K1284" s="108"/>
      <c r="L1284" s="108"/>
      <c r="M1284" s="108"/>
      <c r="N1284" s="108"/>
      <c r="O1284" s="108"/>
      <c r="P1284" s="108"/>
      <c r="Q1284" s="108"/>
      <c r="R1284" s="108"/>
      <c r="S1284" s="108"/>
      <c r="T1284" s="108"/>
      <c r="U1284" s="108"/>
      <c r="V1284" s="108"/>
      <c r="W1284" s="108"/>
      <c r="X1284" s="108"/>
    </row>
    <row r="1285" spans="1:24">
      <c r="A1285" s="108"/>
      <c r="B1285" s="108"/>
      <c r="C1285" s="108"/>
      <c r="D1285" s="108"/>
      <c r="E1285" s="108"/>
      <c r="F1285" s="108"/>
      <c r="G1285" s="108"/>
      <c r="H1285" s="108"/>
      <c r="I1285" s="108"/>
      <c r="J1285" s="108"/>
      <c r="K1285" s="108"/>
      <c r="L1285" s="108"/>
      <c r="M1285" s="108"/>
      <c r="N1285" s="108"/>
      <c r="O1285" s="108"/>
      <c r="P1285" s="108"/>
      <c r="Q1285" s="108"/>
      <c r="R1285" s="108"/>
      <c r="S1285" s="108"/>
      <c r="T1285" s="108"/>
      <c r="U1285" s="108"/>
      <c r="V1285" s="108"/>
      <c r="W1285" s="108"/>
      <c r="X1285" s="108"/>
    </row>
    <row r="1286" spans="1:24">
      <c r="A1286" s="108"/>
      <c r="B1286" s="108"/>
      <c r="C1286" s="108"/>
      <c r="D1286" s="108"/>
      <c r="E1286" s="108"/>
      <c r="F1286" s="108"/>
      <c r="G1286" s="108"/>
      <c r="H1286" s="108"/>
      <c r="I1286" s="108"/>
      <c r="J1286" s="108"/>
      <c r="K1286" s="108"/>
      <c r="L1286" s="108"/>
      <c r="M1286" s="108"/>
      <c r="N1286" s="108"/>
      <c r="O1286" s="108"/>
      <c r="P1286" s="108"/>
      <c r="Q1286" s="108"/>
      <c r="R1286" s="108"/>
      <c r="S1286" s="108"/>
      <c r="T1286" s="108"/>
      <c r="U1286" s="108"/>
      <c r="V1286" s="108"/>
      <c r="W1286" s="108"/>
      <c r="X1286" s="108"/>
    </row>
    <row r="1287" spans="1:24">
      <c r="A1287" s="108"/>
      <c r="B1287" s="108"/>
      <c r="C1287" s="108"/>
      <c r="D1287" s="108"/>
      <c r="E1287" s="108"/>
      <c r="F1287" s="108"/>
      <c r="G1287" s="108"/>
      <c r="H1287" s="108"/>
      <c r="I1287" s="108"/>
      <c r="J1287" s="108"/>
      <c r="K1287" s="108"/>
      <c r="L1287" s="108"/>
      <c r="M1287" s="108"/>
      <c r="N1287" s="108"/>
      <c r="O1287" s="108"/>
      <c r="P1287" s="108"/>
      <c r="Q1287" s="108"/>
      <c r="R1287" s="108"/>
      <c r="S1287" s="108"/>
      <c r="T1287" s="108"/>
      <c r="U1287" s="108"/>
      <c r="V1287" s="108"/>
      <c r="W1287" s="108"/>
      <c r="X1287" s="108"/>
    </row>
    <row r="1288" spans="1:24">
      <c r="A1288" s="108"/>
      <c r="B1288" s="108"/>
      <c r="C1288" s="108"/>
      <c r="D1288" s="108"/>
      <c r="E1288" s="108"/>
      <c r="F1288" s="108"/>
      <c r="G1288" s="108"/>
      <c r="H1288" s="108"/>
      <c r="I1288" s="108"/>
      <c r="J1288" s="108"/>
      <c r="K1288" s="108"/>
      <c r="L1288" s="108"/>
      <c r="M1288" s="108"/>
      <c r="N1288" s="108"/>
      <c r="O1288" s="108"/>
      <c r="P1288" s="108"/>
      <c r="Q1288" s="108"/>
      <c r="R1288" s="108"/>
      <c r="S1288" s="108"/>
      <c r="T1288" s="108"/>
      <c r="U1288" s="108"/>
      <c r="V1288" s="108"/>
      <c r="W1288" s="108"/>
      <c r="X1288" s="108"/>
    </row>
    <row r="1289" spans="1:24">
      <c r="A1289" s="108"/>
      <c r="B1289" s="108"/>
      <c r="C1289" s="108"/>
      <c r="D1289" s="108"/>
      <c r="E1289" s="108"/>
      <c r="F1289" s="108"/>
      <c r="G1289" s="108"/>
      <c r="H1289" s="108"/>
      <c r="I1289" s="108"/>
      <c r="J1289" s="108"/>
      <c r="K1289" s="108"/>
      <c r="L1289" s="108"/>
      <c r="M1289" s="108"/>
      <c r="N1289" s="108"/>
      <c r="O1289" s="108"/>
      <c r="P1289" s="108"/>
      <c r="Q1289" s="108"/>
      <c r="R1289" s="108"/>
      <c r="S1289" s="108"/>
      <c r="T1289" s="108"/>
      <c r="U1289" s="108"/>
      <c r="V1289" s="108"/>
      <c r="W1289" s="108"/>
      <c r="X1289" s="108"/>
    </row>
    <row r="1290" spans="1:24">
      <c r="A1290" s="108"/>
      <c r="B1290" s="108"/>
      <c r="C1290" s="108"/>
      <c r="D1290" s="108"/>
      <c r="E1290" s="108"/>
      <c r="F1290" s="108"/>
      <c r="G1290" s="108"/>
      <c r="H1290" s="108"/>
      <c r="I1290" s="108"/>
      <c r="J1290" s="108"/>
      <c r="K1290" s="108"/>
      <c r="L1290" s="108"/>
      <c r="M1290" s="108"/>
      <c r="N1290" s="108"/>
      <c r="O1290" s="108"/>
      <c r="P1290" s="108"/>
      <c r="Q1290" s="108"/>
      <c r="R1290" s="108"/>
      <c r="S1290" s="108"/>
      <c r="T1290" s="108"/>
      <c r="U1290" s="108"/>
      <c r="V1290" s="108"/>
      <c r="W1290" s="108"/>
      <c r="X1290" s="108"/>
    </row>
    <row r="1291" spans="1:24">
      <c r="A1291" s="108"/>
      <c r="B1291" s="108"/>
      <c r="C1291" s="108"/>
      <c r="D1291" s="108"/>
      <c r="E1291" s="108"/>
      <c r="F1291" s="108"/>
      <c r="G1291" s="108"/>
      <c r="H1291" s="108"/>
      <c r="I1291" s="108"/>
      <c r="J1291" s="108"/>
      <c r="K1291" s="108"/>
      <c r="L1291" s="108"/>
      <c r="M1291" s="108"/>
      <c r="N1291" s="108"/>
      <c r="O1291" s="108"/>
      <c r="P1291" s="108"/>
      <c r="Q1291" s="108"/>
      <c r="R1291" s="108"/>
      <c r="S1291" s="108"/>
      <c r="T1291" s="108"/>
      <c r="U1291" s="108"/>
      <c r="V1291" s="108"/>
      <c r="W1291" s="108"/>
      <c r="X1291" s="108"/>
    </row>
    <row r="1292" spans="1:24">
      <c r="A1292" s="108"/>
      <c r="B1292" s="108"/>
      <c r="C1292" s="108"/>
      <c r="D1292" s="108"/>
      <c r="E1292" s="108"/>
      <c r="F1292" s="108"/>
      <c r="G1292" s="108"/>
      <c r="H1292" s="108"/>
      <c r="I1292" s="108"/>
      <c r="J1292" s="108"/>
      <c r="K1292" s="108"/>
      <c r="L1292" s="108"/>
      <c r="M1292" s="108"/>
      <c r="N1292" s="108"/>
      <c r="O1292" s="108"/>
      <c r="P1292" s="108"/>
      <c r="Q1292" s="108"/>
      <c r="R1292" s="108"/>
      <c r="S1292" s="108"/>
      <c r="T1292" s="108"/>
      <c r="U1292" s="108"/>
      <c r="V1292" s="108"/>
      <c r="W1292" s="108"/>
      <c r="X1292" s="108"/>
    </row>
    <row r="1293" spans="1:24">
      <c r="A1293" s="108"/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</row>
    <row r="1294" spans="1:24">
      <c r="A1294" s="108"/>
      <c r="B1294" s="108"/>
      <c r="C1294" s="108"/>
      <c r="D1294" s="108"/>
      <c r="E1294" s="108"/>
      <c r="F1294" s="108"/>
      <c r="G1294" s="108"/>
      <c r="H1294" s="108"/>
      <c r="I1294" s="108"/>
      <c r="J1294" s="108"/>
      <c r="K1294" s="108"/>
      <c r="L1294" s="108"/>
      <c r="M1294" s="108"/>
      <c r="N1294" s="108"/>
      <c r="O1294" s="108"/>
      <c r="P1294" s="108"/>
      <c r="Q1294" s="108"/>
      <c r="R1294" s="108"/>
      <c r="S1294" s="108"/>
      <c r="T1294" s="108"/>
      <c r="U1294" s="108"/>
      <c r="V1294" s="108"/>
      <c r="W1294" s="108"/>
      <c r="X1294" s="108"/>
    </row>
    <row r="1295" spans="1:24">
      <c r="A1295" s="108"/>
      <c r="B1295" s="108"/>
      <c r="C1295" s="108"/>
      <c r="D1295" s="108"/>
      <c r="E1295" s="108"/>
      <c r="F1295" s="108"/>
      <c r="G1295" s="108"/>
      <c r="H1295" s="108"/>
      <c r="I1295" s="108"/>
      <c r="J1295" s="108"/>
      <c r="K1295" s="108"/>
      <c r="L1295" s="108"/>
      <c r="M1295" s="108"/>
      <c r="N1295" s="108"/>
      <c r="O1295" s="108"/>
      <c r="P1295" s="108"/>
      <c r="Q1295" s="108"/>
      <c r="R1295" s="108"/>
      <c r="S1295" s="108"/>
      <c r="T1295" s="108"/>
      <c r="U1295" s="108"/>
      <c r="V1295" s="108"/>
      <c r="W1295" s="108"/>
      <c r="X1295" s="108"/>
    </row>
    <row r="1296" spans="1:24">
      <c r="A1296" s="108"/>
      <c r="B1296" s="108"/>
      <c r="C1296" s="108"/>
      <c r="D1296" s="108"/>
      <c r="E1296" s="108"/>
      <c r="F1296" s="108"/>
      <c r="G1296" s="108"/>
      <c r="H1296" s="108"/>
      <c r="I1296" s="108"/>
      <c r="J1296" s="108"/>
      <c r="K1296" s="108"/>
      <c r="L1296" s="108"/>
      <c r="M1296" s="108"/>
      <c r="N1296" s="108"/>
      <c r="O1296" s="108"/>
      <c r="P1296" s="108"/>
      <c r="Q1296" s="108"/>
      <c r="R1296" s="108"/>
      <c r="S1296" s="108"/>
      <c r="T1296" s="108"/>
      <c r="U1296" s="108"/>
      <c r="V1296" s="108"/>
      <c r="W1296" s="108"/>
      <c r="X1296" s="108"/>
    </row>
    <row r="1297" spans="1:24">
      <c r="A1297" s="108"/>
      <c r="B1297" s="108"/>
      <c r="C1297" s="108"/>
      <c r="D1297" s="108"/>
      <c r="E1297" s="108"/>
      <c r="F1297" s="108"/>
      <c r="G1297" s="108"/>
      <c r="H1297" s="108"/>
      <c r="I1297" s="108"/>
      <c r="J1297" s="108"/>
      <c r="K1297" s="108"/>
      <c r="L1297" s="108"/>
      <c r="M1297" s="108"/>
      <c r="N1297" s="108"/>
      <c r="O1297" s="108"/>
      <c r="P1297" s="108"/>
      <c r="Q1297" s="108"/>
      <c r="R1297" s="108"/>
      <c r="S1297" s="108"/>
      <c r="T1297" s="108"/>
      <c r="U1297" s="108"/>
      <c r="V1297" s="108"/>
      <c r="W1297" s="108"/>
      <c r="X1297" s="108"/>
    </row>
    <row r="1298" spans="1:24">
      <c r="A1298" s="108"/>
      <c r="B1298" s="108"/>
      <c r="C1298" s="108"/>
      <c r="D1298" s="108"/>
      <c r="E1298" s="108"/>
      <c r="F1298" s="108"/>
      <c r="G1298" s="108"/>
      <c r="H1298" s="108"/>
      <c r="I1298" s="108"/>
      <c r="J1298" s="108"/>
      <c r="K1298" s="108"/>
      <c r="L1298" s="108"/>
      <c r="M1298" s="108"/>
      <c r="N1298" s="108"/>
      <c r="O1298" s="108"/>
      <c r="P1298" s="108"/>
      <c r="Q1298" s="108"/>
      <c r="R1298" s="108"/>
      <c r="S1298" s="108"/>
      <c r="T1298" s="108"/>
      <c r="U1298" s="108"/>
      <c r="V1298" s="108"/>
      <c r="W1298" s="108"/>
      <c r="X1298" s="108"/>
    </row>
    <row r="1299" spans="1:24">
      <c r="A1299" s="108"/>
      <c r="B1299" s="108"/>
      <c r="C1299" s="108"/>
      <c r="D1299" s="108"/>
      <c r="E1299" s="108"/>
      <c r="F1299" s="108"/>
      <c r="G1299" s="108"/>
      <c r="H1299" s="108"/>
      <c r="I1299" s="108"/>
      <c r="J1299" s="108"/>
      <c r="K1299" s="108"/>
      <c r="L1299" s="108"/>
      <c r="M1299" s="108"/>
      <c r="N1299" s="108"/>
      <c r="O1299" s="108"/>
      <c r="P1299" s="108"/>
      <c r="Q1299" s="108"/>
      <c r="R1299" s="108"/>
      <c r="S1299" s="108"/>
      <c r="T1299" s="108"/>
      <c r="U1299" s="108"/>
      <c r="V1299" s="108"/>
      <c r="W1299" s="108"/>
      <c r="X1299" s="108"/>
    </row>
    <row r="1300" spans="1:24">
      <c r="A1300" s="108"/>
      <c r="B1300" s="108"/>
      <c r="C1300" s="108"/>
      <c r="D1300" s="108"/>
      <c r="E1300" s="108"/>
      <c r="F1300" s="108"/>
      <c r="G1300" s="108"/>
      <c r="H1300" s="108"/>
      <c r="I1300" s="108"/>
      <c r="J1300" s="108"/>
      <c r="K1300" s="108"/>
      <c r="L1300" s="108"/>
      <c r="M1300" s="108"/>
      <c r="N1300" s="108"/>
      <c r="O1300" s="108"/>
      <c r="P1300" s="108"/>
      <c r="Q1300" s="108"/>
      <c r="R1300" s="108"/>
      <c r="S1300" s="108"/>
      <c r="T1300" s="108"/>
      <c r="U1300" s="108"/>
      <c r="V1300" s="108"/>
      <c r="W1300" s="108"/>
      <c r="X1300" s="108"/>
    </row>
    <row r="1301" spans="1:24">
      <c r="A1301" s="108"/>
      <c r="B1301" s="108"/>
      <c r="C1301" s="108"/>
      <c r="D1301" s="108"/>
      <c r="E1301" s="108"/>
      <c r="F1301" s="108"/>
      <c r="G1301" s="108"/>
      <c r="H1301" s="108"/>
      <c r="I1301" s="108"/>
      <c r="J1301" s="108"/>
      <c r="K1301" s="108"/>
      <c r="L1301" s="108"/>
      <c r="M1301" s="108"/>
      <c r="N1301" s="108"/>
      <c r="O1301" s="108"/>
      <c r="P1301" s="108"/>
      <c r="Q1301" s="108"/>
      <c r="R1301" s="108"/>
      <c r="S1301" s="108"/>
      <c r="T1301" s="108"/>
      <c r="U1301" s="108"/>
      <c r="V1301" s="108"/>
      <c r="W1301" s="108"/>
      <c r="X1301" s="108"/>
    </row>
    <row r="1302" spans="1:24">
      <c r="A1302" s="108"/>
      <c r="B1302" s="108"/>
      <c r="C1302" s="108"/>
      <c r="D1302" s="108"/>
      <c r="E1302" s="108"/>
      <c r="F1302" s="108"/>
      <c r="G1302" s="108"/>
      <c r="H1302" s="108"/>
      <c r="I1302" s="108"/>
      <c r="J1302" s="108"/>
      <c r="K1302" s="108"/>
      <c r="L1302" s="108"/>
      <c r="M1302" s="108"/>
      <c r="N1302" s="108"/>
      <c r="O1302" s="108"/>
      <c r="P1302" s="108"/>
      <c r="Q1302" s="108"/>
      <c r="R1302" s="108"/>
      <c r="S1302" s="108"/>
      <c r="T1302" s="108"/>
      <c r="U1302" s="108"/>
      <c r="V1302" s="108"/>
      <c r="W1302" s="108"/>
      <c r="X1302" s="108"/>
    </row>
    <row r="1303" spans="1:24">
      <c r="A1303" s="108"/>
      <c r="B1303" s="108"/>
      <c r="C1303" s="108"/>
      <c r="D1303" s="108"/>
      <c r="E1303" s="108"/>
      <c r="F1303" s="108"/>
      <c r="G1303" s="108"/>
      <c r="H1303" s="108"/>
      <c r="I1303" s="108"/>
      <c r="J1303" s="108"/>
      <c r="K1303" s="108"/>
      <c r="L1303" s="108"/>
      <c r="M1303" s="108"/>
      <c r="N1303" s="108"/>
      <c r="O1303" s="108"/>
      <c r="P1303" s="108"/>
      <c r="Q1303" s="108"/>
      <c r="R1303" s="108"/>
      <c r="S1303" s="108"/>
      <c r="T1303" s="108"/>
      <c r="U1303" s="108"/>
      <c r="V1303" s="108"/>
      <c r="W1303" s="108"/>
      <c r="X1303" s="108"/>
    </row>
    <row r="1304" spans="1:24">
      <c r="A1304" s="108"/>
      <c r="B1304" s="108"/>
      <c r="C1304" s="108"/>
      <c r="D1304" s="108"/>
      <c r="E1304" s="108"/>
      <c r="F1304" s="108"/>
      <c r="G1304" s="108"/>
      <c r="H1304" s="108"/>
      <c r="I1304" s="108"/>
      <c r="J1304" s="108"/>
      <c r="K1304" s="108"/>
      <c r="L1304" s="108"/>
      <c r="M1304" s="108"/>
      <c r="N1304" s="108"/>
      <c r="O1304" s="108"/>
      <c r="P1304" s="108"/>
      <c r="Q1304" s="108"/>
      <c r="R1304" s="108"/>
      <c r="S1304" s="108"/>
      <c r="T1304" s="108"/>
      <c r="U1304" s="108"/>
      <c r="V1304" s="108"/>
      <c r="W1304" s="108"/>
      <c r="X1304" s="108"/>
    </row>
    <row r="1305" spans="1:24">
      <c r="A1305" s="108"/>
      <c r="B1305" s="108"/>
      <c r="C1305" s="108"/>
      <c r="D1305" s="108"/>
      <c r="E1305" s="108"/>
      <c r="F1305" s="108"/>
      <c r="G1305" s="108"/>
      <c r="H1305" s="108"/>
      <c r="I1305" s="108"/>
      <c r="J1305" s="108"/>
      <c r="K1305" s="108"/>
      <c r="L1305" s="108"/>
      <c r="M1305" s="108"/>
      <c r="N1305" s="108"/>
      <c r="O1305" s="108"/>
      <c r="P1305" s="108"/>
      <c r="Q1305" s="108"/>
      <c r="R1305" s="108"/>
      <c r="S1305" s="108"/>
      <c r="T1305" s="108"/>
      <c r="U1305" s="108"/>
      <c r="V1305" s="108"/>
      <c r="W1305" s="108"/>
      <c r="X1305" s="108"/>
    </row>
    <row r="1306" spans="1:24">
      <c r="A1306" s="108"/>
      <c r="B1306" s="108"/>
      <c r="C1306" s="108"/>
      <c r="D1306" s="108"/>
      <c r="E1306" s="108"/>
      <c r="F1306" s="108"/>
      <c r="G1306" s="108"/>
      <c r="H1306" s="108"/>
      <c r="I1306" s="108"/>
      <c r="J1306" s="108"/>
      <c r="K1306" s="108"/>
      <c r="L1306" s="108"/>
      <c r="M1306" s="108"/>
      <c r="N1306" s="108"/>
      <c r="O1306" s="108"/>
      <c r="P1306" s="108"/>
      <c r="Q1306" s="108"/>
      <c r="R1306" s="108"/>
      <c r="S1306" s="108"/>
      <c r="T1306" s="108"/>
      <c r="U1306" s="108"/>
      <c r="V1306" s="108"/>
      <c r="W1306" s="108"/>
      <c r="X1306" s="108"/>
    </row>
    <row r="1307" spans="1:24">
      <c r="A1307" s="108"/>
      <c r="B1307" s="108"/>
      <c r="C1307" s="108"/>
      <c r="D1307" s="108"/>
      <c r="E1307" s="108"/>
      <c r="F1307" s="108"/>
      <c r="G1307" s="108"/>
      <c r="H1307" s="108"/>
      <c r="I1307" s="108"/>
      <c r="J1307" s="108"/>
      <c r="K1307" s="108"/>
      <c r="L1307" s="108"/>
      <c r="M1307" s="108"/>
      <c r="N1307" s="108"/>
      <c r="O1307" s="108"/>
      <c r="P1307" s="108"/>
      <c r="Q1307" s="108"/>
      <c r="R1307" s="108"/>
      <c r="S1307" s="108"/>
      <c r="T1307" s="108"/>
      <c r="U1307" s="108"/>
      <c r="V1307" s="108"/>
      <c r="W1307" s="108"/>
      <c r="X1307" s="108"/>
    </row>
    <row r="1308" spans="1:24">
      <c r="A1308" s="108"/>
      <c r="B1308" s="108"/>
      <c r="C1308" s="108"/>
      <c r="D1308" s="108"/>
      <c r="E1308" s="108"/>
      <c r="F1308" s="108"/>
      <c r="G1308" s="108"/>
      <c r="H1308" s="108"/>
      <c r="I1308" s="108"/>
      <c r="J1308" s="108"/>
      <c r="K1308" s="108"/>
      <c r="L1308" s="108"/>
      <c r="M1308" s="108"/>
      <c r="N1308" s="108"/>
      <c r="O1308" s="108"/>
      <c r="P1308" s="108"/>
      <c r="Q1308" s="108"/>
      <c r="R1308" s="108"/>
      <c r="S1308" s="108"/>
      <c r="T1308" s="108"/>
      <c r="U1308" s="108"/>
      <c r="V1308" s="108"/>
      <c r="W1308" s="108"/>
      <c r="X1308" s="108"/>
    </row>
    <row r="1309" spans="1:24">
      <c r="A1309" s="108"/>
      <c r="B1309" s="108"/>
      <c r="C1309" s="108"/>
      <c r="D1309" s="108"/>
      <c r="E1309" s="108"/>
      <c r="F1309" s="108"/>
      <c r="G1309" s="108"/>
      <c r="H1309" s="108"/>
      <c r="I1309" s="108"/>
      <c r="J1309" s="108"/>
      <c r="K1309" s="108"/>
      <c r="L1309" s="108"/>
      <c r="M1309" s="108"/>
      <c r="N1309" s="108"/>
      <c r="O1309" s="108"/>
      <c r="P1309" s="108"/>
      <c r="Q1309" s="108"/>
      <c r="R1309" s="108"/>
      <c r="S1309" s="108"/>
      <c r="T1309" s="108"/>
      <c r="U1309" s="108"/>
      <c r="V1309" s="108"/>
      <c r="W1309" s="108"/>
      <c r="X1309" s="108"/>
    </row>
    <row r="1310" spans="1:24">
      <c r="A1310" s="108"/>
      <c r="B1310" s="108"/>
      <c r="C1310" s="108"/>
      <c r="D1310" s="108"/>
      <c r="E1310" s="108"/>
      <c r="F1310" s="108"/>
      <c r="G1310" s="108"/>
      <c r="H1310" s="108"/>
      <c r="I1310" s="108"/>
      <c r="J1310" s="108"/>
      <c r="K1310" s="108"/>
      <c r="L1310" s="108"/>
      <c r="M1310" s="108"/>
      <c r="N1310" s="108"/>
      <c r="O1310" s="108"/>
      <c r="P1310" s="108"/>
      <c r="Q1310" s="108"/>
      <c r="R1310" s="108"/>
      <c r="S1310" s="108"/>
      <c r="T1310" s="108"/>
      <c r="U1310" s="108"/>
      <c r="V1310" s="108"/>
      <c r="W1310" s="108"/>
      <c r="X1310" s="108"/>
    </row>
    <row r="1311" spans="1:24">
      <c r="A1311" s="108"/>
      <c r="B1311" s="108"/>
      <c r="C1311" s="108"/>
      <c r="D1311" s="108"/>
      <c r="E1311" s="108"/>
      <c r="F1311" s="108"/>
      <c r="G1311" s="108"/>
      <c r="H1311" s="108"/>
      <c r="I1311" s="108"/>
      <c r="J1311" s="108"/>
      <c r="K1311" s="108"/>
      <c r="L1311" s="108"/>
      <c r="M1311" s="108"/>
      <c r="N1311" s="108"/>
      <c r="O1311" s="108"/>
      <c r="P1311" s="108"/>
      <c r="Q1311" s="108"/>
      <c r="R1311" s="108"/>
      <c r="S1311" s="108"/>
      <c r="T1311" s="108"/>
      <c r="U1311" s="108"/>
      <c r="V1311" s="108"/>
      <c r="W1311" s="108"/>
      <c r="X1311" s="108"/>
    </row>
    <row r="1312" spans="1:24">
      <c r="A1312" s="108"/>
      <c r="B1312" s="108"/>
      <c r="C1312" s="108"/>
      <c r="D1312" s="108"/>
      <c r="E1312" s="108"/>
      <c r="F1312" s="108"/>
      <c r="G1312" s="108"/>
      <c r="H1312" s="108"/>
      <c r="I1312" s="108"/>
      <c r="J1312" s="108"/>
      <c r="K1312" s="108"/>
      <c r="L1312" s="108"/>
      <c r="M1312" s="108"/>
      <c r="N1312" s="108"/>
      <c r="O1312" s="108"/>
      <c r="P1312" s="108"/>
      <c r="Q1312" s="108"/>
      <c r="R1312" s="108"/>
      <c r="S1312" s="108"/>
      <c r="T1312" s="108"/>
      <c r="U1312" s="108"/>
      <c r="V1312" s="108"/>
      <c r="W1312" s="108"/>
      <c r="X1312" s="108"/>
    </row>
    <row r="1313" spans="1:24">
      <c r="A1313" s="108"/>
      <c r="B1313" s="108"/>
      <c r="C1313" s="108"/>
      <c r="D1313" s="108"/>
      <c r="E1313" s="108"/>
      <c r="F1313" s="108"/>
      <c r="G1313" s="108"/>
      <c r="H1313" s="108"/>
      <c r="I1313" s="108"/>
      <c r="J1313" s="108"/>
      <c r="K1313" s="108"/>
      <c r="L1313" s="108"/>
      <c r="M1313" s="108"/>
      <c r="N1313" s="108"/>
      <c r="O1313" s="108"/>
      <c r="P1313" s="108"/>
      <c r="Q1313" s="108"/>
      <c r="R1313" s="108"/>
      <c r="S1313" s="108"/>
      <c r="T1313" s="108"/>
      <c r="U1313" s="108"/>
      <c r="V1313" s="108"/>
      <c r="W1313" s="108"/>
      <c r="X1313" s="108"/>
    </row>
    <row r="1314" spans="1:24">
      <c r="A1314" s="108"/>
      <c r="B1314" s="108"/>
      <c r="C1314" s="108"/>
      <c r="D1314" s="108"/>
      <c r="E1314" s="108"/>
      <c r="F1314" s="108"/>
      <c r="G1314" s="108"/>
      <c r="H1314" s="108"/>
      <c r="I1314" s="108"/>
      <c r="J1314" s="108"/>
      <c r="K1314" s="108"/>
      <c r="L1314" s="108"/>
      <c r="M1314" s="108"/>
      <c r="N1314" s="108"/>
      <c r="O1314" s="108"/>
      <c r="P1314" s="108"/>
      <c r="Q1314" s="108"/>
      <c r="R1314" s="108"/>
      <c r="S1314" s="108"/>
      <c r="T1314" s="108"/>
      <c r="U1314" s="108"/>
      <c r="V1314" s="108"/>
      <c r="W1314" s="108"/>
      <c r="X1314" s="108"/>
    </row>
    <row r="1315" spans="1:24">
      <c r="A1315" s="108"/>
      <c r="B1315" s="108"/>
      <c r="C1315" s="108"/>
      <c r="D1315" s="108"/>
      <c r="E1315" s="108"/>
      <c r="F1315" s="108"/>
      <c r="G1315" s="108"/>
      <c r="H1315" s="108"/>
      <c r="I1315" s="108"/>
      <c r="J1315" s="108"/>
      <c r="K1315" s="108"/>
      <c r="L1315" s="108"/>
      <c r="M1315" s="108"/>
      <c r="N1315" s="108"/>
      <c r="O1315" s="108"/>
      <c r="P1315" s="108"/>
      <c r="Q1315" s="108"/>
      <c r="R1315" s="108"/>
      <c r="S1315" s="108"/>
      <c r="T1315" s="108"/>
      <c r="U1315" s="108"/>
      <c r="V1315" s="108"/>
      <c r="W1315" s="108"/>
      <c r="X1315" s="108"/>
    </row>
    <row r="1316" spans="1:24">
      <c r="A1316" s="108"/>
      <c r="B1316" s="108"/>
      <c r="C1316" s="108"/>
      <c r="D1316" s="108"/>
      <c r="E1316" s="108"/>
      <c r="F1316" s="108"/>
      <c r="G1316" s="108"/>
      <c r="H1316" s="108"/>
      <c r="I1316" s="108"/>
      <c r="J1316" s="108"/>
      <c r="K1316" s="108"/>
      <c r="L1316" s="108"/>
      <c r="M1316" s="108"/>
      <c r="N1316" s="108"/>
      <c r="O1316" s="108"/>
      <c r="P1316" s="108"/>
      <c r="Q1316" s="108"/>
      <c r="R1316" s="108"/>
      <c r="S1316" s="108"/>
      <c r="T1316" s="108"/>
      <c r="U1316" s="108"/>
      <c r="V1316" s="108"/>
      <c r="W1316" s="108"/>
      <c r="X1316" s="108"/>
    </row>
    <row r="1317" spans="1:24">
      <c r="A1317" s="108"/>
      <c r="B1317" s="108"/>
      <c r="C1317" s="108"/>
      <c r="D1317" s="108"/>
      <c r="E1317" s="108"/>
      <c r="F1317" s="108"/>
      <c r="G1317" s="108"/>
      <c r="H1317" s="108"/>
      <c r="I1317" s="108"/>
      <c r="J1317" s="108"/>
      <c r="K1317" s="108"/>
      <c r="L1317" s="108"/>
      <c r="M1317" s="108"/>
      <c r="N1317" s="108"/>
      <c r="O1317" s="108"/>
      <c r="P1317" s="108"/>
      <c r="Q1317" s="108"/>
      <c r="R1317" s="108"/>
      <c r="S1317" s="108"/>
      <c r="T1317" s="108"/>
      <c r="U1317" s="108"/>
      <c r="V1317" s="108"/>
      <c r="W1317" s="108"/>
      <c r="X1317" s="108"/>
    </row>
    <row r="1318" spans="1:24">
      <c r="A1318" s="108"/>
      <c r="B1318" s="108"/>
      <c r="C1318" s="108"/>
      <c r="D1318" s="108"/>
      <c r="E1318" s="108"/>
      <c r="F1318" s="108"/>
      <c r="G1318" s="108"/>
      <c r="H1318" s="108"/>
      <c r="I1318" s="108"/>
      <c r="J1318" s="108"/>
      <c r="K1318" s="108"/>
      <c r="L1318" s="108"/>
      <c r="M1318" s="108"/>
      <c r="N1318" s="108"/>
      <c r="O1318" s="108"/>
      <c r="P1318" s="108"/>
      <c r="Q1318" s="108"/>
      <c r="R1318" s="108"/>
      <c r="S1318" s="108"/>
      <c r="T1318" s="108"/>
      <c r="U1318" s="108"/>
      <c r="V1318" s="108"/>
      <c r="W1318" s="108"/>
      <c r="X1318" s="108"/>
    </row>
    <row r="1319" spans="1:24">
      <c r="A1319" s="108"/>
      <c r="B1319" s="108"/>
      <c r="C1319" s="108"/>
      <c r="D1319" s="108"/>
      <c r="E1319" s="108"/>
      <c r="F1319" s="108"/>
      <c r="G1319" s="108"/>
      <c r="H1319" s="108"/>
      <c r="I1319" s="108"/>
      <c r="J1319" s="108"/>
      <c r="K1319" s="108"/>
      <c r="L1319" s="108"/>
      <c r="M1319" s="108"/>
      <c r="N1319" s="108"/>
      <c r="O1319" s="108"/>
      <c r="P1319" s="108"/>
      <c r="Q1319" s="108"/>
      <c r="R1319" s="108"/>
      <c r="S1319" s="108"/>
      <c r="T1319" s="108"/>
      <c r="U1319" s="108"/>
      <c r="V1319" s="108"/>
      <c r="W1319" s="108"/>
      <c r="X1319" s="108"/>
    </row>
    <row r="1320" spans="1:24">
      <c r="A1320" s="108"/>
      <c r="B1320" s="108"/>
      <c r="C1320" s="108"/>
      <c r="D1320" s="108"/>
      <c r="E1320" s="108"/>
      <c r="F1320" s="108"/>
      <c r="G1320" s="108"/>
      <c r="H1320" s="108"/>
      <c r="I1320" s="108"/>
      <c r="J1320" s="108"/>
      <c r="K1320" s="108"/>
      <c r="L1320" s="108"/>
      <c r="M1320" s="108"/>
      <c r="N1320" s="108"/>
      <c r="O1320" s="108"/>
      <c r="P1320" s="108"/>
      <c r="Q1320" s="108"/>
      <c r="R1320" s="108"/>
      <c r="S1320" s="108"/>
      <c r="T1320" s="108"/>
      <c r="U1320" s="108"/>
      <c r="V1320" s="108"/>
      <c r="W1320" s="108"/>
      <c r="X1320" s="108"/>
    </row>
    <row r="1321" spans="1:24">
      <c r="A1321" s="108"/>
      <c r="B1321" s="108"/>
      <c r="C1321" s="108"/>
      <c r="D1321" s="108"/>
      <c r="E1321" s="108"/>
      <c r="F1321" s="108"/>
      <c r="G1321" s="108"/>
      <c r="H1321" s="108"/>
      <c r="I1321" s="108"/>
      <c r="J1321" s="108"/>
      <c r="K1321" s="108"/>
      <c r="L1321" s="108"/>
      <c r="M1321" s="108"/>
      <c r="N1321" s="108"/>
      <c r="O1321" s="108"/>
      <c r="P1321" s="108"/>
      <c r="Q1321" s="108"/>
      <c r="R1321" s="108"/>
      <c r="S1321" s="108"/>
      <c r="T1321" s="108"/>
      <c r="U1321" s="108"/>
      <c r="V1321" s="108"/>
      <c r="W1321" s="108"/>
      <c r="X1321" s="108"/>
    </row>
    <row r="1322" spans="1:24">
      <c r="A1322" s="108"/>
      <c r="B1322" s="108"/>
      <c r="C1322" s="108"/>
      <c r="D1322" s="108"/>
      <c r="E1322" s="108"/>
      <c r="F1322" s="108"/>
      <c r="G1322" s="108"/>
      <c r="H1322" s="108"/>
      <c r="I1322" s="108"/>
      <c r="J1322" s="108"/>
      <c r="K1322" s="108"/>
      <c r="L1322" s="108"/>
      <c r="M1322" s="108"/>
      <c r="N1322" s="108"/>
      <c r="O1322" s="108"/>
      <c r="P1322" s="108"/>
      <c r="Q1322" s="108"/>
      <c r="R1322" s="108"/>
      <c r="S1322" s="108"/>
      <c r="T1322" s="108"/>
      <c r="U1322" s="108"/>
      <c r="V1322" s="108"/>
      <c r="W1322" s="108"/>
      <c r="X1322" s="108"/>
    </row>
    <row r="1323" spans="1:24">
      <c r="A1323" s="108"/>
      <c r="B1323" s="108"/>
      <c r="C1323" s="108"/>
      <c r="D1323" s="108"/>
      <c r="E1323" s="108"/>
      <c r="F1323" s="108"/>
      <c r="G1323" s="108"/>
      <c r="H1323" s="108"/>
      <c r="I1323" s="108"/>
      <c r="J1323" s="108"/>
      <c r="K1323" s="108"/>
      <c r="L1323" s="108"/>
      <c r="M1323" s="108"/>
      <c r="N1323" s="108"/>
      <c r="O1323" s="108"/>
      <c r="P1323" s="108"/>
      <c r="Q1323" s="108"/>
      <c r="R1323" s="108"/>
      <c r="S1323" s="108"/>
      <c r="T1323" s="108"/>
      <c r="U1323" s="108"/>
      <c r="V1323" s="108"/>
      <c r="W1323" s="108"/>
      <c r="X1323" s="108"/>
    </row>
    <row r="1324" spans="1:24">
      <c r="A1324" s="108"/>
      <c r="B1324" s="108"/>
      <c r="C1324" s="108"/>
      <c r="D1324" s="108"/>
      <c r="E1324" s="108"/>
      <c r="F1324" s="108"/>
      <c r="G1324" s="108"/>
      <c r="H1324" s="108"/>
      <c r="I1324" s="108"/>
      <c r="J1324" s="108"/>
      <c r="K1324" s="108"/>
      <c r="L1324" s="108"/>
      <c r="M1324" s="108"/>
      <c r="N1324" s="108"/>
      <c r="O1324" s="108"/>
      <c r="P1324" s="108"/>
      <c r="Q1324" s="108"/>
      <c r="R1324" s="108"/>
      <c r="S1324" s="108"/>
      <c r="T1324" s="108"/>
      <c r="U1324" s="108"/>
      <c r="V1324" s="108"/>
      <c r="W1324" s="108"/>
      <c r="X1324" s="108"/>
    </row>
    <row r="1325" spans="1:24">
      <c r="A1325" s="108"/>
      <c r="B1325" s="108"/>
      <c r="C1325" s="108"/>
      <c r="D1325" s="108"/>
      <c r="E1325" s="108"/>
      <c r="F1325" s="108"/>
      <c r="G1325" s="108"/>
      <c r="H1325" s="108"/>
      <c r="I1325" s="108"/>
      <c r="J1325" s="108"/>
      <c r="K1325" s="108"/>
      <c r="L1325" s="108"/>
      <c r="M1325" s="108"/>
      <c r="N1325" s="108"/>
      <c r="O1325" s="108"/>
      <c r="P1325" s="108"/>
      <c r="Q1325" s="108"/>
      <c r="R1325" s="108"/>
      <c r="S1325" s="108"/>
      <c r="T1325" s="108"/>
      <c r="U1325" s="108"/>
      <c r="V1325" s="108"/>
      <c r="W1325" s="108"/>
      <c r="X1325" s="108"/>
    </row>
    <row r="1326" spans="1:24">
      <c r="A1326" s="108"/>
      <c r="B1326" s="108"/>
      <c r="C1326" s="108"/>
      <c r="D1326" s="108"/>
      <c r="E1326" s="108"/>
      <c r="F1326" s="108"/>
      <c r="G1326" s="108"/>
      <c r="H1326" s="108"/>
      <c r="I1326" s="108"/>
      <c r="J1326" s="108"/>
      <c r="K1326" s="108"/>
      <c r="L1326" s="108"/>
      <c r="M1326" s="108"/>
      <c r="N1326" s="108"/>
      <c r="O1326" s="108"/>
      <c r="P1326" s="108"/>
      <c r="Q1326" s="108"/>
      <c r="R1326" s="108"/>
      <c r="S1326" s="108"/>
      <c r="T1326" s="108"/>
      <c r="U1326" s="108"/>
      <c r="V1326" s="108"/>
      <c r="W1326" s="108"/>
      <c r="X1326" s="108"/>
    </row>
    <row r="1327" spans="1:24">
      <c r="A1327" s="108"/>
      <c r="B1327" s="108"/>
      <c r="C1327" s="108"/>
      <c r="D1327" s="108"/>
      <c r="E1327" s="108"/>
      <c r="F1327" s="108"/>
      <c r="G1327" s="108"/>
      <c r="H1327" s="108"/>
      <c r="I1327" s="108"/>
      <c r="J1327" s="108"/>
      <c r="K1327" s="108"/>
      <c r="L1327" s="108"/>
      <c r="M1327" s="108"/>
      <c r="N1327" s="108"/>
      <c r="O1327" s="108"/>
      <c r="P1327" s="108"/>
      <c r="Q1327" s="108"/>
      <c r="R1327" s="108"/>
      <c r="S1327" s="108"/>
      <c r="T1327" s="108"/>
      <c r="U1327" s="108"/>
      <c r="V1327" s="108"/>
      <c r="W1327" s="108"/>
      <c r="X1327" s="108"/>
    </row>
    <row r="1328" spans="1:24">
      <c r="A1328" s="108"/>
      <c r="B1328" s="108"/>
      <c r="C1328" s="108"/>
      <c r="D1328" s="108"/>
      <c r="E1328" s="108"/>
      <c r="F1328" s="108"/>
      <c r="G1328" s="108"/>
      <c r="H1328" s="108"/>
      <c r="I1328" s="108"/>
      <c r="J1328" s="108"/>
      <c r="K1328" s="108"/>
      <c r="L1328" s="108"/>
      <c r="M1328" s="108"/>
      <c r="N1328" s="108"/>
      <c r="O1328" s="108"/>
      <c r="P1328" s="108"/>
      <c r="Q1328" s="108"/>
      <c r="R1328" s="108"/>
      <c r="S1328" s="108"/>
      <c r="T1328" s="108"/>
      <c r="U1328" s="108"/>
      <c r="V1328" s="108"/>
      <c r="W1328" s="108"/>
      <c r="X1328" s="108"/>
    </row>
    <row r="1329" spans="1:24">
      <c r="A1329" s="108"/>
      <c r="B1329" s="108"/>
      <c r="C1329" s="108"/>
      <c r="D1329" s="108"/>
      <c r="E1329" s="108"/>
      <c r="F1329" s="108"/>
      <c r="G1329" s="108"/>
      <c r="H1329" s="108"/>
      <c r="I1329" s="108"/>
      <c r="J1329" s="108"/>
      <c r="K1329" s="108"/>
      <c r="L1329" s="108"/>
      <c r="M1329" s="108"/>
      <c r="N1329" s="108"/>
      <c r="O1329" s="108"/>
      <c r="P1329" s="108"/>
      <c r="Q1329" s="108"/>
      <c r="R1329" s="108"/>
      <c r="S1329" s="108"/>
      <c r="T1329" s="108"/>
      <c r="U1329" s="108"/>
      <c r="V1329" s="108"/>
      <c r="W1329" s="108"/>
      <c r="X1329" s="108"/>
    </row>
    <row r="1330" spans="1:24">
      <c r="A1330" s="108"/>
      <c r="B1330" s="108"/>
      <c r="C1330" s="108"/>
      <c r="D1330" s="108"/>
      <c r="E1330" s="108"/>
      <c r="F1330" s="108"/>
      <c r="G1330" s="108"/>
      <c r="H1330" s="108"/>
      <c r="I1330" s="108"/>
      <c r="J1330" s="108"/>
      <c r="K1330" s="108"/>
      <c r="L1330" s="108"/>
      <c r="M1330" s="108"/>
      <c r="N1330" s="108"/>
      <c r="O1330" s="108"/>
      <c r="P1330" s="108"/>
      <c r="Q1330" s="108"/>
      <c r="R1330" s="108"/>
      <c r="S1330" s="108"/>
      <c r="T1330" s="108"/>
      <c r="U1330" s="108"/>
      <c r="V1330" s="108"/>
      <c r="W1330" s="108"/>
      <c r="X1330" s="108"/>
    </row>
    <row r="1331" spans="1:24">
      <c r="A1331" s="108"/>
      <c r="B1331" s="108"/>
      <c r="C1331" s="108"/>
      <c r="D1331" s="108"/>
      <c r="E1331" s="108"/>
      <c r="F1331" s="108"/>
      <c r="G1331" s="108"/>
      <c r="H1331" s="108"/>
      <c r="I1331" s="108"/>
      <c r="J1331" s="108"/>
      <c r="K1331" s="108"/>
      <c r="L1331" s="108"/>
      <c r="M1331" s="108"/>
      <c r="N1331" s="108"/>
      <c r="O1331" s="108"/>
      <c r="P1331" s="108"/>
      <c r="Q1331" s="108"/>
      <c r="R1331" s="108"/>
      <c r="S1331" s="108"/>
      <c r="T1331" s="108"/>
      <c r="U1331" s="108"/>
      <c r="V1331" s="108"/>
      <c r="W1331" s="108"/>
      <c r="X1331" s="108"/>
    </row>
    <row r="1332" spans="1:24">
      <c r="A1332" s="108"/>
      <c r="B1332" s="108"/>
      <c r="C1332" s="108"/>
      <c r="D1332" s="108"/>
      <c r="E1332" s="108"/>
      <c r="F1332" s="108"/>
      <c r="G1332" s="108"/>
      <c r="H1332" s="108"/>
      <c r="I1332" s="108"/>
      <c r="J1332" s="108"/>
      <c r="K1332" s="108"/>
      <c r="L1332" s="108"/>
      <c r="M1332" s="108"/>
      <c r="N1332" s="108"/>
      <c r="O1332" s="108"/>
      <c r="P1332" s="108"/>
      <c r="Q1332" s="108"/>
      <c r="R1332" s="108"/>
      <c r="S1332" s="108"/>
      <c r="T1332" s="108"/>
      <c r="U1332" s="108"/>
      <c r="V1332" s="108"/>
      <c r="W1332" s="108"/>
      <c r="X1332" s="108"/>
    </row>
    <row r="1333" spans="1:24">
      <c r="A1333" s="108"/>
      <c r="B1333" s="108"/>
      <c r="C1333" s="108"/>
      <c r="D1333" s="108"/>
      <c r="E1333" s="108"/>
      <c r="F1333" s="108"/>
      <c r="G1333" s="108"/>
      <c r="H1333" s="108"/>
      <c r="I1333" s="108"/>
      <c r="J1333" s="108"/>
      <c r="K1333" s="108"/>
      <c r="L1333" s="108"/>
      <c r="M1333" s="108"/>
      <c r="N1333" s="108"/>
      <c r="O1333" s="108"/>
      <c r="P1333" s="108"/>
      <c r="Q1333" s="108"/>
      <c r="R1333" s="108"/>
      <c r="S1333" s="108"/>
      <c r="T1333" s="108"/>
      <c r="U1333" s="108"/>
      <c r="V1333" s="108"/>
      <c r="W1333" s="108"/>
      <c r="X1333" s="108"/>
    </row>
    <row r="1334" spans="1:24">
      <c r="A1334" s="108"/>
      <c r="B1334" s="108"/>
      <c r="C1334" s="108"/>
      <c r="D1334" s="108"/>
      <c r="E1334" s="108"/>
      <c r="F1334" s="108"/>
      <c r="G1334" s="108"/>
      <c r="H1334" s="108"/>
      <c r="I1334" s="108"/>
      <c r="J1334" s="108"/>
      <c r="K1334" s="108"/>
      <c r="L1334" s="108"/>
      <c r="M1334" s="108"/>
      <c r="N1334" s="108"/>
      <c r="O1334" s="108"/>
      <c r="P1334" s="108"/>
      <c r="Q1334" s="108"/>
      <c r="R1334" s="108"/>
      <c r="S1334" s="108"/>
      <c r="T1334" s="108"/>
      <c r="U1334" s="108"/>
      <c r="V1334" s="108"/>
      <c r="W1334" s="108"/>
      <c r="X1334" s="108"/>
    </row>
    <row r="1335" spans="1:24">
      <c r="A1335" s="108"/>
      <c r="B1335" s="108"/>
      <c r="C1335" s="108"/>
      <c r="D1335" s="108"/>
      <c r="E1335" s="108"/>
      <c r="F1335" s="108"/>
      <c r="G1335" s="108"/>
      <c r="H1335" s="108"/>
      <c r="I1335" s="108"/>
      <c r="J1335" s="108"/>
      <c r="K1335" s="108"/>
      <c r="L1335" s="108"/>
      <c r="M1335" s="108"/>
      <c r="N1335" s="108"/>
      <c r="O1335" s="108"/>
      <c r="P1335" s="108"/>
      <c r="Q1335" s="108"/>
      <c r="R1335" s="108"/>
      <c r="S1335" s="108"/>
      <c r="T1335" s="108"/>
      <c r="U1335" s="108"/>
      <c r="V1335" s="108"/>
      <c r="W1335" s="108"/>
      <c r="X1335" s="108"/>
    </row>
    <row r="1336" spans="1:24">
      <c r="A1336" s="108"/>
      <c r="B1336" s="108"/>
      <c r="C1336" s="108"/>
      <c r="D1336" s="108"/>
      <c r="E1336" s="108"/>
      <c r="F1336" s="108"/>
      <c r="G1336" s="108"/>
      <c r="H1336" s="108"/>
      <c r="I1336" s="108"/>
      <c r="J1336" s="108"/>
      <c r="K1336" s="108"/>
      <c r="L1336" s="108"/>
      <c r="M1336" s="108"/>
      <c r="N1336" s="108"/>
      <c r="O1336" s="108"/>
      <c r="P1336" s="108"/>
      <c r="Q1336" s="108"/>
      <c r="R1336" s="108"/>
      <c r="S1336" s="108"/>
      <c r="T1336" s="108"/>
      <c r="U1336" s="108"/>
      <c r="V1336" s="108"/>
      <c r="W1336" s="108"/>
      <c r="X1336" s="108"/>
    </row>
    <row r="1337" spans="1:24">
      <c r="A1337" s="108"/>
      <c r="B1337" s="108"/>
      <c r="C1337" s="108"/>
      <c r="D1337" s="108"/>
      <c r="E1337" s="108"/>
      <c r="F1337" s="108"/>
      <c r="G1337" s="108"/>
      <c r="H1337" s="108"/>
      <c r="I1337" s="108"/>
      <c r="J1337" s="108"/>
      <c r="K1337" s="108"/>
      <c r="L1337" s="108"/>
      <c r="M1337" s="108"/>
      <c r="N1337" s="108"/>
      <c r="O1337" s="108"/>
      <c r="P1337" s="108"/>
      <c r="Q1337" s="108"/>
      <c r="R1337" s="108"/>
      <c r="S1337" s="108"/>
      <c r="T1337" s="108"/>
      <c r="U1337" s="108"/>
      <c r="V1337" s="108"/>
      <c r="W1337" s="108"/>
      <c r="X1337" s="108"/>
    </row>
    <row r="1338" spans="1:24">
      <c r="A1338" s="108"/>
      <c r="B1338" s="108"/>
      <c r="C1338" s="108"/>
      <c r="D1338" s="108"/>
      <c r="E1338" s="108"/>
      <c r="F1338" s="108"/>
      <c r="G1338" s="108"/>
      <c r="H1338" s="108"/>
      <c r="I1338" s="108"/>
      <c r="J1338" s="108"/>
      <c r="K1338" s="108"/>
      <c r="L1338" s="108"/>
      <c r="M1338" s="108"/>
      <c r="N1338" s="108"/>
      <c r="O1338" s="108"/>
      <c r="P1338" s="108"/>
      <c r="Q1338" s="108"/>
      <c r="R1338" s="108"/>
      <c r="S1338" s="108"/>
      <c r="T1338" s="108"/>
      <c r="U1338" s="108"/>
      <c r="V1338" s="108"/>
      <c r="W1338" s="108"/>
      <c r="X1338" s="108"/>
    </row>
    <row r="1339" spans="1:24">
      <c r="A1339" s="108"/>
      <c r="B1339" s="108"/>
      <c r="C1339" s="108"/>
      <c r="D1339" s="108"/>
      <c r="E1339" s="108"/>
      <c r="F1339" s="108"/>
      <c r="G1339" s="108"/>
      <c r="H1339" s="108"/>
      <c r="I1339" s="108"/>
      <c r="J1339" s="108"/>
      <c r="K1339" s="108"/>
      <c r="L1339" s="108"/>
      <c r="M1339" s="108"/>
      <c r="N1339" s="108"/>
      <c r="O1339" s="108"/>
      <c r="P1339" s="108"/>
      <c r="Q1339" s="108"/>
      <c r="R1339" s="108"/>
      <c r="S1339" s="108"/>
      <c r="T1339" s="108"/>
      <c r="U1339" s="108"/>
      <c r="V1339" s="108"/>
      <c r="W1339" s="108"/>
      <c r="X1339" s="108"/>
    </row>
    <row r="1340" spans="1:24">
      <c r="A1340" s="108"/>
      <c r="B1340" s="108"/>
      <c r="C1340" s="108"/>
      <c r="D1340" s="108"/>
      <c r="E1340" s="108"/>
      <c r="F1340" s="108"/>
      <c r="G1340" s="108"/>
      <c r="H1340" s="108"/>
      <c r="I1340" s="108"/>
      <c r="J1340" s="108"/>
      <c r="K1340" s="108"/>
      <c r="L1340" s="108"/>
      <c r="M1340" s="108"/>
      <c r="N1340" s="108"/>
      <c r="O1340" s="108"/>
      <c r="P1340" s="108"/>
      <c r="Q1340" s="108"/>
      <c r="R1340" s="108"/>
      <c r="S1340" s="108"/>
      <c r="T1340" s="108"/>
      <c r="U1340" s="108"/>
      <c r="V1340" s="108"/>
      <c r="W1340" s="108"/>
      <c r="X1340" s="108"/>
    </row>
    <row r="1341" spans="1:24">
      <c r="A1341" s="108"/>
      <c r="B1341" s="108"/>
      <c r="C1341" s="108"/>
      <c r="D1341" s="108"/>
      <c r="E1341" s="108"/>
      <c r="F1341" s="108"/>
      <c r="G1341" s="108"/>
      <c r="H1341" s="108"/>
      <c r="I1341" s="108"/>
      <c r="J1341" s="108"/>
      <c r="K1341" s="108"/>
      <c r="L1341" s="108"/>
      <c r="M1341" s="108"/>
      <c r="N1341" s="108"/>
      <c r="O1341" s="108"/>
      <c r="P1341" s="108"/>
      <c r="Q1341" s="108"/>
      <c r="R1341" s="108"/>
      <c r="S1341" s="108"/>
      <c r="T1341" s="108"/>
      <c r="U1341" s="108"/>
      <c r="V1341" s="108"/>
      <c r="W1341" s="108"/>
      <c r="X1341" s="108"/>
    </row>
    <row r="1342" spans="1:24">
      <c r="A1342" s="108"/>
      <c r="B1342" s="108"/>
      <c r="C1342" s="108"/>
      <c r="D1342" s="108"/>
      <c r="E1342" s="108"/>
      <c r="F1342" s="108"/>
      <c r="G1342" s="108"/>
      <c r="H1342" s="108"/>
      <c r="I1342" s="108"/>
      <c r="J1342" s="108"/>
      <c r="K1342" s="108"/>
      <c r="L1342" s="108"/>
      <c r="M1342" s="108"/>
      <c r="N1342" s="108"/>
      <c r="O1342" s="108"/>
      <c r="P1342" s="108"/>
      <c r="Q1342" s="108"/>
      <c r="R1342" s="108"/>
      <c r="S1342" s="108"/>
      <c r="T1342" s="108"/>
      <c r="U1342" s="108"/>
      <c r="V1342" s="108"/>
      <c r="W1342" s="108"/>
      <c r="X1342" s="108"/>
    </row>
    <row r="1343" spans="1:24">
      <c r="A1343" s="108"/>
      <c r="B1343" s="108"/>
      <c r="C1343" s="108"/>
      <c r="D1343" s="108"/>
      <c r="E1343" s="108"/>
      <c r="F1343" s="108"/>
      <c r="G1343" s="108"/>
      <c r="H1343" s="108"/>
      <c r="I1343" s="108"/>
      <c r="J1343" s="108"/>
      <c r="K1343" s="108"/>
      <c r="L1343" s="108"/>
      <c r="M1343" s="108"/>
      <c r="N1343" s="108"/>
      <c r="O1343" s="108"/>
      <c r="P1343" s="108"/>
      <c r="Q1343" s="108"/>
      <c r="R1343" s="108"/>
      <c r="S1343" s="108"/>
      <c r="T1343" s="108"/>
      <c r="U1343" s="108"/>
      <c r="V1343" s="108"/>
      <c r="W1343" s="108"/>
      <c r="X1343" s="108"/>
    </row>
    <row r="1344" spans="1:24">
      <c r="A1344" s="108"/>
      <c r="B1344" s="108"/>
      <c r="C1344" s="108"/>
      <c r="D1344" s="108"/>
      <c r="E1344" s="108"/>
      <c r="F1344" s="108"/>
      <c r="G1344" s="108"/>
      <c r="H1344" s="108"/>
      <c r="I1344" s="108"/>
      <c r="J1344" s="108"/>
      <c r="K1344" s="108"/>
      <c r="L1344" s="108"/>
      <c r="M1344" s="108"/>
      <c r="N1344" s="108"/>
      <c r="O1344" s="108"/>
      <c r="P1344" s="108"/>
      <c r="Q1344" s="108"/>
      <c r="R1344" s="108"/>
      <c r="S1344" s="108"/>
      <c r="T1344" s="108"/>
      <c r="U1344" s="108"/>
      <c r="V1344" s="108"/>
      <c r="W1344" s="108"/>
      <c r="X1344" s="108"/>
    </row>
    <row r="1345" spans="1:24">
      <c r="A1345" s="108"/>
      <c r="B1345" s="108"/>
      <c r="C1345" s="108"/>
      <c r="D1345" s="108"/>
      <c r="E1345" s="108"/>
      <c r="F1345" s="108"/>
      <c r="G1345" s="108"/>
      <c r="H1345" s="108"/>
      <c r="I1345" s="108"/>
      <c r="J1345" s="108"/>
      <c r="K1345" s="108"/>
      <c r="L1345" s="108"/>
      <c r="M1345" s="108"/>
      <c r="N1345" s="108"/>
      <c r="O1345" s="108"/>
      <c r="P1345" s="108"/>
      <c r="Q1345" s="108"/>
      <c r="R1345" s="108"/>
      <c r="S1345" s="108"/>
      <c r="T1345" s="108"/>
      <c r="U1345" s="108"/>
      <c r="V1345" s="108"/>
      <c r="W1345" s="108"/>
      <c r="X1345" s="108"/>
    </row>
    <row r="1346" spans="1:24">
      <c r="A1346" s="108"/>
      <c r="B1346" s="108"/>
      <c r="C1346" s="108"/>
      <c r="D1346" s="108"/>
      <c r="E1346" s="108"/>
      <c r="F1346" s="108"/>
      <c r="G1346" s="108"/>
      <c r="H1346" s="108"/>
      <c r="I1346" s="108"/>
      <c r="J1346" s="108"/>
      <c r="K1346" s="108"/>
      <c r="L1346" s="108"/>
      <c r="M1346" s="108"/>
      <c r="N1346" s="108"/>
      <c r="O1346" s="108"/>
      <c r="P1346" s="108"/>
      <c r="Q1346" s="108"/>
      <c r="R1346" s="108"/>
      <c r="S1346" s="108"/>
      <c r="T1346" s="108"/>
      <c r="U1346" s="108"/>
      <c r="V1346" s="108"/>
      <c r="W1346" s="108"/>
      <c r="X1346" s="108"/>
    </row>
    <row r="1347" spans="1:24">
      <c r="A1347" s="108"/>
      <c r="B1347" s="108"/>
      <c r="C1347" s="108"/>
      <c r="D1347" s="108"/>
      <c r="E1347" s="108"/>
      <c r="F1347" s="108"/>
      <c r="G1347" s="108"/>
      <c r="H1347" s="108"/>
      <c r="I1347" s="108"/>
      <c r="J1347" s="108"/>
      <c r="K1347" s="108"/>
      <c r="L1347" s="108"/>
      <c r="M1347" s="108"/>
      <c r="N1347" s="108"/>
      <c r="O1347" s="108"/>
      <c r="P1347" s="108"/>
      <c r="Q1347" s="108"/>
      <c r="R1347" s="108"/>
      <c r="S1347" s="108"/>
      <c r="T1347" s="108"/>
      <c r="U1347" s="108"/>
      <c r="V1347" s="108"/>
      <c r="W1347" s="108"/>
      <c r="X1347" s="108"/>
    </row>
    <row r="1348" spans="1:24">
      <c r="A1348" s="108"/>
      <c r="B1348" s="108"/>
      <c r="C1348" s="108"/>
      <c r="D1348" s="108"/>
      <c r="E1348" s="108"/>
      <c r="F1348" s="108"/>
      <c r="G1348" s="108"/>
      <c r="H1348" s="108"/>
      <c r="I1348" s="108"/>
      <c r="J1348" s="108"/>
      <c r="K1348" s="108"/>
      <c r="L1348" s="108"/>
      <c r="M1348" s="108"/>
      <c r="N1348" s="108"/>
      <c r="O1348" s="108"/>
      <c r="P1348" s="108"/>
      <c r="Q1348" s="108"/>
      <c r="R1348" s="108"/>
      <c r="S1348" s="108"/>
      <c r="T1348" s="108"/>
      <c r="U1348" s="108"/>
      <c r="V1348" s="108"/>
      <c r="W1348" s="108"/>
      <c r="X1348" s="108"/>
    </row>
    <row r="1349" spans="1:24">
      <c r="A1349" s="108"/>
      <c r="B1349" s="108"/>
      <c r="C1349" s="108"/>
      <c r="D1349" s="108"/>
      <c r="E1349" s="108"/>
      <c r="F1349" s="108"/>
      <c r="G1349" s="108"/>
      <c r="H1349" s="108"/>
      <c r="I1349" s="108"/>
      <c r="J1349" s="108"/>
      <c r="K1349" s="108"/>
      <c r="L1349" s="108"/>
      <c r="M1349" s="108"/>
      <c r="N1349" s="108"/>
      <c r="O1349" s="108"/>
      <c r="P1349" s="108"/>
      <c r="Q1349" s="108"/>
      <c r="R1349" s="108"/>
      <c r="S1349" s="108"/>
      <c r="T1349" s="108"/>
      <c r="U1349" s="108"/>
      <c r="V1349" s="108"/>
      <c r="W1349" s="108"/>
      <c r="X1349" s="108"/>
    </row>
    <row r="1350" spans="1:24">
      <c r="A1350" s="108"/>
      <c r="B1350" s="108"/>
      <c r="C1350" s="108"/>
      <c r="D1350" s="108"/>
      <c r="E1350" s="108"/>
      <c r="F1350" s="108"/>
      <c r="G1350" s="108"/>
      <c r="H1350" s="108"/>
      <c r="I1350" s="108"/>
      <c r="J1350" s="108"/>
      <c r="K1350" s="108"/>
      <c r="L1350" s="108"/>
      <c r="M1350" s="108"/>
      <c r="N1350" s="108"/>
      <c r="O1350" s="108"/>
      <c r="P1350" s="108"/>
      <c r="Q1350" s="108"/>
      <c r="R1350" s="108"/>
      <c r="S1350" s="108"/>
      <c r="T1350" s="108"/>
      <c r="U1350" s="108"/>
      <c r="V1350" s="108"/>
      <c r="W1350" s="108"/>
      <c r="X1350" s="108"/>
    </row>
    <row r="1351" spans="1:24">
      <c r="A1351" s="108"/>
      <c r="B1351" s="108"/>
      <c r="C1351" s="108"/>
      <c r="D1351" s="108"/>
      <c r="E1351" s="108"/>
      <c r="F1351" s="108"/>
      <c r="G1351" s="108"/>
      <c r="H1351" s="108"/>
      <c r="I1351" s="108"/>
      <c r="J1351" s="108"/>
      <c r="K1351" s="108"/>
      <c r="L1351" s="108"/>
      <c r="M1351" s="108"/>
      <c r="N1351" s="108"/>
      <c r="O1351" s="108"/>
      <c r="P1351" s="108"/>
      <c r="Q1351" s="108"/>
      <c r="R1351" s="108"/>
      <c r="S1351" s="108"/>
      <c r="T1351" s="108"/>
      <c r="U1351" s="108"/>
      <c r="V1351" s="108"/>
      <c r="W1351" s="108"/>
      <c r="X1351" s="108"/>
    </row>
    <row r="1352" spans="1:24">
      <c r="A1352" s="108"/>
      <c r="B1352" s="108"/>
      <c r="C1352" s="108"/>
      <c r="D1352" s="108"/>
      <c r="E1352" s="108"/>
      <c r="F1352" s="108"/>
      <c r="G1352" s="108"/>
      <c r="H1352" s="108"/>
      <c r="I1352" s="108"/>
      <c r="J1352" s="108"/>
      <c r="K1352" s="108"/>
      <c r="L1352" s="108"/>
      <c r="M1352" s="108"/>
      <c r="N1352" s="108"/>
      <c r="O1352" s="108"/>
      <c r="P1352" s="108"/>
      <c r="Q1352" s="108"/>
      <c r="R1352" s="108"/>
      <c r="S1352" s="108"/>
      <c r="T1352" s="108"/>
      <c r="U1352" s="108"/>
      <c r="V1352" s="108"/>
      <c r="W1352" s="108"/>
      <c r="X1352" s="108"/>
    </row>
    <row r="1353" spans="1:24">
      <c r="A1353" s="108"/>
      <c r="B1353" s="108"/>
      <c r="C1353" s="108"/>
      <c r="D1353" s="108"/>
      <c r="E1353" s="108"/>
      <c r="F1353" s="108"/>
      <c r="G1353" s="108"/>
      <c r="H1353" s="108"/>
      <c r="I1353" s="108"/>
      <c r="J1353" s="108"/>
      <c r="K1353" s="108"/>
      <c r="L1353" s="108"/>
      <c r="M1353" s="108"/>
      <c r="N1353" s="108"/>
      <c r="O1353" s="108"/>
      <c r="P1353" s="108"/>
      <c r="Q1353" s="108"/>
      <c r="R1353" s="108"/>
      <c r="S1353" s="108"/>
      <c r="T1353" s="108"/>
      <c r="U1353" s="108"/>
      <c r="V1353" s="108"/>
      <c r="W1353" s="108"/>
      <c r="X1353" s="108"/>
    </row>
    <row r="1354" spans="1:24">
      <c r="A1354" s="108"/>
      <c r="B1354" s="108"/>
      <c r="C1354" s="108"/>
      <c r="D1354" s="108"/>
      <c r="E1354" s="108"/>
      <c r="F1354" s="108"/>
      <c r="G1354" s="108"/>
      <c r="H1354" s="108"/>
      <c r="I1354" s="108"/>
      <c r="J1354" s="108"/>
      <c r="K1354" s="108"/>
      <c r="L1354" s="108"/>
      <c r="M1354" s="108"/>
      <c r="N1354" s="108"/>
      <c r="O1354" s="108"/>
      <c r="P1354" s="108"/>
      <c r="Q1354" s="108"/>
      <c r="R1354" s="108"/>
      <c r="S1354" s="108"/>
      <c r="T1354" s="108"/>
      <c r="U1354" s="108"/>
      <c r="V1354" s="108"/>
      <c r="W1354" s="108"/>
      <c r="X1354" s="108"/>
    </row>
    <row r="1355" spans="1:24">
      <c r="A1355" s="108"/>
      <c r="B1355" s="108"/>
      <c r="C1355" s="108"/>
      <c r="D1355" s="108"/>
      <c r="E1355" s="108"/>
      <c r="F1355" s="108"/>
      <c r="G1355" s="108"/>
      <c r="H1355" s="108"/>
      <c r="I1355" s="108"/>
      <c r="J1355" s="108"/>
      <c r="K1355" s="108"/>
      <c r="L1355" s="108"/>
      <c r="M1355" s="108"/>
      <c r="N1355" s="108"/>
      <c r="O1355" s="108"/>
      <c r="P1355" s="108"/>
      <c r="Q1355" s="108"/>
      <c r="R1355" s="108"/>
      <c r="S1355" s="108"/>
      <c r="T1355" s="108"/>
      <c r="U1355" s="108"/>
      <c r="V1355" s="108"/>
      <c r="W1355" s="108"/>
      <c r="X1355" s="108"/>
    </row>
    <row r="1356" spans="1:24">
      <c r="A1356" s="108"/>
      <c r="B1356" s="108"/>
      <c r="C1356" s="108"/>
      <c r="D1356" s="108"/>
      <c r="E1356" s="108"/>
      <c r="F1356" s="108"/>
      <c r="G1356" s="108"/>
      <c r="H1356" s="108"/>
      <c r="I1356" s="108"/>
      <c r="J1356" s="108"/>
      <c r="K1356" s="108"/>
      <c r="L1356" s="108"/>
      <c r="M1356" s="108"/>
      <c r="N1356" s="108"/>
      <c r="O1356" s="108"/>
      <c r="P1356" s="108"/>
      <c r="Q1356" s="108"/>
      <c r="R1356" s="108"/>
      <c r="S1356" s="108"/>
      <c r="T1356" s="108"/>
      <c r="U1356" s="108"/>
      <c r="V1356" s="108"/>
      <c r="W1356" s="108"/>
      <c r="X1356" s="108"/>
    </row>
    <row r="1357" spans="1:24">
      <c r="A1357" s="108"/>
      <c r="B1357" s="108"/>
      <c r="C1357" s="108"/>
      <c r="D1357" s="108"/>
      <c r="E1357" s="108"/>
      <c r="F1357" s="108"/>
      <c r="G1357" s="108"/>
      <c r="H1357" s="108"/>
      <c r="I1357" s="108"/>
      <c r="J1357" s="108"/>
      <c r="K1357" s="108"/>
      <c r="L1357" s="108"/>
      <c r="M1357" s="108"/>
      <c r="N1357" s="108"/>
      <c r="O1357" s="108"/>
      <c r="P1357" s="108"/>
      <c r="Q1357" s="108"/>
      <c r="R1357" s="108"/>
      <c r="S1357" s="108"/>
      <c r="T1357" s="108"/>
      <c r="U1357" s="108"/>
      <c r="V1357" s="108"/>
      <c r="W1357" s="108"/>
      <c r="X1357" s="108"/>
    </row>
    <row r="1358" spans="1:24">
      <c r="A1358" s="108"/>
      <c r="B1358" s="108"/>
      <c r="C1358" s="108"/>
      <c r="D1358" s="108"/>
      <c r="E1358" s="108"/>
      <c r="F1358" s="108"/>
      <c r="G1358" s="108"/>
      <c r="H1358" s="108"/>
      <c r="I1358" s="108"/>
      <c r="J1358" s="108"/>
      <c r="K1358" s="108"/>
      <c r="L1358" s="108"/>
      <c r="M1358" s="108"/>
      <c r="N1358" s="108"/>
      <c r="O1358" s="108"/>
      <c r="P1358" s="108"/>
      <c r="Q1358" s="108"/>
      <c r="R1358" s="108"/>
      <c r="S1358" s="108"/>
      <c r="T1358" s="108"/>
      <c r="U1358" s="108"/>
      <c r="V1358" s="108"/>
      <c r="W1358" s="108"/>
      <c r="X1358" s="108"/>
    </row>
    <row r="1359" spans="1:24">
      <c r="A1359" s="108"/>
      <c r="B1359" s="108"/>
      <c r="C1359" s="108"/>
      <c r="D1359" s="108"/>
      <c r="E1359" s="108"/>
      <c r="F1359" s="108"/>
      <c r="G1359" s="108"/>
      <c r="H1359" s="108"/>
      <c r="I1359" s="108"/>
      <c r="J1359" s="108"/>
      <c r="K1359" s="108"/>
      <c r="L1359" s="108"/>
      <c r="M1359" s="108"/>
      <c r="N1359" s="108"/>
      <c r="O1359" s="108"/>
      <c r="P1359" s="108"/>
      <c r="Q1359" s="108"/>
      <c r="R1359" s="108"/>
      <c r="S1359" s="108"/>
      <c r="T1359" s="108"/>
      <c r="U1359" s="108"/>
      <c r="V1359" s="108"/>
      <c r="W1359" s="108"/>
      <c r="X1359" s="108"/>
    </row>
    <row r="1360" spans="1:24">
      <c r="A1360" s="108"/>
      <c r="B1360" s="108"/>
      <c r="C1360" s="108"/>
      <c r="D1360" s="108"/>
      <c r="E1360" s="108"/>
      <c r="F1360" s="108"/>
      <c r="G1360" s="108"/>
      <c r="H1360" s="108"/>
      <c r="I1360" s="108"/>
      <c r="J1360" s="108"/>
      <c r="K1360" s="108"/>
      <c r="L1360" s="108"/>
      <c r="M1360" s="108"/>
      <c r="N1360" s="108"/>
      <c r="O1360" s="108"/>
      <c r="P1360" s="108"/>
      <c r="Q1360" s="108"/>
      <c r="R1360" s="108"/>
      <c r="S1360" s="108"/>
      <c r="T1360" s="108"/>
      <c r="U1360" s="108"/>
      <c r="V1360" s="108"/>
      <c r="W1360" s="108"/>
      <c r="X1360" s="108"/>
    </row>
    <row r="1361" spans="1:24">
      <c r="A1361" s="108"/>
      <c r="B1361" s="108"/>
      <c r="C1361" s="108"/>
      <c r="D1361" s="108"/>
      <c r="E1361" s="108"/>
      <c r="F1361" s="108"/>
      <c r="G1361" s="108"/>
      <c r="H1361" s="108"/>
      <c r="I1361" s="108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</row>
    <row r="1362" spans="1:24">
      <c r="A1362" s="108"/>
      <c r="B1362" s="108"/>
      <c r="C1362" s="108"/>
      <c r="D1362" s="108"/>
      <c r="E1362" s="108"/>
      <c r="F1362" s="108"/>
      <c r="G1362" s="108"/>
      <c r="H1362" s="108"/>
      <c r="I1362" s="108"/>
      <c r="J1362" s="108"/>
      <c r="K1362" s="108"/>
      <c r="L1362" s="108"/>
      <c r="M1362" s="108"/>
      <c r="N1362" s="108"/>
      <c r="O1362" s="108"/>
      <c r="P1362" s="108"/>
      <c r="Q1362" s="108"/>
      <c r="R1362" s="108"/>
      <c r="S1362" s="108"/>
      <c r="T1362" s="108"/>
      <c r="U1362" s="108"/>
      <c r="V1362" s="108"/>
      <c r="W1362" s="108"/>
      <c r="X1362" s="108"/>
    </row>
    <row r="1363" spans="1:24">
      <c r="A1363" s="108"/>
      <c r="B1363" s="108"/>
      <c r="C1363" s="108"/>
      <c r="D1363" s="108"/>
      <c r="E1363" s="108"/>
      <c r="F1363" s="108"/>
      <c r="G1363" s="108"/>
      <c r="H1363" s="108"/>
      <c r="I1363" s="108"/>
      <c r="J1363" s="108"/>
      <c r="K1363" s="108"/>
      <c r="L1363" s="108"/>
      <c r="M1363" s="108"/>
      <c r="N1363" s="108"/>
      <c r="O1363" s="108"/>
      <c r="P1363" s="108"/>
      <c r="Q1363" s="108"/>
      <c r="R1363" s="108"/>
      <c r="S1363" s="108"/>
      <c r="T1363" s="108"/>
      <c r="U1363" s="108"/>
      <c r="V1363" s="108"/>
      <c r="W1363" s="108"/>
      <c r="X1363" s="108"/>
    </row>
    <row r="1364" spans="1:24">
      <c r="A1364" s="108"/>
      <c r="B1364" s="108"/>
      <c r="C1364" s="108"/>
      <c r="D1364" s="108"/>
      <c r="E1364" s="108"/>
      <c r="F1364" s="108"/>
      <c r="G1364" s="108"/>
      <c r="H1364" s="108"/>
      <c r="I1364" s="108"/>
      <c r="J1364" s="108"/>
      <c r="K1364" s="108"/>
      <c r="L1364" s="108"/>
      <c r="M1364" s="108"/>
      <c r="N1364" s="108"/>
      <c r="O1364" s="108"/>
      <c r="P1364" s="108"/>
      <c r="Q1364" s="108"/>
      <c r="R1364" s="108"/>
      <c r="S1364" s="108"/>
      <c r="T1364" s="108"/>
      <c r="U1364" s="108"/>
      <c r="V1364" s="108"/>
      <c r="W1364" s="108"/>
      <c r="X1364" s="108"/>
    </row>
    <row r="1365" spans="1:24">
      <c r="A1365" s="108"/>
      <c r="B1365" s="108"/>
      <c r="C1365" s="108"/>
      <c r="D1365" s="108"/>
      <c r="E1365" s="108"/>
      <c r="F1365" s="108"/>
      <c r="G1365" s="108"/>
      <c r="H1365" s="108"/>
      <c r="I1365" s="108"/>
      <c r="J1365" s="108"/>
      <c r="K1365" s="108"/>
      <c r="L1365" s="108"/>
      <c r="M1365" s="108"/>
      <c r="N1365" s="108"/>
      <c r="O1365" s="108"/>
      <c r="P1365" s="108"/>
      <c r="Q1365" s="108"/>
      <c r="R1365" s="108"/>
      <c r="S1365" s="108"/>
      <c r="T1365" s="108"/>
      <c r="U1365" s="108"/>
      <c r="V1365" s="108"/>
      <c r="W1365" s="108"/>
      <c r="X1365" s="108"/>
    </row>
    <row r="1366" spans="1:24">
      <c r="A1366" s="108"/>
      <c r="B1366" s="108"/>
      <c r="C1366" s="108"/>
      <c r="D1366" s="108"/>
      <c r="E1366" s="108"/>
      <c r="F1366" s="108"/>
      <c r="G1366" s="108"/>
      <c r="H1366" s="108"/>
      <c r="I1366" s="108"/>
      <c r="J1366" s="108"/>
      <c r="K1366" s="108"/>
      <c r="L1366" s="108"/>
      <c r="M1366" s="108"/>
      <c r="N1366" s="108"/>
      <c r="O1366" s="108"/>
      <c r="P1366" s="108"/>
      <c r="Q1366" s="108"/>
      <c r="R1366" s="108"/>
      <c r="S1366" s="108"/>
      <c r="T1366" s="108"/>
      <c r="U1366" s="108"/>
      <c r="V1366" s="108"/>
      <c r="W1366" s="108"/>
      <c r="X1366" s="108"/>
    </row>
    <row r="1367" spans="1:24">
      <c r="A1367" s="108"/>
      <c r="B1367" s="108"/>
      <c r="C1367" s="108"/>
      <c r="D1367" s="108"/>
      <c r="E1367" s="108"/>
      <c r="F1367" s="108"/>
      <c r="G1367" s="108"/>
      <c r="H1367" s="108"/>
      <c r="I1367" s="108"/>
      <c r="J1367" s="108"/>
      <c r="K1367" s="108"/>
      <c r="L1367" s="108"/>
      <c r="M1367" s="108"/>
      <c r="N1367" s="108"/>
      <c r="O1367" s="108"/>
      <c r="P1367" s="108"/>
      <c r="Q1367" s="108"/>
      <c r="R1367" s="108"/>
      <c r="S1367" s="108"/>
      <c r="T1367" s="108"/>
      <c r="U1367" s="108"/>
      <c r="V1367" s="108"/>
      <c r="W1367" s="108"/>
      <c r="X1367" s="108"/>
    </row>
    <row r="1368" spans="1:24">
      <c r="A1368" s="108"/>
      <c r="B1368" s="108"/>
      <c r="C1368" s="108"/>
      <c r="D1368" s="108"/>
      <c r="E1368" s="108"/>
      <c r="F1368" s="108"/>
      <c r="G1368" s="108"/>
      <c r="H1368" s="108"/>
      <c r="I1368" s="108"/>
      <c r="J1368" s="108"/>
      <c r="K1368" s="108"/>
      <c r="L1368" s="108"/>
      <c r="M1368" s="108"/>
      <c r="N1368" s="108"/>
      <c r="O1368" s="108"/>
      <c r="P1368" s="108"/>
      <c r="Q1368" s="108"/>
      <c r="R1368" s="108"/>
      <c r="S1368" s="108"/>
      <c r="T1368" s="108"/>
      <c r="U1368" s="108"/>
      <c r="V1368" s="108"/>
      <c r="W1368" s="108"/>
      <c r="X1368" s="108"/>
    </row>
    <row r="1369" spans="1:24">
      <c r="A1369" s="108"/>
      <c r="B1369" s="108"/>
      <c r="C1369" s="108"/>
      <c r="D1369" s="108"/>
      <c r="E1369" s="108"/>
      <c r="F1369" s="108"/>
      <c r="G1369" s="108"/>
      <c r="H1369" s="108"/>
      <c r="I1369" s="108"/>
      <c r="J1369" s="108"/>
      <c r="K1369" s="108"/>
      <c r="L1369" s="108"/>
      <c r="M1369" s="108"/>
      <c r="N1369" s="108"/>
      <c r="O1369" s="108"/>
      <c r="P1369" s="108"/>
      <c r="Q1369" s="108"/>
      <c r="R1369" s="108"/>
      <c r="S1369" s="108"/>
      <c r="T1369" s="108"/>
      <c r="U1369" s="108"/>
      <c r="V1369" s="108"/>
      <c r="W1369" s="108"/>
      <c r="X1369" s="108"/>
    </row>
    <row r="1370" spans="1:24">
      <c r="A1370" s="108"/>
      <c r="B1370" s="108"/>
      <c r="C1370" s="108"/>
      <c r="D1370" s="108"/>
      <c r="E1370" s="108"/>
      <c r="F1370" s="108"/>
      <c r="G1370" s="108"/>
      <c r="H1370" s="108"/>
      <c r="I1370" s="108"/>
      <c r="J1370" s="108"/>
      <c r="K1370" s="108"/>
      <c r="L1370" s="108"/>
      <c r="M1370" s="108"/>
      <c r="N1370" s="108"/>
      <c r="O1370" s="108"/>
      <c r="P1370" s="108"/>
      <c r="Q1370" s="108"/>
      <c r="R1370" s="108"/>
      <c r="S1370" s="108"/>
      <c r="T1370" s="108"/>
      <c r="U1370" s="108"/>
      <c r="V1370" s="108"/>
      <c r="W1370" s="108"/>
      <c r="X1370" s="108"/>
    </row>
    <row r="1371" spans="1:24">
      <c r="A1371" s="108"/>
      <c r="B1371" s="108"/>
      <c r="C1371" s="108"/>
      <c r="D1371" s="108"/>
      <c r="E1371" s="108"/>
      <c r="F1371" s="108"/>
      <c r="G1371" s="108"/>
      <c r="H1371" s="108"/>
      <c r="I1371" s="108"/>
      <c r="J1371" s="108"/>
      <c r="K1371" s="108"/>
      <c r="L1371" s="108"/>
      <c r="M1371" s="108"/>
      <c r="N1371" s="108"/>
      <c r="O1371" s="108"/>
      <c r="P1371" s="108"/>
      <c r="Q1371" s="108"/>
      <c r="R1371" s="108"/>
      <c r="S1371" s="108"/>
      <c r="T1371" s="108"/>
      <c r="U1371" s="108"/>
      <c r="V1371" s="108"/>
      <c r="W1371" s="108"/>
      <c r="X1371" s="108"/>
    </row>
    <row r="1372" spans="1:24">
      <c r="A1372" s="108"/>
      <c r="B1372" s="108"/>
      <c r="C1372" s="108"/>
      <c r="D1372" s="108"/>
      <c r="E1372" s="108"/>
      <c r="F1372" s="108"/>
      <c r="G1372" s="108"/>
      <c r="H1372" s="108"/>
      <c r="I1372" s="108"/>
      <c r="J1372" s="108"/>
      <c r="K1372" s="108"/>
      <c r="L1372" s="108"/>
      <c r="M1372" s="108"/>
      <c r="N1372" s="108"/>
      <c r="O1372" s="108"/>
      <c r="P1372" s="108"/>
      <c r="Q1372" s="108"/>
      <c r="R1372" s="108"/>
      <c r="S1372" s="108"/>
      <c r="T1372" s="108"/>
      <c r="U1372" s="108"/>
      <c r="V1372" s="108"/>
      <c r="W1372" s="108"/>
      <c r="X1372" s="108"/>
    </row>
    <row r="1373" spans="1:24">
      <c r="A1373" s="108"/>
      <c r="B1373" s="108"/>
      <c r="C1373" s="108"/>
      <c r="D1373" s="108"/>
      <c r="E1373" s="108"/>
      <c r="F1373" s="108"/>
      <c r="G1373" s="108"/>
      <c r="H1373" s="108"/>
      <c r="I1373" s="108"/>
      <c r="J1373" s="108"/>
      <c r="K1373" s="108"/>
      <c r="L1373" s="108"/>
      <c r="M1373" s="108"/>
      <c r="N1373" s="108"/>
      <c r="O1373" s="108"/>
      <c r="P1373" s="108"/>
      <c r="Q1373" s="108"/>
      <c r="R1373" s="108"/>
      <c r="S1373" s="108"/>
      <c r="T1373" s="108"/>
      <c r="U1373" s="108"/>
      <c r="V1373" s="108"/>
      <c r="W1373" s="108"/>
      <c r="X1373" s="108"/>
    </row>
    <row r="1374" spans="1:24">
      <c r="A1374" s="108"/>
      <c r="B1374" s="108"/>
      <c r="C1374" s="108"/>
      <c r="D1374" s="108"/>
      <c r="E1374" s="108"/>
      <c r="F1374" s="108"/>
      <c r="G1374" s="108"/>
      <c r="H1374" s="108"/>
      <c r="I1374" s="108"/>
      <c r="J1374" s="108"/>
      <c r="K1374" s="108"/>
      <c r="L1374" s="108"/>
      <c r="M1374" s="108"/>
      <c r="N1374" s="108"/>
      <c r="O1374" s="108"/>
      <c r="P1374" s="108"/>
      <c r="Q1374" s="108"/>
      <c r="R1374" s="108"/>
      <c r="S1374" s="108"/>
      <c r="T1374" s="108"/>
      <c r="U1374" s="108"/>
      <c r="V1374" s="108"/>
      <c r="W1374" s="108"/>
      <c r="X1374" s="108"/>
    </row>
    <row r="1375" spans="1:24">
      <c r="A1375" s="108"/>
      <c r="B1375" s="108"/>
      <c r="C1375" s="108"/>
      <c r="D1375" s="108"/>
      <c r="E1375" s="108"/>
      <c r="F1375" s="108"/>
      <c r="G1375" s="108"/>
      <c r="H1375" s="108"/>
      <c r="I1375" s="108"/>
      <c r="J1375" s="108"/>
      <c r="K1375" s="108"/>
      <c r="L1375" s="108"/>
      <c r="M1375" s="108"/>
      <c r="N1375" s="108"/>
      <c r="O1375" s="108"/>
      <c r="P1375" s="108"/>
      <c r="Q1375" s="108"/>
      <c r="R1375" s="108"/>
      <c r="S1375" s="108"/>
      <c r="T1375" s="108"/>
      <c r="U1375" s="108"/>
      <c r="V1375" s="108"/>
      <c r="W1375" s="108"/>
      <c r="X1375" s="108"/>
    </row>
    <row r="1376" spans="1:24">
      <c r="A1376" s="108"/>
      <c r="B1376" s="108"/>
      <c r="C1376" s="108"/>
      <c r="D1376" s="108"/>
      <c r="E1376" s="108"/>
      <c r="F1376" s="108"/>
      <c r="G1376" s="108"/>
      <c r="H1376" s="108"/>
      <c r="I1376" s="108"/>
      <c r="J1376" s="108"/>
      <c r="K1376" s="108"/>
      <c r="L1376" s="108"/>
      <c r="M1376" s="108"/>
      <c r="N1376" s="108"/>
      <c r="O1376" s="108"/>
      <c r="P1376" s="108"/>
      <c r="Q1376" s="108"/>
      <c r="R1376" s="108"/>
      <c r="S1376" s="108"/>
      <c r="T1376" s="108"/>
      <c r="U1376" s="108"/>
      <c r="V1376" s="108"/>
      <c r="W1376" s="108"/>
      <c r="X1376" s="108"/>
    </row>
    <row r="1377" spans="1:24">
      <c r="A1377" s="108"/>
      <c r="B1377" s="108"/>
      <c r="C1377" s="108"/>
      <c r="D1377" s="108"/>
      <c r="E1377" s="108"/>
      <c r="F1377" s="108"/>
      <c r="G1377" s="108"/>
      <c r="H1377" s="108"/>
      <c r="I1377" s="108"/>
      <c r="J1377" s="108"/>
      <c r="K1377" s="108"/>
      <c r="L1377" s="108"/>
      <c r="M1377" s="108"/>
      <c r="N1377" s="108"/>
      <c r="O1377" s="108"/>
      <c r="P1377" s="108"/>
      <c r="Q1377" s="108"/>
      <c r="R1377" s="108"/>
      <c r="S1377" s="108"/>
      <c r="T1377" s="108"/>
      <c r="U1377" s="108"/>
      <c r="V1377" s="108"/>
      <c r="W1377" s="108"/>
      <c r="X1377" s="108"/>
    </row>
    <row r="1378" spans="1:24">
      <c r="A1378" s="108"/>
      <c r="B1378" s="108"/>
      <c r="C1378" s="108"/>
      <c r="D1378" s="108"/>
      <c r="E1378" s="108"/>
      <c r="F1378" s="108"/>
      <c r="G1378" s="108"/>
      <c r="H1378" s="108"/>
      <c r="I1378" s="108"/>
      <c r="J1378" s="108"/>
      <c r="K1378" s="108"/>
      <c r="L1378" s="108"/>
      <c r="M1378" s="108"/>
      <c r="N1378" s="108"/>
      <c r="O1378" s="108"/>
      <c r="P1378" s="108"/>
      <c r="Q1378" s="108"/>
      <c r="R1378" s="108"/>
      <c r="S1378" s="108"/>
      <c r="T1378" s="108"/>
      <c r="U1378" s="108"/>
      <c r="V1378" s="108"/>
      <c r="W1378" s="108"/>
      <c r="X1378" s="108"/>
    </row>
    <row r="1379" spans="1:24">
      <c r="A1379" s="108"/>
      <c r="B1379" s="108"/>
      <c r="C1379" s="108"/>
      <c r="D1379" s="108"/>
      <c r="E1379" s="108"/>
      <c r="F1379" s="108"/>
      <c r="G1379" s="108"/>
      <c r="H1379" s="108"/>
      <c r="I1379" s="108"/>
      <c r="J1379" s="108"/>
      <c r="K1379" s="108"/>
      <c r="L1379" s="108"/>
      <c r="M1379" s="108"/>
      <c r="N1379" s="108"/>
      <c r="O1379" s="108"/>
      <c r="P1379" s="108"/>
      <c r="Q1379" s="108"/>
      <c r="R1379" s="108"/>
      <c r="S1379" s="108"/>
      <c r="T1379" s="108"/>
      <c r="U1379" s="108"/>
      <c r="V1379" s="108"/>
      <c r="W1379" s="108"/>
      <c r="X1379" s="108"/>
    </row>
    <row r="1380" spans="1:24">
      <c r="A1380" s="108"/>
      <c r="B1380" s="108"/>
      <c r="C1380" s="108"/>
      <c r="D1380" s="108"/>
      <c r="E1380" s="108"/>
      <c r="F1380" s="108"/>
      <c r="G1380" s="108"/>
      <c r="H1380" s="108"/>
      <c r="I1380" s="108"/>
      <c r="J1380" s="108"/>
      <c r="K1380" s="108"/>
      <c r="L1380" s="108"/>
      <c r="M1380" s="108"/>
      <c r="N1380" s="108"/>
      <c r="O1380" s="108"/>
      <c r="P1380" s="108"/>
      <c r="Q1380" s="108"/>
      <c r="R1380" s="108"/>
      <c r="S1380" s="108"/>
      <c r="T1380" s="108"/>
      <c r="U1380" s="108"/>
      <c r="V1380" s="108"/>
      <c r="W1380" s="108"/>
      <c r="X1380" s="108"/>
    </row>
    <row r="1381" spans="1:24">
      <c r="A1381" s="108"/>
      <c r="B1381" s="108"/>
      <c r="C1381" s="108"/>
      <c r="D1381" s="108"/>
      <c r="E1381" s="108"/>
      <c r="F1381" s="108"/>
      <c r="G1381" s="108"/>
      <c r="H1381" s="108"/>
      <c r="I1381" s="108"/>
      <c r="J1381" s="108"/>
      <c r="K1381" s="108"/>
      <c r="L1381" s="108"/>
      <c r="M1381" s="108"/>
      <c r="N1381" s="108"/>
      <c r="O1381" s="108"/>
      <c r="P1381" s="108"/>
      <c r="Q1381" s="108"/>
      <c r="R1381" s="108"/>
      <c r="S1381" s="108"/>
      <c r="T1381" s="108"/>
      <c r="U1381" s="108"/>
      <c r="V1381" s="108"/>
      <c r="W1381" s="108"/>
      <c r="X1381" s="108"/>
    </row>
    <row r="1382" spans="1:24">
      <c r="A1382" s="108"/>
      <c r="B1382" s="108"/>
      <c r="C1382" s="108"/>
      <c r="D1382" s="108"/>
      <c r="E1382" s="108"/>
      <c r="F1382" s="108"/>
      <c r="G1382" s="108"/>
      <c r="H1382" s="108"/>
      <c r="I1382" s="108"/>
      <c r="J1382" s="108"/>
      <c r="K1382" s="108"/>
      <c r="L1382" s="108"/>
      <c r="M1382" s="108"/>
      <c r="N1382" s="108"/>
      <c r="O1382" s="108"/>
      <c r="P1382" s="108"/>
      <c r="Q1382" s="108"/>
      <c r="R1382" s="108"/>
      <c r="S1382" s="108"/>
      <c r="T1382" s="108"/>
      <c r="U1382" s="108"/>
      <c r="V1382" s="108"/>
      <c r="W1382" s="108"/>
      <c r="X1382" s="108"/>
    </row>
    <row r="1383" spans="1:24">
      <c r="A1383" s="108"/>
      <c r="B1383" s="108"/>
      <c r="C1383" s="108"/>
      <c r="D1383" s="108"/>
      <c r="E1383" s="108"/>
      <c r="F1383" s="108"/>
      <c r="G1383" s="108"/>
      <c r="H1383" s="108"/>
      <c r="I1383" s="108"/>
      <c r="J1383" s="108"/>
      <c r="K1383" s="108"/>
      <c r="L1383" s="108"/>
      <c r="M1383" s="108"/>
      <c r="N1383" s="108"/>
      <c r="O1383" s="108"/>
      <c r="P1383" s="108"/>
      <c r="Q1383" s="108"/>
      <c r="R1383" s="108"/>
      <c r="S1383" s="108"/>
      <c r="T1383" s="108"/>
      <c r="U1383" s="108"/>
      <c r="V1383" s="108"/>
      <c r="W1383" s="108"/>
      <c r="X1383" s="108"/>
    </row>
    <row r="1384" spans="1:24">
      <c r="A1384" s="108"/>
      <c r="B1384" s="108"/>
      <c r="C1384" s="108"/>
      <c r="D1384" s="108"/>
      <c r="E1384" s="108"/>
      <c r="F1384" s="108"/>
      <c r="G1384" s="108"/>
      <c r="H1384" s="108"/>
      <c r="I1384" s="108"/>
      <c r="J1384" s="108"/>
      <c r="K1384" s="108"/>
      <c r="L1384" s="108"/>
      <c r="M1384" s="108"/>
      <c r="N1384" s="108"/>
      <c r="O1384" s="108"/>
      <c r="P1384" s="108"/>
      <c r="Q1384" s="108"/>
      <c r="R1384" s="108"/>
      <c r="S1384" s="108"/>
      <c r="T1384" s="108"/>
      <c r="U1384" s="108"/>
      <c r="V1384" s="108"/>
      <c r="W1384" s="108"/>
      <c r="X1384" s="108"/>
    </row>
    <row r="1385" spans="1:24">
      <c r="A1385" s="108"/>
      <c r="B1385" s="108"/>
      <c r="C1385" s="108"/>
      <c r="D1385" s="108"/>
      <c r="E1385" s="108"/>
      <c r="F1385" s="108"/>
      <c r="G1385" s="108"/>
      <c r="H1385" s="108"/>
      <c r="I1385" s="108"/>
      <c r="J1385" s="108"/>
      <c r="K1385" s="108"/>
      <c r="L1385" s="108"/>
      <c r="M1385" s="108"/>
      <c r="N1385" s="108"/>
      <c r="O1385" s="108"/>
      <c r="P1385" s="108"/>
      <c r="Q1385" s="108"/>
      <c r="R1385" s="108"/>
      <c r="S1385" s="108"/>
      <c r="T1385" s="108"/>
      <c r="U1385" s="108"/>
      <c r="V1385" s="108"/>
      <c r="W1385" s="108"/>
      <c r="X1385" s="108"/>
    </row>
    <row r="1386" spans="1:24">
      <c r="A1386" s="108"/>
      <c r="B1386" s="108"/>
      <c r="C1386" s="108"/>
      <c r="D1386" s="108"/>
      <c r="E1386" s="108"/>
      <c r="F1386" s="108"/>
      <c r="G1386" s="108"/>
      <c r="H1386" s="108"/>
      <c r="I1386" s="108"/>
      <c r="J1386" s="108"/>
      <c r="K1386" s="108"/>
      <c r="L1386" s="108"/>
      <c r="M1386" s="108"/>
      <c r="N1386" s="108"/>
      <c r="O1386" s="108"/>
      <c r="P1386" s="108"/>
      <c r="Q1386" s="108"/>
      <c r="R1386" s="108"/>
      <c r="S1386" s="108"/>
      <c r="T1386" s="108"/>
      <c r="U1386" s="108"/>
      <c r="V1386" s="108"/>
      <c r="W1386" s="108"/>
      <c r="X1386" s="108"/>
    </row>
    <row r="1387" spans="1:24">
      <c r="A1387" s="108"/>
      <c r="B1387" s="108"/>
      <c r="C1387" s="108"/>
      <c r="D1387" s="108"/>
      <c r="E1387" s="108"/>
      <c r="F1387" s="108"/>
      <c r="G1387" s="108"/>
      <c r="H1387" s="108"/>
      <c r="I1387" s="108"/>
      <c r="J1387" s="108"/>
      <c r="K1387" s="108"/>
      <c r="L1387" s="108"/>
      <c r="M1387" s="108"/>
      <c r="N1387" s="108"/>
      <c r="O1387" s="108"/>
      <c r="P1387" s="108"/>
      <c r="Q1387" s="108"/>
      <c r="R1387" s="108"/>
      <c r="S1387" s="108"/>
      <c r="T1387" s="108"/>
      <c r="U1387" s="108"/>
      <c r="V1387" s="108"/>
      <c r="W1387" s="108"/>
      <c r="X1387" s="108"/>
    </row>
    <row r="1388" spans="1:24">
      <c r="A1388" s="108"/>
      <c r="B1388" s="108"/>
      <c r="C1388" s="108"/>
      <c r="D1388" s="108"/>
      <c r="E1388" s="108"/>
      <c r="F1388" s="108"/>
      <c r="G1388" s="108"/>
      <c r="H1388" s="108"/>
      <c r="I1388" s="108"/>
      <c r="J1388" s="108"/>
      <c r="K1388" s="108"/>
      <c r="L1388" s="108"/>
      <c r="M1388" s="108"/>
      <c r="N1388" s="108"/>
      <c r="O1388" s="108"/>
      <c r="P1388" s="108"/>
      <c r="Q1388" s="108"/>
      <c r="R1388" s="108"/>
      <c r="S1388" s="108"/>
      <c r="T1388" s="108"/>
      <c r="U1388" s="108"/>
      <c r="V1388" s="108"/>
      <c r="W1388" s="108"/>
      <c r="X1388" s="108"/>
    </row>
    <row r="1389" spans="1:24">
      <c r="A1389" s="108"/>
      <c r="B1389" s="108"/>
      <c r="C1389" s="108"/>
      <c r="D1389" s="108"/>
      <c r="E1389" s="108"/>
      <c r="F1389" s="108"/>
      <c r="G1389" s="108"/>
      <c r="H1389" s="108"/>
      <c r="I1389" s="108"/>
      <c r="J1389" s="108"/>
      <c r="K1389" s="108"/>
      <c r="L1389" s="108"/>
      <c r="M1389" s="108"/>
      <c r="N1389" s="108"/>
      <c r="O1389" s="108"/>
      <c r="P1389" s="108"/>
      <c r="Q1389" s="108"/>
      <c r="R1389" s="108"/>
      <c r="S1389" s="108"/>
      <c r="T1389" s="108"/>
      <c r="U1389" s="108"/>
      <c r="V1389" s="108"/>
      <c r="W1389" s="108"/>
      <c r="X1389" s="108"/>
    </row>
    <row r="1390" spans="1:24">
      <c r="A1390" s="108"/>
      <c r="B1390" s="108"/>
      <c r="C1390" s="108"/>
      <c r="D1390" s="108"/>
      <c r="E1390" s="108"/>
      <c r="F1390" s="108"/>
      <c r="G1390" s="108"/>
      <c r="H1390" s="108"/>
      <c r="I1390" s="108"/>
      <c r="J1390" s="108"/>
      <c r="K1390" s="108"/>
      <c r="L1390" s="108"/>
      <c r="M1390" s="108"/>
      <c r="N1390" s="108"/>
      <c r="O1390" s="108"/>
      <c r="P1390" s="108"/>
      <c r="Q1390" s="108"/>
      <c r="R1390" s="108"/>
      <c r="S1390" s="108"/>
      <c r="T1390" s="108"/>
      <c r="U1390" s="108"/>
      <c r="V1390" s="108"/>
      <c r="W1390" s="108"/>
      <c r="X1390" s="108"/>
    </row>
    <row r="1391" spans="1:24">
      <c r="A1391" s="108"/>
      <c r="B1391" s="108"/>
      <c r="C1391" s="108"/>
      <c r="D1391" s="108"/>
      <c r="E1391" s="108"/>
      <c r="F1391" s="108"/>
      <c r="G1391" s="108"/>
      <c r="H1391" s="108"/>
      <c r="I1391" s="108"/>
      <c r="J1391" s="108"/>
      <c r="K1391" s="108"/>
      <c r="L1391" s="108"/>
      <c r="M1391" s="108"/>
      <c r="N1391" s="108"/>
      <c r="O1391" s="108"/>
      <c r="P1391" s="108"/>
      <c r="Q1391" s="108"/>
      <c r="R1391" s="108"/>
      <c r="S1391" s="108"/>
      <c r="T1391" s="108"/>
      <c r="U1391" s="108"/>
      <c r="V1391" s="108"/>
      <c r="W1391" s="108"/>
      <c r="X1391" s="108"/>
    </row>
    <row r="1392" spans="1:24">
      <c r="A1392" s="108"/>
      <c r="B1392" s="108"/>
      <c r="C1392" s="108"/>
      <c r="D1392" s="108"/>
      <c r="E1392" s="108"/>
      <c r="F1392" s="108"/>
      <c r="G1392" s="108"/>
      <c r="H1392" s="108"/>
      <c r="I1392" s="108"/>
      <c r="J1392" s="108"/>
      <c r="K1392" s="108"/>
      <c r="L1392" s="108"/>
      <c r="M1392" s="108"/>
      <c r="N1392" s="108"/>
      <c r="O1392" s="108"/>
      <c r="P1392" s="108"/>
      <c r="Q1392" s="108"/>
      <c r="R1392" s="108"/>
      <c r="S1392" s="108"/>
      <c r="T1392" s="108"/>
      <c r="U1392" s="108"/>
      <c r="V1392" s="108"/>
      <c r="W1392" s="108"/>
      <c r="X1392" s="108"/>
    </row>
    <row r="1393" spans="1:24">
      <c r="A1393" s="108"/>
      <c r="B1393" s="108"/>
      <c r="C1393" s="108"/>
      <c r="D1393" s="108"/>
      <c r="E1393" s="108"/>
      <c r="F1393" s="108"/>
      <c r="G1393" s="108"/>
      <c r="H1393" s="108"/>
      <c r="I1393" s="108"/>
      <c r="J1393" s="108"/>
      <c r="K1393" s="108"/>
      <c r="L1393" s="108"/>
      <c r="M1393" s="108"/>
      <c r="N1393" s="108"/>
      <c r="O1393" s="108"/>
      <c r="P1393" s="108"/>
      <c r="Q1393" s="108"/>
      <c r="R1393" s="108"/>
      <c r="S1393" s="108"/>
      <c r="T1393" s="108"/>
      <c r="U1393" s="108"/>
      <c r="V1393" s="108"/>
      <c r="W1393" s="108"/>
      <c r="X1393" s="108"/>
    </row>
    <row r="1394" spans="1:24">
      <c r="A1394" s="108"/>
      <c r="B1394" s="108"/>
      <c r="C1394" s="108"/>
      <c r="D1394" s="108"/>
      <c r="E1394" s="108"/>
      <c r="F1394" s="108"/>
      <c r="G1394" s="108"/>
      <c r="H1394" s="108"/>
      <c r="I1394" s="108"/>
      <c r="J1394" s="108"/>
      <c r="K1394" s="108"/>
      <c r="L1394" s="108"/>
      <c r="M1394" s="108"/>
      <c r="N1394" s="108"/>
      <c r="O1394" s="108"/>
      <c r="P1394" s="108"/>
      <c r="Q1394" s="108"/>
      <c r="R1394" s="108"/>
      <c r="S1394" s="108"/>
      <c r="T1394" s="108"/>
      <c r="U1394" s="108"/>
      <c r="V1394" s="108"/>
      <c r="W1394" s="108"/>
      <c r="X1394" s="108"/>
    </row>
    <row r="1395" spans="1:24">
      <c r="A1395" s="108"/>
      <c r="B1395" s="108"/>
      <c r="C1395" s="108"/>
      <c r="D1395" s="108"/>
      <c r="E1395" s="108"/>
      <c r="F1395" s="108"/>
      <c r="G1395" s="108"/>
      <c r="H1395" s="108"/>
      <c r="I1395" s="108"/>
      <c r="J1395" s="108"/>
      <c r="K1395" s="108"/>
      <c r="L1395" s="108"/>
      <c r="M1395" s="108"/>
      <c r="N1395" s="108"/>
      <c r="O1395" s="108"/>
      <c r="P1395" s="108"/>
      <c r="Q1395" s="108"/>
      <c r="R1395" s="108"/>
      <c r="S1395" s="108"/>
      <c r="T1395" s="108"/>
      <c r="U1395" s="108"/>
      <c r="V1395" s="108"/>
      <c r="W1395" s="108"/>
      <c r="X1395" s="108"/>
    </row>
    <row r="1396" spans="1:24">
      <c r="A1396" s="108"/>
      <c r="B1396" s="108"/>
      <c r="C1396" s="108"/>
      <c r="D1396" s="108"/>
      <c r="E1396" s="108"/>
      <c r="F1396" s="108"/>
      <c r="G1396" s="108"/>
      <c r="H1396" s="108"/>
      <c r="I1396" s="108"/>
      <c r="J1396" s="108"/>
      <c r="K1396" s="108"/>
      <c r="L1396" s="108"/>
      <c r="M1396" s="108"/>
      <c r="N1396" s="108"/>
      <c r="O1396" s="108"/>
      <c r="P1396" s="108"/>
      <c r="Q1396" s="108"/>
      <c r="R1396" s="108"/>
      <c r="S1396" s="108"/>
      <c r="T1396" s="108"/>
      <c r="U1396" s="108"/>
      <c r="V1396" s="108"/>
      <c r="W1396" s="108"/>
      <c r="X1396" s="108"/>
    </row>
    <row r="1397" spans="1:24">
      <c r="A1397" s="108"/>
      <c r="B1397" s="108"/>
      <c r="C1397" s="108"/>
      <c r="D1397" s="108"/>
      <c r="E1397" s="108"/>
      <c r="F1397" s="108"/>
      <c r="G1397" s="108"/>
      <c r="H1397" s="108"/>
      <c r="I1397" s="108"/>
      <c r="J1397" s="108"/>
      <c r="K1397" s="108"/>
      <c r="L1397" s="108"/>
      <c r="M1397" s="108"/>
      <c r="N1397" s="108"/>
      <c r="O1397" s="108"/>
      <c r="P1397" s="108"/>
      <c r="Q1397" s="108"/>
      <c r="R1397" s="108"/>
      <c r="S1397" s="108"/>
      <c r="T1397" s="108"/>
      <c r="U1397" s="108"/>
      <c r="V1397" s="108"/>
      <c r="W1397" s="108"/>
      <c r="X1397" s="108"/>
    </row>
    <row r="1398" spans="1:24">
      <c r="A1398" s="108"/>
      <c r="B1398" s="108"/>
      <c r="C1398" s="108"/>
      <c r="D1398" s="108"/>
      <c r="E1398" s="108"/>
      <c r="F1398" s="108"/>
      <c r="G1398" s="108"/>
      <c r="H1398" s="108"/>
      <c r="I1398" s="108"/>
      <c r="J1398" s="108"/>
      <c r="K1398" s="108"/>
      <c r="L1398" s="108"/>
      <c r="M1398" s="108"/>
      <c r="N1398" s="108"/>
      <c r="O1398" s="108"/>
      <c r="P1398" s="108"/>
      <c r="Q1398" s="108"/>
      <c r="R1398" s="108"/>
      <c r="S1398" s="108"/>
      <c r="T1398" s="108"/>
      <c r="U1398" s="108"/>
      <c r="V1398" s="108"/>
      <c r="W1398" s="108"/>
      <c r="X1398" s="108"/>
    </row>
    <row r="1399" spans="1:24">
      <c r="A1399" s="108"/>
      <c r="B1399" s="108"/>
      <c r="C1399" s="108"/>
      <c r="D1399" s="108"/>
      <c r="E1399" s="108"/>
      <c r="F1399" s="108"/>
      <c r="G1399" s="108"/>
      <c r="H1399" s="108"/>
      <c r="I1399" s="108"/>
      <c r="J1399" s="108"/>
      <c r="K1399" s="108"/>
      <c r="L1399" s="108"/>
      <c r="M1399" s="108"/>
      <c r="N1399" s="108"/>
      <c r="O1399" s="108"/>
      <c r="P1399" s="108"/>
      <c r="Q1399" s="108"/>
      <c r="R1399" s="108"/>
      <c r="S1399" s="108"/>
      <c r="T1399" s="108"/>
      <c r="U1399" s="108"/>
      <c r="V1399" s="108"/>
      <c r="W1399" s="108"/>
      <c r="X1399" s="108"/>
    </row>
    <row r="1400" spans="1:24">
      <c r="A1400" s="108"/>
      <c r="B1400" s="108"/>
      <c r="C1400" s="108"/>
      <c r="D1400" s="108"/>
      <c r="E1400" s="108"/>
      <c r="F1400" s="108"/>
      <c r="G1400" s="108"/>
      <c r="H1400" s="108"/>
      <c r="I1400" s="108"/>
      <c r="J1400" s="108"/>
      <c r="K1400" s="108"/>
      <c r="L1400" s="108"/>
      <c r="M1400" s="108"/>
      <c r="N1400" s="108"/>
      <c r="O1400" s="108"/>
      <c r="P1400" s="108"/>
      <c r="Q1400" s="108"/>
      <c r="R1400" s="108"/>
      <c r="S1400" s="108"/>
      <c r="T1400" s="108"/>
      <c r="U1400" s="108"/>
      <c r="V1400" s="108"/>
      <c r="W1400" s="108"/>
      <c r="X1400" s="108"/>
    </row>
    <row r="1401" spans="1:24">
      <c r="A1401" s="108"/>
      <c r="B1401" s="108"/>
      <c r="C1401" s="108"/>
      <c r="D1401" s="108"/>
      <c r="E1401" s="108"/>
      <c r="F1401" s="108"/>
      <c r="G1401" s="108"/>
      <c r="H1401" s="108"/>
      <c r="I1401" s="108"/>
      <c r="J1401" s="108"/>
      <c r="K1401" s="108"/>
      <c r="L1401" s="108"/>
      <c r="M1401" s="108"/>
      <c r="N1401" s="108"/>
      <c r="O1401" s="108"/>
      <c r="P1401" s="108"/>
      <c r="Q1401" s="108"/>
      <c r="R1401" s="108"/>
      <c r="S1401" s="108"/>
      <c r="T1401" s="108"/>
      <c r="U1401" s="108"/>
      <c r="V1401" s="108"/>
      <c r="W1401" s="108"/>
      <c r="X1401" s="108"/>
    </row>
    <row r="1402" spans="1:24">
      <c r="A1402" s="108"/>
      <c r="B1402" s="108"/>
      <c r="C1402" s="108"/>
      <c r="D1402" s="108"/>
      <c r="E1402" s="108"/>
      <c r="F1402" s="108"/>
      <c r="G1402" s="108"/>
      <c r="H1402" s="108"/>
      <c r="I1402" s="108"/>
      <c r="J1402" s="108"/>
      <c r="K1402" s="108"/>
      <c r="L1402" s="108"/>
      <c r="M1402" s="108"/>
      <c r="N1402" s="108"/>
      <c r="O1402" s="108"/>
      <c r="P1402" s="108"/>
      <c r="Q1402" s="108"/>
      <c r="R1402" s="108"/>
      <c r="S1402" s="108"/>
      <c r="T1402" s="108"/>
      <c r="U1402" s="108"/>
      <c r="V1402" s="108"/>
      <c r="W1402" s="108"/>
      <c r="X1402" s="108"/>
    </row>
    <row r="1403" spans="1:24">
      <c r="A1403" s="108"/>
      <c r="B1403" s="108"/>
      <c r="C1403" s="108"/>
      <c r="D1403" s="108"/>
      <c r="E1403" s="108"/>
      <c r="F1403" s="108"/>
      <c r="G1403" s="108"/>
      <c r="H1403" s="108"/>
      <c r="I1403" s="108"/>
      <c r="J1403" s="108"/>
      <c r="K1403" s="108"/>
      <c r="L1403" s="108"/>
      <c r="M1403" s="108"/>
      <c r="N1403" s="108"/>
      <c r="O1403" s="108"/>
      <c r="P1403" s="108"/>
      <c r="Q1403" s="108"/>
      <c r="R1403" s="108"/>
      <c r="S1403" s="108"/>
      <c r="T1403" s="108"/>
      <c r="U1403" s="108"/>
      <c r="V1403" s="108"/>
      <c r="W1403" s="108"/>
      <c r="X1403" s="108"/>
    </row>
    <row r="1404" spans="1:24">
      <c r="A1404" s="108"/>
      <c r="B1404" s="108"/>
      <c r="C1404" s="108"/>
      <c r="D1404" s="108"/>
      <c r="E1404" s="108"/>
      <c r="F1404" s="108"/>
      <c r="G1404" s="108"/>
      <c r="H1404" s="108"/>
      <c r="I1404" s="108"/>
      <c r="J1404" s="108"/>
      <c r="K1404" s="108"/>
      <c r="L1404" s="108"/>
      <c r="M1404" s="108"/>
      <c r="N1404" s="108"/>
      <c r="O1404" s="108"/>
      <c r="P1404" s="108"/>
      <c r="Q1404" s="108"/>
      <c r="R1404" s="108"/>
      <c r="S1404" s="108"/>
      <c r="T1404" s="108"/>
      <c r="U1404" s="108"/>
      <c r="V1404" s="108"/>
      <c r="W1404" s="108"/>
      <c r="X1404" s="108"/>
    </row>
    <row r="1405" spans="1:24">
      <c r="A1405" s="108"/>
      <c r="B1405" s="108"/>
      <c r="C1405" s="108"/>
      <c r="D1405" s="108"/>
      <c r="E1405" s="108"/>
      <c r="F1405" s="108"/>
      <c r="G1405" s="108"/>
      <c r="H1405" s="108"/>
      <c r="I1405" s="108"/>
      <c r="J1405" s="108"/>
      <c r="K1405" s="108"/>
      <c r="L1405" s="108"/>
      <c r="M1405" s="108"/>
      <c r="N1405" s="108"/>
      <c r="O1405" s="108"/>
      <c r="P1405" s="108"/>
      <c r="Q1405" s="108"/>
      <c r="R1405" s="108"/>
      <c r="S1405" s="108"/>
      <c r="T1405" s="108"/>
      <c r="U1405" s="108"/>
      <c r="V1405" s="108"/>
      <c r="W1405" s="108"/>
      <c r="X1405" s="108"/>
    </row>
    <row r="1406" spans="1:24">
      <c r="A1406" s="108"/>
      <c r="B1406" s="108"/>
      <c r="C1406" s="108"/>
      <c r="D1406" s="108"/>
      <c r="E1406" s="108"/>
      <c r="F1406" s="108"/>
      <c r="G1406" s="108"/>
      <c r="H1406" s="108"/>
      <c r="I1406" s="108"/>
      <c r="J1406" s="108"/>
      <c r="K1406" s="108"/>
      <c r="L1406" s="108"/>
      <c r="M1406" s="108"/>
      <c r="N1406" s="108"/>
      <c r="O1406" s="108"/>
      <c r="P1406" s="108"/>
      <c r="Q1406" s="108"/>
      <c r="R1406" s="108"/>
      <c r="S1406" s="108"/>
      <c r="T1406" s="108"/>
      <c r="U1406" s="108"/>
      <c r="V1406" s="108"/>
      <c r="W1406" s="108"/>
      <c r="X1406" s="108"/>
    </row>
    <row r="1407" spans="1:24">
      <c r="A1407" s="108"/>
      <c r="B1407" s="108"/>
      <c r="C1407" s="108"/>
      <c r="D1407" s="108"/>
      <c r="E1407" s="108"/>
      <c r="F1407" s="108"/>
      <c r="G1407" s="108"/>
      <c r="H1407" s="108"/>
      <c r="I1407" s="108"/>
      <c r="J1407" s="108"/>
      <c r="K1407" s="108"/>
      <c r="L1407" s="108"/>
      <c r="M1407" s="108"/>
      <c r="N1407" s="108"/>
      <c r="O1407" s="108"/>
      <c r="P1407" s="108"/>
      <c r="Q1407" s="108"/>
      <c r="R1407" s="108"/>
      <c r="S1407" s="108"/>
      <c r="T1407" s="108"/>
      <c r="U1407" s="108"/>
      <c r="V1407" s="108"/>
      <c r="W1407" s="108"/>
      <c r="X1407" s="108"/>
    </row>
    <row r="1408" spans="1:24">
      <c r="A1408" s="108"/>
      <c r="B1408" s="108"/>
      <c r="C1408" s="108"/>
      <c r="D1408" s="108"/>
      <c r="E1408" s="108"/>
      <c r="F1408" s="108"/>
      <c r="G1408" s="108"/>
      <c r="H1408" s="108"/>
      <c r="I1408" s="108"/>
      <c r="J1408" s="108"/>
      <c r="K1408" s="108"/>
      <c r="L1408" s="108"/>
      <c r="M1408" s="108"/>
      <c r="N1408" s="108"/>
      <c r="O1408" s="108"/>
      <c r="P1408" s="108"/>
      <c r="Q1408" s="108"/>
      <c r="R1408" s="108"/>
      <c r="S1408" s="108"/>
      <c r="T1408" s="108"/>
      <c r="U1408" s="108"/>
      <c r="V1408" s="108"/>
      <c r="W1408" s="108"/>
      <c r="X1408" s="108"/>
    </row>
    <row r="1409" spans="1:24">
      <c r="A1409" s="108"/>
      <c r="B1409" s="108"/>
      <c r="C1409" s="108"/>
      <c r="D1409" s="108"/>
      <c r="E1409" s="108"/>
      <c r="F1409" s="108"/>
      <c r="G1409" s="108"/>
      <c r="H1409" s="108"/>
      <c r="I1409" s="108"/>
      <c r="J1409" s="108"/>
      <c r="K1409" s="108"/>
      <c r="L1409" s="108"/>
      <c r="M1409" s="108"/>
      <c r="N1409" s="108"/>
      <c r="O1409" s="108"/>
      <c r="P1409" s="108"/>
      <c r="Q1409" s="108"/>
      <c r="R1409" s="108"/>
      <c r="S1409" s="108"/>
      <c r="T1409" s="108"/>
      <c r="U1409" s="108"/>
      <c r="V1409" s="108"/>
      <c r="W1409" s="108"/>
      <c r="X1409" s="108"/>
    </row>
    <row r="1410" spans="1:24">
      <c r="A1410" s="108"/>
      <c r="B1410" s="108"/>
      <c r="C1410" s="108"/>
      <c r="D1410" s="108"/>
      <c r="E1410" s="108"/>
      <c r="F1410" s="108"/>
      <c r="G1410" s="108"/>
      <c r="H1410" s="108"/>
      <c r="I1410" s="108"/>
      <c r="J1410" s="108"/>
      <c r="K1410" s="108"/>
      <c r="L1410" s="108"/>
      <c r="M1410" s="108"/>
      <c r="N1410" s="108"/>
      <c r="O1410" s="108"/>
      <c r="P1410" s="108"/>
      <c r="Q1410" s="108"/>
      <c r="R1410" s="108"/>
      <c r="S1410" s="108"/>
      <c r="T1410" s="108"/>
      <c r="U1410" s="108"/>
      <c r="V1410" s="108"/>
      <c r="W1410" s="108"/>
      <c r="X1410" s="108"/>
    </row>
    <row r="1411" spans="1:24">
      <c r="A1411" s="108"/>
      <c r="B1411" s="108"/>
      <c r="C1411" s="108"/>
      <c r="D1411" s="108"/>
      <c r="E1411" s="108"/>
      <c r="F1411" s="108"/>
      <c r="G1411" s="108"/>
      <c r="H1411" s="108"/>
      <c r="I1411" s="108"/>
      <c r="J1411" s="108"/>
      <c r="K1411" s="108"/>
      <c r="L1411" s="108"/>
      <c r="M1411" s="108"/>
      <c r="N1411" s="108"/>
      <c r="O1411" s="108"/>
      <c r="P1411" s="108"/>
      <c r="Q1411" s="108"/>
      <c r="R1411" s="108"/>
      <c r="S1411" s="108"/>
      <c r="T1411" s="108"/>
      <c r="U1411" s="108"/>
      <c r="V1411" s="108"/>
      <c r="W1411" s="108"/>
      <c r="X1411" s="108"/>
    </row>
    <row r="1412" spans="1:24">
      <c r="A1412" s="108"/>
      <c r="B1412" s="108"/>
      <c r="C1412" s="108"/>
      <c r="D1412" s="108"/>
      <c r="E1412" s="108"/>
      <c r="F1412" s="108"/>
      <c r="G1412" s="108"/>
      <c r="H1412" s="108"/>
      <c r="I1412" s="108"/>
      <c r="J1412" s="108"/>
      <c r="K1412" s="108"/>
      <c r="L1412" s="108"/>
      <c r="M1412" s="108"/>
      <c r="N1412" s="108"/>
      <c r="O1412" s="108"/>
      <c r="P1412" s="108"/>
      <c r="Q1412" s="108"/>
      <c r="R1412" s="108"/>
      <c r="S1412" s="108"/>
      <c r="T1412" s="108"/>
      <c r="U1412" s="108"/>
      <c r="V1412" s="108"/>
      <c r="W1412" s="108"/>
      <c r="X1412" s="108"/>
    </row>
    <row r="1413" spans="1:24">
      <c r="A1413" s="108"/>
      <c r="B1413" s="108"/>
      <c r="C1413" s="108"/>
      <c r="D1413" s="108"/>
      <c r="E1413" s="108"/>
      <c r="F1413" s="108"/>
      <c r="G1413" s="108"/>
      <c r="H1413" s="108"/>
      <c r="I1413" s="108"/>
      <c r="J1413" s="108"/>
      <c r="K1413" s="108"/>
      <c r="L1413" s="108"/>
      <c r="M1413" s="108"/>
      <c r="N1413" s="108"/>
      <c r="O1413" s="108"/>
      <c r="P1413" s="108"/>
      <c r="Q1413" s="108"/>
      <c r="R1413" s="108"/>
      <c r="S1413" s="108"/>
      <c r="T1413" s="108"/>
      <c r="U1413" s="108"/>
      <c r="V1413" s="108"/>
      <c r="W1413" s="108"/>
      <c r="X1413" s="108"/>
    </row>
    <row r="1414" spans="1:24">
      <c r="A1414" s="108"/>
      <c r="B1414" s="108"/>
      <c r="C1414" s="108"/>
      <c r="D1414" s="108"/>
      <c r="E1414" s="108"/>
      <c r="F1414" s="108"/>
      <c r="G1414" s="108"/>
      <c r="H1414" s="108"/>
      <c r="I1414" s="108"/>
      <c r="J1414" s="108"/>
      <c r="K1414" s="108"/>
      <c r="L1414" s="108"/>
      <c r="M1414" s="108"/>
      <c r="N1414" s="108"/>
      <c r="O1414" s="108"/>
      <c r="P1414" s="108"/>
      <c r="Q1414" s="108"/>
      <c r="R1414" s="108"/>
      <c r="S1414" s="108"/>
      <c r="T1414" s="108"/>
      <c r="U1414" s="108"/>
      <c r="V1414" s="108"/>
      <c r="W1414" s="108"/>
      <c r="X1414" s="108"/>
    </row>
    <row r="1415" spans="1:24">
      <c r="A1415" s="108"/>
      <c r="B1415" s="108"/>
      <c r="C1415" s="108"/>
      <c r="D1415" s="108"/>
      <c r="E1415" s="108"/>
      <c r="F1415" s="108"/>
      <c r="G1415" s="108"/>
      <c r="H1415" s="108"/>
      <c r="I1415" s="108"/>
      <c r="J1415" s="108"/>
      <c r="K1415" s="108"/>
      <c r="L1415" s="108"/>
      <c r="M1415" s="108"/>
      <c r="N1415" s="108"/>
      <c r="O1415" s="108"/>
      <c r="P1415" s="108"/>
      <c r="Q1415" s="108"/>
      <c r="R1415" s="108"/>
      <c r="S1415" s="108"/>
      <c r="T1415" s="108"/>
      <c r="U1415" s="108"/>
      <c r="V1415" s="108"/>
      <c r="W1415" s="108"/>
      <c r="X1415" s="108"/>
    </row>
    <row r="1416" spans="1:24">
      <c r="A1416" s="108"/>
      <c r="B1416" s="108"/>
      <c r="C1416" s="108"/>
      <c r="D1416" s="108"/>
      <c r="E1416" s="108"/>
      <c r="F1416" s="108"/>
      <c r="G1416" s="108"/>
      <c r="H1416" s="108"/>
      <c r="I1416" s="108"/>
      <c r="J1416" s="108"/>
      <c r="K1416" s="108"/>
      <c r="L1416" s="108"/>
      <c r="M1416" s="108"/>
      <c r="N1416" s="108"/>
      <c r="O1416" s="108"/>
      <c r="P1416" s="108"/>
      <c r="Q1416" s="108"/>
      <c r="R1416" s="108"/>
      <c r="S1416" s="108"/>
      <c r="T1416" s="108"/>
      <c r="U1416" s="108"/>
      <c r="V1416" s="108"/>
      <c r="W1416" s="108"/>
      <c r="X1416" s="108"/>
    </row>
    <row r="1417" spans="1:24">
      <c r="A1417" s="108"/>
      <c r="B1417" s="108"/>
      <c r="C1417" s="108"/>
      <c r="D1417" s="108"/>
      <c r="E1417" s="108"/>
      <c r="F1417" s="108"/>
      <c r="G1417" s="108"/>
      <c r="H1417" s="108"/>
      <c r="I1417" s="108"/>
      <c r="J1417" s="108"/>
      <c r="K1417" s="108"/>
      <c r="L1417" s="108"/>
      <c r="M1417" s="108"/>
      <c r="N1417" s="108"/>
      <c r="O1417" s="108"/>
      <c r="P1417" s="108"/>
      <c r="Q1417" s="108"/>
      <c r="R1417" s="108"/>
      <c r="S1417" s="108"/>
      <c r="T1417" s="108"/>
      <c r="U1417" s="108"/>
      <c r="V1417" s="108"/>
      <c r="W1417" s="108"/>
      <c r="X1417" s="108"/>
    </row>
    <row r="1418" spans="1:24">
      <c r="A1418" s="108"/>
      <c r="B1418" s="108"/>
      <c r="C1418" s="108"/>
      <c r="D1418" s="108"/>
      <c r="E1418" s="108"/>
      <c r="F1418" s="108"/>
      <c r="G1418" s="108"/>
      <c r="H1418" s="108"/>
      <c r="I1418" s="108"/>
      <c r="J1418" s="108"/>
      <c r="K1418" s="108"/>
      <c r="L1418" s="108"/>
      <c r="M1418" s="108"/>
      <c r="N1418" s="108"/>
      <c r="O1418" s="108"/>
      <c r="P1418" s="108"/>
      <c r="Q1418" s="108"/>
      <c r="R1418" s="108"/>
      <c r="S1418" s="108"/>
      <c r="T1418" s="108"/>
      <c r="U1418" s="108"/>
      <c r="V1418" s="108"/>
      <c r="W1418" s="108"/>
      <c r="X1418" s="108"/>
    </row>
    <row r="1419" spans="1:24">
      <c r="A1419" s="108"/>
      <c r="B1419" s="108"/>
      <c r="C1419" s="108"/>
      <c r="D1419" s="108"/>
      <c r="E1419" s="108"/>
      <c r="F1419" s="108"/>
      <c r="G1419" s="108"/>
      <c r="H1419" s="108"/>
      <c r="I1419" s="108"/>
      <c r="J1419" s="108"/>
      <c r="K1419" s="108"/>
      <c r="L1419" s="108"/>
      <c r="M1419" s="108"/>
      <c r="N1419" s="108"/>
      <c r="O1419" s="108"/>
      <c r="P1419" s="108"/>
      <c r="Q1419" s="108"/>
      <c r="R1419" s="108"/>
      <c r="S1419" s="108"/>
      <c r="T1419" s="108"/>
      <c r="U1419" s="108"/>
      <c r="V1419" s="108"/>
      <c r="W1419" s="108"/>
      <c r="X1419" s="108"/>
    </row>
    <row r="1420" spans="1:24">
      <c r="A1420" s="108"/>
      <c r="B1420" s="108"/>
      <c r="C1420" s="108"/>
      <c r="D1420" s="108"/>
      <c r="E1420" s="108"/>
      <c r="F1420" s="108"/>
      <c r="G1420" s="108"/>
      <c r="H1420" s="108"/>
      <c r="I1420" s="108"/>
      <c r="J1420" s="108"/>
      <c r="K1420" s="108"/>
      <c r="L1420" s="108"/>
      <c r="M1420" s="108"/>
      <c r="N1420" s="108"/>
      <c r="O1420" s="108"/>
      <c r="P1420" s="108"/>
      <c r="Q1420" s="108"/>
      <c r="R1420" s="108"/>
      <c r="S1420" s="108"/>
      <c r="T1420" s="108"/>
      <c r="U1420" s="108"/>
      <c r="V1420" s="108"/>
      <c r="W1420" s="108"/>
      <c r="X1420" s="108"/>
    </row>
    <row r="1421" spans="1:24">
      <c r="A1421" s="108"/>
      <c r="B1421" s="108"/>
      <c r="C1421" s="108"/>
      <c r="D1421" s="108"/>
      <c r="E1421" s="108"/>
      <c r="F1421" s="108"/>
      <c r="G1421" s="108"/>
      <c r="H1421" s="108"/>
      <c r="I1421" s="108"/>
      <c r="J1421" s="108"/>
      <c r="K1421" s="108"/>
      <c r="L1421" s="108"/>
      <c r="M1421" s="108"/>
      <c r="N1421" s="108"/>
      <c r="O1421" s="108"/>
      <c r="P1421" s="108"/>
      <c r="Q1421" s="108"/>
      <c r="R1421" s="108"/>
      <c r="S1421" s="108"/>
      <c r="T1421" s="108"/>
      <c r="U1421" s="108"/>
      <c r="V1421" s="108"/>
      <c r="W1421" s="108"/>
      <c r="X1421" s="108"/>
    </row>
    <row r="1422" spans="1:24">
      <c r="A1422" s="108"/>
      <c r="B1422" s="108"/>
      <c r="C1422" s="108"/>
      <c r="D1422" s="108"/>
      <c r="E1422" s="108"/>
      <c r="F1422" s="108"/>
      <c r="G1422" s="108"/>
      <c r="H1422" s="108"/>
      <c r="I1422" s="108"/>
      <c r="J1422" s="108"/>
      <c r="K1422" s="108"/>
      <c r="L1422" s="108"/>
      <c r="M1422" s="108"/>
      <c r="N1422" s="108"/>
      <c r="O1422" s="108"/>
      <c r="P1422" s="108"/>
      <c r="Q1422" s="108"/>
      <c r="R1422" s="108"/>
      <c r="S1422" s="108"/>
      <c r="T1422" s="108"/>
      <c r="U1422" s="108"/>
      <c r="V1422" s="108"/>
      <c r="W1422" s="108"/>
      <c r="X1422" s="108"/>
    </row>
    <row r="1423" spans="1:24">
      <c r="A1423" s="108"/>
      <c r="B1423" s="108"/>
      <c r="C1423" s="108"/>
      <c r="D1423" s="108"/>
      <c r="E1423" s="108"/>
      <c r="F1423" s="108"/>
      <c r="G1423" s="108"/>
      <c r="H1423" s="108"/>
      <c r="I1423" s="108"/>
      <c r="J1423" s="108"/>
      <c r="K1423" s="108"/>
      <c r="L1423" s="108"/>
      <c r="M1423" s="108"/>
      <c r="N1423" s="108"/>
      <c r="O1423" s="108"/>
      <c r="P1423" s="108"/>
      <c r="Q1423" s="108"/>
      <c r="R1423" s="108"/>
      <c r="S1423" s="108"/>
      <c r="T1423" s="108"/>
      <c r="U1423" s="108"/>
      <c r="V1423" s="108"/>
      <c r="W1423" s="108"/>
      <c r="X1423" s="108"/>
    </row>
    <row r="1424" spans="1:24">
      <c r="A1424" s="108"/>
      <c r="B1424" s="108"/>
      <c r="C1424" s="108"/>
      <c r="D1424" s="108"/>
      <c r="E1424" s="108"/>
      <c r="F1424" s="108"/>
      <c r="G1424" s="108"/>
      <c r="H1424" s="108"/>
      <c r="I1424" s="108"/>
      <c r="J1424" s="108"/>
      <c r="K1424" s="108"/>
      <c r="L1424" s="108"/>
      <c r="M1424" s="108"/>
      <c r="N1424" s="108"/>
      <c r="O1424" s="108"/>
      <c r="P1424" s="108"/>
      <c r="Q1424" s="108"/>
      <c r="R1424" s="108"/>
      <c r="S1424" s="108"/>
      <c r="T1424" s="108"/>
      <c r="U1424" s="108"/>
      <c r="V1424" s="108"/>
      <c r="W1424" s="108"/>
      <c r="X1424" s="108"/>
    </row>
    <row r="1425" spans="1:24">
      <c r="A1425" s="108"/>
      <c r="B1425" s="108"/>
      <c r="C1425" s="108"/>
      <c r="D1425" s="108"/>
      <c r="E1425" s="108"/>
      <c r="F1425" s="108"/>
      <c r="G1425" s="108"/>
      <c r="H1425" s="108"/>
      <c r="I1425" s="108"/>
      <c r="J1425" s="108"/>
      <c r="K1425" s="108"/>
      <c r="L1425" s="108"/>
      <c r="M1425" s="108"/>
      <c r="N1425" s="108"/>
      <c r="O1425" s="108"/>
      <c r="P1425" s="108"/>
      <c r="Q1425" s="108"/>
      <c r="R1425" s="108"/>
      <c r="S1425" s="108"/>
      <c r="T1425" s="108"/>
      <c r="U1425" s="108"/>
      <c r="V1425" s="108"/>
      <c r="W1425" s="108"/>
      <c r="X1425" s="108"/>
    </row>
    <row r="1426" spans="1:24">
      <c r="A1426" s="108"/>
      <c r="B1426" s="108"/>
      <c r="C1426" s="108"/>
      <c r="D1426" s="108"/>
      <c r="E1426" s="108"/>
      <c r="F1426" s="108"/>
      <c r="G1426" s="108"/>
      <c r="H1426" s="108"/>
      <c r="I1426" s="108"/>
      <c r="J1426" s="108"/>
      <c r="K1426" s="108"/>
      <c r="L1426" s="108"/>
      <c r="M1426" s="108"/>
      <c r="N1426" s="108"/>
      <c r="O1426" s="108"/>
      <c r="P1426" s="108"/>
      <c r="Q1426" s="108"/>
      <c r="R1426" s="108"/>
      <c r="S1426" s="108"/>
      <c r="T1426" s="108"/>
      <c r="U1426" s="108"/>
      <c r="V1426" s="108"/>
      <c r="W1426" s="108"/>
      <c r="X1426" s="108"/>
    </row>
    <row r="1427" spans="1:24">
      <c r="A1427" s="108"/>
      <c r="B1427" s="108"/>
      <c r="C1427" s="108"/>
      <c r="D1427" s="108"/>
      <c r="E1427" s="108"/>
      <c r="F1427" s="108"/>
      <c r="G1427" s="108"/>
      <c r="H1427" s="108"/>
      <c r="I1427" s="108"/>
      <c r="J1427" s="108"/>
      <c r="K1427" s="108"/>
      <c r="L1427" s="108"/>
      <c r="M1427" s="108"/>
      <c r="N1427" s="108"/>
      <c r="O1427" s="108"/>
      <c r="P1427" s="108"/>
      <c r="Q1427" s="108"/>
      <c r="R1427" s="108"/>
      <c r="S1427" s="108"/>
      <c r="T1427" s="108"/>
      <c r="U1427" s="108"/>
      <c r="V1427" s="108"/>
      <c r="W1427" s="108"/>
      <c r="X1427" s="108"/>
    </row>
    <row r="1428" spans="1:24">
      <c r="A1428" s="108"/>
      <c r="B1428" s="108"/>
      <c r="C1428" s="108"/>
      <c r="D1428" s="108"/>
      <c r="E1428" s="108"/>
      <c r="F1428" s="108"/>
      <c r="G1428" s="108"/>
      <c r="H1428" s="108"/>
      <c r="I1428" s="108"/>
      <c r="J1428" s="108"/>
      <c r="K1428" s="108"/>
      <c r="L1428" s="108"/>
      <c r="M1428" s="108"/>
      <c r="N1428" s="108"/>
      <c r="O1428" s="108"/>
      <c r="P1428" s="108"/>
      <c r="Q1428" s="108"/>
      <c r="R1428" s="108"/>
      <c r="S1428" s="108"/>
      <c r="T1428" s="108"/>
      <c r="U1428" s="108"/>
      <c r="V1428" s="108"/>
      <c r="W1428" s="108"/>
      <c r="X1428" s="108"/>
    </row>
    <row r="1429" spans="1:24">
      <c r="A1429" s="108"/>
      <c r="B1429" s="108"/>
      <c r="C1429" s="108"/>
      <c r="D1429" s="108"/>
      <c r="E1429" s="108"/>
      <c r="F1429" s="108"/>
      <c r="G1429" s="108"/>
      <c r="H1429" s="108"/>
      <c r="I1429" s="108"/>
      <c r="J1429" s="108"/>
      <c r="K1429" s="108"/>
      <c r="L1429" s="108"/>
      <c r="M1429" s="108"/>
      <c r="N1429" s="108"/>
      <c r="O1429" s="108"/>
      <c r="P1429" s="108"/>
      <c r="Q1429" s="108"/>
      <c r="R1429" s="108"/>
      <c r="S1429" s="108"/>
      <c r="T1429" s="108"/>
      <c r="U1429" s="108"/>
      <c r="V1429" s="108"/>
      <c r="W1429" s="108"/>
      <c r="X1429" s="108"/>
    </row>
    <row r="1430" spans="1:24">
      <c r="A1430" s="108"/>
      <c r="B1430" s="108"/>
      <c r="C1430" s="108"/>
      <c r="D1430" s="108"/>
      <c r="E1430" s="108"/>
      <c r="F1430" s="108"/>
      <c r="G1430" s="108"/>
      <c r="H1430" s="108"/>
      <c r="I1430" s="108"/>
      <c r="J1430" s="108"/>
      <c r="K1430" s="108"/>
      <c r="L1430" s="108"/>
      <c r="M1430" s="108"/>
      <c r="N1430" s="108"/>
      <c r="O1430" s="108"/>
      <c r="P1430" s="108"/>
      <c r="Q1430" s="108"/>
      <c r="R1430" s="108"/>
      <c r="S1430" s="108"/>
      <c r="T1430" s="108"/>
      <c r="U1430" s="108"/>
      <c r="V1430" s="108"/>
      <c r="W1430" s="108"/>
      <c r="X1430" s="108"/>
    </row>
    <row r="1431" spans="1:24">
      <c r="A1431" s="108"/>
      <c r="B1431" s="108"/>
      <c r="C1431" s="108"/>
      <c r="D1431" s="108"/>
      <c r="E1431" s="108"/>
      <c r="F1431" s="108"/>
      <c r="G1431" s="108"/>
      <c r="H1431" s="108"/>
      <c r="I1431" s="108"/>
      <c r="J1431" s="108"/>
      <c r="K1431" s="108"/>
      <c r="L1431" s="108"/>
      <c r="M1431" s="108"/>
      <c r="N1431" s="108"/>
      <c r="O1431" s="108"/>
      <c r="P1431" s="108"/>
      <c r="Q1431" s="108"/>
      <c r="R1431" s="108"/>
      <c r="S1431" s="108"/>
      <c r="T1431" s="108"/>
      <c r="U1431" s="108"/>
      <c r="V1431" s="108"/>
      <c r="W1431" s="108"/>
      <c r="X1431" s="108"/>
    </row>
    <row r="1432" spans="1:24">
      <c r="A1432" s="108"/>
      <c r="B1432" s="108"/>
      <c r="C1432" s="108"/>
      <c r="D1432" s="108"/>
      <c r="E1432" s="108"/>
      <c r="F1432" s="108"/>
      <c r="G1432" s="108"/>
      <c r="H1432" s="108"/>
      <c r="I1432" s="108"/>
      <c r="J1432" s="108"/>
      <c r="K1432" s="108"/>
      <c r="L1432" s="108"/>
      <c r="M1432" s="108"/>
      <c r="N1432" s="108"/>
      <c r="O1432" s="108"/>
      <c r="P1432" s="108"/>
      <c r="Q1432" s="108"/>
      <c r="R1432" s="108"/>
      <c r="S1432" s="108"/>
      <c r="T1432" s="108"/>
      <c r="U1432" s="108"/>
      <c r="V1432" s="108"/>
      <c r="W1432" s="108"/>
      <c r="X1432" s="108"/>
    </row>
    <row r="1433" spans="1:24">
      <c r="A1433" s="108"/>
      <c r="B1433" s="108"/>
      <c r="C1433" s="108"/>
      <c r="D1433" s="108"/>
      <c r="E1433" s="108"/>
      <c r="F1433" s="108"/>
      <c r="G1433" s="108"/>
      <c r="H1433" s="108"/>
      <c r="I1433" s="108"/>
      <c r="J1433" s="108"/>
      <c r="K1433" s="108"/>
      <c r="L1433" s="108"/>
      <c r="M1433" s="108"/>
      <c r="N1433" s="108"/>
      <c r="O1433" s="108"/>
      <c r="P1433" s="108"/>
      <c r="Q1433" s="108"/>
      <c r="R1433" s="108"/>
      <c r="S1433" s="108"/>
      <c r="T1433" s="108"/>
      <c r="U1433" s="108"/>
      <c r="V1433" s="108"/>
      <c r="W1433" s="108"/>
      <c r="X1433" s="108"/>
    </row>
    <row r="1434" spans="1:24">
      <c r="A1434" s="108"/>
      <c r="B1434" s="108"/>
      <c r="C1434" s="108"/>
      <c r="D1434" s="108"/>
      <c r="E1434" s="108"/>
      <c r="F1434" s="108"/>
      <c r="G1434" s="108"/>
      <c r="H1434" s="108"/>
      <c r="I1434" s="108"/>
      <c r="J1434" s="108"/>
      <c r="K1434" s="108"/>
      <c r="L1434" s="108"/>
      <c r="M1434" s="108"/>
      <c r="N1434" s="108"/>
      <c r="O1434" s="108"/>
      <c r="P1434" s="108"/>
      <c r="Q1434" s="108"/>
      <c r="R1434" s="108"/>
      <c r="S1434" s="108"/>
      <c r="T1434" s="108"/>
      <c r="U1434" s="108"/>
      <c r="V1434" s="108"/>
      <c r="W1434" s="108"/>
      <c r="X1434" s="108"/>
    </row>
    <row r="1435" spans="1:24">
      <c r="A1435" s="108"/>
      <c r="B1435" s="108"/>
      <c r="C1435" s="108"/>
      <c r="D1435" s="108"/>
      <c r="E1435" s="108"/>
      <c r="F1435" s="108"/>
      <c r="G1435" s="108"/>
      <c r="H1435" s="108"/>
      <c r="I1435" s="108"/>
      <c r="J1435" s="108"/>
      <c r="K1435" s="108"/>
      <c r="L1435" s="108"/>
      <c r="M1435" s="108"/>
      <c r="N1435" s="108"/>
      <c r="O1435" s="108"/>
      <c r="P1435" s="108"/>
      <c r="Q1435" s="108"/>
      <c r="R1435" s="108"/>
      <c r="S1435" s="108"/>
      <c r="T1435" s="108"/>
      <c r="U1435" s="108"/>
      <c r="V1435" s="108"/>
      <c r="W1435" s="108"/>
      <c r="X1435" s="108"/>
    </row>
    <row r="1436" spans="1:24">
      <c r="A1436" s="108"/>
      <c r="B1436" s="108"/>
      <c r="C1436" s="108"/>
      <c r="D1436" s="108"/>
      <c r="E1436" s="108"/>
      <c r="F1436" s="108"/>
      <c r="G1436" s="108"/>
      <c r="H1436" s="108"/>
      <c r="I1436" s="108"/>
      <c r="J1436" s="108"/>
      <c r="K1436" s="108"/>
      <c r="L1436" s="108"/>
      <c r="M1436" s="108"/>
      <c r="N1436" s="108"/>
      <c r="O1436" s="108"/>
      <c r="P1436" s="108"/>
      <c r="Q1436" s="108"/>
      <c r="R1436" s="108"/>
      <c r="S1436" s="108"/>
      <c r="T1436" s="108"/>
      <c r="U1436" s="108"/>
      <c r="V1436" s="108"/>
      <c r="W1436" s="108"/>
      <c r="X1436" s="108"/>
    </row>
    <row r="1437" spans="1:24">
      <c r="A1437" s="108"/>
      <c r="B1437" s="108"/>
      <c r="C1437" s="108"/>
      <c r="D1437" s="108"/>
      <c r="E1437" s="108"/>
      <c r="F1437" s="108"/>
      <c r="G1437" s="108"/>
      <c r="H1437" s="108"/>
      <c r="I1437" s="108"/>
      <c r="J1437" s="108"/>
      <c r="K1437" s="108"/>
      <c r="L1437" s="108"/>
      <c r="M1437" s="108"/>
      <c r="N1437" s="108"/>
      <c r="O1437" s="108"/>
      <c r="P1437" s="108"/>
      <c r="Q1437" s="108"/>
      <c r="R1437" s="108"/>
      <c r="S1437" s="108"/>
      <c r="T1437" s="108"/>
      <c r="U1437" s="108"/>
      <c r="V1437" s="108"/>
      <c r="W1437" s="108"/>
      <c r="X1437" s="108"/>
    </row>
    <row r="1438" spans="1:24">
      <c r="A1438" s="108"/>
      <c r="B1438" s="108"/>
      <c r="C1438" s="108"/>
      <c r="D1438" s="108"/>
      <c r="E1438" s="108"/>
      <c r="F1438" s="108"/>
      <c r="G1438" s="108"/>
      <c r="H1438" s="108"/>
      <c r="I1438" s="108"/>
      <c r="J1438" s="108"/>
      <c r="K1438" s="108"/>
      <c r="L1438" s="108"/>
      <c r="M1438" s="108"/>
      <c r="N1438" s="108"/>
      <c r="O1438" s="108"/>
      <c r="P1438" s="108"/>
      <c r="Q1438" s="108"/>
      <c r="R1438" s="108"/>
      <c r="S1438" s="108"/>
      <c r="T1438" s="108"/>
      <c r="U1438" s="108"/>
      <c r="V1438" s="108"/>
      <c r="W1438" s="108"/>
      <c r="X1438" s="108"/>
    </row>
    <row r="1439" spans="1:24">
      <c r="A1439" s="108"/>
      <c r="B1439" s="108"/>
      <c r="C1439" s="108"/>
      <c r="D1439" s="108"/>
      <c r="E1439" s="108"/>
      <c r="F1439" s="108"/>
      <c r="G1439" s="108"/>
      <c r="H1439" s="108"/>
      <c r="I1439" s="108"/>
      <c r="J1439" s="108"/>
      <c r="K1439" s="108"/>
      <c r="L1439" s="108"/>
      <c r="M1439" s="108"/>
      <c r="N1439" s="108"/>
      <c r="O1439" s="108"/>
      <c r="P1439" s="108"/>
      <c r="Q1439" s="108"/>
      <c r="R1439" s="108"/>
      <c r="S1439" s="108"/>
      <c r="T1439" s="108"/>
      <c r="U1439" s="108"/>
      <c r="V1439" s="108"/>
      <c r="W1439" s="108"/>
      <c r="X1439" s="108"/>
    </row>
    <row r="1440" spans="1:24">
      <c r="A1440" s="108"/>
      <c r="B1440" s="108"/>
      <c r="C1440" s="108"/>
      <c r="D1440" s="108"/>
      <c r="E1440" s="108"/>
      <c r="F1440" s="108"/>
      <c r="G1440" s="108"/>
      <c r="H1440" s="108"/>
      <c r="I1440" s="108"/>
      <c r="J1440" s="108"/>
      <c r="K1440" s="108"/>
      <c r="L1440" s="108"/>
      <c r="M1440" s="108"/>
      <c r="N1440" s="108"/>
      <c r="O1440" s="108"/>
      <c r="P1440" s="108"/>
      <c r="Q1440" s="108"/>
      <c r="R1440" s="108"/>
      <c r="S1440" s="108"/>
      <c r="T1440" s="108"/>
      <c r="U1440" s="108"/>
      <c r="V1440" s="108"/>
      <c r="W1440" s="108"/>
      <c r="X1440" s="108"/>
    </row>
    <row r="1441" spans="1:24">
      <c r="A1441" s="108"/>
      <c r="B1441" s="108"/>
      <c r="C1441" s="108"/>
      <c r="D1441" s="108"/>
      <c r="E1441" s="108"/>
      <c r="F1441" s="108"/>
      <c r="G1441" s="108"/>
      <c r="H1441" s="108"/>
      <c r="I1441" s="108"/>
      <c r="J1441" s="108"/>
      <c r="K1441" s="108"/>
      <c r="L1441" s="108"/>
      <c r="M1441" s="108"/>
      <c r="N1441" s="108"/>
      <c r="O1441" s="108"/>
      <c r="P1441" s="108"/>
      <c r="Q1441" s="108"/>
      <c r="R1441" s="108"/>
      <c r="S1441" s="108"/>
      <c r="T1441" s="108"/>
      <c r="U1441" s="108"/>
      <c r="V1441" s="108"/>
      <c r="W1441" s="108"/>
      <c r="X1441" s="108"/>
    </row>
    <row r="1442" spans="1:24">
      <c r="A1442" s="108"/>
      <c r="B1442" s="108"/>
      <c r="C1442" s="108"/>
      <c r="D1442" s="108"/>
      <c r="E1442" s="108"/>
      <c r="F1442" s="108"/>
      <c r="G1442" s="108"/>
      <c r="H1442" s="108"/>
      <c r="I1442" s="108"/>
      <c r="J1442" s="108"/>
      <c r="K1442" s="108"/>
      <c r="L1442" s="108"/>
      <c r="M1442" s="108"/>
      <c r="N1442" s="108"/>
      <c r="O1442" s="108"/>
      <c r="P1442" s="108"/>
      <c r="Q1442" s="108"/>
      <c r="R1442" s="108"/>
      <c r="S1442" s="108"/>
      <c r="T1442" s="108"/>
      <c r="U1442" s="108"/>
      <c r="V1442" s="108"/>
      <c r="W1442" s="108"/>
      <c r="X1442" s="108"/>
    </row>
    <row r="1443" spans="1:24">
      <c r="A1443" s="108"/>
      <c r="B1443" s="108"/>
      <c r="C1443" s="108"/>
      <c r="D1443" s="108"/>
      <c r="E1443" s="108"/>
      <c r="F1443" s="108"/>
      <c r="G1443" s="108"/>
      <c r="H1443" s="108"/>
      <c r="I1443" s="108"/>
      <c r="J1443" s="108"/>
      <c r="K1443" s="108"/>
      <c r="L1443" s="108"/>
      <c r="M1443" s="108"/>
      <c r="N1443" s="108"/>
      <c r="O1443" s="108"/>
      <c r="P1443" s="108"/>
      <c r="Q1443" s="108"/>
      <c r="R1443" s="108"/>
      <c r="S1443" s="108"/>
      <c r="T1443" s="108"/>
      <c r="U1443" s="108"/>
      <c r="V1443" s="108"/>
      <c r="W1443" s="108"/>
      <c r="X1443" s="108"/>
    </row>
    <row r="1444" spans="1:24">
      <c r="A1444" s="108"/>
      <c r="B1444" s="108"/>
      <c r="C1444" s="108"/>
      <c r="D1444" s="108"/>
      <c r="E1444" s="108"/>
      <c r="F1444" s="108"/>
      <c r="G1444" s="108"/>
      <c r="H1444" s="108"/>
      <c r="I1444" s="108"/>
      <c r="J1444" s="108"/>
      <c r="K1444" s="108"/>
      <c r="L1444" s="108"/>
      <c r="M1444" s="108"/>
      <c r="N1444" s="108"/>
      <c r="O1444" s="108"/>
      <c r="P1444" s="108"/>
      <c r="Q1444" s="108"/>
      <c r="R1444" s="108"/>
      <c r="S1444" s="108"/>
      <c r="T1444" s="108"/>
      <c r="U1444" s="108"/>
      <c r="V1444" s="108"/>
      <c r="W1444" s="108"/>
      <c r="X1444" s="108"/>
    </row>
    <row r="1445" spans="1:24">
      <c r="A1445" s="108"/>
      <c r="B1445" s="108"/>
      <c r="C1445" s="108"/>
      <c r="D1445" s="108"/>
      <c r="E1445" s="108"/>
      <c r="F1445" s="108"/>
      <c r="G1445" s="108"/>
      <c r="H1445" s="108"/>
      <c r="I1445" s="108"/>
      <c r="J1445" s="108"/>
      <c r="K1445" s="108"/>
      <c r="L1445" s="108"/>
      <c r="M1445" s="108"/>
      <c r="N1445" s="108"/>
      <c r="O1445" s="108"/>
      <c r="P1445" s="108"/>
      <c r="Q1445" s="108"/>
      <c r="R1445" s="108"/>
      <c r="S1445" s="108"/>
      <c r="T1445" s="108"/>
      <c r="U1445" s="108"/>
      <c r="V1445" s="108"/>
      <c r="W1445" s="108"/>
      <c r="X1445" s="108"/>
    </row>
    <row r="1446" spans="1:24">
      <c r="A1446" s="108"/>
      <c r="B1446" s="108"/>
      <c r="C1446" s="108"/>
      <c r="D1446" s="108"/>
      <c r="E1446" s="108"/>
      <c r="F1446" s="108"/>
      <c r="G1446" s="108"/>
      <c r="H1446" s="108"/>
      <c r="I1446" s="108"/>
      <c r="J1446" s="108"/>
      <c r="K1446" s="108"/>
      <c r="L1446" s="10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</row>
    <row r="1447" spans="1:24">
      <c r="A1447" s="108"/>
      <c r="B1447" s="108"/>
      <c r="C1447" s="108"/>
      <c r="D1447" s="108"/>
      <c r="E1447" s="108"/>
      <c r="F1447" s="108"/>
      <c r="G1447" s="108"/>
      <c r="H1447" s="108"/>
      <c r="I1447" s="108"/>
      <c r="J1447" s="108"/>
      <c r="K1447" s="108"/>
      <c r="L1447" s="108"/>
      <c r="M1447" s="108"/>
      <c r="N1447" s="108"/>
      <c r="O1447" s="108"/>
      <c r="P1447" s="108"/>
      <c r="Q1447" s="108"/>
      <c r="R1447" s="108"/>
      <c r="S1447" s="108"/>
      <c r="T1447" s="108"/>
      <c r="U1447" s="108"/>
      <c r="V1447" s="108"/>
      <c r="W1447" s="108"/>
      <c r="X1447" s="108"/>
    </row>
    <row r="1448" spans="1:24">
      <c r="A1448" s="108"/>
      <c r="B1448" s="108"/>
      <c r="C1448" s="108"/>
      <c r="D1448" s="108"/>
      <c r="E1448" s="108"/>
      <c r="F1448" s="108"/>
      <c r="G1448" s="108"/>
      <c r="H1448" s="108"/>
      <c r="I1448" s="108"/>
      <c r="J1448" s="108"/>
      <c r="K1448" s="108"/>
      <c r="L1448" s="108"/>
      <c r="M1448" s="108"/>
      <c r="N1448" s="108"/>
      <c r="O1448" s="108"/>
      <c r="P1448" s="108"/>
      <c r="Q1448" s="108"/>
      <c r="R1448" s="108"/>
      <c r="S1448" s="108"/>
      <c r="T1448" s="108"/>
      <c r="U1448" s="108"/>
      <c r="V1448" s="108"/>
      <c r="W1448" s="108"/>
      <c r="X1448" s="108"/>
    </row>
    <row r="1449" spans="1:24">
      <c r="A1449" s="108"/>
      <c r="B1449" s="108"/>
      <c r="C1449" s="108"/>
      <c r="D1449" s="108"/>
      <c r="E1449" s="108"/>
      <c r="F1449" s="108"/>
      <c r="G1449" s="108"/>
      <c r="H1449" s="108"/>
      <c r="I1449" s="108"/>
      <c r="J1449" s="108"/>
      <c r="K1449" s="108"/>
      <c r="L1449" s="108"/>
      <c r="M1449" s="108"/>
      <c r="N1449" s="108"/>
      <c r="O1449" s="108"/>
      <c r="P1449" s="108"/>
      <c r="Q1449" s="108"/>
      <c r="R1449" s="108"/>
      <c r="S1449" s="108"/>
      <c r="T1449" s="108"/>
      <c r="U1449" s="108"/>
      <c r="V1449" s="108"/>
      <c r="W1449" s="108"/>
      <c r="X1449" s="108"/>
    </row>
    <row r="1450" spans="1:24">
      <c r="A1450" s="108"/>
      <c r="B1450" s="108"/>
      <c r="C1450" s="108"/>
      <c r="D1450" s="108"/>
      <c r="E1450" s="108"/>
      <c r="F1450" s="108"/>
      <c r="G1450" s="108"/>
      <c r="H1450" s="108"/>
      <c r="I1450" s="108"/>
      <c r="J1450" s="108"/>
      <c r="K1450" s="108"/>
      <c r="L1450" s="108"/>
      <c r="M1450" s="108"/>
      <c r="N1450" s="108"/>
      <c r="O1450" s="108"/>
      <c r="P1450" s="108"/>
      <c r="Q1450" s="108"/>
      <c r="R1450" s="108"/>
      <c r="S1450" s="108"/>
      <c r="T1450" s="108"/>
      <c r="U1450" s="108"/>
      <c r="V1450" s="108"/>
      <c r="W1450" s="108"/>
      <c r="X1450" s="108"/>
    </row>
    <row r="1451" spans="1:24">
      <c r="A1451" s="108"/>
      <c r="B1451" s="108"/>
      <c r="C1451" s="108"/>
      <c r="D1451" s="108"/>
      <c r="E1451" s="108"/>
      <c r="F1451" s="108"/>
      <c r="G1451" s="108"/>
      <c r="H1451" s="108"/>
      <c r="I1451" s="108"/>
      <c r="J1451" s="108"/>
      <c r="K1451" s="108"/>
      <c r="L1451" s="108"/>
      <c r="M1451" s="108"/>
      <c r="N1451" s="108"/>
      <c r="O1451" s="108"/>
      <c r="P1451" s="108"/>
      <c r="Q1451" s="108"/>
      <c r="R1451" s="108"/>
      <c r="S1451" s="108"/>
      <c r="T1451" s="108"/>
      <c r="U1451" s="108"/>
      <c r="V1451" s="108"/>
      <c r="W1451" s="108"/>
      <c r="X1451" s="108"/>
    </row>
    <row r="1452" spans="1:24">
      <c r="A1452" s="108"/>
      <c r="B1452" s="108"/>
      <c r="C1452" s="108"/>
      <c r="D1452" s="108"/>
      <c r="E1452" s="108"/>
      <c r="F1452" s="108"/>
      <c r="G1452" s="108"/>
      <c r="H1452" s="108"/>
      <c r="I1452" s="108"/>
      <c r="J1452" s="108"/>
      <c r="K1452" s="108"/>
      <c r="L1452" s="108"/>
      <c r="M1452" s="108"/>
      <c r="N1452" s="108"/>
      <c r="O1452" s="108"/>
      <c r="P1452" s="108"/>
      <c r="Q1452" s="108"/>
      <c r="R1452" s="108"/>
      <c r="S1452" s="108"/>
      <c r="T1452" s="108"/>
      <c r="U1452" s="108"/>
      <c r="V1452" s="108"/>
      <c r="W1452" s="108"/>
      <c r="X1452" s="108"/>
    </row>
    <row r="1453" spans="1:24">
      <c r="A1453" s="108"/>
      <c r="B1453" s="108"/>
      <c r="C1453" s="108"/>
      <c r="D1453" s="108"/>
      <c r="E1453" s="108"/>
      <c r="F1453" s="108"/>
      <c r="G1453" s="108"/>
      <c r="H1453" s="108"/>
      <c r="I1453" s="108"/>
      <c r="J1453" s="108"/>
      <c r="K1453" s="108"/>
      <c r="L1453" s="108"/>
      <c r="M1453" s="108"/>
      <c r="N1453" s="108"/>
      <c r="O1453" s="108"/>
      <c r="P1453" s="108"/>
      <c r="Q1453" s="108"/>
      <c r="R1453" s="108"/>
      <c r="S1453" s="108"/>
      <c r="T1453" s="108"/>
      <c r="U1453" s="108"/>
      <c r="V1453" s="108"/>
      <c r="W1453" s="108"/>
      <c r="X1453" s="108"/>
    </row>
    <row r="1454" spans="1:24">
      <c r="A1454" s="108"/>
      <c r="B1454" s="108"/>
      <c r="C1454" s="108"/>
      <c r="D1454" s="108"/>
      <c r="E1454" s="108"/>
      <c r="F1454" s="108"/>
      <c r="G1454" s="108"/>
      <c r="H1454" s="108"/>
      <c r="I1454" s="108"/>
      <c r="J1454" s="108"/>
      <c r="K1454" s="108"/>
      <c r="L1454" s="108"/>
      <c r="M1454" s="108"/>
      <c r="N1454" s="108"/>
      <c r="O1454" s="108"/>
      <c r="P1454" s="108"/>
      <c r="Q1454" s="108"/>
      <c r="R1454" s="108"/>
      <c r="S1454" s="108"/>
      <c r="T1454" s="108"/>
      <c r="U1454" s="108"/>
      <c r="V1454" s="108"/>
      <c r="W1454" s="108"/>
      <c r="X1454" s="108"/>
    </row>
    <row r="1455" spans="1:24">
      <c r="A1455" s="108"/>
      <c r="B1455" s="108"/>
      <c r="C1455" s="108"/>
      <c r="D1455" s="108"/>
      <c r="E1455" s="108"/>
      <c r="F1455" s="108"/>
      <c r="G1455" s="108"/>
      <c r="H1455" s="108"/>
      <c r="I1455" s="108"/>
      <c r="J1455" s="108"/>
      <c r="K1455" s="108"/>
      <c r="L1455" s="108"/>
      <c r="M1455" s="108"/>
      <c r="N1455" s="108"/>
      <c r="O1455" s="108"/>
      <c r="P1455" s="108"/>
      <c r="Q1455" s="108"/>
      <c r="R1455" s="108"/>
      <c r="S1455" s="108"/>
      <c r="T1455" s="108"/>
      <c r="U1455" s="108"/>
      <c r="V1455" s="108"/>
      <c r="W1455" s="108"/>
      <c r="X1455" s="108"/>
    </row>
    <row r="1456" spans="1:24">
      <c r="A1456" s="108"/>
      <c r="B1456" s="108"/>
      <c r="C1456" s="108"/>
      <c r="D1456" s="108"/>
      <c r="E1456" s="108"/>
      <c r="F1456" s="108"/>
      <c r="G1456" s="108"/>
      <c r="H1456" s="108"/>
      <c r="I1456" s="108"/>
      <c r="J1456" s="108"/>
      <c r="K1456" s="108"/>
      <c r="L1456" s="108"/>
      <c r="M1456" s="108"/>
      <c r="N1456" s="108"/>
      <c r="O1456" s="108"/>
      <c r="P1456" s="108"/>
      <c r="Q1456" s="108"/>
      <c r="R1456" s="108"/>
      <c r="S1456" s="108"/>
      <c r="T1456" s="108"/>
      <c r="U1456" s="108"/>
      <c r="V1456" s="108"/>
      <c r="W1456" s="108"/>
      <c r="X1456" s="108"/>
    </row>
    <row r="1457" spans="1:24">
      <c r="A1457" s="108"/>
      <c r="B1457" s="108"/>
      <c r="C1457" s="108"/>
      <c r="D1457" s="108"/>
      <c r="E1457" s="108"/>
      <c r="F1457" s="108"/>
      <c r="G1457" s="108"/>
      <c r="H1457" s="108"/>
      <c r="I1457" s="108"/>
      <c r="J1457" s="108"/>
      <c r="K1457" s="108"/>
      <c r="L1457" s="108"/>
      <c r="M1457" s="108"/>
      <c r="N1457" s="108"/>
      <c r="O1457" s="108"/>
      <c r="P1457" s="108"/>
      <c r="Q1457" s="108"/>
      <c r="R1457" s="108"/>
      <c r="S1457" s="108"/>
      <c r="T1457" s="108"/>
      <c r="U1457" s="108"/>
      <c r="V1457" s="108"/>
      <c r="W1457" s="108"/>
      <c r="X1457" s="108"/>
    </row>
    <row r="1458" spans="1:24">
      <c r="A1458" s="108"/>
      <c r="B1458" s="108"/>
      <c r="C1458" s="108"/>
      <c r="D1458" s="108"/>
      <c r="E1458" s="108"/>
      <c r="F1458" s="108"/>
      <c r="G1458" s="108"/>
      <c r="H1458" s="108"/>
      <c r="I1458" s="108"/>
      <c r="J1458" s="108"/>
      <c r="K1458" s="108"/>
      <c r="L1458" s="108"/>
      <c r="M1458" s="108"/>
      <c r="N1458" s="108"/>
      <c r="O1458" s="108"/>
      <c r="P1458" s="108"/>
      <c r="Q1458" s="108"/>
      <c r="R1458" s="108"/>
      <c r="S1458" s="108"/>
      <c r="T1458" s="108"/>
      <c r="U1458" s="108"/>
      <c r="V1458" s="108"/>
      <c r="W1458" s="108"/>
      <c r="X1458" s="108"/>
    </row>
    <row r="1459" spans="1:24">
      <c r="A1459" s="108"/>
      <c r="B1459" s="108"/>
      <c r="C1459" s="108"/>
      <c r="D1459" s="108"/>
      <c r="E1459" s="108"/>
      <c r="F1459" s="108"/>
      <c r="G1459" s="108"/>
      <c r="H1459" s="108"/>
      <c r="I1459" s="108"/>
      <c r="J1459" s="108"/>
      <c r="K1459" s="108"/>
      <c r="L1459" s="108"/>
      <c r="M1459" s="108"/>
      <c r="N1459" s="108"/>
      <c r="O1459" s="108"/>
      <c r="P1459" s="108"/>
      <c r="Q1459" s="108"/>
      <c r="R1459" s="108"/>
      <c r="S1459" s="108"/>
      <c r="T1459" s="108"/>
      <c r="U1459" s="108"/>
      <c r="V1459" s="108"/>
      <c r="W1459" s="108"/>
      <c r="X1459" s="108"/>
    </row>
    <row r="1460" spans="1:24">
      <c r="A1460" s="108"/>
      <c r="B1460" s="108"/>
      <c r="C1460" s="108"/>
      <c r="D1460" s="108"/>
      <c r="E1460" s="108"/>
      <c r="F1460" s="108"/>
      <c r="G1460" s="108"/>
      <c r="H1460" s="108"/>
      <c r="I1460" s="108"/>
      <c r="J1460" s="108"/>
      <c r="K1460" s="108"/>
      <c r="L1460" s="108"/>
      <c r="M1460" s="108"/>
      <c r="N1460" s="108"/>
      <c r="O1460" s="108"/>
      <c r="P1460" s="108"/>
      <c r="Q1460" s="108"/>
      <c r="R1460" s="108"/>
      <c r="S1460" s="108"/>
      <c r="T1460" s="108"/>
      <c r="U1460" s="108"/>
      <c r="V1460" s="108"/>
      <c r="W1460" s="108"/>
      <c r="X1460" s="108"/>
    </row>
    <row r="1461" spans="1:24">
      <c r="A1461" s="108"/>
      <c r="B1461" s="108"/>
      <c r="C1461" s="108"/>
      <c r="D1461" s="108"/>
      <c r="E1461" s="108"/>
      <c r="F1461" s="108"/>
      <c r="G1461" s="108"/>
      <c r="H1461" s="108"/>
      <c r="I1461" s="108"/>
      <c r="J1461" s="108"/>
      <c r="K1461" s="108"/>
      <c r="L1461" s="108"/>
      <c r="M1461" s="108"/>
      <c r="N1461" s="108"/>
      <c r="O1461" s="108"/>
      <c r="P1461" s="108"/>
      <c r="Q1461" s="108"/>
      <c r="R1461" s="108"/>
      <c r="S1461" s="108"/>
      <c r="T1461" s="108"/>
      <c r="U1461" s="108"/>
      <c r="V1461" s="108"/>
      <c r="W1461" s="108"/>
      <c r="X1461" s="108"/>
    </row>
    <row r="1462" spans="1:24">
      <c r="A1462" s="108"/>
      <c r="B1462" s="108"/>
      <c r="C1462" s="108"/>
      <c r="D1462" s="108"/>
      <c r="E1462" s="108"/>
      <c r="F1462" s="108"/>
      <c r="G1462" s="108"/>
      <c r="H1462" s="108"/>
      <c r="I1462" s="108"/>
      <c r="J1462" s="108"/>
      <c r="K1462" s="108"/>
      <c r="L1462" s="108"/>
      <c r="M1462" s="108"/>
      <c r="N1462" s="108"/>
      <c r="O1462" s="108"/>
      <c r="P1462" s="108"/>
      <c r="Q1462" s="108"/>
      <c r="R1462" s="108"/>
      <c r="S1462" s="108"/>
      <c r="T1462" s="108"/>
      <c r="U1462" s="108"/>
      <c r="V1462" s="108"/>
      <c r="W1462" s="108"/>
      <c r="X1462" s="108"/>
    </row>
    <row r="1463" spans="1:24">
      <c r="A1463" s="108"/>
      <c r="B1463" s="108"/>
      <c r="C1463" s="108"/>
      <c r="D1463" s="108"/>
      <c r="E1463" s="108"/>
      <c r="F1463" s="108"/>
      <c r="G1463" s="108"/>
      <c r="H1463" s="108"/>
      <c r="I1463" s="108"/>
      <c r="J1463" s="108"/>
      <c r="K1463" s="108"/>
      <c r="L1463" s="108"/>
      <c r="M1463" s="108"/>
      <c r="N1463" s="108"/>
      <c r="O1463" s="108"/>
      <c r="P1463" s="108"/>
      <c r="Q1463" s="108"/>
      <c r="R1463" s="108"/>
      <c r="S1463" s="108"/>
      <c r="T1463" s="108"/>
      <c r="U1463" s="108"/>
      <c r="V1463" s="108"/>
      <c r="W1463" s="108"/>
      <c r="X1463" s="108"/>
    </row>
    <row r="1464" spans="1:24">
      <c r="A1464" s="108"/>
      <c r="B1464" s="108"/>
      <c r="C1464" s="108"/>
      <c r="D1464" s="108"/>
      <c r="E1464" s="108"/>
      <c r="F1464" s="108"/>
      <c r="G1464" s="108"/>
      <c r="H1464" s="108"/>
      <c r="I1464" s="108"/>
      <c r="J1464" s="108"/>
      <c r="K1464" s="108"/>
      <c r="L1464" s="108"/>
      <c r="M1464" s="108"/>
      <c r="N1464" s="108"/>
      <c r="O1464" s="108"/>
      <c r="P1464" s="108"/>
      <c r="Q1464" s="108"/>
      <c r="R1464" s="108"/>
      <c r="S1464" s="108"/>
      <c r="T1464" s="108"/>
      <c r="U1464" s="108"/>
      <c r="V1464" s="108"/>
      <c r="W1464" s="108"/>
      <c r="X1464" s="108"/>
    </row>
    <row r="1465" spans="1:24">
      <c r="A1465" s="108"/>
      <c r="B1465" s="108"/>
      <c r="C1465" s="108"/>
      <c r="D1465" s="108"/>
      <c r="E1465" s="108"/>
      <c r="F1465" s="108"/>
      <c r="G1465" s="108"/>
      <c r="H1465" s="108"/>
      <c r="I1465" s="108"/>
      <c r="J1465" s="108"/>
      <c r="K1465" s="108"/>
      <c r="L1465" s="108"/>
      <c r="M1465" s="108"/>
      <c r="N1465" s="108"/>
      <c r="O1465" s="108"/>
      <c r="P1465" s="108"/>
      <c r="Q1465" s="108"/>
      <c r="R1465" s="108"/>
      <c r="S1465" s="108"/>
      <c r="T1465" s="108"/>
      <c r="U1465" s="108"/>
      <c r="V1465" s="108"/>
      <c r="W1465" s="108"/>
      <c r="X1465" s="108"/>
    </row>
    <row r="1466" spans="1:24">
      <c r="A1466" s="108"/>
      <c r="B1466" s="108"/>
      <c r="C1466" s="108"/>
      <c r="D1466" s="108"/>
      <c r="E1466" s="108"/>
      <c r="F1466" s="108"/>
      <c r="G1466" s="108"/>
      <c r="H1466" s="108"/>
      <c r="I1466" s="108"/>
      <c r="J1466" s="108"/>
      <c r="K1466" s="108"/>
      <c r="L1466" s="108"/>
      <c r="M1466" s="108"/>
      <c r="N1466" s="108"/>
      <c r="O1466" s="108"/>
      <c r="P1466" s="108"/>
      <c r="Q1466" s="108"/>
      <c r="R1466" s="108"/>
      <c r="S1466" s="108"/>
      <c r="T1466" s="108"/>
      <c r="U1466" s="108"/>
      <c r="V1466" s="108"/>
      <c r="W1466" s="108"/>
      <c r="X1466" s="108"/>
    </row>
    <row r="1467" spans="1:24">
      <c r="A1467" s="108"/>
      <c r="B1467" s="108"/>
      <c r="C1467" s="108"/>
      <c r="D1467" s="108"/>
      <c r="E1467" s="108"/>
      <c r="F1467" s="108"/>
      <c r="G1467" s="108"/>
      <c r="H1467" s="108"/>
      <c r="I1467" s="108"/>
      <c r="J1467" s="108"/>
      <c r="K1467" s="108"/>
      <c r="L1467" s="108"/>
      <c r="M1467" s="108"/>
      <c r="N1467" s="108"/>
      <c r="O1467" s="108"/>
      <c r="P1467" s="108"/>
      <c r="Q1467" s="108"/>
      <c r="R1467" s="108"/>
      <c r="S1467" s="108"/>
      <c r="T1467" s="108"/>
      <c r="U1467" s="108"/>
      <c r="V1467" s="108"/>
      <c r="W1467" s="108"/>
      <c r="X1467" s="108"/>
    </row>
    <row r="1468" spans="1:24">
      <c r="A1468" s="108"/>
      <c r="B1468" s="108"/>
      <c r="C1468" s="108"/>
      <c r="D1468" s="108"/>
      <c r="E1468" s="108"/>
      <c r="F1468" s="108"/>
      <c r="G1468" s="108"/>
      <c r="H1468" s="108"/>
      <c r="I1468" s="108"/>
      <c r="J1468" s="108"/>
      <c r="K1468" s="108"/>
      <c r="L1468" s="108"/>
      <c r="M1468" s="108"/>
      <c r="N1468" s="108"/>
      <c r="O1468" s="108"/>
      <c r="P1468" s="108"/>
      <c r="Q1468" s="108"/>
      <c r="R1468" s="108"/>
      <c r="S1468" s="108"/>
      <c r="T1468" s="108"/>
      <c r="U1468" s="108"/>
      <c r="V1468" s="108"/>
      <c r="W1468" s="108"/>
      <c r="X1468" s="108"/>
    </row>
    <row r="1469" spans="1:24">
      <c r="A1469" s="108"/>
      <c r="B1469" s="108"/>
      <c r="C1469" s="108"/>
      <c r="D1469" s="108"/>
      <c r="E1469" s="108"/>
      <c r="F1469" s="108"/>
      <c r="G1469" s="108"/>
      <c r="H1469" s="108"/>
      <c r="I1469" s="108"/>
      <c r="J1469" s="108"/>
      <c r="K1469" s="108"/>
      <c r="L1469" s="108"/>
      <c r="M1469" s="108"/>
      <c r="N1469" s="108"/>
      <c r="O1469" s="108"/>
      <c r="P1469" s="108"/>
      <c r="Q1469" s="108"/>
      <c r="R1469" s="108"/>
      <c r="S1469" s="108"/>
      <c r="T1469" s="108"/>
      <c r="U1469" s="108"/>
      <c r="V1469" s="108"/>
      <c r="W1469" s="108"/>
      <c r="X1469" s="108"/>
    </row>
    <row r="1470" spans="1:24">
      <c r="A1470" s="108"/>
      <c r="B1470" s="108"/>
      <c r="C1470" s="108"/>
      <c r="D1470" s="108"/>
      <c r="E1470" s="108"/>
      <c r="F1470" s="108"/>
      <c r="G1470" s="108"/>
      <c r="H1470" s="108"/>
      <c r="I1470" s="108"/>
      <c r="J1470" s="108"/>
      <c r="K1470" s="108"/>
      <c r="L1470" s="108"/>
      <c r="M1470" s="108"/>
      <c r="N1470" s="108"/>
      <c r="O1470" s="108"/>
      <c r="P1470" s="108"/>
      <c r="Q1470" s="108"/>
      <c r="R1470" s="108"/>
      <c r="S1470" s="108"/>
      <c r="T1470" s="108"/>
      <c r="U1470" s="108"/>
      <c r="V1470" s="108"/>
      <c r="W1470" s="108"/>
      <c r="X1470" s="108"/>
    </row>
    <row r="1471" spans="1:24">
      <c r="A1471" s="108"/>
      <c r="B1471" s="108"/>
      <c r="C1471" s="108"/>
      <c r="D1471" s="108"/>
      <c r="E1471" s="108"/>
      <c r="F1471" s="108"/>
      <c r="G1471" s="108"/>
      <c r="H1471" s="108"/>
      <c r="I1471" s="108"/>
      <c r="J1471" s="108"/>
      <c r="K1471" s="108"/>
      <c r="L1471" s="108"/>
      <c r="M1471" s="108"/>
      <c r="N1471" s="108"/>
      <c r="O1471" s="108"/>
      <c r="P1471" s="108"/>
      <c r="Q1471" s="108"/>
      <c r="R1471" s="108"/>
      <c r="S1471" s="108"/>
      <c r="T1471" s="108"/>
      <c r="U1471" s="108"/>
      <c r="V1471" s="108"/>
      <c r="W1471" s="108"/>
      <c r="X1471" s="108"/>
    </row>
    <row r="1472" spans="1:24">
      <c r="A1472" s="108"/>
      <c r="B1472" s="108"/>
      <c r="C1472" s="108"/>
      <c r="D1472" s="108"/>
      <c r="E1472" s="108"/>
      <c r="F1472" s="108"/>
      <c r="G1472" s="108"/>
      <c r="H1472" s="108"/>
      <c r="I1472" s="108"/>
      <c r="J1472" s="108"/>
      <c r="K1472" s="108"/>
      <c r="L1472" s="108"/>
      <c r="M1472" s="108"/>
      <c r="N1472" s="108"/>
      <c r="O1472" s="108"/>
      <c r="P1472" s="108"/>
      <c r="Q1472" s="108"/>
      <c r="R1472" s="108"/>
      <c r="S1472" s="108"/>
      <c r="T1472" s="108"/>
      <c r="U1472" s="108"/>
      <c r="V1472" s="108"/>
      <c r="W1472" s="108"/>
      <c r="X1472" s="108"/>
    </row>
    <row r="1473" spans="1:24">
      <c r="A1473" s="108"/>
      <c r="B1473" s="108"/>
      <c r="C1473" s="108"/>
      <c r="D1473" s="108"/>
      <c r="E1473" s="108"/>
      <c r="F1473" s="108"/>
      <c r="G1473" s="108"/>
      <c r="H1473" s="108"/>
      <c r="I1473" s="108"/>
      <c r="J1473" s="108"/>
      <c r="K1473" s="108"/>
      <c r="L1473" s="108"/>
      <c r="M1473" s="108"/>
      <c r="N1473" s="108"/>
      <c r="O1473" s="108"/>
      <c r="P1473" s="108"/>
      <c r="Q1473" s="108"/>
      <c r="R1473" s="108"/>
      <c r="S1473" s="108"/>
      <c r="T1473" s="108"/>
      <c r="U1473" s="108"/>
      <c r="V1473" s="108"/>
      <c r="W1473" s="108"/>
      <c r="X1473" s="108"/>
    </row>
    <row r="1474" spans="1:24">
      <c r="A1474" s="108"/>
      <c r="B1474" s="108"/>
      <c r="C1474" s="108"/>
      <c r="D1474" s="108"/>
      <c r="E1474" s="108"/>
      <c r="F1474" s="108"/>
      <c r="G1474" s="108"/>
      <c r="H1474" s="108"/>
      <c r="I1474" s="108"/>
      <c r="J1474" s="108"/>
      <c r="K1474" s="108"/>
      <c r="L1474" s="108"/>
      <c r="M1474" s="108"/>
      <c r="N1474" s="108"/>
      <c r="O1474" s="108"/>
      <c r="P1474" s="108"/>
      <c r="Q1474" s="108"/>
      <c r="R1474" s="108"/>
      <c r="S1474" s="108"/>
      <c r="T1474" s="108"/>
      <c r="U1474" s="108"/>
      <c r="V1474" s="108"/>
      <c r="W1474" s="108"/>
      <c r="X1474" s="108"/>
    </row>
    <row r="1475" spans="1:24">
      <c r="A1475" s="108"/>
      <c r="B1475" s="108"/>
      <c r="C1475" s="108"/>
      <c r="D1475" s="108"/>
      <c r="E1475" s="108"/>
      <c r="F1475" s="108"/>
      <c r="G1475" s="108"/>
      <c r="H1475" s="108"/>
      <c r="I1475" s="108"/>
      <c r="J1475" s="108"/>
      <c r="K1475" s="108"/>
      <c r="L1475" s="108"/>
      <c r="M1475" s="108"/>
      <c r="N1475" s="108"/>
      <c r="O1475" s="108"/>
      <c r="P1475" s="108"/>
      <c r="Q1475" s="108"/>
      <c r="R1475" s="108"/>
      <c r="S1475" s="108"/>
      <c r="T1475" s="108"/>
      <c r="U1475" s="108"/>
      <c r="V1475" s="108"/>
      <c r="W1475" s="108"/>
      <c r="X1475" s="108"/>
    </row>
    <row r="1476" spans="1:24">
      <c r="A1476" s="108"/>
      <c r="B1476" s="108"/>
      <c r="C1476" s="108"/>
      <c r="D1476" s="108"/>
      <c r="E1476" s="108"/>
      <c r="F1476" s="108"/>
      <c r="G1476" s="108"/>
      <c r="H1476" s="108"/>
      <c r="I1476" s="108"/>
      <c r="J1476" s="108"/>
      <c r="K1476" s="108"/>
      <c r="L1476" s="108"/>
      <c r="M1476" s="108"/>
      <c r="N1476" s="108"/>
      <c r="O1476" s="108"/>
      <c r="P1476" s="108"/>
      <c r="Q1476" s="108"/>
      <c r="R1476" s="108"/>
      <c r="S1476" s="108"/>
      <c r="T1476" s="108"/>
      <c r="U1476" s="108"/>
      <c r="V1476" s="108"/>
      <c r="W1476" s="108"/>
      <c r="X1476" s="108"/>
    </row>
    <row r="1477" spans="1:24">
      <c r="A1477" s="108"/>
      <c r="B1477" s="108"/>
      <c r="C1477" s="108"/>
      <c r="D1477" s="108"/>
      <c r="E1477" s="108"/>
      <c r="F1477" s="108"/>
      <c r="G1477" s="108"/>
      <c r="H1477" s="108"/>
      <c r="I1477" s="108"/>
      <c r="J1477" s="108"/>
      <c r="K1477" s="108"/>
      <c r="L1477" s="108"/>
      <c r="M1477" s="108"/>
      <c r="N1477" s="108"/>
      <c r="O1477" s="108"/>
      <c r="P1477" s="108"/>
      <c r="Q1477" s="108"/>
      <c r="R1477" s="108"/>
      <c r="S1477" s="108"/>
      <c r="T1477" s="108"/>
      <c r="U1477" s="108"/>
      <c r="V1477" s="108"/>
      <c r="W1477" s="108"/>
      <c r="X1477" s="108"/>
    </row>
    <row r="1478" spans="1:24">
      <c r="A1478" s="108"/>
      <c r="B1478" s="108"/>
      <c r="C1478" s="108"/>
      <c r="D1478" s="108"/>
      <c r="E1478" s="108"/>
      <c r="F1478" s="108"/>
      <c r="G1478" s="108"/>
      <c r="H1478" s="108"/>
      <c r="I1478" s="108"/>
      <c r="J1478" s="108"/>
      <c r="K1478" s="108"/>
      <c r="L1478" s="108"/>
      <c r="M1478" s="108"/>
      <c r="N1478" s="108"/>
      <c r="O1478" s="108"/>
      <c r="P1478" s="108"/>
      <c r="Q1478" s="108"/>
      <c r="R1478" s="108"/>
      <c r="S1478" s="108"/>
      <c r="T1478" s="108"/>
      <c r="U1478" s="108"/>
      <c r="V1478" s="108"/>
      <c r="W1478" s="108"/>
      <c r="X1478" s="108"/>
    </row>
    <row r="1479" spans="1:24">
      <c r="A1479" s="108"/>
      <c r="B1479" s="108"/>
      <c r="C1479" s="108"/>
      <c r="D1479" s="108"/>
      <c r="E1479" s="108"/>
      <c r="F1479" s="108"/>
      <c r="G1479" s="108"/>
      <c r="H1479" s="108"/>
      <c r="I1479" s="108"/>
      <c r="J1479" s="108"/>
      <c r="K1479" s="108"/>
      <c r="L1479" s="108"/>
      <c r="M1479" s="108"/>
      <c r="N1479" s="108"/>
      <c r="O1479" s="108"/>
      <c r="P1479" s="108"/>
      <c r="Q1479" s="108"/>
      <c r="R1479" s="108"/>
      <c r="S1479" s="108"/>
      <c r="T1479" s="108"/>
      <c r="U1479" s="108"/>
      <c r="V1479" s="108"/>
      <c r="W1479" s="108"/>
      <c r="X1479" s="108"/>
    </row>
    <row r="1480" spans="1:24">
      <c r="A1480" s="108"/>
      <c r="B1480" s="108"/>
      <c r="C1480" s="108"/>
      <c r="D1480" s="108"/>
      <c r="E1480" s="108"/>
      <c r="F1480" s="108"/>
      <c r="G1480" s="108"/>
      <c r="H1480" s="108"/>
      <c r="I1480" s="108"/>
      <c r="J1480" s="108"/>
      <c r="K1480" s="108"/>
      <c r="L1480" s="108"/>
      <c r="M1480" s="108"/>
      <c r="N1480" s="108"/>
      <c r="O1480" s="108"/>
      <c r="P1480" s="108"/>
      <c r="Q1480" s="108"/>
      <c r="R1480" s="108"/>
      <c r="S1480" s="108"/>
      <c r="T1480" s="108"/>
      <c r="U1480" s="108"/>
      <c r="V1480" s="108"/>
      <c r="W1480" s="108"/>
      <c r="X1480" s="108"/>
    </row>
    <row r="1481" spans="1:24">
      <c r="A1481" s="108"/>
      <c r="B1481" s="108"/>
      <c r="C1481" s="108"/>
      <c r="D1481" s="108"/>
      <c r="E1481" s="108"/>
      <c r="F1481" s="108"/>
      <c r="G1481" s="108"/>
      <c r="H1481" s="108"/>
      <c r="I1481" s="108"/>
      <c r="J1481" s="108"/>
      <c r="K1481" s="108"/>
      <c r="L1481" s="108"/>
      <c r="M1481" s="108"/>
      <c r="N1481" s="108"/>
      <c r="O1481" s="108"/>
      <c r="P1481" s="108"/>
      <c r="Q1481" s="108"/>
      <c r="R1481" s="108"/>
      <c r="S1481" s="108"/>
      <c r="T1481" s="108"/>
      <c r="U1481" s="108"/>
      <c r="V1481" s="108"/>
      <c r="W1481" s="108"/>
      <c r="X1481" s="108"/>
    </row>
    <row r="1482" spans="1:24">
      <c r="A1482" s="108"/>
      <c r="B1482" s="108"/>
      <c r="C1482" s="108"/>
      <c r="D1482" s="108"/>
      <c r="E1482" s="108"/>
      <c r="F1482" s="108"/>
      <c r="G1482" s="108"/>
      <c r="H1482" s="108"/>
      <c r="I1482" s="108"/>
      <c r="J1482" s="108"/>
      <c r="K1482" s="108"/>
      <c r="L1482" s="108"/>
      <c r="M1482" s="108"/>
      <c r="N1482" s="108"/>
      <c r="O1482" s="108"/>
      <c r="P1482" s="108"/>
      <c r="Q1482" s="108"/>
      <c r="R1482" s="108"/>
      <c r="S1482" s="108"/>
      <c r="T1482" s="108"/>
      <c r="U1482" s="108"/>
      <c r="V1482" s="108"/>
      <c r="W1482" s="108"/>
      <c r="X1482" s="108"/>
    </row>
    <row r="1483" spans="1:24">
      <c r="A1483" s="108"/>
      <c r="B1483" s="108"/>
      <c r="C1483" s="108"/>
      <c r="D1483" s="108"/>
      <c r="E1483" s="108"/>
      <c r="F1483" s="108"/>
      <c r="G1483" s="108"/>
      <c r="H1483" s="108"/>
      <c r="I1483" s="108"/>
      <c r="J1483" s="108"/>
      <c r="K1483" s="108"/>
      <c r="L1483" s="108"/>
      <c r="M1483" s="108"/>
      <c r="N1483" s="108"/>
      <c r="O1483" s="108"/>
      <c r="P1483" s="108"/>
      <c r="Q1483" s="108"/>
      <c r="R1483" s="108"/>
      <c r="S1483" s="108"/>
      <c r="T1483" s="108"/>
      <c r="U1483" s="108"/>
      <c r="V1483" s="108"/>
      <c r="W1483" s="108"/>
      <c r="X1483" s="108"/>
    </row>
    <row r="1484" spans="1:24">
      <c r="A1484" s="108"/>
      <c r="B1484" s="108"/>
      <c r="C1484" s="108"/>
      <c r="D1484" s="108"/>
      <c r="E1484" s="108"/>
      <c r="F1484" s="108"/>
      <c r="G1484" s="108"/>
      <c r="H1484" s="108"/>
      <c r="I1484" s="108"/>
      <c r="J1484" s="108"/>
      <c r="K1484" s="108"/>
      <c r="L1484" s="108"/>
      <c r="M1484" s="108"/>
      <c r="N1484" s="108"/>
      <c r="O1484" s="108"/>
      <c r="P1484" s="108"/>
      <c r="Q1484" s="108"/>
      <c r="R1484" s="108"/>
      <c r="S1484" s="108"/>
      <c r="T1484" s="108"/>
      <c r="U1484" s="108"/>
      <c r="V1484" s="108"/>
      <c r="W1484" s="108"/>
      <c r="X1484" s="108"/>
    </row>
    <row r="1485" spans="1:24">
      <c r="A1485" s="108"/>
      <c r="B1485" s="108"/>
      <c r="C1485" s="108"/>
      <c r="D1485" s="108"/>
      <c r="E1485" s="108"/>
      <c r="F1485" s="108"/>
      <c r="G1485" s="108"/>
      <c r="H1485" s="108"/>
      <c r="I1485" s="108"/>
      <c r="J1485" s="108"/>
      <c r="K1485" s="108"/>
      <c r="L1485" s="108"/>
      <c r="M1485" s="108"/>
      <c r="N1485" s="108"/>
      <c r="O1485" s="108"/>
      <c r="P1485" s="108"/>
      <c r="Q1485" s="108"/>
      <c r="R1485" s="108"/>
      <c r="S1485" s="108"/>
      <c r="T1485" s="108"/>
      <c r="U1485" s="108"/>
      <c r="V1485" s="108"/>
      <c r="W1485" s="108"/>
      <c r="X1485" s="108"/>
    </row>
    <row r="1486" spans="1:24">
      <c r="A1486" s="108"/>
      <c r="B1486" s="108"/>
      <c r="C1486" s="108"/>
      <c r="D1486" s="108"/>
      <c r="E1486" s="108"/>
      <c r="F1486" s="108"/>
      <c r="G1486" s="108"/>
      <c r="H1486" s="108"/>
      <c r="I1486" s="108"/>
      <c r="J1486" s="108"/>
      <c r="K1486" s="108"/>
      <c r="L1486" s="108"/>
      <c r="M1486" s="108"/>
      <c r="N1486" s="108"/>
      <c r="O1486" s="108"/>
      <c r="P1486" s="108"/>
      <c r="Q1486" s="108"/>
      <c r="R1486" s="108"/>
      <c r="S1486" s="108"/>
      <c r="T1486" s="108"/>
      <c r="U1486" s="108"/>
      <c r="V1486" s="108"/>
      <c r="W1486" s="108"/>
      <c r="X1486" s="108"/>
    </row>
    <row r="1487" spans="1:24">
      <c r="A1487" s="108"/>
      <c r="B1487" s="108"/>
      <c r="C1487" s="108"/>
      <c r="D1487" s="108"/>
      <c r="E1487" s="108"/>
      <c r="F1487" s="108"/>
      <c r="G1487" s="108"/>
      <c r="H1487" s="108"/>
      <c r="I1487" s="108"/>
      <c r="J1487" s="108"/>
      <c r="K1487" s="108"/>
      <c r="L1487" s="108"/>
      <c r="M1487" s="108"/>
      <c r="N1487" s="108"/>
      <c r="O1487" s="108"/>
      <c r="P1487" s="108"/>
      <c r="Q1487" s="108"/>
      <c r="R1487" s="108"/>
      <c r="S1487" s="108"/>
      <c r="T1487" s="108"/>
      <c r="U1487" s="108"/>
      <c r="V1487" s="108"/>
      <c r="W1487" s="108"/>
      <c r="X1487" s="108"/>
    </row>
    <row r="1488" spans="1:24">
      <c r="A1488" s="108"/>
      <c r="B1488" s="108"/>
      <c r="C1488" s="108"/>
      <c r="D1488" s="108"/>
      <c r="E1488" s="108"/>
      <c r="F1488" s="108"/>
      <c r="G1488" s="108"/>
      <c r="H1488" s="108"/>
      <c r="I1488" s="108"/>
      <c r="J1488" s="108"/>
      <c r="K1488" s="108"/>
      <c r="L1488" s="108"/>
      <c r="M1488" s="108"/>
      <c r="N1488" s="108"/>
      <c r="O1488" s="108"/>
      <c r="P1488" s="108"/>
      <c r="Q1488" s="108"/>
      <c r="R1488" s="108"/>
      <c r="S1488" s="108"/>
      <c r="T1488" s="108"/>
      <c r="U1488" s="108"/>
      <c r="V1488" s="108"/>
      <c r="W1488" s="108"/>
      <c r="X1488" s="108"/>
    </row>
    <row r="1489" spans="1:24">
      <c r="A1489" s="108"/>
      <c r="B1489" s="108"/>
      <c r="C1489" s="108"/>
      <c r="D1489" s="108"/>
      <c r="E1489" s="108"/>
      <c r="F1489" s="108"/>
      <c r="G1489" s="108"/>
      <c r="H1489" s="108"/>
      <c r="I1489" s="108"/>
      <c r="J1489" s="108"/>
      <c r="K1489" s="108"/>
      <c r="L1489" s="108"/>
      <c r="M1489" s="108"/>
      <c r="N1489" s="108"/>
      <c r="O1489" s="108"/>
      <c r="P1489" s="108"/>
      <c r="Q1489" s="108"/>
      <c r="R1489" s="108"/>
      <c r="S1489" s="108"/>
      <c r="T1489" s="108"/>
      <c r="U1489" s="108"/>
      <c r="V1489" s="108"/>
      <c r="W1489" s="108"/>
      <c r="X1489" s="108"/>
    </row>
    <row r="1490" spans="1:24">
      <c r="A1490" s="108"/>
      <c r="B1490" s="108"/>
      <c r="C1490" s="108"/>
      <c r="D1490" s="108"/>
      <c r="E1490" s="108"/>
      <c r="F1490" s="108"/>
      <c r="G1490" s="108"/>
      <c r="H1490" s="108"/>
      <c r="I1490" s="108"/>
      <c r="J1490" s="108"/>
      <c r="K1490" s="108"/>
      <c r="L1490" s="108"/>
      <c r="M1490" s="108"/>
      <c r="N1490" s="108"/>
      <c r="O1490" s="108"/>
      <c r="P1490" s="108"/>
      <c r="Q1490" s="108"/>
      <c r="R1490" s="108"/>
      <c r="S1490" s="108"/>
      <c r="T1490" s="108"/>
      <c r="U1490" s="108"/>
      <c r="V1490" s="108"/>
      <c r="W1490" s="108"/>
      <c r="X1490" s="108"/>
    </row>
    <row r="1491" spans="1:24">
      <c r="A1491" s="108"/>
      <c r="B1491" s="108"/>
      <c r="C1491" s="108"/>
      <c r="D1491" s="108"/>
      <c r="E1491" s="108"/>
      <c r="F1491" s="108"/>
      <c r="G1491" s="108"/>
      <c r="H1491" s="108"/>
      <c r="I1491" s="108"/>
      <c r="J1491" s="108"/>
      <c r="K1491" s="108"/>
      <c r="L1491" s="108"/>
      <c r="M1491" s="108"/>
      <c r="N1491" s="108"/>
      <c r="O1491" s="108"/>
      <c r="P1491" s="108"/>
      <c r="Q1491" s="108"/>
      <c r="R1491" s="108"/>
      <c r="S1491" s="108"/>
      <c r="T1491" s="108"/>
      <c r="U1491" s="108"/>
      <c r="V1491" s="108"/>
      <c r="W1491" s="108"/>
      <c r="X1491" s="108"/>
    </row>
    <row r="1492" spans="1:24">
      <c r="A1492" s="108"/>
      <c r="B1492" s="108"/>
      <c r="C1492" s="108"/>
      <c r="D1492" s="108"/>
      <c r="E1492" s="108"/>
      <c r="F1492" s="108"/>
      <c r="G1492" s="108"/>
      <c r="H1492" s="108"/>
      <c r="I1492" s="108"/>
      <c r="J1492" s="108"/>
      <c r="K1492" s="108"/>
      <c r="L1492" s="108"/>
      <c r="M1492" s="108"/>
      <c r="N1492" s="108"/>
      <c r="O1492" s="108"/>
      <c r="P1492" s="108"/>
      <c r="Q1492" s="108"/>
      <c r="R1492" s="108"/>
      <c r="S1492" s="108"/>
      <c r="T1492" s="108"/>
      <c r="U1492" s="108"/>
      <c r="V1492" s="108"/>
      <c r="W1492" s="108"/>
      <c r="X1492" s="108"/>
    </row>
    <row r="1493" spans="1:24">
      <c r="A1493" s="108"/>
      <c r="B1493" s="108"/>
      <c r="C1493" s="108"/>
      <c r="D1493" s="108"/>
      <c r="E1493" s="108"/>
      <c r="F1493" s="108"/>
      <c r="G1493" s="108"/>
      <c r="H1493" s="108"/>
      <c r="I1493" s="108"/>
      <c r="J1493" s="108"/>
      <c r="K1493" s="108"/>
      <c r="L1493" s="108"/>
      <c r="M1493" s="108"/>
      <c r="N1493" s="108"/>
      <c r="O1493" s="108"/>
      <c r="P1493" s="108"/>
      <c r="Q1493" s="108"/>
      <c r="R1493" s="108"/>
      <c r="S1493" s="108"/>
      <c r="T1493" s="108"/>
      <c r="U1493" s="108"/>
      <c r="V1493" s="108"/>
      <c r="W1493" s="108"/>
      <c r="X1493" s="108"/>
    </row>
    <row r="1494" spans="1:24">
      <c r="A1494" s="108"/>
      <c r="B1494" s="108"/>
      <c r="C1494" s="108"/>
      <c r="D1494" s="108"/>
      <c r="E1494" s="108"/>
      <c r="F1494" s="108"/>
      <c r="G1494" s="108"/>
      <c r="H1494" s="108"/>
      <c r="I1494" s="108"/>
      <c r="J1494" s="108"/>
      <c r="K1494" s="108"/>
      <c r="L1494" s="108"/>
      <c r="M1494" s="108"/>
      <c r="N1494" s="108"/>
      <c r="O1494" s="108"/>
      <c r="P1494" s="108"/>
      <c r="Q1494" s="108"/>
      <c r="R1494" s="108"/>
      <c r="S1494" s="108"/>
      <c r="T1494" s="108"/>
      <c r="U1494" s="108"/>
      <c r="V1494" s="108"/>
      <c r="W1494" s="108"/>
      <c r="X1494" s="108"/>
    </row>
    <row r="1495" spans="1:24">
      <c r="A1495" s="108"/>
      <c r="B1495" s="108"/>
      <c r="C1495" s="108"/>
      <c r="D1495" s="108"/>
      <c r="E1495" s="108"/>
      <c r="F1495" s="108"/>
      <c r="G1495" s="108"/>
      <c r="H1495" s="108"/>
      <c r="I1495" s="108"/>
      <c r="J1495" s="108"/>
      <c r="K1495" s="108"/>
      <c r="L1495" s="108"/>
      <c r="M1495" s="108"/>
      <c r="N1495" s="108"/>
      <c r="O1495" s="108"/>
      <c r="P1495" s="108"/>
      <c r="Q1495" s="108"/>
      <c r="R1495" s="108"/>
      <c r="S1495" s="108"/>
      <c r="T1495" s="108"/>
      <c r="U1495" s="108"/>
      <c r="V1495" s="108"/>
      <c r="W1495" s="108"/>
      <c r="X1495" s="108"/>
    </row>
    <row r="1496" spans="1:24">
      <c r="A1496" s="108"/>
      <c r="B1496" s="108"/>
      <c r="C1496" s="108"/>
      <c r="D1496" s="108"/>
      <c r="E1496" s="108"/>
      <c r="F1496" s="108"/>
      <c r="G1496" s="108"/>
      <c r="H1496" s="108"/>
      <c r="I1496" s="108"/>
      <c r="J1496" s="108"/>
      <c r="K1496" s="108"/>
      <c r="L1496" s="108"/>
      <c r="M1496" s="108"/>
      <c r="N1496" s="108"/>
      <c r="O1496" s="108"/>
      <c r="P1496" s="108"/>
      <c r="Q1496" s="108"/>
      <c r="R1496" s="108"/>
      <c r="S1496" s="108"/>
      <c r="T1496" s="108"/>
      <c r="U1496" s="108"/>
      <c r="V1496" s="108"/>
      <c r="W1496" s="108"/>
      <c r="X1496" s="108"/>
    </row>
    <row r="1497" spans="1:24">
      <c r="A1497" s="108"/>
      <c r="B1497" s="108"/>
      <c r="C1497" s="108"/>
      <c r="D1497" s="108"/>
      <c r="E1497" s="108"/>
      <c r="F1497" s="108"/>
      <c r="G1497" s="108"/>
      <c r="H1497" s="108"/>
      <c r="I1497" s="108"/>
      <c r="J1497" s="108"/>
      <c r="K1497" s="108"/>
      <c r="L1497" s="108"/>
      <c r="M1497" s="108"/>
      <c r="N1497" s="108"/>
      <c r="O1497" s="108"/>
      <c r="P1497" s="108"/>
      <c r="Q1497" s="108"/>
      <c r="R1497" s="108"/>
      <c r="S1497" s="108"/>
      <c r="T1497" s="108"/>
      <c r="U1497" s="108"/>
      <c r="V1497" s="108"/>
      <c r="W1497" s="108"/>
      <c r="X1497" s="108"/>
    </row>
    <row r="1498" spans="1:24">
      <c r="A1498" s="108"/>
      <c r="B1498" s="108"/>
      <c r="C1498" s="108"/>
      <c r="D1498" s="108"/>
      <c r="E1498" s="108"/>
      <c r="F1498" s="108"/>
      <c r="G1498" s="108"/>
      <c r="H1498" s="108"/>
      <c r="I1498" s="108"/>
      <c r="J1498" s="108"/>
      <c r="K1498" s="108"/>
      <c r="L1498" s="108"/>
      <c r="M1498" s="108"/>
      <c r="N1498" s="108"/>
      <c r="O1498" s="108"/>
      <c r="P1498" s="108"/>
      <c r="Q1498" s="108"/>
      <c r="R1498" s="108"/>
      <c r="S1498" s="108"/>
      <c r="T1498" s="108"/>
      <c r="U1498" s="108"/>
      <c r="V1498" s="108"/>
      <c r="W1498" s="108"/>
      <c r="X1498" s="108"/>
    </row>
    <row r="1499" spans="1:24">
      <c r="A1499" s="108"/>
      <c r="B1499" s="108"/>
      <c r="C1499" s="108"/>
      <c r="D1499" s="108"/>
      <c r="E1499" s="108"/>
      <c r="F1499" s="108"/>
      <c r="G1499" s="108"/>
      <c r="H1499" s="108"/>
      <c r="I1499" s="108"/>
      <c r="J1499" s="108"/>
      <c r="K1499" s="108"/>
      <c r="L1499" s="108"/>
      <c r="M1499" s="108"/>
      <c r="N1499" s="108"/>
      <c r="O1499" s="108"/>
      <c r="P1499" s="108"/>
      <c r="Q1499" s="108"/>
      <c r="R1499" s="108"/>
      <c r="S1499" s="108"/>
      <c r="T1499" s="108"/>
      <c r="U1499" s="108"/>
      <c r="V1499" s="108"/>
      <c r="W1499" s="108"/>
      <c r="X1499" s="108"/>
    </row>
    <row r="1500" spans="1:24">
      <c r="A1500" s="108"/>
      <c r="B1500" s="108"/>
      <c r="C1500" s="108"/>
      <c r="D1500" s="108"/>
      <c r="E1500" s="108"/>
      <c r="F1500" s="108"/>
      <c r="G1500" s="108"/>
      <c r="H1500" s="108"/>
      <c r="I1500" s="108"/>
      <c r="J1500" s="108"/>
      <c r="K1500" s="108"/>
      <c r="L1500" s="108"/>
      <c r="M1500" s="108"/>
      <c r="N1500" s="108"/>
      <c r="O1500" s="108"/>
      <c r="P1500" s="108"/>
      <c r="Q1500" s="108"/>
      <c r="R1500" s="108"/>
      <c r="S1500" s="108"/>
      <c r="T1500" s="108"/>
      <c r="U1500" s="108"/>
      <c r="V1500" s="108"/>
      <c r="W1500" s="108"/>
      <c r="X1500" s="108"/>
    </row>
    <row r="1501" spans="1:24">
      <c r="A1501" s="108"/>
      <c r="B1501" s="108"/>
      <c r="C1501" s="108"/>
      <c r="D1501" s="108"/>
      <c r="E1501" s="108"/>
      <c r="F1501" s="108"/>
      <c r="G1501" s="108"/>
      <c r="H1501" s="108"/>
      <c r="I1501" s="108"/>
      <c r="J1501" s="108"/>
      <c r="K1501" s="108"/>
      <c r="L1501" s="108"/>
      <c r="M1501" s="108"/>
      <c r="N1501" s="108"/>
      <c r="O1501" s="108"/>
      <c r="P1501" s="108"/>
      <c r="Q1501" s="108"/>
      <c r="R1501" s="108"/>
      <c r="S1501" s="108"/>
      <c r="T1501" s="108"/>
      <c r="U1501" s="108"/>
      <c r="V1501" s="108"/>
      <c r="W1501" s="108"/>
      <c r="X1501" s="108"/>
    </row>
    <row r="1502" spans="1:24">
      <c r="A1502" s="108"/>
      <c r="B1502" s="108"/>
      <c r="C1502" s="108"/>
      <c r="D1502" s="108"/>
      <c r="E1502" s="108"/>
      <c r="F1502" s="108"/>
      <c r="G1502" s="108"/>
      <c r="H1502" s="108"/>
      <c r="I1502" s="108"/>
      <c r="J1502" s="108"/>
      <c r="K1502" s="108"/>
      <c r="L1502" s="108"/>
      <c r="M1502" s="108"/>
      <c r="N1502" s="108"/>
      <c r="O1502" s="108"/>
      <c r="P1502" s="108"/>
      <c r="Q1502" s="108"/>
      <c r="R1502" s="108"/>
      <c r="S1502" s="108"/>
      <c r="T1502" s="108"/>
      <c r="U1502" s="108"/>
      <c r="V1502" s="108"/>
      <c r="W1502" s="108"/>
      <c r="X1502" s="108"/>
    </row>
    <row r="1503" spans="1:24">
      <c r="A1503" s="108"/>
      <c r="B1503" s="108"/>
      <c r="C1503" s="108"/>
      <c r="D1503" s="108"/>
      <c r="E1503" s="108"/>
      <c r="F1503" s="108"/>
      <c r="G1503" s="108"/>
      <c r="H1503" s="108"/>
      <c r="I1503" s="108"/>
      <c r="J1503" s="108"/>
      <c r="K1503" s="108"/>
      <c r="L1503" s="108"/>
      <c r="M1503" s="108"/>
      <c r="N1503" s="108"/>
      <c r="O1503" s="108"/>
      <c r="P1503" s="108"/>
      <c r="Q1503" s="108"/>
      <c r="R1503" s="108"/>
      <c r="S1503" s="108"/>
      <c r="T1503" s="108"/>
      <c r="U1503" s="108"/>
      <c r="V1503" s="108"/>
      <c r="W1503" s="108"/>
      <c r="X1503" s="108"/>
    </row>
    <row r="1504" spans="1:24">
      <c r="A1504" s="108"/>
      <c r="B1504" s="108"/>
      <c r="C1504" s="108"/>
      <c r="D1504" s="108"/>
      <c r="E1504" s="108"/>
      <c r="F1504" s="108"/>
      <c r="G1504" s="108"/>
      <c r="H1504" s="108"/>
      <c r="I1504" s="108"/>
      <c r="J1504" s="108"/>
      <c r="K1504" s="108"/>
      <c r="L1504" s="108"/>
      <c r="M1504" s="108"/>
      <c r="N1504" s="108"/>
      <c r="O1504" s="108"/>
      <c r="P1504" s="108"/>
      <c r="Q1504" s="108"/>
      <c r="R1504" s="108"/>
      <c r="S1504" s="108"/>
      <c r="T1504" s="108"/>
      <c r="U1504" s="108"/>
      <c r="V1504" s="108"/>
      <c r="W1504" s="108"/>
      <c r="X1504" s="108"/>
    </row>
    <row r="1505" spans="1:24">
      <c r="A1505" s="108"/>
      <c r="B1505" s="108"/>
      <c r="C1505" s="108"/>
      <c r="D1505" s="108"/>
      <c r="E1505" s="108"/>
      <c r="F1505" s="108"/>
      <c r="G1505" s="108"/>
      <c r="H1505" s="108"/>
      <c r="I1505" s="108"/>
      <c r="J1505" s="108"/>
      <c r="K1505" s="108"/>
      <c r="L1505" s="108"/>
      <c r="M1505" s="108"/>
      <c r="N1505" s="108"/>
      <c r="O1505" s="108"/>
      <c r="P1505" s="108"/>
      <c r="Q1505" s="108"/>
      <c r="R1505" s="108"/>
      <c r="S1505" s="108"/>
      <c r="T1505" s="108"/>
      <c r="U1505" s="108"/>
      <c r="V1505" s="108"/>
      <c r="W1505" s="108"/>
      <c r="X1505" s="108"/>
    </row>
    <row r="1506" spans="1:24">
      <c r="A1506" s="108"/>
      <c r="B1506" s="108"/>
      <c r="C1506" s="108"/>
      <c r="D1506" s="108"/>
      <c r="E1506" s="108"/>
      <c r="F1506" s="108"/>
      <c r="G1506" s="108"/>
      <c r="H1506" s="108"/>
      <c r="I1506" s="108"/>
      <c r="J1506" s="108"/>
      <c r="K1506" s="108"/>
      <c r="L1506" s="108"/>
      <c r="M1506" s="108"/>
      <c r="N1506" s="108"/>
      <c r="O1506" s="108"/>
      <c r="P1506" s="108"/>
      <c r="Q1506" s="108"/>
      <c r="R1506" s="108"/>
      <c r="S1506" s="108"/>
      <c r="T1506" s="108"/>
      <c r="U1506" s="108"/>
      <c r="V1506" s="108"/>
      <c r="W1506" s="108"/>
      <c r="X1506" s="108"/>
    </row>
    <row r="1507" spans="1:24">
      <c r="A1507" s="108"/>
      <c r="B1507" s="108"/>
      <c r="C1507" s="108"/>
      <c r="D1507" s="108"/>
      <c r="E1507" s="108"/>
      <c r="F1507" s="108"/>
      <c r="G1507" s="108"/>
      <c r="H1507" s="108"/>
      <c r="I1507" s="108"/>
      <c r="J1507" s="108"/>
      <c r="K1507" s="108"/>
      <c r="L1507" s="108"/>
      <c r="M1507" s="108"/>
      <c r="N1507" s="108"/>
      <c r="O1507" s="108"/>
      <c r="P1507" s="108"/>
      <c r="Q1507" s="108"/>
      <c r="R1507" s="108"/>
      <c r="S1507" s="108"/>
      <c r="T1507" s="108"/>
      <c r="U1507" s="108"/>
      <c r="V1507" s="108"/>
      <c r="W1507" s="108"/>
      <c r="X1507" s="108"/>
    </row>
    <row r="1508" spans="1:24">
      <c r="A1508" s="108"/>
      <c r="B1508" s="108"/>
      <c r="C1508" s="108"/>
      <c r="D1508" s="108"/>
      <c r="E1508" s="108"/>
      <c r="F1508" s="108"/>
      <c r="G1508" s="108"/>
      <c r="H1508" s="108"/>
      <c r="I1508" s="108"/>
      <c r="J1508" s="108"/>
      <c r="K1508" s="108"/>
      <c r="L1508" s="108"/>
      <c r="M1508" s="108"/>
      <c r="N1508" s="108"/>
      <c r="O1508" s="108"/>
      <c r="P1508" s="108"/>
      <c r="Q1508" s="108"/>
      <c r="R1508" s="108"/>
      <c r="S1508" s="108"/>
      <c r="T1508" s="108"/>
      <c r="U1508" s="108"/>
      <c r="V1508" s="108"/>
      <c r="W1508" s="108"/>
      <c r="X1508" s="108"/>
    </row>
    <row r="1509" spans="1:24">
      <c r="A1509" s="108"/>
      <c r="B1509" s="108"/>
      <c r="C1509" s="108"/>
      <c r="D1509" s="108"/>
      <c r="E1509" s="108"/>
      <c r="F1509" s="108"/>
      <c r="G1509" s="108"/>
      <c r="H1509" s="108"/>
      <c r="I1509" s="108"/>
      <c r="J1509" s="108"/>
      <c r="K1509" s="108"/>
      <c r="L1509" s="108"/>
      <c r="M1509" s="108"/>
      <c r="N1509" s="108"/>
      <c r="O1509" s="108"/>
      <c r="P1509" s="108"/>
      <c r="Q1509" s="108"/>
      <c r="R1509" s="108"/>
      <c r="S1509" s="108"/>
      <c r="T1509" s="108"/>
      <c r="U1509" s="108"/>
      <c r="V1509" s="108"/>
      <c r="W1509" s="108"/>
      <c r="X1509" s="108"/>
    </row>
    <row r="1510" spans="1:24">
      <c r="A1510" s="108"/>
      <c r="B1510" s="108"/>
      <c r="C1510" s="108"/>
      <c r="D1510" s="108"/>
      <c r="E1510" s="108"/>
      <c r="F1510" s="108"/>
      <c r="G1510" s="108"/>
      <c r="H1510" s="108"/>
      <c r="I1510" s="108"/>
      <c r="J1510" s="108"/>
      <c r="K1510" s="108"/>
      <c r="L1510" s="108"/>
      <c r="M1510" s="108"/>
      <c r="N1510" s="108"/>
      <c r="O1510" s="108"/>
      <c r="P1510" s="108"/>
      <c r="Q1510" s="108"/>
      <c r="R1510" s="108"/>
      <c r="S1510" s="108"/>
      <c r="T1510" s="108"/>
      <c r="U1510" s="108"/>
      <c r="V1510" s="108"/>
      <c r="W1510" s="108"/>
      <c r="X1510" s="108"/>
    </row>
    <row r="1511" spans="1:24">
      <c r="A1511" s="108"/>
      <c r="B1511" s="108"/>
      <c r="C1511" s="108"/>
      <c r="D1511" s="108"/>
      <c r="E1511" s="108"/>
      <c r="F1511" s="108"/>
      <c r="G1511" s="108"/>
      <c r="H1511" s="108"/>
      <c r="I1511" s="108"/>
      <c r="J1511" s="108"/>
      <c r="K1511" s="108"/>
      <c r="L1511" s="108"/>
      <c r="M1511" s="108"/>
      <c r="N1511" s="108"/>
      <c r="O1511" s="108"/>
      <c r="P1511" s="108"/>
      <c r="Q1511" s="108"/>
      <c r="R1511" s="108"/>
      <c r="S1511" s="108"/>
      <c r="T1511" s="108"/>
      <c r="U1511" s="108"/>
      <c r="V1511" s="108"/>
      <c r="W1511" s="108"/>
      <c r="X1511" s="108"/>
    </row>
    <row r="1512" spans="1:24">
      <c r="A1512" s="108"/>
      <c r="B1512" s="108"/>
      <c r="C1512" s="108"/>
      <c r="D1512" s="108"/>
      <c r="E1512" s="108"/>
      <c r="F1512" s="108"/>
      <c r="G1512" s="108"/>
      <c r="H1512" s="108"/>
      <c r="I1512" s="108"/>
      <c r="J1512" s="108"/>
      <c r="K1512" s="108"/>
      <c r="L1512" s="108"/>
      <c r="M1512" s="108"/>
      <c r="N1512" s="108"/>
      <c r="O1512" s="108"/>
      <c r="P1512" s="108"/>
      <c r="Q1512" s="108"/>
      <c r="R1512" s="108"/>
      <c r="S1512" s="108"/>
      <c r="T1512" s="108"/>
      <c r="U1512" s="108"/>
      <c r="V1512" s="108"/>
      <c r="W1512" s="108"/>
      <c r="X1512" s="108"/>
    </row>
    <row r="1513" spans="1:24">
      <c r="A1513" s="108"/>
      <c r="B1513" s="108"/>
      <c r="C1513" s="108"/>
      <c r="D1513" s="108"/>
      <c r="E1513" s="108"/>
      <c r="F1513" s="108"/>
      <c r="G1513" s="108"/>
      <c r="H1513" s="108"/>
      <c r="I1513" s="108"/>
      <c r="J1513" s="108"/>
      <c r="K1513" s="108"/>
      <c r="L1513" s="108"/>
      <c r="M1513" s="108"/>
      <c r="N1513" s="108"/>
      <c r="O1513" s="108"/>
      <c r="P1513" s="108"/>
      <c r="Q1513" s="108"/>
      <c r="R1513" s="108"/>
      <c r="S1513" s="108"/>
      <c r="T1513" s="108"/>
      <c r="U1513" s="108"/>
      <c r="V1513" s="108"/>
      <c r="W1513" s="108"/>
      <c r="X1513" s="108"/>
    </row>
    <row r="1514" spans="1:24">
      <c r="A1514" s="108"/>
      <c r="B1514" s="108"/>
      <c r="C1514" s="108"/>
      <c r="D1514" s="108"/>
      <c r="E1514" s="108"/>
      <c r="F1514" s="108"/>
      <c r="G1514" s="108"/>
      <c r="H1514" s="108"/>
      <c r="I1514" s="108"/>
      <c r="J1514" s="108"/>
      <c r="K1514" s="108"/>
      <c r="L1514" s="108"/>
      <c r="M1514" s="108"/>
      <c r="N1514" s="108"/>
      <c r="O1514" s="108"/>
      <c r="P1514" s="108"/>
      <c r="Q1514" s="108"/>
      <c r="R1514" s="108"/>
      <c r="S1514" s="108"/>
      <c r="T1514" s="108"/>
      <c r="U1514" s="108"/>
      <c r="V1514" s="108"/>
      <c r="W1514" s="108"/>
      <c r="X1514" s="108"/>
    </row>
    <row r="1515" spans="1:24">
      <c r="A1515" s="108"/>
      <c r="B1515" s="108"/>
      <c r="C1515" s="108"/>
      <c r="D1515" s="108"/>
      <c r="E1515" s="108"/>
      <c r="F1515" s="108"/>
      <c r="G1515" s="108"/>
      <c r="H1515" s="108"/>
      <c r="I1515" s="108"/>
      <c r="J1515" s="108"/>
      <c r="K1515" s="108"/>
      <c r="L1515" s="108"/>
      <c r="M1515" s="108"/>
      <c r="N1515" s="108"/>
      <c r="O1515" s="108"/>
      <c r="P1515" s="108"/>
      <c r="Q1515" s="108"/>
      <c r="R1515" s="108"/>
      <c r="S1515" s="108"/>
      <c r="T1515" s="108"/>
      <c r="U1515" s="108"/>
      <c r="V1515" s="108"/>
      <c r="W1515" s="108"/>
      <c r="X1515" s="108"/>
    </row>
    <row r="1516" spans="1:24">
      <c r="A1516" s="108"/>
      <c r="B1516" s="108"/>
      <c r="C1516" s="108"/>
      <c r="D1516" s="108"/>
      <c r="E1516" s="108"/>
      <c r="F1516" s="108"/>
      <c r="G1516" s="108"/>
      <c r="H1516" s="108"/>
      <c r="I1516" s="108"/>
      <c r="J1516" s="108"/>
      <c r="K1516" s="108"/>
      <c r="L1516" s="108"/>
      <c r="M1516" s="108"/>
      <c r="N1516" s="108"/>
      <c r="O1516" s="108"/>
      <c r="P1516" s="108"/>
      <c r="Q1516" s="108"/>
      <c r="R1516" s="108"/>
      <c r="S1516" s="108"/>
      <c r="T1516" s="108"/>
      <c r="U1516" s="108"/>
      <c r="V1516" s="108"/>
      <c r="W1516" s="108"/>
      <c r="X1516" s="108"/>
    </row>
    <row r="1517" spans="1:24">
      <c r="A1517" s="108"/>
      <c r="B1517" s="108"/>
      <c r="C1517" s="108"/>
      <c r="D1517" s="108"/>
      <c r="E1517" s="108"/>
      <c r="F1517" s="108"/>
      <c r="G1517" s="108"/>
      <c r="H1517" s="108"/>
      <c r="I1517" s="108"/>
      <c r="J1517" s="108"/>
      <c r="K1517" s="108"/>
      <c r="L1517" s="108"/>
      <c r="M1517" s="108"/>
      <c r="N1517" s="108"/>
      <c r="O1517" s="108"/>
      <c r="P1517" s="108"/>
      <c r="Q1517" s="108"/>
      <c r="R1517" s="108"/>
      <c r="S1517" s="108"/>
      <c r="T1517" s="108"/>
      <c r="U1517" s="108"/>
      <c r="V1517" s="108"/>
      <c r="W1517" s="108"/>
      <c r="X1517" s="108"/>
    </row>
    <row r="1518" spans="1:24">
      <c r="A1518" s="108"/>
      <c r="B1518" s="108"/>
      <c r="C1518" s="108"/>
      <c r="D1518" s="108"/>
      <c r="E1518" s="108"/>
      <c r="F1518" s="108"/>
      <c r="G1518" s="108"/>
      <c r="H1518" s="108"/>
      <c r="I1518" s="108"/>
      <c r="J1518" s="108"/>
      <c r="K1518" s="108"/>
      <c r="L1518" s="108"/>
      <c r="M1518" s="108"/>
      <c r="N1518" s="108"/>
      <c r="O1518" s="108"/>
      <c r="P1518" s="108"/>
      <c r="Q1518" s="108"/>
      <c r="R1518" s="108"/>
      <c r="S1518" s="108"/>
      <c r="T1518" s="108"/>
      <c r="U1518" s="108"/>
      <c r="V1518" s="108"/>
      <c r="W1518" s="108"/>
      <c r="X1518" s="108"/>
    </row>
    <row r="1519" spans="1:24">
      <c r="A1519" s="108"/>
      <c r="B1519" s="108"/>
      <c r="C1519" s="108"/>
      <c r="D1519" s="108"/>
      <c r="E1519" s="108"/>
      <c r="F1519" s="108"/>
      <c r="G1519" s="108"/>
      <c r="H1519" s="108"/>
      <c r="I1519" s="108"/>
      <c r="J1519" s="108"/>
      <c r="K1519" s="108"/>
      <c r="L1519" s="108"/>
      <c r="M1519" s="108"/>
      <c r="N1519" s="108"/>
      <c r="O1519" s="108"/>
      <c r="P1519" s="108"/>
      <c r="Q1519" s="108"/>
      <c r="R1519" s="108"/>
      <c r="S1519" s="108"/>
      <c r="T1519" s="108"/>
      <c r="U1519" s="108"/>
      <c r="V1519" s="108"/>
      <c r="W1519" s="108"/>
      <c r="X1519" s="108"/>
    </row>
    <row r="1520" spans="1:24">
      <c r="A1520" s="108"/>
      <c r="B1520" s="108"/>
      <c r="C1520" s="108"/>
      <c r="D1520" s="108"/>
      <c r="E1520" s="108"/>
      <c r="F1520" s="108"/>
      <c r="G1520" s="108"/>
      <c r="H1520" s="108"/>
      <c r="I1520" s="108"/>
      <c r="J1520" s="108"/>
      <c r="K1520" s="108"/>
      <c r="L1520" s="108"/>
      <c r="M1520" s="108"/>
      <c r="N1520" s="108"/>
      <c r="O1520" s="108"/>
      <c r="P1520" s="108"/>
      <c r="Q1520" s="108"/>
      <c r="R1520" s="108"/>
      <c r="S1520" s="108"/>
      <c r="T1520" s="108"/>
      <c r="U1520" s="108"/>
      <c r="V1520" s="108"/>
      <c r="W1520" s="108"/>
      <c r="X1520" s="108"/>
    </row>
    <row r="1521" spans="1:24">
      <c r="A1521" s="108"/>
      <c r="B1521" s="108"/>
      <c r="C1521" s="108"/>
      <c r="D1521" s="108"/>
      <c r="E1521" s="108"/>
      <c r="F1521" s="108"/>
      <c r="G1521" s="108"/>
      <c r="H1521" s="108"/>
      <c r="I1521" s="108"/>
      <c r="J1521" s="108"/>
      <c r="K1521" s="108"/>
      <c r="L1521" s="108"/>
      <c r="M1521" s="108"/>
      <c r="N1521" s="108"/>
      <c r="O1521" s="108"/>
      <c r="P1521" s="108"/>
      <c r="Q1521" s="108"/>
      <c r="R1521" s="108"/>
      <c r="S1521" s="108"/>
      <c r="T1521" s="108"/>
      <c r="U1521" s="108"/>
      <c r="V1521" s="108"/>
      <c r="W1521" s="108"/>
      <c r="X1521" s="108"/>
    </row>
    <row r="1522" spans="1:24">
      <c r="A1522" s="108"/>
      <c r="B1522" s="108"/>
      <c r="C1522" s="108"/>
      <c r="D1522" s="108"/>
      <c r="E1522" s="108"/>
      <c r="F1522" s="108"/>
      <c r="G1522" s="108"/>
      <c r="H1522" s="108"/>
      <c r="I1522" s="108"/>
      <c r="J1522" s="108"/>
      <c r="K1522" s="108"/>
      <c r="L1522" s="108"/>
      <c r="M1522" s="108"/>
      <c r="N1522" s="108"/>
      <c r="O1522" s="108"/>
      <c r="P1522" s="108"/>
      <c r="Q1522" s="108"/>
      <c r="R1522" s="108"/>
      <c r="S1522" s="108"/>
      <c r="T1522" s="108"/>
      <c r="U1522" s="108"/>
      <c r="V1522" s="108"/>
      <c r="W1522" s="108"/>
      <c r="X1522" s="108"/>
    </row>
    <row r="1523" spans="1:24">
      <c r="A1523" s="108"/>
      <c r="B1523" s="108"/>
      <c r="C1523" s="108"/>
      <c r="D1523" s="108"/>
      <c r="E1523" s="108"/>
      <c r="F1523" s="108"/>
      <c r="G1523" s="108"/>
      <c r="H1523" s="108"/>
      <c r="I1523" s="108"/>
      <c r="J1523" s="108"/>
      <c r="K1523" s="108"/>
      <c r="L1523" s="108"/>
      <c r="M1523" s="108"/>
      <c r="N1523" s="108"/>
      <c r="O1523" s="108"/>
      <c r="P1523" s="108"/>
      <c r="Q1523" s="108"/>
      <c r="R1523" s="108"/>
      <c r="S1523" s="108"/>
      <c r="T1523" s="108"/>
      <c r="U1523" s="108"/>
      <c r="V1523" s="108"/>
      <c r="W1523" s="108"/>
      <c r="X1523" s="108"/>
    </row>
    <row r="1524" spans="1:24">
      <c r="A1524" s="108"/>
      <c r="B1524" s="108"/>
      <c r="C1524" s="108"/>
      <c r="D1524" s="108"/>
      <c r="E1524" s="108"/>
      <c r="F1524" s="108"/>
      <c r="G1524" s="108"/>
      <c r="H1524" s="108"/>
      <c r="I1524" s="108"/>
      <c r="J1524" s="108"/>
      <c r="K1524" s="108"/>
      <c r="L1524" s="108"/>
      <c r="M1524" s="108"/>
      <c r="N1524" s="108"/>
      <c r="O1524" s="108"/>
      <c r="P1524" s="108"/>
      <c r="Q1524" s="108"/>
      <c r="R1524" s="108"/>
      <c r="S1524" s="108"/>
      <c r="T1524" s="108"/>
      <c r="U1524" s="108"/>
      <c r="V1524" s="108"/>
      <c r="W1524" s="108"/>
      <c r="X1524" s="108"/>
    </row>
    <row r="1525" spans="1:24">
      <c r="A1525" s="108"/>
      <c r="B1525" s="108"/>
      <c r="C1525" s="108"/>
      <c r="D1525" s="108"/>
      <c r="E1525" s="108"/>
      <c r="F1525" s="108"/>
      <c r="G1525" s="108"/>
      <c r="H1525" s="108"/>
      <c r="I1525" s="108"/>
      <c r="J1525" s="108"/>
      <c r="K1525" s="108"/>
      <c r="L1525" s="108"/>
      <c r="M1525" s="108"/>
      <c r="N1525" s="108"/>
      <c r="O1525" s="108"/>
      <c r="P1525" s="108"/>
      <c r="Q1525" s="108"/>
      <c r="R1525" s="108"/>
      <c r="S1525" s="108"/>
      <c r="T1525" s="108"/>
      <c r="U1525" s="108"/>
      <c r="V1525" s="108"/>
      <c r="W1525" s="108"/>
      <c r="X1525" s="108"/>
    </row>
    <row r="1526" spans="1:24">
      <c r="A1526" s="108"/>
      <c r="B1526" s="108"/>
      <c r="C1526" s="108"/>
      <c r="D1526" s="108"/>
      <c r="E1526" s="108"/>
      <c r="F1526" s="108"/>
      <c r="G1526" s="108"/>
      <c r="H1526" s="108"/>
      <c r="I1526" s="108"/>
      <c r="J1526" s="108"/>
      <c r="K1526" s="108"/>
      <c r="L1526" s="108"/>
      <c r="M1526" s="108"/>
      <c r="N1526" s="108"/>
      <c r="O1526" s="108"/>
      <c r="P1526" s="108"/>
      <c r="Q1526" s="108"/>
      <c r="R1526" s="108"/>
      <c r="S1526" s="108"/>
      <c r="T1526" s="108"/>
      <c r="U1526" s="108"/>
      <c r="V1526" s="108"/>
      <c r="W1526" s="108"/>
      <c r="X1526" s="108"/>
    </row>
    <row r="1527" spans="1:24">
      <c r="A1527" s="108"/>
      <c r="B1527" s="108"/>
      <c r="C1527" s="108"/>
      <c r="D1527" s="108"/>
      <c r="E1527" s="108"/>
      <c r="F1527" s="108"/>
      <c r="G1527" s="108"/>
      <c r="H1527" s="108"/>
      <c r="I1527" s="108"/>
      <c r="J1527" s="108"/>
      <c r="K1527" s="108"/>
      <c r="L1527" s="108"/>
      <c r="M1527" s="108"/>
      <c r="N1527" s="108"/>
      <c r="O1527" s="108"/>
      <c r="P1527" s="108"/>
      <c r="Q1527" s="108"/>
      <c r="R1527" s="108"/>
      <c r="S1527" s="108"/>
      <c r="T1527" s="108"/>
      <c r="U1527" s="108"/>
      <c r="V1527" s="108"/>
      <c r="W1527" s="108"/>
      <c r="X1527" s="108"/>
    </row>
    <row r="1528" spans="1:24">
      <c r="A1528" s="108"/>
      <c r="B1528" s="108"/>
      <c r="C1528" s="108"/>
      <c r="D1528" s="108"/>
      <c r="E1528" s="108"/>
      <c r="F1528" s="108"/>
      <c r="G1528" s="108"/>
      <c r="H1528" s="108"/>
      <c r="I1528" s="108"/>
      <c r="J1528" s="108"/>
      <c r="K1528" s="108"/>
      <c r="L1528" s="108"/>
      <c r="M1528" s="108"/>
      <c r="N1528" s="108"/>
      <c r="O1528" s="108"/>
      <c r="P1528" s="108"/>
      <c r="Q1528" s="108"/>
      <c r="R1528" s="108"/>
      <c r="S1528" s="108"/>
      <c r="T1528" s="108"/>
      <c r="U1528" s="108"/>
      <c r="V1528" s="108"/>
      <c r="W1528" s="108"/>
      <c r="X1528" s="108"/>
    </row>
    <row r="1529" spans="1:24">
      <c r="A1529" s="108"/>
      <c r="B1529" s="108"/>
      <c r="C1529" s="108"/>
      <c r="D1529" s="108"/>
      <c r="E1529" s="108"/>
      <c r="F1529" s="108"/>
      <c r="G1529" s="108"/>
      <c r="H1529" s="108"/>
      <c r="I1529" s="108"/>
      <c r="J1529" s="108"/>
      <c r="K1529" s="108"/>
      <c r="L1529" s="108"/>
      <c r="M1529" s="108"/>
      <c r="N1529" s="108"/>
      <c r="O1529" s="108"/>
      <c r="P1529" s="108"/>
      <c r="Q1529" s="108"/>
      <c r="R1529" s="108"/>
      <c r="S1529" s="108"/>
      <c r="T1529" s="108"/>
      <c r="U1529" s="108"/>
      <c r="V1529" s="108"/>
      <c r="W1529" s="108"/>
      <c r="X1529" s="108"/>
    </row>
    <row r="1530" spans="1:24">
      <c r="A1530" s="108"/>
      <c r="B1530" s="108"/>
      <c r="C1530" s="108"/>
      <c r="D1530" s="108"/>
      <c r="E1530" s="108"/>
      <c r="F1530" s="108"/>
      <c r="G1530" s="108"/>
      <c r="H1530" s="108"/>
      <c r="I1530" s="108"/>
      <c r="J1530" s="108"/>
      <c r="K1530" s="108"/>
      <c r="L1530" s="108"/>
      <c r="M1530" s="108"/>
      <c r="N1530" s="108"/>
      <c r="O1530" s="108"/>
      <c r="P1530" s="108"/>
      <c r="Q1530" s="108"/>
      <c r="R1530" s="108"/>
      <c r="S1530" s="108"/>
      <c r="T1530" s="108"/>
      <c r="U1530" s="108"/>
      <c r="V1530" s="108"/>
      <c r="W1530" s="108"/>
      <c r="X1530" s="108"/>
    </row>
    <row r="1531" spans="1:24">
      <c r="A1531" s="108"/>
      <c r="B1531" s="108"/>
      <c r="C1531" s="108"/>
      <c r="D1531" s="108"/>
      <c r="E1531" s="108"/>
      <c r="F1531" s="108"/>
      <c r="G1531" s="108"/>
      <c r="H1531" s="108"/>
      <c r="I1531" s="108"/>
      <c r="J1531" s="108"/>
      <c r="K1531" s="108"/>
      <c r="L1531" s="10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</row>
    <row r="1532" spans="1:24">
      <c r="A1532" s="108"/>
      <c r="B1532" s="108"/>
      <c r="C1532" s="108"/>
      <c r="D1532" s="108"/>
      <c r="E1532" s="108"/>
      <c r="F1532" s="108"/>
      <c r="G1532" s="108"/>
      <c r="H1532" s="108"/>
      <c r="I1532" s="108"/>
      <c r="J1532" s="108"/>
      <c r="K1532" s="108"/>
      <c r="L1532" s="108"/>
      <c r="M1532" s="108"/>
      <c r="N1532" s="108"/>
      <c r="O1532" s="108"/>
      <c r="P1532" s="108"/>
      <c r="Q1532" s="108"/>
      <c r="R1532" s="108"/>
      <c r="S1532" s="108"/>
      <c r="T1532" s="108"/>
      <c r="U1532" s="108"/>
      <c r="V1532" s="108"/>
      <c r="W1532" s="108"/>
      <c r="X1532" s="108"/>
    </row>
    <row r="1533" spans="1:24">
      <c r="A1533" s="108"/>
      <c r="B1533" s="108"/>
      <c r="C1533" s="108"/>
      <c r="D1533" s="108"/>
      <c r="E1533" s="108"/>
      <c r="F1533" s="108"/>
      <c r="G1533" s="108"/>
      <c r="H1533" s="108"/>
      <c r="I1533" s="108"/>
      <c r="J1533" s="108"/>
      <c r="K1533" s="108"/>
      <c r="L1533" s="108"/>
      <c r="M1533" s="108"/>
      <c r="N1533" s="108"/>
      <c r="O1533" s="108"/>
      <c r="P1533" s="108"/>
      <c r="Q1533" s="108"/>
      <c r="R1533" s="108"/>
      <c r="S1533" s="108"/>
      <c r="T1533" s="108"/>
      <c r="U1533" s="108"/>
      <c r="V1533" s="108"/>
      <c r="W1533" s="108"/>
      <c r="X1533" s="108"/>
    </row>
    <row r="1534" spans="1:24">
      <c r="A1534" s="108"/>
      <c r="B1534" s="108"/>
      <c r="C1534" s="108"/>
      <c r="D1534" s="108"/>
      <c r="E1534" s="108"/>
      <c r="F1534" s="108"/>
      <c r="G1534" s="108"/>
      <c r="H1534" s="108"/>
      <c r="I1534" s="108"/>
      <c r="J1534" s="108"/>
      <c r="K1534" s="108"/>
      <c r="L1534" s="108"/>
      <c r="M1534" s="108"/>
      <c r="N1534" s="108"/>
      <c r="O1534" s="108"/>
      <c r="P1534" s="108"/>
      <c r="Q1534" s="108"/>
      <c r="R1534" s="108"/>
      <c r="S1534" s="108"/>
      <c r="T1534" s="108"/>
      <c r="U1534" s="108"/>
      <c r="V1534" s="108"/>
      <c r="W1534" s="108"/>
      <c r="X1534" s="108"/>
    </row>
    <row r="1535" spans="1:24">
      <c r="A1535" s="108"/>
      <c r="B1535" s="108"/>
      <c r="C1535" s="108"/>
      <c r="D1535" s="108"/>
      <c r="E1535" s="108"/>
      <c r="F1535" s="108"/>
      <c r="G1535" s="108"/>
      <c r="H1535" s="108"/>
      <c r="I1535" s="108"/>
      <c r="J1535" s="108"/>
      <c r="K1535" s="108"/>
      <c r="L1535" s="108"/>
      <c r="M1535" s="108"/>
      <c r="N1535" s="108"/>
      <c r="O1535" s="108"/>
      <c r="P1535" s="108"/>
      <c r="Q1535" s="108"/>
      <c r="R1535" s="108"/>
      <c r="S1535" s="108"/>
      <c r="T1535" s="108"/>
      <c r="U1535" s="108"/>
      <c r="V1535" s="108"/>
      <c r="W1535" s="108"/>
      <c r="X1535" s="108"/>
    </row>
    <row r="1536" spans="1:24">
      <c r="A1536" s="108"/>
      <c r="B1536" s="108"/>
      <c r="C1536" s="108"/>
      <c r="D1536" s="108"/>
      <c r="E1536" s="108"/>
      <c r="F1536" s="108"/>
      <c r="G1536" s="108"/>
      <c r="H1536" s="108"/>
      <c r="I1536" s="108"/>
      <c r="J1536" s="108"/>
      <c r="K1536" s="108"/>
      <c r="L1536" s="108"/>
      <c r="M1536" s="108"/>
      <c r="N1536" s="108"/>
      <c r="O1536" s="108"/>
      <c r="P1536" s="108"/>
      <c r="Q1536" s="108"/>
      <c r="R1536" s="108"/>
      <c r="S1536" s="108"/>
      <c r="T1536" s="108"/>
      <c r="U1536" s="108"/>
      <c r="V1536" s="108"/>
      <c r="W1536" s="108"/>
      <c r="X1536" s="108"/>
    </row>
    <row r="1537" spans="1:24">
      <c r="A1537" s="108"/>
      <c r="B1537" s="108"/>
      <c r="C1537" s="108"/>
      <c r="D1537" s="108"/>
      <c r="E1537" s="108"/>
      <c r="F1537" s="108"/>
      <c r="G1537" s="108"/>
      <c r="H1537" s="108"/>
      <c r="I1537" s="108"/>
      <c r="J1537" s="108"/>
      <c r="K1537" s="108"/>
      <c r="L1537" s="108"/>
      <c r="M1537" s="108"/>
      <c r="N1537" s="108"/>
      <c r="O1537" s="108"/>
      <c r="P1537" s="108"/>
      <c r="Q1537" s="108"/>
      <c r="R1537" s="108"/>
      <c r="S1537" s="108"/>
      <c r="T1537" s="108"/>
      <c r="U1537" s="108"/>
      <c r="V1537" s="108"/>
      <c r="W1537" s="108"/>
      <c r="X1537" s="108"/>
    </row>
    <row r="1538" spans="1:24">
      <c r="A1538" s="108"/>
      <c r="B1538" s="108"/>
      <c r="C1538" s="108"/>
      <c r="D1538" s="108"/>
      <c r="E1538" s="108"/>
      <c r="F1538" s="108"/>
      <c r="G1538" s="108"/>
      <c r="H1538" s="108"/>
      <c r="I1538" s="108"/>
      <c r="J1538" s="108"/>
      <c r="K1538" s="108"/>
      <c r="L1538" s="108"/>
      <c r="M1538" s="108"/>
      <c r="N1538" s="108"/>
      <c r="O1538" s="108"/>
      <c r="P1538" s="108"/>
      <c r="Q1538" s="108"/>
      <c r="R1538" s="108"/>
      <c r="S1538" s="108"/>
      <c r="T1538" s="108"/>
      <c r="U1538" s="108"/>
      <c r="V1538" s="108"/>
      <c r="W1538" s="108"/>
      <c r="X1538" s="108"/>
    </row>
    <row r="1539" spans="1:24">
      <c r="A1539" s="108"/>
      <c r="B1539" s="108"/>
      <c r="C1539" s="108"/>
      <c r="D1539" s="108"/>
      <c r="E1539" s="108"/>
      <c r="F1539" s="108"/>
      <c r="G1539" s="108"/>
      <c r="H1539" s="108"/>
      <c r="I1539" s="108"/>
      <c r="J1539" s="108"/>
      <c r="K1539" s="108"/>
      <c r="L1539" s="108"/>
      <c r="M1539" s="108"/>
      <c r="N1539" s="108"/>
      <c r="O1539" s="108"/>
      <c r="P1539" s="108"/>
      <c r="Q1539" s="108"/>
      <c r="R1539" s="108"/>
      <c r="S1539" s="108"/>
      <c r="T1539" s="108"/>
      <c r="U1539" s="108"/>
      <c r="V1539" s="108"/>
      <c r="W1539" s="108"/>
      <c r="X1539" s="108"/>
    </row>
    <row r="1540" spans="1:24">
      <c r="A1540" s="108"/>
      <c r="B1540" s="108"/>
      <c r="C1540" s="108"/>
      <c r="D1540" s="108"/>
      <c r="E1540" s="108"/>
      <c r="F1540" s="108"/>
      <c r="G1540" s="108"/>
      <c r="H1540" s="108"/>
      <c r="I1540" s="108"/>
      <c r="J1540" s="108"/>
      <c r="K1540" s="108"/>
      <c r="L1540" s="108"/>
      <c r="M1540" s="108"/>
      <c r="N1540" s="108"/>
      <c r="O1540" s="108"/>
      <c r="P1540" s="108"/>
      <c r="Q1540" s="108"/>
      <c r="R1540" s="108"/>
      <c r="S1540" s="108"/>
      <c r="T1540" s="108"/>
      <c r="U1540" s="108"/>
      <c r="V1540" s="108"/>
      <c r="W1540" s="108"/>
      <c r="X1540" s="108"/>
    </row>
    <row r="1541" spans="1:24">
      <c r="A1541" s="108"/>
      <c r="B1541" s="108"/>
      <c r="C1541" s="108"/>
      <c r="D1541" s="108"/>
      <c r="E1541" s="108"/>
      <c r="F1541" s="108"/>
      <c r="G1541" s="108"/>
      <c r="H1541" s="108"/>
      <c r="I1541" s="108"/>
      <c r="J1541" s="108"/>
      <c r="K1541" s="108"/>
      <c r="L1541" s="108"/>
      <c r="M1541" s="108"/>
      <c r="N1541" s="108"/>
      <c r="O1541" s="108"/>
      <c r="P1541" s="108"/>
      <c r="Q1541" s="108"/>
      <c r="R1541" s="108"/>
      <c r="S1541" s="108"/>
      <c r="T1541" s="108"/>
      <c r="U1541" s="108"/>
      <c r="V1541" s="108"/>
      <c r="W1541" s="108"/>
      <c r="X1541" s="108"/>
    </row>
    <row r="1542" spans="1:24">
      <c r="A1542" s="108"/>
      <c r="B1542" s="108"/>
      <c r="C1542" s="108"/>
      <c r="D1542" s="108"/>
      <c r="E1542" s="108"/>
      <c r="F1542" s="108"/>
      <c r="G1542" s="108"/>
      <c r="H1542" s="108"/>
      <c r="I1542" s="108"/>
      <c r="J1542" s="108"/>
      <c r="K1542" s="108"/>
      <c r="L1542" s="108"/>
      <c r="M1542" s="108"/>
      <c r="N1542" s="108"/>
      <c r="O1542" s="108"/>
      <c r="P1542" s="108"/>
      <c r="Q1542" s="108"/>
      <c r="R1542" s="108"/>
      <c r="S1542" s="108"/>
      <c r="T1542" s="108"/>
      <c r="U1542" s="108"/>
      <c r="V1542" s="108"/>
      <c r="W1542" s="108"/>
      <c r="X1542" s="108"/>
    </row>
    <row r="1543" spans="1:24">
      <c r="A1543" s="108"/>
      <c r="B1543" s="108"/>
      <c r="C1543" s="108"/>
      <c r="D1543" s="108"/>
      <c r="E1543" s="108"/>
      <c r="F1543" s="108"/>
      <c r="G1543" s="108"/>
      <c r="H1543" s="108"/>
      <c r="I1543" s="108"/>
      <c r="J1543" s="108"/>
      <c r="K1543" s="108"/>
      <c r="L1543" s="108"/>
      <c r="M1543" s="108"/>
      <c r="N1543" s="108"/>
      <c r="O1543" s="108"/>
      <c r="P1543" s="108"/>
      <c r="Q1543" s="108"/>
      <c r="R1543" s="108"/>
      <c r="S1543" s="108"/>
      <c r="T1543" s="108"/>
      <c r="U1543" s="108"/>
      <c r="V1543" s="108"/>
      <c r="W1543" s="108"/>
      <c r="X1543" s="108"/>
    </row>
    <row r="1544" spans="1:24">
      <c r="A1544" s="108"/>
      <c r="B1544" s="108"/>
      <c r="C1544" s="108"/>
      <c r="D1544" s="108"/>
      <c r="E1544" s="108"/>
      <c r="F1544" s="108"/>
      <c r="G1544" s="108"/>
      <c r="H1544" s="108"/>
      <c r="I1544" s="108"/>
      <c r="J1544" s="108"/>
      <c r="K1544" s="108"/>
      <c r="L1544" s="108"/>
      <c r="M1544" s="108"/>
      <c r="N1544" s="108"/>
      <c r="O1544" s="108"/>
      <c r="P1544" s="108"/>
      <c r="Q1544" s="108"/>
      <c r="R1544" s="108"/>
      <c r="S1544" s="108"/>
      <c r="T1544" s="108"/>
      <c r="U1544" s="108"/>
      <c r="V1544" s="108"/>
      <c r="W1544" s="108"/>
      <c r="X1544" s="108"/>
    </row>
    <row r="1545" spans="1:24">
      <c r="A1545" s="108"/>
      <c r="B1545" s="108"/>
      <c r="C1545" s="108"/>
      <c r="D1545" s="108"/>
      <c r="E1545" s="108"/>
      <c r="F1545" s="108"/>
      <c r="G1545" s="108"/>
      <c r="H1545" s="108"/>
      <c r="I1545" s="108"/>
      <c r="J1545" s="108"/>
      <c r="K1545" s="108"/>
      <c r="L1545" s="108"/>
      <c r="M1545" s="108"/>
      <c r="N1545" s="108"/>
      <c r="O1545" s="108"/>
      <c r="P1545" s="108"/>
      <c r="Q1545" s="108"/>
      <c r="R1545" s="108"/>
      <c r="S1545" s="108"/>
      <c r="T1545" s="108"/>
      <c r="U1545" s="108"/>
      <c r="V1545" s="108"/>
      <c r="W1545" s="108"/>
      <c r="X1545" s="108"/>
    </row>
    <row r="1546" spans="1:24">
      <c r="A1546" s="108"/>
      <c r="B1546" s="108"/>
      <c r="C1546" s="108"/>
      <c r="D1546" s="108"/>
      <c r="E1546" s="108"/>
      <c r="F1546" s="108"/>
      <c r="G1546" s="108"/>
      <c r="H1546" s="108"/>
      <c r="I1546" s="108"/>
      <c r="J1546" s="108"/>
      <c r="K1546" s="108"/>
      <c r="L1546" s="108"/>
      <c r="M1546" s="108"/>
      <c r="N1546" s="108"/>
      <c r="O1546" s="108"/>
      <c r="P1546" s="108"/>
      <c r="Q1546" s="108"/>
      <c r="R1546" s="108"/>
      <c r="S1546" s="108"/>
      <c r="T1546" s="108"/>
      <c r="U1546" s="108"/>
      <c r="V1546" s="108"/>
      <c r="W1546" s="108"/>
      <c r="X1546" s="108"/>
    </row>
    <row r="1547" spans="1:24">
      <c r="A1547" s="108"/>
      <c r="B1547" s="108"/>
      <c r="C1547" s="108"/>
      <c r="D1547" s="108"/>
      <c r="E1547" s="108"/>
      <c r="F1547" s="108"/>
      <c r="G1547" s="108"/>
      <c r="H1547" s="108"/>
      <c r="I1547" s="108"/>
      <c r="J1547" s="108"/>
      <c r="K1547" s="108"/>
      <c r="L1547" s="108"/>
      <c r="M1547" s="108"/>
      <c r="N1547" s="108"/>
      <c r="O1547" s="108"/>
      <c r="P1547" s="108"/>
      <c r="Q1547" s="108"/>
      <c r="R1547" s="108"/>
      <c r="S1547" s="108"/>
      <c r="T1547" s="108"/>
      <c r="U1547" s="108"/>
      <c r="V1547" s="108"/>
      <c r="W1547" s="108"/>
      <c r="X1547" s="108"/>
    </row>
    <row r="1548" spans="1:24">
      <c r="A1548" s="108"/>
      <c r="B1548" s="108"/>
      <c r="C1548" s="108"/>
      <c r="D1548" s="108"/>
      <c r="E1548" s="108"/>
      <c r="F1548" s="108"/>
      <c r="G1548" s="108"/>
      <c r="H1548" s="108"/>
      <c r="I1548" s="108"/>
      <c r="J1548" s="108"/>
      <c r="K1548" s="108"/>
      <c r="L1548" s="108"/>
      <c r="M1548" s="108"/>
      <c r="N1548" s="108"/>
      <c r="O1548" s="108"/>
      <c r="P1548" s="108"/>
      <c r="Q1548" s="108"/>
      <c r="R1548" s="108"/>
      <c r="S1548" s="108"/>
      <c r="T1548" s="108"/>
      <c r="U1548" s="108"/>
      <c r="V1548" s="108"/>
      <c r="W1548" s="108"/>
      <c r="X1548" s="108"/>
    </row>
    <row r="1549" spans="1:24">
      <c r="A1549" s="108"/>
      <c r="B1549" s="108"/>
      <c r="C1549" s="108"/>
      <c r="D1549" s="108"/>
      <c r="E1549" s="108"/>
      <c r="F1549" s="108"/>
      <c r="G1549" s="108"/>
      <c r="H1549" s="108"/>
      <c r="I1549" s="108"/>
      <c r="J1549" s="108"/>
      <c r="K1549" s="108"/>
      <c r="L1549" s="108"/>
      <c r="M1549" s="108"/>
      <c r="N1549" s="108"/>
      <c r="O1549" s="108"/>
      <c r="P1549" s="108"/>
      <c r="Q1549" s="108"/>
      <c r="R1549" s="108"/>
      <c r="S1549" s="108"/>
      <c r="T1549" s="108"/>
      <c r="U1549" s="108"/>
      <c r="V1549" s="108"/>
      <c r="W1549" s="108"/>
      <c r="X1549" s="108"/>
    </row>
    <row r="1550" spans="1:24">
      <c r="A1550" s="108"/>
      <c r="B1550" s="108"/>
      <c r="C1550" s="108"/>
      <c r="D1550" s="108"/>
      <c r="E1550" s="108"/>
      <c r="F1550" s="108"/>
      <c r="G1550" s="108"/>
      <c r="H1550" s="108"/>
      <c r="I1550" s="108"/>
      <c r="J1550" s="108"/>
      <c r="K1550" s="108"/>
      <c r="L1550" s="108"/>
      <c r="M1550" s="108"/>
      <c r="N1550" s="108"/>
      <c r="O1550" s="108"/>
      <c r="P1550" s="108"/>
      <c r="Q1550" s="108"/>
      <c r="R1550" s="108"/>
      <c r="S1550" s="108"/>
      <c r="T1550" s="108"/>
      <c r="U1550" s="108"/>
      <c r="V1550" s="108"/>
      <c r="W1550" s="108"/>
      <c r="X1550" s="108"/>
    </row>
    <row r="1551" spans="1:24">
      <c r="A1551" s="108"/>
      <c r="B1551" s="108"/>
      <c r="C1551" s="108"/>
      <c r="D1551" s="108"/>
      <c r="E1551" s="108"/>
      <c r="F1551" s="108"/>
      <c r="G1551" s="108"/>
      <c r="H1551" s="108"/>
      <c r="I1551" s="108"/>
      <c r="J1551" s="108"/>
      <c r="K1551" s="108"/>
      <c r="L1551" s="108"/>
      <c r="M1551" s="108"/>
      <c r="N1551" s="108"/>
      <c r="O1551" s="108"/>
      <c r="P1551" s="108"/>
      <c r="Q1551" s="108"/>
      <c r="R1551" s="108"/>
      <c r="S1551" s="108"/>
      <c r="T1551" s="108"/>
      <c r="U1551" s="108"/>
      <c r="V1551" s="108"/>
      <c r="W1551" s="108"/>
      <c r="X1551" s="108"/>
    </row>
    <row r="1552" spans="1:24">
      <c r="A1552" s="108"/>
      <c r="B1552" s="108"/>
      <c r="C1552" s="108"/>
      <c r="D1552" s="108"/>
      <c r="E1552" s="108"/>
      <c r="F1552" s="108"/>
      <c r="G1552" s="108"/>
      <c r="H1552" s="108"/>
      <c r="I1552" s="108"/>
      <c r="J1552" s="108"/>
      <c r="K1552" s="108"/>
      <c r="L1552" s="108"/>
      <c r="M1552" s="108"/>
      <c r="N1552" s="108"/>
      <c r="O1552" s="108"/>
      <c r="P1552" s="108"/>
      <c r="Q1552" s="108"/>
      <c r="R1552" s="108"/>
      <c r="S1552" s="108"/>
      <c r="T1552" s="108"/>
      <c r="U1552" s="108"/>
      <c r="V1552" s="108"/>
      <c r="W1552" s="108"/>
      <c r="X1552" s="108"/>
    </row>
    <row r="1553" spans="1:24">
      <c r="A1553" s="108"/>
      <c r="B1553" s="108"/>
      <c r="C1553" s="108"/>
      <c r="D1553" s="108"/>
      <c r="E1553" s="108"/>
      <c r="F1553" s="108"/>
      <c r="G1553" s="108"/>
      <c r="H1553" s="108"/>
      <c r="I1553" s="108"/>
      <c r="J1553" s="108"/>
      <c r="K1553" s="108"/>
      <c r="L1553" s="108"/>
      <c r="M1553" s="108"/>
      <c r="N1553" s="108"/>
      <c r="O1553" s="108"/>
      <c r="P1553" s="108"/>
      <c r="Q1553" s="108"/>
      <c r="R1553" s="108"/>
      <c r="S1553" s="108"/>
      <c r="T1553" s="108"/>
      <c r="U1553" s="108"/>
      <c r="V1553" s="108"/>
      <c r="W1553" s="108"/>
      <c r="X1553" s="108"/>
    </row>
    <row r="1554" spans="1:24">
      <c r="A1554" s="108"/>
      <c r="B1554" s="108"/>
      <c r="C1554" s="108"/>
      <c r="D1554" s="108"/>
      <c r="E1554" s="108"/>
      <c r="F1554" s="108"/>
      <c r="G1554" s="108"/>
      <c r="H1554" s="108"/>
      <c r="I1554" s="108"/>
      <c r="J1554" s="108"/>
      <c r="K1554" s="108"/>
      <c r="L1554" s="108"/>
      <c r="M1554" s="108"/>
      <c r="N1554" s="108"/>
      <c r="O1554" s="108"/>
      <c r="P1554" s="108"/>
      <c r="Q1554" s="108"/>
      <c r="R1554" s="108"/>
      <c r="S1554" s="108"/>
      <c r="T1554" s="108"/>
      <c r="U1554" s="108"/>
      <c r="V1554" s="108"/>
      <c r="W1554" s="108"/>
      <c r="X1554" s="108"/>
    </row>
    <row r="1555" spans="1:24">
      <c r="A1555" s="108"/>
      <c r="B1555" s="108"/>
      <c r="C1555" s="108"/>
      <c r="D1555" s="108"/>
      <c r="E1555" s="108"/>
      <c r="F1555" s="108"/>
      <c r="G1555" s="108"/>
      <c r="H1555" s="108"/>
      <c r="I1555" s="108"/>
      <c r="J1555" s="108"/>
      <c r="K1555" s="108"/>
      <c r="L1555" s="108"/>
      <c r="M1555" s="108"/>
      <c r="N1555" s="108"/>
      <c r="O1555" s="108"/>
      <c r="P1555" s="108"/>
      <c r="Q1555" s="108"/>
      <c r="R1555" s="108"/>
      <c r="S1555" s="108"/>
      <c r="T1555" s="108"/>
      <c r="U1555" s="108"/>
      <c r="V1555" s="108"/>
      <c r="W1555" s="108"/>
      <c r="X1555" s="108"/>
    </row>
    <row r="1556" spans="1:24">
      <c r="A1556" s="108"/>
      <c r="B1556" s="108"/>
      <c r="C1556" s="108"/>
      <c r="D1556" s="108"/>
      <c r="E1556" s="108"/>
      <c r="F1556" s="108"/>
      <c r="G1556" s="108"/>
      <c r="H1556" s="108"/>
      <c r="I1556" s="108"/>
      <c r="J1556" s="108"/>
      <c r="K1556" s="108"/>
      <c r="L1556" s="108"/>
      <c r="M1556" s="108"/>
      <c r="N1556" s="108"/>
      <c r="O1556" s="108"/>
      <c r="P1556" s="108"/>
      <c r="Q1556" s="108"/>
      <c r="R1556" s="108"/>
      <c r="S1556" s="108"/>
      <c r="T1556" s="108"/>
      <c r="U1556" s="108"/>
      <c r="V1556" s="108"/>
      <c r="W1556" s="108"/>
      <c r="X1556" s="108"/>
    </row>
    <row r="1557" spans="1:24">
      <c r="A1557" s="108"/>
      <c r="B1557" s="108"/>
      <c r="C1557" s="108"/>
      <c r="D1557" s="108"/>
      <c r="E1557" s="108"/>
      <c r="F1557" s="108"/>
      <c r="G1557" s="108"/>
      <c r="H1557" s="108"/>
      <c r="I1557" s="108"/>
      <c r="J1557" s="108"/>
      <c r="K1557" s="108"/>
      <c r="L1557" s="108"/>
      <c r="M1557" s="108"/>
      <c r="N1557" s="108"/>
      <c r="O1557" s="108"/>
      <c r="P1557" s="108"/>
      <c r="Q1557" s="108"/>
      <c r="R1557" s="108"/>
      <c r="S1557" s="108"/>
      <c r="T1557" s="108"/>
      <c r="U1557" s="108"/>
      <c r="V1557" s="108"/>
      <c r="W1557" s="108"/>
      <c r="X1557" s="108"/>
    </row>
    <row r="1558" spans="1:24">
      <c r="A1558" s="108"/>
      <c r="B1558" s="108"/>
      <c r="C1558" s="108"/>
      <c r="D1558" s="108"/>
      <c r="E1558" s="108"/>
      <c r="F1558" s="108"/>
      <c r="G1558" s="108"/>
      <c r="H1558" s="108"/>
      <c r="I1558" s="108"/>
      <c r="J1558" s="108"/>
      <c r="K1558" s="108"/>
      <c r="L1558" s="108"/>
      <c r="M1558" s="108"/>
      <c r="N1558" s="108"/>
      <c r="O1558" s="108"/>
      <c r="P1558" s="108"/>
      <c r="Q1558" s="108"/>
      <c r="R1558" s="108"/>
      <c r="S1558" s="108"/>
      <c r="T1558" s="108"/>
      <c r="U1558" s="108"/>
      <c r="V1558" s="108"/>
      <c r="W1558" s="108"/>
      <c r="X1558" s="108"/>
    </row>
    <row r="1559" spans="1:24">
      <c r="A1559" s="108"/>
      <c r="B1559" s="108"/>
      <c r="C1559" s="108"/>
      <c r="D1559" s="108"/>
      <c r="E1559" s="108"/>
      <c r="F1559" s="108"/>
      <c r="G1559" s="108"/>
      <c r="H1559" s="108"/>
      <c r="I1559" s="108"/>
      <c r="J1559" s="108"/>
      <c r="K1559" s="108"/>
      <c r="L1559" s="108"/>
      <c r="M1559" s="108"/>
      <c r="N1559" s="108"/>
      <c r="O1559" s="108"/>
      <c r="P1559" s="108"/>
      <c r="Q1559" s="108"/>
      <c r="R1559" s="108"/>
      <c r="S1559" s="108"/>
      <c r="T1559" s="108"/>
      <c r="U1559" s="108"/>
      <c r="V1559" s="108"/>
      <c r="W1559" s="108"/>
      <c r="X1559" s="108"/>
    </row>
    <row r="1560" spans="1:24">
      <c r="A1560" s="108"/>
      <c r="B1560" s="108"/>
      <c r="C1560" s="108"/>
      <c r="D1560" s="108"/>
      <c r="E1560" s="108"/>
      <c r="F1560" s="108"/>
      <c r="G1560" s="108"/>
      <c r="H1560" s="108"/>
      <c r="I1560" s="108"/>
      <c r="J1560" s="108"/>
      <c r="K1560" s="108"/>
      <c r="L1560" s="108"/>
      <c r="M1560" s="108"/>
      <c r="N1560" s="108"/>
      <c r="O1560" s="108"/>
      <c r="P1560" s="108"/>
      <c r="Q1560" s="108"/>
      <c r="R1560" s="108"/>
      <c r="S1560" s="108"/>
      <c r="T1560" s="108"/>
      <c r="U1560" s="108"/>
      <c r="V1560" s="108"/>
      <c r="W1560" s="108"/>
      <c r="X1560" s="108"/>
    </row>
    <row r="1561" spans="1:24">
      <c r="A1561" s="108"/>
      <c r="B1561" s="108"/>
      <c r="C1561" s="108"/>
      <c r="D1561" s="108"/>
      <c r="E1561" s="108"/>
      <c r="F1561" s="108"/>
      <c r="G1561" s="108"/>
      <c r="H1561" s="108"/>
      <c r="I1561" s="108"/>
      <c r="J1561" s="108"/>
      <c r="K1561" s="108"/>
      <c r="L1561" s="108"/>
      <c r="M1561" s="108"/>
      <c r="N1561" s="108"/>
      <c r="O1561" s="108"/>
      <c r="P1561" s="108"/>
      <c r="Q1561" s="108"/>
      <c r="R1561" s="108"/>
      <c r="S1561" s="108"/>
      <c r="T1561" s="108"/>
      <c r="U1561" s="108"/>
      <c r="V1561" s="108"/>
      <c r="W1561" s="108"/>
      <c r="X1561" s="108"/>
    </row>
    <row r="1562" spans="1:24">
      <c r="A1562" s="108"/>
      <c r="B1562" s="108"/>
      <c r="C1562" s="108"/>
      <c r="D1562" s="108"/>
      <c r="E1562" s="108"/>
      <c r="F1562" s="108"/>
      <c r="G1562" s="108"/>
      <c r="H1562" s="108"/>
      <c r="I1562" s="108"/>
      <c r="J1562" s="108"/>
      <c r="K1562" s="108"/>
      <c r="L1562" s="108"/>
      <c r="M1562" s="108"/>
      <c r="N1562" s="108"/>
      <c r="O1562" s="108"/>
      <c r="P1562" s="108"/>
      <c r="Q1562" s="108"/>
      <c r="R1562" s="108"/>
      <c r="S1562" s="108"/>
      <c r="T1562" s="108"/>
      <c r="U1562" s="108"/>
      <c r="V1562" s="108"/>
      <c r="W1562" s="108"/>
      <c r="X1562" s="108"/>
    </row>
    <row r="1563" spans="1:24">
      <c r="A1563" s="108"/>
      <c r="B1563" s="108"/>
      <c r="C1563" s="108"/>
      <c r="D1563" s="108"/>
      <c r="E1563" s="108"/>
      <c r="F1563" s="108"/>
      <c r="G1563" s="108"/>
      <c r="H1563" s="108"/>
      <c r="I1563" s="108"/>
      <c r="J1563" s="108"/>
      <c r="K1563" s="108"/>
      <c r="L1563" s="108"/>
      <c r="M1563" s="108"/>
      <c r="N1563" s="108"/>
      <c r="O1563" s="108"/>
      <c r="P1563" s="108"/>
      <c r="Q1563" s="108"/>
      <c r="R1563" s="108"/>
      <c r="S1563" s="108"/>
      <c r="T1563" s="108"/>
      <c r="U1563" s="108"/>
      <c r="V1563" s="108"/>
      <c r="W1563" s="108"/>
      <c r="X1563" s="108"/>
    </row>
    <row r="1564" spans="1:24">
      <c r="A1564" s="108"/>
      <c r="B1564" s="108"/>
      <c r="C1564" s="108"/>
      <c r="D1564" s="108"/>
      <c r="E1564" s="108"/>
      <c r="F1564" s="108"/>
      <c r="G1564" s="108"/>
      <c r="H1564" s="108"/>
      <c r="I1564" s="108"/>
      <c r="J1564" s="108"/>
      <c r="K1564" s="108"/>
      <c r="L1564" s="108"/>
      <c r="M1564" s="108"/>
      <c r="N1564" s="108"/>
      <c r="O1564" s="108"/>
      <c r="P1564" s="108"/>
      <c r="Q1564" s="108"/>
      <c r="R1564" s="108"/>
      <c r="S1564" s="108"/>
      <c r="T1564" s="108"/>
      <c r="U1564" s="108"/>
      <c r="V1564" s="108"/>
      <c r="W1564" s="108"/>
      <c r="X1564" s="108"/>
    </row>
    <row r="1565" spans="1:24">
      <c r="A1565" s="108"/>
      <c r="B1565" s="108"/>
      <c r="C1565" s="108"/>
      <c r="D1565" s="108"/>
      <c r="E1565" s="108"/>
      <c r="F1565" s="108"/>
      <c r="G1565" s="108"/>
      <c r="H1565" s="108"/>
      <c r="I1565" s="108"/>
      <c r="J1565" s="108"/>
      <c r="K1565" s="108"/>
      <c r="L1565" s="108"/>
      <c r="M1565" s="108"/>
      <c r="N1565" s="108"/>
      <c r="O1565" s="108"/>
      <c r="P1565" s="108"/>
      <c r="Q1565" s="108"/>
      <c r="R1565" s="108"/>
      <c r="S1565" s="108"/>
      <c r="T1565" s="108"/>
      <c r="U1565" s="108"/>
      <c r="V1565" s="108"/>
      <c r="W1565" s="108"/>
      <c r="X1565" s="108"/>
    </row>
    <row r="1566" spans="1:24">
      <c r="A1566" s="108"/>
      <c r="B1566" s="108"/>
      <c r="C1566" s="108"/>
      <c r="D1566" s="108"/>
      <c r="E1566" s="108"/>
      <c r="F1566" s="108"/>
      <c r="G1566" s="108"/>
      <c r="H1566" s="108"/>
      <c r="I1566" s="108"/>
      <c r="J1566" s="108"/>
      <c r="K1566" s="108"/>
      <c r="L1566" s="108"/>
      <c r="M1566" s="108"/>
      <c r="N1566" s="108"/>
      <c r="O1566" s="108"/>
      <c r="P1566" s="108"/>
      <c r="Q1566" s="108"/>
      <c r="R1566" s="108"/>
      <c r="S1566" s="108"/>
      <c r="T1566" s="108"/>
      <c r="U1566" s="108"/>
      <c r="V1566" s="108"/>
      <c r="W1566" s="108"/>
      <c r="X1566" s="108"/>
    </row>
    <row r="1567" spans="1:24">
      <c r="A1567" s="108"/>
      <c r="B1567" s="108"/>
      <c r="C1567" s="108"/>
      <c r="D1567" s="108"/>
      <c r="E1567" s="108"/>
      <c r="F1567" s="108"/>
      <c r="G1567" s="108"/>
      <c r="H1567" s="108"/>
      <c r="I1567" s="108"/>
      <c r="J1567" s="108"/>
      <c r="K1567" s="108"/>
      <c r="L1567" s="108"/>
      <c r="M1567" s="108"/>
      <c r="N1567" s="108"/>
      <c r="O1567" s="108"/>
      <c r="P1567" s="108"/>
      <c r="Q1567" s="108"/>
      <c r="R1567" s="108"/>
      <c r="S1567" s="108"/>
      <c r="T1567" s="108"/>
      <c r="U1567" s="108"/>
      <c r="V1567" s="108"/>
      <c r="W1567" s="108"/>
      <c r="X1567" s="108"/>
    </row>
    <row r="1568" spans="1:24">
      <c r="A1568" s="108"/>
      <c r="B1568" s="108"/>
      <c r="C1568" s="108"/>
      <c r="D1568" s="108"/>
      <c r="E1568" s="108"/>
      <c r="F1568" s="108"/>
      <c r="G1568" s="108"/>
      <c r="H1568" s="108"/>
      <c r="I1568" s="108"/>
      <c r="J1568" s="108"/>
      <c r="K1568" s="108"/>
      <c r="L1568" s="108"/>
      <c r="M1568" s="108"/>
      <c r="N1568" s="108"/>
      <c r="O1568" s="108"/>
      <c r="P1568" s="108"/>
      <c r="Q1568" s="108"/>
      <c r="R1568" s="108"/>
      <c r="S1568" s="108"/>
      <c r="T1568" s="108"/>
      <c r="U1568" s="108"/>
      <c r="V1568" s="108"/>
      <c r="W1568" s="108"/>
      <c r="X1568" s="108"/>
    </row>
    <row r="1569" spans="1:24">
      <c r="A1569" s="108"/>
      <c r="B1569" s="108"/>
      <c r="C1569" s="108"/>
      <c r="D1569" s="108"/>
      <c r="E1569" s="108"/>
      <c r="F1569" s="108"/>
      <c r="G1569" s="108"/>
      <c r="H1569" s="108"/>
      <c r="I1569" s="108"/>
      <c r="J1569" s="108"/>
      <c r="K1569" s="108"/>
      <c r="L1569" s="108"/>
      <c r="M1569" s="108"/>
      <c r="N1569" s="108"/>
      <c r="O1569" s="108"/>
      <c r="P1569" s="108"/>
      <c r="Q1569" s="108"/>
      <c r="R1569" s="108"/>
      <c r="S1569" s="108"/>
      <c r="T1569" s="108"/>
      <c r="U1569" s="108"/>
      <c r="V1569" s="108"/>
      <c r="W1569" s="108"/>
      <c r="X1569" s="108"/>
    </row>
    <row r="1570" spans="1:24">
      <c r="A1570" s="108"/>
      <c r="B1570" s="108"/>
      <c r="C1570" s="108"/>
      <c r="D1570" s="108"/>
      <c r="E1570" s="108"/>
      <c r="F1570" s="108"/>
      <c r="G1570" s="108"/>
      <c r="H1570" s="108"/>
      <c r="I1570" s="108"/>
      <c r="J1570" s="108"/>
      <c r="K1570" s="108"/>
      <c r="L1570" s="108"/>
      <c r="M1570" s="108"/>
      <c r="N1570" s="108"/>
      <c r="O1570" s="108"/>
      <c r="P1570" s="108"/>
      <c r="Q1570" s="108"/>
      <c r="R1570" s="108"/>
      <c r="S1570" s="108"/>
      <c r="T1570" s="108"/>
      <c r="U1570" s="108"/>
      <c r="V1570" s="108"/>
      <c r="W1570" s="108"/>
      <c r="X1570" s="108"/>
    </row>
    <row r="1571" spans="1:24">
      <c r="A1571" s="108"/>
      <c r="B1571" s="108"/>
      <c r="C1571" s="108"/>
      <c r="D1571" s="108"/>
      <c r="E1571" s="108"/>
      <c r="F1571" s="108"/>
      <c r="G1571" s="108"/>
      <c r="H1571" s="108"/>
      <c r="I1571" s="108"/>
      <c r="J1571" s="108"/>
      <c r="K1571" s="108"/>
      <c r="L1571" s="108"/>
      <c r="M1571" s="108"/>
      <c r="N1571" s="108"/>
      <c r="O1571" s="108"/>
      <c r="P1571" s="108"/>
      <c r="Q1571" s="108"/>
      <c r="R1571" s="108"/>
      <c r="S1571" s="108"/>
      <c r="T1571" s="108"/>
      <c r="U1571" s="108"/>
      <c r="V1571" s="108"/>
      <c r="W1571" s="108"/>
      <c r="X1571" s="108"/>
    </row>
    <row r="1572" spans="1:24">
      <c r="A1572" s="108"/>
      <c r="B1572" s="108"/>
      <c r="C1572" s="108"/>
      <c r="D1572" s="108"/>
      <c r="E1572" s="108"/>
      <c r="F1572" s="108"/>
      <c r="G1572" s="108"/>
      <c r="H1572" s="108"/>
      <c r="I1572" s="108"/>
      <c r="J1572" s="108"/>
      <c r="K1572" s="108"/>
      <c r="L1572" s="108"/>
      <c r="M1572" s="108"/>
      <c r="N1572" s="108"/>
      <c r="O1572" s="108"/>
      <c r="P1572" s="108"/>
      <c r="Q1572" s="108"/>
      <c r="R1572" s="108"/>
      <c r="S1572" s="108"/>
      <c r="T1572" s="108"/>
      <c r="U1572" s="108"/>
      <c r="V1572" s="108"/>
      <c r="W1572" s="108"/>
      <c r="X1572" s="108"/>
    </row>
    <row r="1573" spans="1:24">
      <c r="A1573" s="108"/>
      <c r="B1573" s="108"/>
      <c r="C1573" s="108"/>
      <c r="D1573" s="108"/>
      <c r="E1573" s="108"/>
      <c r="F1573" s="108"/>
      <c r="G1573" s="108"/>
      <c r="H1573" s="108"/>
      <c r="I1573" s="108"/>
      <c r="J1573" s="108"/>
      <c r="K1573" s="108"/>
      <c r="L1573" s="108"/>
      <c r="M1573" s="108"/>
      <c r="N1573" s="108"/>
      <c r="O1573" s="108"/>
      <c r="P1573" s="108"/>
      <c r="Q1573" s="108"/>
      <c r="R1573" s="108"/>
      <c r="S1573" s="108"/>
      <c r="T1573" s="108"/>
      <c r="U1573" s="108"/>
      <c r="V1573" s="108"/>
      <c r="W1573" s="108"/>
      <c r="X1573" s="108"/>
    </row>
    <row r="1574" spans="1:24">
      <c r="A1574" s="108"/>
      <c r="B1574" s="108"/>
      <c r="C1574" s="108"/>
      <c r="D1574" s="108"/>
      <c r="E1574" s="108"/>
      <c r="F1574" s="108"/>
      <c r="G1574" s="108"/>
      <c r="H1574" s="108"/>
      <c r="I1574" s="108"/>
      <c r="J1574" s="108"/>
      <c r="K1574" s="108"/>
      <c r="L1574" s="108"/>
      <c r="M1574" s="108"/>
      <c r="N1574" s="108"/>
      <c r="O1574" s="108"/>
      <c r="P1574" s="108"/>
      <c r="Q1574" s="108"/>
      <c r="R1574" s="108"/>
      <c r="S1574" s="108"/>
      <c r="T1574" s="108"/>
      <c r="U1574" s="108"/>
      <c r="V1574" s="108"/>
      <c r="W1574" s="108"/>
      <c r="X1574" s="108"/>
    </row>
    <row r="1575" spans="1:24">
      <c r="A1575" s="108"/>
      <c r="B1575" s="108"/>
      <c r="C1575" s="108"/>
      <c r="D1575" s="108"/>
      <c r="E1575" s="108"/>
      <c r="F1575" s="108"/>
      <c r="G1575" s="108"/>
      <c r="H1575" s="108"/>
      <c r="I1575" s="108"/>
      <c r="J1575" s="108"/>
      <c r="K1575" s="108"/>
      <c r="L1575" s="108"/>
      <c r="M1575" s="108"/>
      <c r="N1575" s="108"/>
      <c r="O1575" s="108"/>
      <c r="P1575" s="108"/>
      <c r="Q1575" s="108"/>
      <c r="R1575" s="108"/>
      <c r="S1575" s="108"/>
      <c r="T1575" s="108"/>
      <c r="U1575" s="108"/>
      <c r="V1575" s="108"/>
      <c r="W1575" s="108"/>
      <c r="X1575" s="108"/>
    </row>
    <row r="1576" spans="1:24">
      <c r="A1576" s="108"/>
      <c r="B1576" s="108"/>
      <c r="C1576" s="108"/>
      <c r="D1576" s="108"/>
      <c r="E1576" s="108"/>
      <c r="F1576" s="108"/>
      <c r="G1576" s="108"/>
      <c r="H1576" s="108"/>
      <c r="I1576" s="108"/>
      <c r="J1576" s="108"/>
      <c r="K1576" s="108"/>
      <c r="L1576" s="108"/>
      <c r="M1576" s="108"/>
      <c r="N1576" s="108"/>
      <c r="O1576" s="108"/>
      <c r="P1576" s="108"/>
      <c r="Q1576" s="108"/>
      <c r="R1576" s="108"/>
      <c r="S1576" s="108"/>
      <c r="T1576" s="108"/>
      <c r="U1576" s="108"/>
      <c r="V1576" s="108"/>
      <c r="W1576" s="108"/>
      <c r="X1576" s="108"/>
    </row>
    <row r="1577" spans="1:24">
      <c r="A1577" s="108"/>
      <c r="B1577" s="108"/>
      <c r="C1577" s="108"/>
      <c r="D1577" s="108"/>
      <c r="E1577" s="108"/>
      <c r="F1577" s="108"/>
      <c r="G1577" s="108"/>
      <c r="H1577" s="108"/>
      <c r="I1577" s="108"/>
      <c r="J1577" s="108"/>
      <c r="K1577" s="108"/>
      <c r="L1577" s="108"/>
      <c r="M1577" s="108"/>
      <c r="N1577" s="108"/>
      <c r="O1577" s="108"/>
      <c r="P1577" s="108"/>
      <c r="Q1577" s="108"/>
      <c r="R1577" s="108"/>
      <c r="S1577" s="108"/>
      <c r="T1577" s="108"/>
      <c r="U1577" s="108"/>
      <c r="V1577" s="108"/>
      <c r="W1577" s="108"/>
      <c r="X1577" s="108"/>
    </row>
    <row r="1578" spans="1:24">
      <c r="A1578" s="108"/>
      <c r="B1578" s="108"/>
      <c r="C1578" s="108"/>
      <c r="D1578" s="108"/>
      <c r="E1578" s="108"/>
      <c r="F1578" s="108"/>
      <c r="G1578" s="108"/>
      <c r="H1578" s="108"/>
      <c r="I1578" s="108"/>
      <c r="J1578" s="108"/>
      <c r="K1578" s="108"/>
      <c r="L1578" s="108"/>
      <c r="M1578" s="108"/>
      <c r="N1578" s="108"/>
      <c r="O1578" s="108"/>
      <c r="P1578" s="108"/>
      <c r="Q1578" s="108"/>
      <c r="R1578" s="108"/>
      <c r="S1578" s="108"/>
      <c r="T1578" s="108"/>
      <c r="U1578" s="108"/>
      <c r="V1578" s="108"/>
      <c r="W1578" s="108"/>
      <c r="X1578" s="108"/>
    </row>
    <row r="1579" spans="1:24">
      <c r="A1579" s="108"/>
      <c r="B1579" s="108"/>
      <c r="C1579" s="108"/>
      <c r="D1579" s="108"/>
      <c r="E1579" s="108"/>
      <c r="F1579" s="108"/>
      <c r="G1579" s="108"/>
      <c r="H1579" s="108"/>
      <c r="I1579" s="108"/>
      <c r="J1579" s="108"/>
      <c r="K1579" s="108"/>
      <c r="L1579" s="108"/>
      <c r="M1579" s="108"/>
      <c r="N1579" s="108"/>
      <c r="O1579" s="108"/>
      <c r="P1579" s="108"/>
      <c r="Q1579" s="108"/>
      <c r="R1579" s="108"/>
      <c r="S1579" s="108"/>
      <c r="T1579" s="108"/>
      <c r="U1579" s="108"/>
      <c r="V1579" s="108"/>
      <c r="W1579" s="108"/>
      <c r="X1579" s="108"/>
    </row>
    <row r="1580" spans="1:24">
      <c r="A1580" s="108"/>
      <c r="B1580" s="108"/>
      <c r="C1580" s="108"/>
      <c r="D1580" s="108"/>
      <c r="E1580" s="108"/>
      <c r="F1580" s="108"/>
      <c r="G1580" s="108"/>
      <c r="H1580" s="108"/>
      <c r="I1580" s="108"/>
      <c r="J1580" s="108"/>
      <c r="K1580" s="108"/>
      <c r="L1580" s="108"/>
      <c r="M1580" s="108"/>
      <c r="N1580" s="108"/>
      <c r="O1580" s="108"/>
      <c r="P1580" s="108"/>
      <c r="Q1580" s="108"/>
      <c r="R1580" s="108"/>
      <c r="S1580" s="108"/>
      <c r="T1580" s="108"/>
      <c r="U1580" s="108"/>
      <c r="V1580" s="108"/>
      <c r="W1580" s="108"/>
      <c r="X1580" s="108"/>
    </row>
    <row r="1581" spans="1:24">
      <c r="A1581" s="108"/>
      <c r="B1581" s="108"/>
      <c r="C1581" s="108"/>
      <c r="D1581" s="108"/>
      <c r="E1581" s="108"/>
      <c r="F1581" s="108"/>
      <c r="G1581" s="108"/>
      <c r="H1581" s="108"/>
      <c r="I1581" s="108"/>
      <c r="J1581" s="108"/>
      <c r="K1581" s="108"/>
      <c r="L1581" s="108"/>
      <c r="M1581" s="108"/>
      <c r="N1581" s="108"/>
      <c r="O1581" s="108"/>
      <c r="P1581" s="108"/>
      <c r="Q1581" s="108"/>
      <c r="R1581" s="108"/>
      <c r="S1581" s="108"/>
      <c r="T1581" s="108"/>
      <c r="U1581" s="108"/>
      <c r="V1581" s="108"/>
      <c r="W1581" s="108"/>
      <c r="X1581" s="108"/>
    </row>
    <row r="1582" spans="1:24">
      <c r="A1582" s="108"/>
      <c r="B1582" s="108"/>
      <c r="C1582" s="108"/>
      <c r="D1582" s="108"/>
      <c r="E1582" s="108"/>
      <c r="F1582" s="108"/>
      <c r="G1582" s="108"/>
      <c r="H1582" s="108"/>
      <c r="I1582" s="108"/>
      <c r="J1582" s="108"/>
      <c r="K1582" s="108"/>
      <c r="L1582" s="108"/>
      <c r="M1582" s="108"/>
      <c r="N1582" s="108"/>
      <c r="O1582" s="108"/>
      <c r="P1582" s="108"/>
      <c r="Q1582" s="108"/>
      <c r="R1582" s="108"/>
      <c r="S1582" s="108"/>
      <c r="T1582" s="108"/>
      <c r="U1582" s="108"/>
      <c r="V1582" s="108"/>
      <c r="W1582" s="108"/>
      <c r="X1582" s="108"/>
    </row>
    <row r="1583" spans="1:24">
      <c r="A1583" s="108"/>
      <c r="B1583" s="108"/>
      <c r="C1583" s="108"/>
      <c r="D1583" s="108"/>
      <c r="E1583" s="108"/>
      <c r="F1583" s="108"/>
      <c r="G1583" s="108"/>
      <c r="H1583" s="108"/>
      <c r="I1583" s="108"/>
      <c r="J1583" s="108"/>
      <c r="K1583" s="108"/>
      <c r="L1583" s="108"/>
      <c r="M1583" s="108"/>
      <c r="N1583" s="108"/>
      <c r="O1583" s="108"/>
      <c r="P1583" s="108"/>
      <c r="Q1583" s="108"/>
      <c r="R1583" s="108"/>
      <c r="S1583" s="108"/>
      <c r="T1583" s="108"/>
      <c r="U1583" s="108"/>
      <c r="V1583" s="108"/>
      <c r="W1583" s="108"/>
      <c r="X1583" s="108"/>
    </row>
    <row r="1584" spans="1:24">
      <c r="A1584" s="108"/>
      <c r="B1584" s="108"/>
      <c r="C1584" s="108"/>
      <c r="D1584" s="108"/>
      <c r="E1584" s="108"/>
      <c r="F1584" s="108"/>
      <c r="G1584" s="108"/>
      <c r="H1584" s="108"/>
      <c r="I1584" s="108"/>
      <c r="J1584" s="108"/>
      <c r="K1584" s="108"/>
      <c r="L1584" s="108"/>
      <c r="M1584" s="108"/>
      <c r="N1584" s="108"/>
      <c r="O1584" s="108"/>
      <c r="P1584" s="108"/>
      <c r="Q1584" s="108"/>
      <c r="R1584" s="108"/>
      <c r="S1584" s="108"/>
      <c r="T1584" s="108"/>
      <c r="U1584" s="108"/>
      <c r="V1584" s="108"/>
      <c r="W1584" s="108"/>
      <c r="X1584" s="108"/>
    </row>
    <row r="1585" spans="1:24">
      <c r="A1585" s="108"/>
      <c r="B1585" s="108"/>
      <c r="C1585" s="108"/>
      <c r="D1585" s="108"/>
      <c r="E1585" s="108"/>
      <c r="F1585" s="108"/>
      <c r="G1585" s="108"/>
      <c r="H1585" s="108"/>
      <c r="I1585" s="108"/>
      <c r="J1585" s="108"/>
      <c r="K1585" s="108"/>
      <c r="L1585" s="108"/>
      <c r="M1585" s="108"/>
      <c r="N1585" s="108"/>
      <c r="O1585" s="108"/>
      <c r="P1585" s="108"/>
      <c r="Q1585" s="108"/>
      <c r="R1585" s="108"/>
      <c r="S1585" s="108"/>
      <c r="T1585" s="108"/>
      <c r="U1585" s="108"/>
      <c r="V1585" s="108"/>
      <c r="W1585" s="108"/>
      <c r="X1585" s="108"/>
    </row>
    <row r="1586" spans="1:24">
      <c r="A1586" s="108"/>
      <c r="B1586" s="108"/>
      <c r="C1586" s="108"/>
      <c r="D1586" s="108"/>
      <c r="E1586" s="108"/>
      <c r="F1586" s="108"/>
      <c r="G1586" s="108"/>
      <c r="H1586" s="108"/>
      <c r="I1586" s="108"/>
      <c r="J1586" s="108"/>
      <c r="K1586" s="108"/>
      <c r="L1586" s="108"/>
      <c r="M1586" s="108"/>
      <c r="N1586" s="108"/>
      <c r="O1586" s="108"/>
      <c r="P1586" s="108"/>
      <c r="Q1586" s="108"/>
      <c r="R1586" s="108"/>
      <c r="S1586" s="108"/>
      <c r="T1586" s="108"/>
      <c r="U1586" s="108"/>
      <c r="V1586" s="108"/>
      <c r="W1586" s="108"/>
      <c r="X1586" s="108"/>
    </row>
    <row r="1587" spans="1:24">
      <c r="A1587" s="108"/>
      <c r="B1587" s="108"/>
      <c r="C1587" s="108"/>
      <c r="D1587" s="108"/>
      <c r="E1587" s="108"/>
      <c r="F1587" s="108"/>
      <c r="G1587" s="108"/>
      <c r="H1587" s="108"/>
      <c r="I1587" s="108"/>
      <c r="J1587" s="108"/>
      <c r="K1587" s="108"/>
      <c r="L1587" s="108"/>
      <c r="M1587" s="108"/>
      <c r="N1587" s="108"/>
      <c r="O1587" s="108"/>
      <c r="P1587" s="108"/>
      <c r="Q1587" s="108"/>
      <c r="R1587" s="108"/>
      <c r="S1587" s="108"/>
      <c r="T1587" s="108"/>
      <c r="U1587" s="108"/>
      <c r="V1587" s="108"/>
      <c r="W1587" s="108"/>
      <c r="X1587" s="108"/>
    </row>
    <row r="1588" spans="1:24">
      <c r="A1588" s="108"/>
      <c r="B1588" s="108"/>
      <c r="C1588" s="108"/>
      <c r="D1588" s="108"/>
      <c r="E1588" s="108"/>
      <c r="F1588" s="108"/>
      <c r="G1588" s="108"/>
      <c r="H1588" s="108"/>
      <c r="I1588" s="108"/>
      <c r="J1588" s="108"/>
      <c r="K1588" s="108"/>
      <c r="L1588" s="108"/>
      <c r="M1588" s="108"/>
      <c r="N1588" s="108"/>
      <c r="O1588" s="108"/>
      <c r="P1588" s="108"/>
      <c r="Q1588" s="108"/>
      <c r="R1588" s="108"/>
      <c r="S1588" s="108"/>
      <c r="T1588" s="108"/>
      <c r="U1588" s="108"/>
      <c r="V1588" s="108"/>
      <c r="W1588" s="108"/>
      <c r="X1588" s="108"/>
    </row>
    <row r="1589" spans="1:24">
      <c r="A1589" s="108"/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</row>
    <row r="1590" spans="1:24">
      <c r="A1590" s="108"/>
      <c r="B1590" s="108"/>
      <c r="C1590" s="108"/>
      <c r="D1590" s="108"/>
      <c r="E1590" s="108"/>
      <c r="F1590" s="108"/>
      <c r="G1590" s="108"/>
      <c r="H1590" s="108"/>
      <c r="I1590" s="108"/>
      <c r="J1590" s="108"/>
      <c r="K1590" s="108"/>
      <c r="L1590" s="108"/>
      <c r="M1590" s="108"/>
      <c r="N1590" s="108"/>
      <c r="O1590" s="108"/>
      <c r="P1590" s="108"/>
      <c r="Q1590" s="108"/>
      <c r="R1590" s="108"/>
      <c r="S1590" s="108"/>
      <c r="T1590" s="108"/>
      <c r="U1590" s="108"/>
      <c r="V1590" s="108"/>
      <c r="W1590" s="108"/>
      <c r="X1590" s="108"/>
    </row>
    <row r="1591" spans="1:24">
      <c r="A1591" s="108"/>
      <c r="B1591" s="108"/>
      <c r="C1591" s="108"/>
      <c r="D1591" s="108"/>
      <c r="E1591" s="108"/>
      <c r="F1591" s="108"/>
      <c r="G1591" s="108"/>
      <c r="H1591" s="108"/>
      <c r="I1591" s="108"/>
      <c r="J1591" s="108"/>
      <c r="K1591" s="108"/>
      <c r="L1591" s="108"/>
      <c r="M1591" s="108"/>
      <c r="N1591" s="108"/>
      <c r="O1591" s="108"/>
      <c r="P1591" s="108"/>
      <c r="Q1591" s="108"/>
      <c r="R1591" s="108"/>
      <c r="S1591" s="108"/>
      <c r="T1591" s="108"/>
      <c r="U1591" s="108"/>
      <c r="V1591" s="108"/>
      <c r="W1591" s="108"/>
      <c r="X1591" s="108"/>
    </row>
    <row r="1592" spans="1:24">
      <c r="A1592" s="108"/>
      <c r="B1592" s="108"/>
      <c r="C1592" s="108"/>
      <c r="D1592" s="108"/>
      <c r="E1592" s="108"/>
      <c r="F1592" s="108"/>
      <c r="G1592" s="108"/>
      <c r="H1592" s="108"/>
      <c r="I1592" s="108"/>
      <c r="J1592" s="108"/>
      <c r="K1592" s="108"/>
      <c r="L1592" s="108"/>
      <c r="M1592" s="108"/>
      <c r="N1592" s="108"/>
      <c r="O1592" s="108"/>
      <c r="P1592" s="108"/>
      <c r="Q1592" s="108"/>
      <c r="R1592" s="108"/>
      <c r="S1592" s="108"/>
      <c r="T1592" s="108"/>
      <c r="U1592" s="108"/>
      <c r="V1592" s="108"/>
      <c r="W1592" s="108"/>
      <c r="X1592" s="108"/>
    </row>
    <row r="1593" spans="1:24">
      <c r="A1593" s="108"/>
      <c r="B1593" s="108"/>
      <c r="C1593" s="108"/>
      <c r="D1593" s="108"/>
      <c r="E1593" s="108"/>
      <c r="F1593" s="108"/>
      <c r="G1593" s="108"/>
      <c r="H1593" s="108"/>
      <c r="I1593" s="108"/>
      <c r="J1593" s="108"/>
      <c r="K1593" s="108"/>
      <c r="L1593" s="108"/>
      <c r="M1593" s="108"/>
      <c r="N1593" s="108"/>
      <c r="O1593" s="108"/>
      <c r="P1593" s="108"/>
      <c r="Q1593" s="108"/>
      <c r="R1593" s="108"/>
      <c r="S1593" s="108"/>
      <c r="T1593" s="108"/>
      <c r="U1593" s="108"/>
      <c r="V1593" s="108"/>
      <c r="W1593" s="108"/>
      <c r="X1593" s="108"/>
    </row>
    <row r="1594" spans="1:24">
      <c r="A1594" s="108"/>
      <c r="B1594" s="108"/>
      <c r="C1594" s="108"/>
      <c r="D1594" s="108"/>
      <c r="E1594" s="108"/>
      <c r="F1594" s="108"/>
      <c r="G1594" s="108"/>
      <c r="H1594" s="108"/>
      <c r="I1594" s="108"/>
      <c r="J1594" s="108"/>
      <c r="K1594" s="108"/>
      <c r="L1594" s="108"/>
      <c r="M1594" s="108"/>
      <c r="N1594" s="108"/>
      <c r="O1594" s="108"/>
      <c r="P1594" s="108"/>
      <c r="Q1594" s="108"/>
      <c r="R1594" s="108"/>
      <c r="S1594" s="108"/>
      <c r="T1594" s="108"/>
      <c r="U1594" s="108"/>
      <c r="V1594" s="108"/>
      <c r="W1594" s="108"/>
      <c r="X1594" s="108"/>
    </row>
    <row r="1595" spans="1:24">
      <c r="A1595" s="108"/>
      <c r="B1595" s="108"/>
      <c r="C1595" s="108"/>
      <c r="D1595" s="108"/>
      <c r="E1595" s="108"/>
      <c r="F1595" s="108"/>
      <c r="G1595" s="108"/>
      <c r="H1595" s="108"/>
      <c r="I1595" s="108"/>
      <c r="J1595" s="108"/>
      <c r="K1595" s="108"/>
      <c r="L1595" s="108"/>
      <c r="M1595" s="108"/>
      <c r="N1595" s="108"/>
      <c r="O1595" s="108"/>
      <c r="P1595" s="108"/>
      <c r="Q1595" s="108"/>
      <c r="R1595" s="108"/>
      <c r="S1595" s="108"/>
      <c r="T1595" s="108"/>
      <c r="U1595" s="108"/>
      <c r="V1595" s="108"/>
      <c r="W1595" s="108"/>
      <c r="X1595" s="108"/>
    </row>
    <row r="1596" spans="1:24">
      <c r="A1596" s="108"/>
      <c r="B1596" s="108"/>
      <c r="C1596" s="108"/>
      <c r="D1596" s="108"/>
      <c r="E1596" s="108"/>
      <c r="F1596" s="108"/>
      <c r="G1596" s="108"/>
      <c r="H1596" s="108"/>
      <c r="I1596" s="108"/>
      <c r="J1596" s="108"/>
      <c r="K1596" s="108"/>
      <c r="L1596" s="108"/>
      <c r="M1596" s="108"/>
      <c r="N1596" s="108"/>
      <c r="O1596" s="108"/>
      <c r="P1596" s="108"/>
      <c r="Q1596" s="108"/>
      <c r="R1596" s="108"/>
      <c r="S1596" s="108"/>
      <c r="T1596" s="108"/>
      <c r="U1596" s="108"/>
      <c r="V1596" s="108"/>
      <c r="W1596" s="108"/>
      <c r="X1596" s="108"/>
    </row>
    <row r="1597" spans="1:24">
      <c r="A1597" s="108"/>
      <c r="B1597" s="108"/>
      <c r="C1597" s="108"/>
      <c r="D1597" s="108"/>
      <c r="E1597" s="108"/>
      <c r="F1597" s="108"/>
      <c r="G1597" s="108"/>
      <c r="H1597" s="108"/>
      <c r="I1597" s="108"/>
      <c r="J1597" s="108"/>
      <c r="K1597" s="108"/>
      <c r="L1597" s="108"/>
      <c r="M1597" s="108"/>
      <c r="N1597" s="108"/>
      <c r="O1597" s="108"/>
      <c r="P1597" s="108"/>
      <c r="Q1597" s="108"/>
      <c r="R1597" s="108"/>
      <c r="S1597" s="108"/>
      <c r="T1597" s="108"/>
      <c r="U1597" s="108"/>
      <c r="V1597" s="108"/>
      <c r="W1597" s="108"/>
      <c r="X1597" s="108"/>
    </row>
    <row r="1598" spans="1:24">
      <c r="A1598" s="108"/>
      <c r="B1598" s="108"/>
      <c r="C1598" s="108"/>
      <c r="D1598" s="108"/>
      <c r="E1598" s="108"/>
      <c r="F1598" s="108"/>
      <c r="G1598" s="108"/>
      <c r="H1598" s="108"/>
      <c r="I1598" s="108"/>
      <c r="J1598" s="108"/>
      <c r="K1598" s="108"/>
      <c r="L1598" s="108"/>
      <c r="M1598" s="108"/>
      <c r="N1598" s="108"/>
      <c r="O1598" s="108"/>
      <c r="P1598" s="108"/>
      <c r="Q1598" s="108"/>
      <c r="R1598" s="108"/>
      <c r="S1598" s="108"/>
      <c r="T1598" s="108"/>
      <c r="U1598" s="108"/>
      <c r="V1598" s="108"/>
      <c r="W1598" s="108"/>
      <c r="X1598" s="108"/>
    </row>
    <row r="1599" spans="1:24">
      <c r="A1599" s="108"/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</row>
    <row r="1600" spans="1:24">
      <c r="A1600" s="108"/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</row>
    <row r="1601" spans="1:24">
      <c r="A1601" s="108"/>
      <c r="B1601" s="108"/>
      <c r="C1601" s="108"/>
      <c r="D1601" s="108"/>
      <c r="E1601" s="108"/>
      <c r="F1601" s="108"/>
      <c r="G1601" s="108"/>
      <c r="H1601" s="108"/>
      <c r="I1601" s="108"/>
      <c r="J1601" s="108"/>
      <c r="K1601" s="108"/>
      <c r="L1601" s="108"/>
      <c r="M1601" s="108"/>
      <c r="N1601" s="108"/>
      <c r="O1601" s="108"/>
      <c r="P1601" s="108"/>
      <c r="Q1601" s="108"/>
      <c r="R1601" s="108"/>
      <c r="S1601" s="108"/>
      <c r="T1601" s="108"/>
      <c r="U1601" s="108"/>
      <c r="V1601" s="108"/>
      <c r="W1601" s="108"/>
      <c r="X1601" s="108"/>
    </row>
    <row r="1602" spans="1:24">
      <c r="A1602" s="108"/>
      <c r="B1602" s="108"/>
      <c r="C1602" s="108"/>
      <c r="D1602" s="108"/>
      <c r="E1602" s="108"/>
      <c r="F1602" s="108"/>
      <c r="G1602" s="108"/>
      <c r="H1602" s="108"/>
      <c r="I1602" s="108"/>
      <c r="J1602" s="108"/>
      <c r="K1602" s="108"/>
      <c r="L1602" s="108"/>
      <c r="M1602" s="108"/>
      <c r="N1602" s="108"/>
      <c r="O1602" s="108"/>
      <c r="P1602" s="108"/>
      <c r="Q1602" s="108"/>
      <c r="R1602" s="108"/>
      <c r="S1602" s="108"/>
      <c r="T1602" s="108"/>
      <c r="U1602" s="108"/>
      <c r="V1602" s="108"/>
      <c r="W1602" s="108"/>
      <c r="X1602" s="108"/>
    </row>
    <row r="1603" spans="1:24">
      <c r="A1603" s="108"/>
      <c r="B1603" s="108"/>
      <c r="C1603" s="108"/>
      <c r="D1603" s="108"/>
      <c r="E1603" s="108"/>
      <c r="F1603" s="108"/>
      <c r="G1603" s="108"/>
      <c r="H1603" s="108"/>
      <c r="I1603" s="108"/>
      <c r="J1603" s="108"/>
      <c r="K1603" s="108"/>
      <c r="L1603" s="108"/>
      <c r="M1603" s="108"/>
      <c r="N1603" s="108"/>
      <c r="O1603" s="108"/>
      <c r="P1603" s="108"/>
      <c r="Q1603" s="108"/>
      <c r="R1603" s="108"/>
      <c r="S1603" s="108"/>
      <c r="T1603" s="108"/>
      <c r="U1603" s="108"/>
      <c r="V1603" s="108"/>
      <c r="W1603" s="108"/>
      <c r="X1603" s="108"/>
    </row>
    <row r="1604" spans="1:24">
      <c r="A1604" s="108"/>
      <c r="B1604" s="108"/>
      <c r="C1604" s="108"/>
      <c r="D1604" s="108"/>
      <c r="E1604" s="108"/>
      <c r="F1604" s="108"/>
      <c r="G1604" s="108"/>
      <c r="H1604" s="108"/>
      <c r="I1604" s="108"/>
      <c r="J1604" s="108"/>
      <c r="K1604" s="108"/>
      <c r="L1604" s="108"/>
      <c r="M1604" s="108"/>
      <c r="N1604" s="108"/>
      <c r="O1604" s="108"/>
      <c r="P1604" s="108"/>
      <c r="Q1604" s="108"/>
      <c r="R1604" s="108"/>
      <c r="S1604" s="108"/>
      <c r="T1604" s="108"/>
      <c r="U1604" s="108"/>
      <c r="V1604" s="108"/>
      <c r="W1604" s="108"/>
      <c r="X1604" s="108"/>
    </row>
    <row r="1605" spans="1:24">
      <c r="A1605" s="108"/>
      <c r="B1605" s="108"/>
      <c r="C1605" s="108"/>
      <c r="D1605" s="108"/>
      <c r="E1605" s="108"/>
      <c r="F1605" s="108"/>
      <c r="G1605" s="108"/>
      <c r="H1605" s="108"/>
      <c r="I1605" s="108"/>
      <c r="J1605" s="108"/>
      <c r="K1605" s="108"/>
      <c r="L1605" s="108"/>
      <c r="M1605" s="108"/>
      <c r="N1605" s="108"/>
      <c r="O1605" s="108"/>
      <c r="P1605" s="108"/>
      <c r="Q1605" s="108"/>
      <c r="R1605" s="108"/>
      <c r="S1605" s="108"/>
      <c r="T1605" s="108"/>
      <c r="U1605" s="108"/>
      <c r="V1605" s="108"/>
      <c r="W1605" s="108"/>
      <c r="X1605" s="108"/>
    </row>
    <row r="1606" spans="1:24">
      <c r="A1606" s="108"/>
      <c r="B1606" s="108"/>
      <c r="C1606" s="108"/>
      <c r="D1606" s="108"/>
      <c r="E1606" s="108"/>
      <c r="F1606" s="108"/>
      <c r="G1606" s="108"/>
      <c r="H1606" s="108"/>
      <c r="I1606" s="108"/>
      <c r="J1606" s="108"/>
      <c r="K1606" s="108"/>
      <c r="L1606" s="108"/>
      <c r="M1606" s="108"/>
      <c r="N1606" s="108"/>
      <c r="O1606" s="108"/>
      <c r="P1606" s="108"/>
      <c r="Q1606" s="108"/>
      <c r="R1606" s="108"/>
      <c r="S1606" s="108"/>
      <c r="T1606" s="108"/>
      <c r="U1606" s="108"/>
      <c r="V1606" s="108"/>
      <c r="W1606" s="108"/>
      <c r="X1606" s="108"/>
    </row>
    <row r="1607" spans="1:24">
      <c r="A1607" s="108"/>
      <c r="B1607" s="108"/>
      <c r="C1607" s="108"/>
      <c r="D1607" s="108"/>
      <c r="E1607" s="108"/>
      <c r="F1607" s="108"/>
      <c r="G1607" s="108"/>
      <c r="H1607" s="108"/>
      <c r="I1607" s="108"/>
      <c r="J1607" s="108"/>
      <c r="K1607" s="108"/>
      <c r="L1607" s="108"/>
      <c r="M1607" s="108"/>
      <c r="N1607" s="108"/>
      <c r="O1607" s="108"/>
      <c r="P1607" s="108"/>
      <c r="Q1607" s="108"/>
      <c r="R1607" s="108"/>
      <c r="S1607" s="108"/>
      <c r="T1607" s="108"/>
      <c r="U1607" s="108"/>
      <c r="V1607" s="108"/>
      <c r="W1607" s="108"/>
      <c r="X1607" s="108"/>
    </row>
    <row r="1608" spans="1:24">
      <c r="A1608" s="108"/>
      <c r="B1608" s="108"/>
      <c r="C1608" s="108"/>
      <c r="D1608" s="108"/>
      <c r="E1608" s="108"/>
      <c r="F1608" s="108"/>
      <c r="G1608" s="108"/>
      <c r="H1608" s="108"/>
      <c r="I1608" s="108"/>
      <c r="J1608" s="108"/>
      <c r="K1608" s="108"/>
      <c r="L1608" s="108"/>
      <c r="M1608" s="108"/>
      <c r="N1608" s="108"/>
      <c r="O1608" s="108"/>
      <c r="P1608" s="108"/>
      <c r="Q1608" s="108"/>
      <c r="R1608" s="108"/>
      <c r="S1608" s="108"/>
      <c r="T1608" s="108"/>
      <c r="U1608" s="108"/>
      <c r="V1608" s="108"/>
      <c r="W1608" s="108"/>
      <c r="X1608" s="108"/>
    </row>
    <row r="1609" spans="1:24">
      <c r="A1609" s="108"/>
      <c r="B1609" s="108"/>
      <c r="C1609" s="108"/>
      <c r="D1609" s="108"/>
      <c r="E1609" s="108"/>
      <c r="F1609" s="108"/>
      <c r="G1609" s="108"/>
      <c r="H1609" s="108"/>
      <c r="I1609" s="108"/>
      <c r="J1609" s="108"/>
      <c r="K1609" s="108"/>
      <c r="L1609" s="108"/>
      <c r="M1609" s="108"/>
      <c r="N1609" s="108"/>
      <c r="O1609" s="108"/>
      <c r="P1609" s="108"/>
      <c r="Q1609" s="108"/>
      <c r="R1609" s="108"/>
      <c r="S1609" s="108"/>
      <c r="T1609" s="108"/>
      <c r="U1609" s="108"/>
      <c r="V1609" s="108"/>
      <c r="W1609" s="108"/>
      <c r="X1609" s="108"/>
    </row>
    <row r="1610" spans="1:24">
      <c r="A1610" s="108"/>
      <c r="B1610" s="108"/>
      <c r="C1610" s="108"/>
      <c r="D1610" s="108"/>
      <c r="E1610" s="108"/>
      <c r="F1610" s="108"/>
      <c r="G1610" s="108"/>
      <c r="H1610" s="108"/>
      <c r="I1610" s="108"/>
      <c r="J1610" s="108"/>
      <c r="K1610" s="108"/>
      <c r="L1610" s="108"/>
      <c r="M1610" s="108"/>
      <c r="N1610" s="108"/>
      <c r="O1610" s="108"/>
      <c r="P1610" s="108"/>
      <c r="Q1610" s="108"/>
      <c r="R1610" s="108"/>
      <c r="S1610" s="108"/>
      <c r="T1610" s="108"/>
      <c r="U1610" s="108"/>
      <c r="V1610" s="108"/>
      <c r="W1610" s="108"/>
      <c r="X1610" s="108"/>
    </row>
    <row r="1611" spans="1:24">
      <c r="A1611" s="108"/>
      <c r="B1611" s="108"/>
      <c r="C1611" s="108"/>
      <c r="D1611" s="108"/>
      <c r="E1611" s="108"/>
      <c r="F1611" s="108"/>
      <c r="G1611" s="108"/>
      <c r="H1611" s="108"/>
      <c r="I1611" s="108"/>
      <c r="J1611" s="108"/>
      <c r="K1611" s="108"/>
      <c r="L1611" s="108"/>
      <c r="M1611" s="108"/>
      <c r="N1611" s="108"/>
      <c r="O1611" s="108"/>
      <c r="P1611" s="108"/>
      <c r="Q1611" s="108"/>
      <c r="R1611" s="108"/>
      <c r="S1611" s="108"/>
      <c r="T1611" s="108"/>
      <c r="U1611" s="108"/>
      <c r="V1611" s="108"/>
      <c r="W1611" s="108"/>
      <c r="X1611" s="108"/>
    </row>
    <row r="1612" spans="1:24">
      <c r="A1612" s="108"/>
      <c r="B1612" s="108"/>
      <c r="C1612" s="108"/>
      <c r="D1612" s="108"/>
      <c r="E1612" s="108"/>
      <c r="F1612" s="108"/>
      <c r="G1612" s="108"/>
      <c r="H1612" s="108"/>
      <c r="I1612" s="108"/>
      <c r="J1612" s="108"/>
      <c r="K1612" s="108"/>
      <c r="L1612" s="108"/>
      <c r="M1612" s="108"/>
      <c r="N1612" s="108"/>
      <c r="O1612" s="108"/>
      <c r="P1612" s="108"/>
      <c r="Q1612" s="108"/>
      <c r="R1612" s="108"/>
      <c r="S1612" s="108"/>
      <c r="T1612" s="108"/>
      <c r="U1612" s="108"/>
      <c r="V1612" s="108"/>
      <c r="W1612" s="108"/>
      <c r="X1612" s="108"/>
    </row>
    <row r="1613" spans="1:24">
      <c r="A1613" s="108"/>
      <c r="B1613" s="108"/>
      <c r="C1613" s="108"/>
      <c r="D1613" s="108"/>
      <c r="E1613" s="108"/>
      <c r="F1613" s="108"/>
      <c r="G1613" s="108"/>
      <c r="H1613" s="108"/>
      <c r="I1613" s="108"/>
      <c r="J1613" s="108"/>
      <c r="K1613" s="108"/>
      <c r="L1613" s="108"/>
      <c r="M1613" s="108"/>
      <c r="N1613" s="108"/>
      <c r="O1613" s="108"/>
      <c r="P1613" s="108"/>
      <c r="Q1613" s="108"/>
      <c r="R1613" s="108"/>
      <c r="S1613" s="108"/>
      <c r="T1613" s="108"/>
      <c r="U1613" s="108"/>
      <c r="V1613" s="108"/>
      <c r="W1613" s="108"/>
      <c r="X1613" s="108"/>
    </row>
    <row r="1614" spans="1:24">
      <c r="A1614" s="108"/>
      <c r="B1614" s="108"/>
      <c r="C1614" s="108"/>
      <c r="D1614" s="108"/>
      <c r="E1614" s="108"/>
      <c r="F1614" s="108"/>
      <c r="G1614" s="108"/>
      <c r="H1614" s="108"/>
      <c r="I1614" s="108"/>
      <c r="J1614" s="108"/>
      <c r="K1614" s="108"/>
      <c r="L1614" s="108"/>
      <c r="M1614" s="108"/>
      <c r="N1614" s="108"/>
      <c r="O1614" s="108"/>
      <c r="P1614" s="108"/>
      <c r="Q1614" s="108"/>
      <c r="R1614" s="108"/>
      <c r="S1614" s="108"/>
      <c r="T1614" s="108"/>
      <c r="U1614" s="108"/>
      <c r="V1614" s="108"/>
      <c r="W1614" s="108"/>
      <c r="X1614" s="108"/>
    </row>
    <row r="1615" spans="1:24">
      <c r="A1615" s="108"/>
      <c r="B1615" s="108"/>
      <c r="C1615" s="108"/>
      <c r="D1615" s="108"/>
      <c r="E1615" s="108"/>
      <c r="F1615" s="108"/>
      <c r="G1615" s="108"/>
      <c r="H1615" s="108"/>
      <c r="I1615" s="108"/>
      <c r="J1615" s="108"/>
      <c r="K1615" s="108"/>
      <c r="L1615" s="108"/>
      <c r="M1615" s="108"/>
      <c r="N1615" s="108"/>
      <c r="O1615" s="108"/>
      <c r="P1615" s="108"/>
      <c r="Q1615" s="108"/>
      <c r="R1615" s="108"/>
      <c r="S1615" s="108"/>
      <c r="T1615" s="108"/>
      <c r="U1615" s="108"/>
      <c r="V1615" s="108"/>
      <c r="W1615" s="108"/>
      <c r="X1615" s="108"/>
    </row>
    <row r="1616" spans="1:24">
      <c r="A1616" s="108"/>
      <c r="B1616" s="108"/>
      <c r="C1616" s="108"/>
      <c r="D1616" s="108"/>
      <c r="E1616" s="108"/>
      <c r="F1616" s="108"/>
      <c r="G1616" s="108"/>
      <c r="H1616" s="108"/>
      <c r="I1616" s="108"/>
      <c r="J1616" s="108"/>
      <c r="K1616" s="108"/>
      <c r="L1616" s="108"/>
      <c r="M1616" s="108"/>
      <c r="N1616" s="108"/>
      <c r="O1616" s="108"/>
      <c r="P1616" s="108"/>
      <c r="Q1616" s="108"/>
      <c r="R1616" s="108"/>
      <c r="S1616" s="108"/>
      <c r="T1616" s="108"/>
      <c r="U1616" s="108"/>
      <c r="V1616" s="108"/>
      <c r="W1616" s="108"/>
      <c r="X1616" s="108"/>
    </row>
    <row r="1617" spans="1:24">
      <c r="A1617" s="108"/>
      <c r="B1617" s="108"/>
      <c r="C1617" s="108"/>
      <c r="D1617" s="108"/>
      <c r="E1617" s="108"/>
      <c r="F1617" s="108"/>
      <c r="G1617" s="108"/>
      <c r="H1617" s="108"/>
      <c r="I1617" s="108"/>
      <c r="J1617" s="108"/>
      <c r="K1617" s="108"/>
      <c r="L1617" s="108"/>
      <c r="M1617" s="108"/>
      <c r="N1617" s="108"/>
      <c r="O1617" s="108"/>
      <c r="P1617" s="108"/>
      <c r="Q1617" s="108"/>
      <c r="R1617" s="108"/>
      <c r="S1617" s="108"/>
      <c r="T1617" s="108"/>
      <c r="U1617" s="108"/>
      <c r="V1617" s="108"/>
      <c r="W1617" s="108"/>
      <c r="X1617" s="108"/>
    </row>
    <row r="1618" spans="1:24">
      <c r="A1618" s="108"/>
      <c r="B1618" s="108"/>
      <c r="C1618" s="108"/>
      <c r="D1618" s="108"/>
      <c r="E1618" s="108"/>
      <c r="F1618" s="108"/>
      <c r="G1618" s="108"/>
      <c r="H1618" s="108"/>
      <c r="I1618" s="108"/>
      <c r="J1618" s="108"/>
      <c r="K1618" s="108"/>
      <c r="L1618" s="108"/>
      <c r="M1618" s="108"/>
      <c r="N1618" s="108"/>
      <c r="O1618" s="108"/>
      <c r="P1618" s="108"/>
      <c r="Q1618" s="108"/>
      <c r="R1618" s="108"/>
      <c r="S1618" s="108"/>
      <c r="T1618" s="108"/>
      <c r="U1618" s="108"/>
      <c r="V1618" s="108"/>
      <c r="W1618" s="108"/>
      <c r="X1618" s="108"/>
    </row>
    <row r="1619" spans="1:24">
      <c r="A1619" s="108"/>
      <c r="B1619" s="108"/>
      <c r="C1619" s="108"/>
      <c r="D1619" s="108"/>
      <c r="E1619" s="108"/>
      <c r="F1619" s="108"/>
      <c r="G1619" s="108"/>
      <c r="H1619" s="108"/>
      <c r="I1619" s="108"/>
      <c r="J1619" s="108"/>
      <c r="K1619" s="108"/>
      <c r="L1619" s="108"/>
      <c r="M1619" s="108"/>
      <c r="N1619" s="108"/>
      <c r="O1619" s="108"/>
      <c r="P1619" s="108"/>
      <c r="Q1619" s="108"/>
      <c r="R1619" s="108"/>
      <c r="S1619" s="108"/>
      <c r="T1619" s="108"/>
      <c r="U1619" s="108"/>
      <c r="V1619" s="108"/>
      <c r="W1619" s="108"/>
      <c r="X1619" s="108"/>
    </row>
    <row r="1620" spans="1:24">
      <c r="A1620" s="108"/>
      <c r="B1620" s="108"/>
      <c r="C1620" s="108"/>
      <c r="D1620" s="108"/>
      <c r="E1620" s="108"/>
      <c r="F1620" s="108"/>
      <c r="G1620" s="108"/>
      <c r="H1620" s="108"/>
      <c r="I1620" s="108"/>
      <c r="J1620" s="108"/>
      <c r="K1620" s="108"/>
      <c r="L1620" s="108"/>
      <c r="M1620" s="108"/>
      <c r="N1620" s="108"/>
      <c r="O1620" s="108"/>
      <c r="P1620" s="108"/>
      <c r="Q1620" s="108"/>
      <c r="R1620" s="108"/>
      <c r="S1620" s="108"/>
      <c r="T1620" s="108"/>
      <c r="U1620" s="108"/>
      <c r="V1620" s="108"/>
      <c r="W1620" s="108"/>
      <c r="X1620" s="108"/>
    </row>
    <row r="1621" spans="1:24">
      <c r="A1621" s="108"/>
      <c r="B1621" s="108"/>
      <c r="C1621" s="108"/>
      <c r="D1621" s="108"/>
      <c r="E1621" s="108"/>
      <c r="F1621" s="108"/>
      <c r="G1621" s="108"/>
      <c r="H1621" s="108"/>
      <c r="I1621" s="108"/>
      <c r="J1621" s="108"/>
      <c r="K1621" s="108"/>
      <c r="L1621" s="108"/>
      <c r="M1621" s="108"/>
      <c r="N1621" s="108"/>
      <c r="O1621" s="108"/>
      <c r="P1621" s="108"/>
      <c r="Q1621" s="108"/>
      <c r="R1621" s="108"/>
      <c r="S1621" s="108"/>
      <c r="T1621" s="108"/>
      <c r="U1621" s="108"/>
      <c r="V1621" s="108"/>
      <c r="W1621" s="108"/>
      <c r="X1621" s="108"/>
    </row>
    <row r="1622" spans="1:24">
      <c r="A1622" s="108"/>
      <c r="B1622" s="108"/>
      <c r="C1622" s="108"/>
      <c r="D1622" s="108"/>
      <c r="E1622" s="108"/>
      <c r="F1622" s="108"/>
      <c r="G1622" s="108"/>
      <c r="H1622" s="108"/>
      <c r="I1622" s="108"/>
      <c r="J1622" s="108"/>
      <c r="K1622" s="108"/>
      <c r="L1622" s="108"/>
      <c r="M1622" s="108"/>
      <c r="N1622" s="108"/>
      <c r="O1622" s="108"/>
      <c r="P1622" s="108"/>
      <c r="Q1622" s="108"/>
      <c r="R1622" s="108"/>
      <c r="S1622" s="108"/>
      <c r="T1622" s="108"/>
      <c r="U1622" s="108"/>
      <c r="V1622" s="108"/>
      <c r="W1622" s="108"/>
      <c r="X1622" s="108"/>
    </row>
    <row r="1623" spans="1:24">
      <c r="A1623" s="108"/>
      <c r="B1623" s="108"/>
      <c r="C1623" s="108"/>
      <c r="D1623" s="108"/>
      <c r="E1623" s="108"/>
      <c r="F1623" s="108"/>
      <c r="G1623" s="108"/>
      <c r="H1623" s="108"/>
      <c r="I1623" s="108"/>
      <c r="J1623" s="108"/>
      <c r="K1623" s="108"/>
      <c r="L1623" s="108"/>
      <c r="M1623" s="108"/>
      <c r="N1623" s="108"/>
      <c r="O1623" s="108"/>
      <c r="P1623" s="108"/>
      <c r="Q1623" s="108"/>
      <c r="R1623" s="108"/>
      <c r="S1623" s="108"/>
      <c r="T1623" s="108"/>
      <c r="U1623" s="108"/>
      <c r="V1623" s="108"/>
      <c r="W1623" s="108"/>
      <c r="X1623" s="108"/>
    </row>
    <row r="1624" spans="1:24">
      <c r="A1624" s="108"/>
      <c r="B1624" s="108"/>
      <c r="C1624" s="108"/>
      <c r="D1624" s="108"/>
      <c r="E1624" s="108"/>
      <c r="F1624" s="108"/>
      <c r="G1624" s="108"/>
      <c r="H1624" s="108"/>
      <c r="I1624" s="108"/>
      <c r="J1624" s="108"/>
      <c r="K1624" s="108"/>
      <c r="L1624" s="108"/>
      <c r="M1624" s="108"/>
      <c r="N1624" s="108"/>
      <c r="O1624" s="108"/>
      <c r="P1624" s="108"/>
      <c r="Q1624" s="108"/>
      <c r="R1624" s="108"/>
      <c r="S1624" s="108"/>
      <c r="T1624" s="108"/>
      <c r="U1624" s="108"/>
      <c r="V1624" s="108"/>
      <c r="W1624" s="108"/>
      <c r="X1624" s="108"/>
    </row>
    <row r="1625" spans="1:24">
      <c r="A1625" s="108"/>
      <c r="B1625" s="108"/>
      <c r="C1625" s="108"/>
      <c r="D1625" s="108"/>
      <c r="E1625" s="108"/>
      <c r="F1625" s="108"/>
      <c r="G1625" s="108"/>
      <c r="H1625" s="108"/>
      <c r="I1625" s="108"/>
      <c r="J1625" s="108"/>
      <c r="K1625" s="108"/>
      <c r="L1625" s="108"/>
      <c r="M1625" s="108"/>
      <c r="N1625" s="108"/>
      <c r="O1625" s="108"/>
      <c r="P1625" s="108"/>
      <c r="Q1625" s="108"/>
      <c r="R1625" s="108"/>
      <c r="S1625" s="108"/>
      <c r="T1625" s="108"/>
      <c r="U1625" s="108"/>
      <c r="V1625" s="108"/>
      <c r="W1625" s="108"/>
      <c r="X1625" s="108"/>
    </row>
    <row r="1626" spans="1:24">
      <c r="A1626" s="108"/>
      <c r="B1626" s="108"/>
      <c r="C1626" s="108"/>
      <c r="D1626" s="108"/>
      <c r="E1626" s="108"/>
      <c r="F1626" s="108"/>
      <c r="G1626" s="108"/>
      <c r="H1626" s="108"/>
      <c r="I1626" s="108"/>
      <c r="J1626" s="108"/>
      <c r="K1626" s="108"/>
      <c r="L1626" s="108"/>
      <c r="M1626" s="108"/>
      <c r="N1626" s="108"/>
      <c r="O1626" s="108"/>
      <c r="P1626" s="108"/>
      <c r="Q1626" s="108"/>
      <c r="R1626" s="108"/>
      <c r="S1626" s="108"/>
      <c r="T1626" s="108"/>
      <c r="U1626" s="108"/>
      <c r="V1626" s="108"/>
      <c r="W1626" s="108"/>
      <c r="X1626" s="108"/>
    </row>
    <row r="1627" spans="1:24">
      <c r="A1627" s="108"/>
      <c r="B1627" s="108"/>
      <c r="C1627" s="108"/>
      <c r="D1627" s="108"/>
      <c r="E1627" s="108"/>
      <c r="F1627" s="108"/>
      <c r="G1627" s="108"/>
      <c r="H1627" s="108"/>
      <c r="I1627" s="108"/>
      <c r="J1627" s="108"/>
      <c r="K1627" s="108"/>
      <c r="L1627" s="108"/>
      <c r="M1627" s="108"/>
      <c r="N1627" s="108"/>
      <c r="O1627" s="108"/>
      <c r="P1627" s="108"/>
      <c r="Q1627" s="108"/>
      <c r="R1627" s="108"/>
      <c r="S1627" s="108"/>
      <c r="T1627" s="108"/>
      <c r="U1627" s="108"/>
      <c r="V1627" s="108"/>
      <c r="W1627" s="108"/>
      <c r="X1627" s="108"/>
    </row>
    <row r="1628" spans="1:24">
      <c r="A1628" s="108"/>
      <c r="B1628" s="108"/>
      <c r="C1628" s="108"/>
      <c r="D1628" s="108"/>
      <c r="E1628" s="108"/>
      <c r="F1628" s="108"/>
      <c r="G1628" s="108"/>
      <c r="H1628" s="108"/>
      <c r="I1628" s="108"/>
      <c r="J1628" s="108"/>
      <c r="K1628" s="108"/>
      <c r="L1628" s="108"/>
      <c r="M1628" s="108"/>
      <c r="N1628" s="108"/>
      <c r="O1628" s="108"/>
      <c r="P1628" s="108"/>
      <c r="Q1628" s="108"/>
      <c r="R1628" s="108"/>
      <c r="S1628" s="108"/>
      <c r="T1628" s="108"/>
      <c r="U1628" s="108"/>
      <c r="V1628" s="108"/>
      <c r="W1628" s="108"/>
      <c r="X1628" s="108"/>
    </row>
    <row r="1629" spans="1:24">
      <c r="A1629" s="108"/>
      <c r="B1629" s="108"/>
      <c r="C1629" s="108"/>
      <c r="D1629" s="108"/>
      <c r="E1629" s="108"/>
      <c r="F1629" s="108"/>
      <c r="G1629" s="108"/>
      <c r="H1629" s="108"/>
      <c r="I1629" s="108"/>
      <c r="J1629" s="108"/>
      <c r="K1629" s="108"/>
      <c r="L1629" s="108"/>
      <c r="M1629" s="108"/>
      <c r="N1629" s="108"/>
      <c r="O1629" s="108"/>
      <c r="P1629" s="108"/>
      <c r="Q1629" s="108"/>
      <c r="R1629" s="108"/>
      <c r="S1629" s="108"/>
      <c r="T1629" s="108"/>
      <c r="U1629" s="108"/>
      <c r="V1629" s="108"/>
      <c r="W1629" s="108"/>
      <c r="X1629" s="108"/>
    </row>
    <row r="1630" spans="1:24">
      <c r="A1630" s="108"/>
      <c r="B1630" s="108"/>
      <c r="C1630" s="108"/>
      <c r="D1630" s="108"/>
      <c r="E1630" s="108"/>
      <c r="F1630" s="108"/>
      <c r="G1630" s="108"/>
      <c r="H1630" s="108"/>
      <c r="I1630" s="108"/>
      <c r="J1630" s="108"/>
      <c r="K1630" s="108"/>
      <c r="L1630" s="108"/>
      <c r="M1630" s="108"/>
      <c r="N1630" s="108"/>
      <c r="O1630" s="108"/>
      <c r="P1630" s="108"/>
      <c r="Q1630" s="108"/>
      <c r="R1630" s="108"/>
      <c r="S1630" s="108"/>
      <c r="T1630" s="108"/>
      <c r="U1630" s="108"/>
      <c r="V1630" s="108"/>
      <c r="W1630" s="108"/>
      <c r="X1630" s="108"/>
    </row>
    <row r="1631" spans="1:24">
      <c r="A1631" s="108"/>
      <c r="B1631" s="108"/>
      <c r="C1631" s="108"/>
      <c r="D1631" s="108"/>
      <c r="E1631" s="108"/>
      <c r="F1631" s="108"/>
      <c r="G1631" s="108"/>
      <c r="H1631" s="108"/>
      <c r="I1631" s="108"/>
      <c r="J1631" s="108"/>
      <c r="K1631" s="108"/>
      <c r="L1631" s="108"/>
      <c r="M1631" s="108"/>
      <c r="N1631" s="108"/>
      <c r="O1631" s="108"/>
      <c r="P1631" s="108"/>
      <c r="Q1631" s="108"/>
      <c r="R1631" s="108"/>
      <c r="S1631" s="108"/>
      <c r="T1631" s="108"/>
      <c r="U1631" s="108"/>
      <c r="V1631" s="108"/>
      <c r="W1631" s="108"/>
      <c r="X1631" s="108"/>
    </row>
    <row r="1632" spans="1:24">
      <c r="A1632" s="108"/>
      <c r="B1632" s="108"/>
      <c r="C1632" s="108"/>
      <c r="D1632" s="108"/>
      <c r="E1632" s="108"/>
      <c r="F1632" s="108"/>
      <c r="G1632" s="108"/>
      <c r="H1632" s="108"/>
      <c r="I1632" s="108"/>
      <c r="J1632" s="108"/>
      <c r="K1632" s="108"/>
      <c r="L1632" s="108"/>
      <c r="M1632" s="108"/>
      <c r="N1632" s="108"/>
      <c r="O1632" s="108"/>
      <c r="P1632" s="108"/>
      <c r="Q1632" s="108"/>
      <c r="R1632" s="108"/>
      <c r="S1632" s="108"/>
      <c r="T1632" s="108"/>
      <c r="U1632" s="108"/>
      <c r="V1632" s="108"/>
      <c r="W1632" s="108"/>
      <c r="X1632" s="108"/>
    </row>
    <row r="1633" spans="1:24">
      <c r="A1633" s="108"/>
      <c r="B1633" s="108"/>
      <c r="C1633" s="108"/>
      <c r="D1633" s="108"/>
      <c r="E1633" s="108"/>
      <c r="F1633" s="108"/>
      <c r="G1633" s="108"/>
      <c r="H1633" s="108"/>
      <c r="I1633" s="108"/>
      <c r="J1633" s="108"/>
      <c r="K1633" s="108"/>
      <c r="L1633" s="108"/>
      <c r="M1633" s="108"/>
      <c r="N1633" s="108"/>
      <c r="O1633" s="108"/>
      <c r="P1633" s="108"/>
      <c r="Q1633" s="108"/>
      <c r="R1633" s="108"/>
      <c r="S1633" s="108"/>
      <c r="T1633" s="108"/>
      <c r="U1633" s="108"/>
      <c r="V1633" s="108"/>
      <c r="W1633" s="108"/>
      <c r="X1633" s="108"/>
    </row>
    <row r="1634" spans="1:24">
      <c r="A1634" s="108"/>
      <c r="B1634" s="108"/>
      <c r="C1634" s="108"/>
      <c r="D1634" s="108"/>
      <c r="E1634" s="108"/>
      <c r="F1634" s="108"/>
      <c r="G1634" s="108"/>
      <c r="H1634" s="108"/>
      <c r="I1634" s="108"/>
      <c r="J1634" s="108"/>
      <c r="K1634" s="108"/>
      <c r="L1634" s="108"/>
      <c r="M1634" s="108"/>
      <c r="N1634" s="108"/>
      <c r="O1634" s="108"/>
      <c r="P1634" s="108"/>
      <c r="Q1634" s="108"/>
      <c r="R1634" s="108"/>
      <c r="S1634" s="108"/>
      <c r="T1634" s="108"/>
      <c r="U1634" s="108"/>
      <c r="V1634" s="108"/>
      <c r="W1634" s="108"/>
      <c r="X1634" s="108"/>
    </row>
    <row r="1635" spans="1:24">
      <c r="A1635" s="108"/>
      <c r="B1635" s="108"/>
      <c r="C1635" s="108"/>
      <c r="D1635" s="108"/>
      <c r="E1635" s="108"/>
      <c r="F1635" s="108"/>
      <c r="G1635" s="108"/>
      <c r="H1635" s="108"/>
      <c r="I1635" s="108"/>
      <c r="J1635" s="108"/>
      <c r="K1635" s="108"/>
      <c r="L1635" s="108"/>
      <c r="M1635" s="108"/>
      <c r="N1635" s="108"/>
      <c r="O1635" s="108"/>
      <c r="P1635" s="108"/>
      <c r="Q1635" s="108"/>
      <c r="R1635" s="108"/>
      <c r="S1635" s="108"/>
      <c r="T1635" s="108"/>
      <c r="U1635" s="108"/>
      <c r="V1635" s="108"/>
      <c r="W1635" s="108"/>
      <c r="X1635" s="108"/>
    </row>
    <row r="1636" spans="1:24">
      <c r="A1636" s="108"/>
      <c r="B1636" s="108"/>
      <c r="C1636" s="108"/>
      <c r="D1636" s="108"/>
      <c r="E1636" s="108"/>
      <c r="F1636" s="108"/>
      <c r="G1636" s="108"/>
      <c r="H1636" s="108"/>
      <c r="I1636" s="108"/>
      <c r="J1636" s="108"/>
      <c r="K1636" s="108"/>
      <c r="L1636" s="108"/>
      <c r="M1636" s="108"/>
      <c r="N1636" s="108"/>
      <c r="O1636" s="108"/>
      <c r="P1636" s="108"/>
      <c r="Q1636" s="108"/>
      <c r="R1636" s="108"/>
      <c r="S1636" s="108"/>
      <c r="T1636" s="108"/>
      <c r="U1636" s="108"/>
      <c r="V1636" s="108"/>
      <c r="W1636" s="108"/>
      <c r="X1636" s="108"/>
    </row>
    <row r="1637" spans="1:24">
      <c r="A1637" s="108"/>
      <c r="B1637" s="108"/>
      <c r="C1637" s="108"/>
      <c r="D1637" s="108"/>
      <c r="E1637" s="108"/>
      <c r="F1637" s="108"/>
      <c r="G1637" s="108"/>
      <c r="H1637" s="108"/>
      <c r="I1637" s="108"/>
      <c r="J1637" s="108"/>
      <c r="K1637" s="108"/>
      <c r="L1637" s="108"/>
      <c r="M1637" s="108"/>
      <c r="N1637" s="108"/>
      <c r="O1637" s="108"/>
      <c r="P1637" s="108"/>
      <c r="Q1637" s="108"/>
      <c r="R1637" s="108"/>
      <c r="S1637" s="108"/>
      <c r="T1637" s="108"/>
      <c r="U1637" s="108"/>
      <c r="V1637" s="108"/>
      <c r="W1637" s="108"/>
      <c r="X1637" s="108"/>
    </row>
    <row r="1638" spans="1:24">
      <c r="A1638" s="108"/>
      <c r="B1638" s="108"/>
      <c r="C1638" s="108"/>
      <c r="D1638" s="108"/>
      <c r="E1638" s="108"/>
      <c r="F1638" s="108"/>
      <c r="G1638" s="108"/>
      <c r="H1638" s="108"/>
      <c r="I1638" s="108"/>
      <c r="J1638" s="108"/>
      <c r="K1638" s="108"/>
      <c r="L1638" s="108"/>
      <c r="M1638" s="108"/>
      <c r="N1638" s="108"/>
      <c r="O1638" s="108"/>
      <c r="P1638" s="108"/>
      <c r="Q1638" s="108"/>
      <c r="R1638" s="108"/>
      <c r="S1638" s="108"/>
      <c r="T1638" s="108"/>
      <c r="U1638" s="108"/>
      <c r="V1638" s="108"/>
      <c r="W1638" s="108"/>
      <c r="X1638" s="108"/>
    </row>
    <row r="1639" spans="1:24">
      <c r="A1639" s="108"/>
      <c r="B1639" s="108"/>
      <c r="C1639" s="108"/>
      <c r="D1639" s="108"/>
      <c r="E1639" s="108"/>
      <c r="F1639" s="108"/>
      <c r="G1639" s="108"/>
      <c r="H1639" s="108"/>
      <c r="I1639" s="108"/>
      <c r="J1639" s="108"/>
      <c r="K1639" s="108"/>
      <c r="L1639" s="108"/>
      <c r="M1639" s="108"/>
      <c r="N1639" s="108"/>
      <c r="O1639" s="108"/>
      <c r="P1639" s="108"/>
      <c r="Q1639" s="108"/>
      <c r="R1639" s="108"/>
      <c r="S1639" s="108"/>
      <c r="T1639" s="108"/>
      <c r="U1639" s="108"/>
      <c r="V1639" s="108"/>
      <c r="W1639" s="108"/>
      <c r="X1639" s="108"/>
    </row>
    <row r="1640" spans="1:24">
      <c r="A1640" s="108"/>
      <c r="B1640" s="108"/>
      <c r="C1640" s="108"/>
      <c r="D1640" s="108"/>
      <c r="E1640" s="108"/>
      <c r="F1640" s="108"/>
      <c r="G1640" s="108"/>
      <c r="H1640" s="108"/>
      <c r="I1640" s="108"/>
      <c r="J1640" s="108"/>
      <c r="K1640" s="108"/>
      <c r="L1640" s="108"/>
      <c r="M1640" s="108"/>
      <c r="N1640" s="108"/>
      <c r="O1640" s="108"/>
      <c r="P1640" s="108"/>
      <c r="Q1640" s="108"/>
      <c r="R1640" s="108"/>
      <c r="S1640" s="108"/>
      <c r="T1640" s="108"/>
      <c r="U1640" s="108"/>
      <c r="V1640" s="108"/>
      <c r="W1640" s="108"/>
      <c r="X1640" s="108"/>
    </row>
    <row r="1641" spans="1:24">
      <c r="A1641" s="108"/>
      <c r="B1641" s="108"/>
      <c r="C1641" s="108"/>
      <c r="D1641" s="108"/>
      <c r="E1641" s="108"/>
      <c r="F1641" s="108"/>
      <c r="G1641" s="108"/>
      <c r="H1641" s="108"/>
      <c r="I1641" s="108"/>
      <c r="J1641" s="108"/>
      <c r="K1641" s="108"/>
      <c r="L1641" s="108"/>
      <c r="M1641" s="108"/>
      <c r="N1641" s="108"/>
      <c r="O1641" s="108"/>
      <c r="P1641" s="108"/>
      <c r="Q1641" s="108"/>
      <c r="R1641" s="108"/>
      <c r="S1641" s="108"/>
      <c r="T1641" s="108"/>
      <c r="U1641" s="108"/>
      <c r="V1641" s="108"/>
      <c r="W1641" s="108"/>
      <c r="X1641" s="108"/>
    </row>
    <row r="1642" spans="1:24">
      <c r="A1642" s="108"/>
      <c r="B1642" s="108"/>
      <c r="C1642" s="108"/>
      <c r="D1642" s="108"/>
      <c r="E1642" s="108"/>
      <c r="F1642" s="108"/>
      <c r="G1642" s="108"/>
      <c r="H1642" s="108"/>
      <c r="I1642" s="108"/>
      <c r="J1642" s="108"/>
      <c r="K1642" s="108"/>
      <c r="L1642" s="108"/>
      <c r="M1642" s="108"/>
      <c r="N1642" s="108"/>
      <c r="O1642" s="108"/>
      <c r="P1642" s="108"/>
      <c r="Q1642" s="108"/>
      <c r="R1642" s="108"/>
      <c r="S1642" s="108"/>
      <c r="T1642" s="108"/>
      <c r="U1642" s="108"/>
      <c r="V1642" s="108"/>
      <c r="W1642" s="108"/>
      <c r="X1642" s="108"/>
    </row>
    <row r="1643" spans="1:24">
      <c r="A1643" s="108"/>
      <c r="B1643" s="108"/>
      <c r="C1643" s="108"/>
      <c r="D1643" s="108"/>
      <c r="E1643" s="108"/>
      <c r="F1643" s="108"/>
      <c r="G1643" s="108"/>
      <c r="H1643" s="108"/>
      <c r="I1643" s="108"/>
      <c r="J1643" s="108"/>
      <c r="K1643" s="108"/>
      <c r="L1643" s="108"/>
      <c r="M1643" s="108"/>
      <c r="N1643" s="108"/>
      <c r="O1643" s="108"/>
      <c r="P1643" s="108"/>
      <c r="Q1643" s="108"/>
      <c r="R1643" s="108"/>
      <c r="S1643" s="108"/>
      <c r="T1643" s="108"/>
      <c r="U1643" s="108"/>
      <c r="V1643" s="108"/>
      <c r="W1643" s="108"/>
      <c r="X1643" s="108"/>
    </row>
    <row r="1644" spans="1:24">
      <c r="A1644" s="108"/>
      <c r="B1644" s="108"/>
      <c r="C1644" s="108"/>
      <c r="D1644" s="108"/>
      <c r="E1644" s="108"/>
      <c r="F1644" s="108"/>
      <c r="G1644" s="108"/>
      <c r="H1644" s="108"/>
      <c r="I1644" s="108"/>
      <c r="J1644" s="108"/>
      <c r="K1644" s="108"/>
      <c r="L1644" s="108"/>
      <c r="M1644" s="108"/>
      <c r="N1644" s="108"/>
      <c r="O1644" s="108"/>
      <c r="P1644" s="108"/>
      <c r="Q1644" s="108"/>
      <c r="R1644" s="108"/>
      <c r="S1644" s="108"/>
      <c r="T1644" s="108"/>
      <c r="U1644" s="108"/>
      <c r="V1644" s="108"/>
      <c r="W1644" s="108"/>
      <c r="X1644" s="108"/>
    </row>
    <row r="1645" spans="1:24">
      <c r="A1645" s="108"/>
      <c r="B1645" s="108"/>
      <c r="C1645" s="108"/>
      <c r="D1645" s="108"/>
      <c r="E1645" s="108"/>
      <c r="F1645" s="108"/>
      <c r="G1645" s="108"/>
      <c r="H1645" s="108"/>
      <c r="I1645" s="108"/>
      <c r="J1645" s="108"/>
      <c r="K1645" s="108"/>
      <c r="L1645" s="108"/>
      <c r="M1645" s="108"/>
      <c r="N1645" s="108"/>
      <c r="O1645" s="108"/>
      <c r="P1645" s="108"/>
      <c r="Q1645" s="108"/>
      <c r="R1645" s="108"/>
      <c r="S1645" s="108"/>
      <c r="T1645" s="108"/>
      <c r="U1645" s="108"/>
      <c r="V1645" s="108"/>
      <c r="W1645" s="108"/>
      <c r="X1645" s="108"/>
    </row>
    <row r="1646" spans="1:24">
      <c r="A1646" s="108"/>
      <c r="B1646" s="108"/>
      <c r="C1646" s="108"/>
      <c r="D1646" s="108"/>
      <c r="E1646" s="108"/>
      <c r="F1646" s="108"/>
      <c r="G1646" s="108"/>
      <c r="H1646" s="108"/>
      <c r="I1646" s="108"/>
      <c r="J1646" s="108"/>
      <c r="K1646" s="108"/>
      <c r="L1646" s="108"/>
      <c r="M1646" s="108"/>
      <c r="N1646" s="108"/>
      <c r="O1646" s="108"/>
      <c r="P1646" s="108"/>
      <c r="Q1646" s="108"/>
      <c r="R1646" s="108"/>
      <c r="S1646" s="108"/>
      <c r="T1646" s="108"/>
      <c r="U1646" s="108"/>
      <c r="V1646" s="108"/>
      <c r="W1646" s="108"/>
      <c r="X1646" s="108"/>
    </row>
    <row r="1647" spans="1:24">
      <c r="A1647" s="108"/>
      <c r="B1647" s="108"/>
      <c r="C1647" s="108"/>
      <c r="D1647" s="108"/>
      <c r="E1647" s="108"/>
      <c r="F1647" s="108"/>
      <c r="G1647" s="108"/>
      <c r="H1647" s="108"/>
      <c r="I1647" s="108"/>
      <c r="J1647" s="108"/>
      <c r="K1647" s="108"/>
      <c r="L1647" s="108"/>
      <c r="M1647" s="108"/>
      <c r="N1647" s="108"/>
      <c r="O1647" s="108"/>
      <c r="P1647" s="108"/>
      <c r="Q1647" s="108"/>
      <c r="R1647" s="108"/>
      <c r="S1647" s="108"/>
      <c r="T1647" s="108"/>
      <c r="U1647" s="108"/>
      <c r="V1647" s="108"/>
      <c r="W1647" s="108"/>
      <c r="X1647" s="108"/>
    </row>
    <row r="1648" spans="1:24">
      <c r="A1648" s="108"/>
      <c r="B1648" s="108"/>
      <c r="C1648" s="108"/>
      <c r="D1648" s="108"/>
      <c r="E1648" s="108"/>
      <c r="F1648" s="108"/>
      <c r="G1648" s="108"/>
      <c r="H1648" s="108"/>
      <c r="I1648" s="108"/>
      <c r="J1648" s="108"/>
      <c r="K1648" s="108"/>
      <c r="L1648" s="108"/>
      <c r="M1648" s="108"/>
      <c r="N1648" s="108"/>
      <c r="O1648" s="108"/>
      <c r="P1648" s="108"/>
      <c r="Q1648" s="108"/>
      <c r="R1648" s="108"/>
      <c r="S1648" s="108"/>
      <c r="T1648" s="108"/>
      <c r="U1648" s="108"/>
      <c r="V1648" s="108"/>
      <c r="W1648" s="108"/>
      <c r="X1648" s="108"/>
    </row>
    <row r="1649" spans="1:24">
      <c r="A1649" s="108"/>
      <c r="B1649" s="108"/>
      <c r="C1649" s="108"/>
      <c r="D1649" s="108"/>
      <c r="E1649" s="108"/>
      <c r="F1649" s="108"/>
      <c r="G1649" s="108"/>
      <c r="H1649" s="108"/>
      <c r="I1649" s="108"/>
      <c r="J1649" s="108"/>
      <c r="K1649" s="108"/>
      <c r="L1649" s="108"/>
      <c r="M1649" s="108"/>
      <c r="N1649" s="108"/>
      <c r="O1649" s="108"/>
      <c r="P1649" s="108"/>
      <c r="Q1649" s="108"/>
      <c r="R1649" s="108"/>
      <c r="S1649" s="108"/>
      <c r="T1649" s="108"/>
      <c r="U1649" s="108"/>
      <c r="V1649" s="108"/>
      <c r="W1649" s="108"/>
      <c r="X1649" s="108"/>
    </row>
    <row r="1650" spans="1:24">
      <c r="A1650" s="108"/>
      <c r="B1650" s="108"/>
      <c r="C1650" s="108"/>
      <c r="D1650" s="108"/>
      <c r="E1650" s="108"/>
      <c r="F1650" s="108"/>
      <c r="G1650" s="108"/>
      <c r="H1650" s="108"/>
      <c r="I1650" s="108"/>
      <c r="J1650" s="108"/>
      <c r="K1650" s="108"/>
      <c r="L1650" s="108"/>
      <c r="M1650" s="108"/>
      <c r="N1650" s="108"/>
      <c r="O1650" s="108"/>
      <c r="P1650" s="108"/>
      <c r="Q1650" s="108"/>
      <c r="R1650" s="108"/>
      <c r="S1650" s="108"/>
      <c r="T1650" s="108"/>
      <c r="U1650" s="108"/>
      <c r="V1650" s="108"/>
      <c r="W1650" s="108"/>
      <c r="X1650" s="108"/>
    </row>
    <row r="1651" spans="1:24">
      <c r="A1651" s="108"/>
      <c r="B1651" s="108"/>
      <c r="C1651" s="108"/>
      <c r="D1651" s="108"/>
      <c r="E1651" s="108"/>
      <c r="F1651" s="108"/>
      <c r="G1651" s="108"/>
      <c r="H1651" s="108"/>
      <c r="I1651" s="108"/>
      <c r="J1651" s="108"/>
      <c r="K1651" s="108"/>
      <c r="L1651" s="108"/>
      <c r="M1651" s="108"/>
      <c r="N1651" s="108"/>
      <c r="O1651" s="108"/>
      <c r="P1651" s="108"/>
      <c r="Q1651" s="108"/>
      <c r="R1651" s="108"/>
      <c r="S1651" s="108"/>
      <c r="T1651" s="108"/>
      <c r="U1651" s="108"/>
      <c r="V1651" s="108"/>
      <c r="W1651" s="108"/>
      <c r="X1651" s="108"/>
    </row>
    <row r="1652" spans="1:24">
      <c r="A1652" s="108"/>
      <c r="B1652" s="108"/>
      <c r="C1652" s="108"/>
      <c r="D1652" s="108"/>
      <c r="E1652" s="108"/>
      <c r="F1652" s="108"/>
      <c r="G1652" s="108"/>
      <c r="H1652" s="108"/>
      <c r="I1652" s="108"/>
      <c r="J1652" s="108"/>
      <c r="K1652" s="108"/>
      <c r="L1652" s="108"/>
      <c r="M1652" s="108"/>
      <c r="N1652" s="108"/>
      <c r="O1652" s="108"/>
      <c r="P1652" s="108"/>
      <c r="Q1652" s="108"/>
      <c r="R1652" s="108"/>
      <c r="S1652" s="108"/>
      <c r="T1652" s="108"/>
      <c r="U1652" s="108"/>
      <c r="V1652" s="108"/>
      <c r="W1652" s="108"/>
      <c r="X1652" s="108"/>
    </row>
    <row r="1653" spans="1:24">
      <c r="A1653" s="108"/>
      <c r="B1653" s="108"/>
      <c r="C1653" s="108"/>
      <c r="D1653" s="108"/>
      <c r="E1653" s="108"/>
      <c r="F1653" s="108"/>
      <c r="G1653" s="108"/>
      <c r="H1653" s="108"/>
      <c r="I1653" s="108"/>
      <c r="J1653" s="108"/>
      <c r="K1653" s="108"/>
      <c r="L1653" s="108"/>
      <c r="M1653" s="108"/>
      <c r="N1653" s="108"/>
      <c r="O1653" s="108"/>
      <c r="P1653" s="108"/>
      <c r="Q1653" s="108"/>
      <c r="R1653" s="108"/>
      <c r="S1653" s="108"/>
      <c r="T1653" s="108"/>
      <c r="U1653" s="108"/>
      <c r="V1653" s="108"/>
      <c r="W1653" s="108"/>
      <c r="X1653" s="108"/>
    </row>
    <row r="1654" spans="1:24">
      <c r="A1654" s="108"/>
      <c r="B1654" s="108"/>
      <c r="C1654" s="108"/>
      <c r="D1654" s="108"/>
      <c r="E1654" s="108"/>
      <c r="F1654" s="108"/>
      <c r="G1654" s="108"/>
      <c r="H1654" s="108"/>
      <c r="I1654" s="108"/>
      <c r="J1654" s="108"/>
      <c r="K1654" s="108"/>
      <c r="L1654" s="108"/>
      <c r="M1654" s="108"/>
      <c r="N1654" s="108"/>
      <c r="O1654" s="108"/>
      <c r="P1654" s="108"/>
      <c r="Q1654" s="108"/>
      <c r="R1654" s="108"/>
      <c r="S1654" s="108"/>
      <c r="T1654" s="108"/>
      <c r="U1654" s="108"/>
      <c r="V1654" s="108"/>
      <c r="W1654" s="108"/>
      <c r="X1654" s="108"/>
    </row>
    <row r="1655" spans="1:24">
      <c r="A1655" s="108"/>
      <c r="B1655" s="108"/>
      <c r="C1655" s="108"/>
      <c r="D1655" s="108"/>
      <c r="E1655" s="108"/>
      <c r="F1655" s="108"/>
      <c r="G1655" s="108"/>
      <c r="H1655" s="108"/>
      <c r="I1655" s="108"/>
      <c r="J1655" s="108"/>
      <c r="K1655" s="108"/>
      <c r="L1655" s="108"/>
      <c r="M1655" s="108"/>
      <c r="N1655" s="108"/>
      <c r="O1655" s="108"/>
      <c r="P1655" s="108"/>
      <c r="Q1655" s="108"/>
      <c r="R1655" s="108"/>
      <c r="S1655" s="108"/>
      <c r="T1655" s="108"/>
      <c r="U1655" s="108"/>
      <c r="V1655" s="108"/>
      <c r="W1655" s="108"/>
      <c r="X1655" s="108"/>
    </row>
    <row r="1656" spans="1:24">
      <c r="A1656" s="108"/>
      <c r="B1656" s="108"/>
      <c r="C1656" s="108"/>
      <c r="D1656" s="108"/>
      <c r="E1656" s="108"/>
      <c r="F1656" s="108"/>
      <c r="G1656" s="108"/>
      <c r="H1656" s="108"/>
      <c r="I1656" s="108"/>
      <c r="J1656" s="108"/>
      <c r="K1656" s="108"/>
      <c r="L1656" s="108"/>
      <c r="M1656" s="108"/>
      <c r="N1656" s="108"/>
      <c r="O1656" s="108"/>
      <c r="P1656" s="108"/>
      <c r="Q1656" s="108"/>
      <c r="R1656" s="108"/>
      <c r="S1656" s="108"/>
      <c r="T1656" s="108"/>
      <c r="U1656" s="108"/>
      <c r="V1656" s="108"/>
      <c r="W1656" s="108"/>
      <c r="X1656" s="108"/>
    </row>
    <row r="1657" spans="1:24">
      <c r="A1657" s="108"/>
      <c r="B1657" s="108"/>
      <c r="C1657" s="108"/>
      <c r="D1657" s="108"/>
      <c r="E1657" s="108"/>
      <c r="F1657" s="108"/>
      <c r="G1657" s="108"/>
      <c r="H1657" s="108"/>
      <c r="I1657" s="108"/>
      <c r="J1657" s="108"/>
      <c r="K1657" s="108"/>
      <c r="L1657" s="108"/>
      <c r="M1657" s="108"/>
      <c r="N1657" s="108"/>
      <c r="O1657" s="108"/>
      <c r="P1657" s="108"/>
      <c r="Q1657" s="108"/>
      <c r="R1657" s="108"/>
      <c r="S1657" s="108"/>
      <c r="T1657" s="108"/>
      <c r="U1657" s="108"/>
      <c r="V1657" s="108"/>
      <c r="W1657" s="108"/>
      <c r="X1657" s="108"/>
    </row>
    <row r="1658" spans="1:24">
      <c r="A1658" s="108"/>
      <c r="B1658" s="108"/>
      <c r="C1658" s="108"/>
      <c r="D1658" s="108"/>
      <c r="E1658" s="108"/>
      <c r="F1658" s="108"/>
      <c r="G1658" s="108"/>
      <c r="H1658" s="108"/>
      <c r="I1658" s="108"/>
      <c r="J1658" s="108"/>
      <c r="K1658" s="108"/>
      <c r="L1658" s="108"/>
      <c r="M1658" s="108"/>
      <c r="N1658" s="108"/>
      <c r="O1658" s="108"/>
      <c r="P1658" s="108"/>
      <c r="Q1658" s="108"/>
      <c r="R1658" s="108"/>
      <c r="S1658" s="108"/>
      <c r="T1658" s="108"/>
      <c r="U1658" s="108"/>
      <c r="V1658" s="108"/>
      <c r="W1658" s="108"/>
      <c r="X1658" s="108"/>
    </row>
    <row r="1659" spans="1:24">
      <c r="A1659" s="108"/>
      <c r="B1659" s="108"/>
      <c r="C1659" s="108"/>
      <c r="D1659" s="108"/>
      <c r="E1659" s="108"/>
      <c r="F1659" s="108"/>
      <c r="G1659" s="108"/>
      <c r="H1659" s="108"/>
      <c r="I1659" s="108"/>
      <c r="J1659" s="108"/>
      <c r="K1659" s="108"/>
      <c r="L1659" s="108"/>
      <c r="M1659" s="108"/>
      <c r="N1659" s="108"/>
      <c r="O1659" s="108"/>
      <c r="P1659" s="108"/>
      <c r="Q1659" s="108"/>
      <c r="R1659" s="108"/>
      <c r="S1659" s="108"/>
      <c r="T1659" s="108"/>
      <c r="U1659" s="108"/>
      <c r="V1659" s="108"/>
      <c r="W1659" s="108"/>
      <c r="X1659" s="108"/>
    </row>
    <row r="1660" spans="1:24">
      <c r="A1660" s="108"/>
      <c r="B1660" s="108"/>
      <c r="C1660" s="108"/>
      <c r="D1660" s="108"/>
      <c r="E1660" s="108"/>
      <c r="F1660" s="108"/>
      <c r="G1660" s="108"/>
      <c r="H1660" s="108"/>
      <c r="I1660" s="108"/>
      <c r="J1660" s="108"/>
      <c r="K1660" s="108"/>
      <c r="L1660" s="108"/>
      <c r="M1660" s="108"/>
      <c r="N1660" s="108"/>
      <c r="O1660" s="108"/>
      <c r="P1660" s="108"/>
      <c r="Q1660" s="108"/>
      <c r="R1660" s="108"/>
      <c r="S1660" s="108"/>
      <c r="T1660" s="108"/>
      <c r="U1660" s="108"/>
      <c r="V1660" s="108"/>
      <c r="W1660" s="108"/>
      <c r="X1660" s="108"/>
    </row>
    <row r="1661" spans="1:24">
      <c r="A1661" s="108"/>
      <c r="B1661" s="108"/>
      <c r="C1661" s="108"/>
      <c r="D1661" s="108"/>
      <c r="E1661" s="108"/>
      <c r="F1661" s="108"/>
      <c r="G1661" s="108"/>
      <c r="H1661" s="108"/>
      <c r="I1661" s="108"/>
      <c r="J1661" s="108"/>
      <c r="K1661" s="108"/>
      <c r="L1661" s="108"/>
      <c r="M1661" s="108"/>
      <c r="N1661" s="108"/>
      <c r="O1661" s="108"/>
      <c r="P1661" s="108"/>
      <c r="Q1661" s="108"/>
      <c r="R1661" s="108"/>
      <c r="S1661" s="108"/>
      <c r="T1661" s="108"/>
      <c r="U1661" s="108"/>
      <c r="V1661" s="108"/>
      <c r="W1661" s="108"/>
      <c r="X1661" s="108"/>
    </row>
    <row r="1662" spans="1:24">
      <c r="A1662" s="108"/>
      <c r="B1662" s="108"/>
      <c r="C1662" s="108"/>
      <c r="D1662" s="108"/>
      <c r="E1662" s="108"/>
      <c r="F1662" s="108"/>
      <c r="G1662" s="108"/>
      <c r="H1662" s="108"/>
      <c r="I1662" s="108"/>
      <c r="J1662" s="108"/>
      <c r="K1662" s="108"/>
      <c r="L1662" s="108"/>
      <c r="M1662" s="108"/>
      <c r="N1662" s="108"/>
      <c r="O1662" s="108"/>
      <c r="P1662" s="108"/>
      <c r="Q1662" s="108"/>
      <c r="R1662" s="108"/>
      <c r="S1662" s="108"/>
      <c r="T1662" s="108"/>
      <c r="U1662" s="108"/>
      <c r="V1662" s="108"/>
      <c r="W1662" s="108"/>
      <c r="X1662" s="108"/>
    </row>
    <row r="1663" spans="1:24">
      <c r="A1663" s="108"/>
      <c r="B1663" s="108"/>
      <c r="C1663" s="108"/>
      <c r="D1663" s="108"/>
      <c r="E1663" s="108"/>
      <c r="F1663" s="108"/>
      <c r="G1663" s="108"/>
      <c r="H1663" s="108"/>
      <c r="I1663" s="108"/>
      <c r="J1663" s="108"/>
      <c r="K1663" s="108"/>
      <c r="L1663" s="108"/>
      <c r="M1663" s="108"/>
      <c r="N1663" s="108"/>
      <c r="O1663" s="108"/>
      <c r="P1663" s="108"/>
      <c r="Q1663" s="108"/>
      <c r="R1663" s="108"/>
      <c r="S1663" s="108"/>
      <c r="T1663" s="108"/>
      <c r="U1663" s="108"/>
      <c r="V1663" s="108"/>
      <c r="W1663" s="108"/>
      <c r="X1663" s="108"/>
    </row>
    <row r="1664" spans="1:24">
      <c r="A1664" s="108"/>
      <c r="B1664" s="108"/>
      <c r="C1664" s="108"/>
      <c r="D1664" s="108"/>
      <c r="E1664" s="108"/>
      <c r="F1664" s="108"/>
      <c r="G1664" s="108"/>
      <c r="H1664" s="108"/>
      <c r="I1664" s="108"/>
      <c r="J1664" s="108"/>
      <c r="K1664" s="108"/>
      <c r="L1664" s="108"/>
      <c r="M1664" s="108"/>
      <c r="N1664" s="108"/>
      <c r="O1664" s="108"/>
      <c r="P1664" s="108"/>
      <c r="Q1664" s="108"/>
      <c r="R1664" s="108"/>
      <c r="S1664" s="108"/>
      <c r="T1664" s="108"/>
      <c r="U1664" s="108"/>
      <c r="V1664" s="108"/>
      <c r="W1664" s="108"/>
      <c r="X1664" s="108"/>
    </row>
    <row r="1665" spans="1:24">
      <c r="A1665" s="108"/>
      <c r="B1665" s="108"/>
      <c r="C1665" s="108"/>
      <c r="D1665" s="108"/>
      <c r="E1665" s="108"/>
      <c r="F1665" s="108"/>
      <c r="G1665" s="108"/>
      <c r="H1665" s="108"/>
      <c r="I1665" s="108"/>
      <c r="J1665" s="108"/>
      <c r="K1665" s="108"/>
      <c r="L1665" s="108"/>
      <c r="M1665" s="108"/>
      <c r="N1665" s="108"/>
      <c r="O1665" s="108"/>
      <c r="P1665" s="108"/>
      <c r="Q1665" s="108"/>
      <c r="R1665" s="108"/>
      <c r="S1665" s="108"/>
      <c r="T1665" s="108"/>
      <c r="U1665" s="108"/>
      <c r="V1665" s="108"/>
      <c r="W1665" s="108"/>
      <c r="X1665" s="108"/>
    </row>
    <row r="1666" spans="1:24">
      <c r="A1666" s="108"/>
      <c r="B1666" s="108"/>
      <c r="C1666" s="108"/>
      <c r="D1666" s="108"/>
      <c r="E1666" s="108"/>
      <c r="F1666" s="108"/>
      <c r="G1666" s="108"/>
      <c r="H1666" s="108"/>
      <c r="I1666" s="108"/>
      <c r="J1666" s="108"/>
      <c r="K1666" s="108"/>
      <c r="L1666" s="108"/>
      <c r="M1666" s="108"/>
      <c r="N1666" s="108"/>
      <c r="O1666" s="108"/>
      <c r="P1666" s="108"/>
      <c r="Q1666" s="108"/>
      <c r="R1666" s="108"/>
      <c r="S1666" s="108"/>
      <c r="T1666" s="108"/>
      <c r="U1666" s="108"/>
      <c r="V1666" s="108"/>
      <c r="W1666" s="108"/>
      <c r="X1666" s="108"/>
    </row>
    <row r="1667" spans="1:24">
      <c r="A1667" s="108"/>
      <c r="B1667" s="108"/>
      <c r="C1667" s="108"/>
      <c r="D1667" s="108"/>
      <c r="E1667" s="108"/>
      <c r="F1667" s="108"/>
      <c r="G1667" s="108"/>
      <c r="H1667" s="108"/>
      <c r="I1667" s="108"/>
      <c r="J1667" s="108"/>
      <c r="K1667" s="108"/>
      <c r="L1667" s="108"/>
      <c r="M1667" s="108"/>
      <c r="N1667" s="108"/>
      <c r="O1667" s="108"/>
      <c r="P1667" s="108"/>
      <c r="Q1667" s="108"/>
      <c r="R1667" s="108"/>
      <c r="S1667" s="108"/>
      <c r="T1667" s="108"/>
      <c r="U1667" s="108"/>
      <c r="V1667" s="108"/>
      <c r="W1667" s="108"/>
      <c r="X1667" s="108"/>
    </row>
    <row r="1668" spans="1:24">
      <c r="A1668" s="108"/>
      <c r="B1668" s="108"/>
      <c r="C1668" s="108"/>
      <c r="D1668" s="108"/>
      <c r="E1668" s="108"/>
      <c r="F1668" s="108"/>
      <c r="G1668" s="108"/>
      <c r="H1668" s="108"/>
      <c r="I1668" s="108"/>
      <c r="J1668" s="108"/>
      <c r="K1668" s="108"/>
      <c r="L1668" s="108"/>
      <c r="M1668" s="108"/>
      <c r="N1668" s="108"/>
      <c r="O1668" s="108"/>
      <c r="P1668" s="108"/>
      <c r="Q1668" s="108"/>
      <c r="R1668" s="108"/>
      <c r="S1668" s="108"/>
      <c r="T1668" s="108"/>
      <c r="U1668" s="108"/>
      <c r="V1668" s="108"/>
      <c r="W1668" s="108"/>
      <c r="X1668" s="108"/>
    </row>
    <row r="1669" spans="1:24">
      <c r="A1669" s="108"/>
      <c r="B1669" s="108"/>
      <c r="C1669" s="108"/>
      <c r="D1669" s="108"/>
      <c r="E1669" s="108"/>
      <c r="F1669" s="108"/>
      <c r="G1669" s="108"/>
      <c r="H1669" s="108"/>
      <c r="I1669" s="108"/>
      <c r="J1669" s="108"/>
      <c r="K1669" s="108"/>
      <c r="L1669" s="108"/>
      <c r="M1669" s="108"/>
      <c r="N1669" s="108"/>
      <c r="O1669" s="108"/>
      <c r="P1669" s="108"/>
      <c r="Q1669" s="108"/>
      <c r="R1669" s="108"/>
      <c r="S1669" s="108"/>
      <c r="T1669" s="108"/>
      <c r="U1669" s="108"/>
      <c r="V1669" s="108"/>
      <c r="W1669" s="108"/>
      <c r="X1669" s="108"/>
    </row>
    <row r="1670" spans="1:24">
      <c r="A1670" s="108"/>
      <c r="B1670" s="108"/>
      <c r="C1670" s="108"/>
      <c r="D1670" s="108"/>
      <c r="E1670" s="108"/>
      <c r="F1670" s="108"/>
      <c r="G1670" s="108"/>
      <c r="H1670" s="108"/>
      <c r="I1670" s="108"/>
      <c r="J1670" s="108"/>
      <c r="K1670" s="108"/>
      <c r="L1670" s="108"/>
      <c r="M1670" s="108"/>
      <c r="N1670" s="108"/>
      <c r="O1670" s="108"/>
      <c r="P1670" s="108"/>
      <c r="Q1670" s="108"/>
      <c r="R1670" s="108"/>
      <c r="S1670" s="108"/>
      <c r="T1670" s="108"/>
      <c r="U1670" s="108"/>
      <c r="V1670" s="108"/>
      <c r="W1670" s="108"/>
      <c r="X1670" s="108"/>
    </row>
    <row r="1671" spans="1:24">
      <c r="A1671" s="108"/>
      <c r="B1671" s="108"/>
      <c r="C1671" s="108"/>
      <c r="D1671" s="108"/>
      <c r="E1671" s="108"/>
      <c r="F1671" s="108"/>
      <c r="G1671" s="108"/>
      <c r="H1671" s="108"/>
      <c r="I1671" s="108"/>
      <c r="J1671" s="108"/>
      <c r="K1671" s="108"/>
      <c r="L1671" s="108"/>
      <c r="M1671" s="108"/>
      <c r="N1671" s="108"/>
      <c r="O1671" s="108"/>
      <c r="P1671" s="108"/>
      <c r="Q1671" s="108"/>
      <c r="R1671" s="108"/>
      <c r="S1671" s="108"/>
      <c r="T1671" s="108"/>
      <c r="U1671" s="108"/>
      <c r="V1671" s="108"/>
      <c r="W1671" s="108"/>
      <c r="X1671" s="108"/>
    </row>
    <row r="1672" spans="1:24">
      <c r="A1672" s="108"/>
      <c r="B1672" s="108"/>
      <c r="C1672" s="108"/>
      <c r="D1672" s="108"/>
      <c r="E1672" s="108"/>
      <c r="F1672" s="108"/>
      <c r="G1672" s="108"/>
      <c r="H1672" s="108"/>
      <c r="I1672" s="108"/>
      <c r="J1672" s="108"/>
      <c r="K1672" s="108"/>
      <c r="L1672" s="108"/>
      <c r="M1672" s="108"/>
      <c r="N1672" s="108"/>
      <c r="O1672" s="108"/>
      <c r="P1672" s="108"/>
      <c r="Q1672" s="108"/>
      <c r="R1672" s="108"/>
      <c r="S1672" s="108"/>
      <c r="T1672" s="108"/>
      <c r="U1672" s="108"/>
      <c r="V1672" s="108"/>
      <c r="W1672" s="108"/>
      <c r="X1672" s="108"/>
    </row>
    <row r="1673" spans="1:24">
      <c r="A1673" s="108"/>
      <c r="B1673" s="108"/>
      <c r="C1673" s="108"/>
      <c r="D1673" s="108"/>
      <c r="E1673" s="108"/>
      <c r="F1673" s="108"/>
      <c r="G1673" s="108"/>
      <c r="H1673" s="108"/>
      <c r="I1673" s="108"/>
      <c r="J1673" s="108"/>
      <c r="K1673" s="108"/>
      <c r="L1673" s="108"/>
      <c r="M1673" s="108"/>
      <c r="N1673" s="108"/>
      <c r="O1673" s="108"/>
      <c r="P1673" s="108"/>
      <c r="Q1673" s="108"/>
      <c r="R1673" s="108"/>
      <c r="S1673" s="108"/>
      <c r="T1673" s="108"/>
      <c r="U1673" s="108"/>
      <c r="V1673" s="108"/>
      <c r="W1673" s="108"/>
      <c r="X1673" s="108"/>
    </row>
    <row r="1674" spans="1:24">
      <c r="A1674" s="108"/>
      <c r="B1674" s="108"/>
      <c r="C1674" s="108"/>
      <c r="D1674" s="108"/>
      <c r="E1674" s="108"/>
      <c r="F1674" s="108"/>
      <c r="G1674" s="108"/>
      <c r="H1674" s="108"/>
      <c r="I1674" s="108"/>
      <c r="J1674" s="108"/>
      <c r="K1674" s="108"/>
      <c r="L1674" s="108"/>
      <c r="M1674" s="108"/>
      <c r="N1674" s="108"/>
      <c r="O1674" s="108"/>
      <c r="P1674" s="108"/>
      <c r="Q1674" s="108"/>
      <c r="R1674" s="108"/>
      <c r="S1674" s="108"/>
      <c r="T1674" s="108"/>
      <c r="U1674" s="108"/>
      <c r="V1674" s="108"/>
      <c r="W1674" s="108"/>
      <c r="X1674" s="108"/>
    </row>
    <row r="1675" spans="1:24">
      <c r="A1675" s="108"/>
      <c r="B1675" s="108"/>
      <c r="C1675" s="108"/>
      <c r="D1675" s="108"/>
      <c r="E1675" s="108"/>
      <c r="F1675" s="108"/>
      <c r="G1675" s="108"/>
      <c r="H1675" s="108"/>
      <c r="I1675" s="108"/>
      <c r="J1675" s="108"/>
      <c r="K1675" s="108"/>
      <c r="L1675" s="108"/>
      <c r="M1675" s="108"/>
      <c r="N1675" s="108"/>
      <c r="O1675" s="108"/>
      <c r="P1675" s="108"/>
      <c r="Q1675" s="108"/>
      <c r="R1675" s="108"/>
      <c r="S1675" s="108"/>
      <c r="T1675" s="108"/>
      <c r="U1675" s="108"/>
      <c r="V1675" s="108"/>
      <c r="W1675" s="108"/>
      <c r="X1675" s="108"/>
    </row>
    <row r="1676" spans="1:24">
      <c r="A1676" s="108"/>
      <c r="B1676" s="108"/>
      <c r="C1676" s="108"/>
      <c r="D1676" s="108"/>
      <c r="E1676" s="108"/>
      <c r="F1676" s="108"/>
      <c r="G1676" s="108"/>
      <c r="H1676" s="108"/>
      <c r="I1676" s="108"/>
      <c r="J1676" s="108"/>
      <c r="K1676" s="108"/>
      <c r="L1676" s="108"/>
      <c r="M1676" s="108"/>
      <c r="N1676" s="108"/>
      <c r="O1676" s="108"/>
      <c r="P1676" s="108"/>
      <c r="Q1676" s="108"/>
      <c r="R1676" s="108"/>
      <c r="S1676" s="108"/>
      <c r="T1676" s="108"/>
      <c r="U1676" s="108"/>
      <c r="V1676" s="108"/>
      <c r="W1676" s="108"/>
      <c r="X1676" s="108"/>
    </row>
    <row r="1677" spans="1:24">
      <c r="A1677" s="108"/>
      <c r="B1677" s="108"/>
      <c r="C1677" s="108"/>
      <c r="D1677" s="108"/>
      <c r="E1677" s="108"/>
      <c r="F1677" s="108"/>
      <c r="G1677" s="108"/>
      <c r="H1677" s="108"/>
      <c r="I1677" s="108"/>
      <c r="J1677" s="108"/>
      <c r="K1677" s="108"/>
      <c r="L1677" s="108"/>
      <c r="M1677" s="108"/>
      <c r="N1677" s="108"/>
      <c r="O1677" s="108"/>
      <c r="P1677" s="108"/>
      <c r="Q1677" s="108"/>
      <c r="R1677" s="108"/>
      <c r="S1677" s="108"/>
      <c r="T1677" s="108"/>
      <c r="U1677" s="108"/>
      <c r="V1677" s="108"/>
      <c r="W1677" s="108"/>
      <c r="X1677" s="108"/>
    </row>
    <row r="1678" spans="1:24">
      <c r="A1678" s="108"/>
      <c r="B1678" s="108"/>
      <c r="C1678" s="108"/>
      <c r="D1678" s="108"/>
      <c r="E1678" s="108"/>
      <c r="F1678" s="108"/>
      <c r="G1678" s="108"/>
      <c r="H1678" s="108"/>
      <c r="I1678" s="108"/>
      <c r="J1678" s="108"/>
      <c r="K1678" s="108"/>
      <c r="L1678" s="108"/>
      <c r="M1678" s="108"/>
      <c r="N1678" s="108"/>
      <c r="O1678" s="108"/>
      <c r="P1678" s="108"/>
      <c r="Q1678" s="108"/>
      <c r="R1678" s="108"/>
      <c r="S1678" s="108"/>
      <c r="T1678" s="108"/>
      <c r="U1678" s="108"/>
      <c r="V1678" s="108"/>
      <c r="W1678" s="108"/>
      <c r="X1678" s="108"/>
    </row>
    <row r="1679" spans="1:24">
      <c r="A1679" s="108"/>
      <c r="B1679" s="108"/>
      <c r="C1679" s="108"/>
      <c r="D1679" s="108"/>
      <c r="E1679" s="108"/>
      <c r="F1679" s="108"/>
      <c r="G1679" s="108"/>
      <c r="H1679" s="108"/>
      <c r="I1679" s="108"/>
      <c r="J1679" s="108"/>
      <c r="K1679" s="108"/>
      <c r="L1679" s="108"/>
      <c r="M1679" s="108"/>
      <c r="N1679" s="108"/>
      <c r="O1679" s="108"/>
      <c r="P1679" s="108"/>
      <c r="Q1679" s="108"/>
      <c r="R1679" s="108"/>
      <c r="S1679" s="108"/>
      <c r="T1679" s="108"/>
      <c r="U1679" s="108"/>
      <c r="V1679" s="108"/>
      <c r="W1679" s="108"/>
      <c r="X1679" s="108"/>
    </row>
    <row r="1680" spans="1:24">
      <c r="A1680" s="108"/>
      <c r="B1680" s="108"/>
      <c r="C1680" s="108"/>
      <c r="D1680" s="108"/>
      <c r="E1680" s="108"/>
      <c r="F1680" s="108"/>
      <c r="G1680" s="108"/>
      <c r="H1680" s="108"/>
      <c r="I1680" s="108"/>
      <c r="J1680" s="108"/>
      <c r="K1680" s="108"/>
      <c r="L1680" s="108"/>
      <c r="M1680" s="108"/>
      <c r="N1680" s="108"/>
      <c r="O1680" s="108"/>
      <c r="P1680" s="108"/>
      <c r="Q1680" s="108"/>
      <c r="R1680" s="108"/>
      <c r="S1680" s="108"/>
      <c r="T1680" s="108"/>
      <c r="U1680" s="108"/>
      <c r="V1680" s="108"/>
      <c r="W1680" s="108"/>
      <c r="X1680" s="108"/>
    </row>
    <row r="1681" spans="1:24">
      <c r="A1681" s="108"/>
      <c r="B1681" s="108"/>
      <c r="C1681" s="108"/>
      <c r="D1681" s="108"/>
      <c r="E1681" s="108"/>
      <c r="F1681" s="108"/>
      <c r="G1681" s="108"/>
      <c r="H1681" s="108"/>
      <c r="I1681" s="108"/>
      <c r="J1681" s="108"/>
      <c r="K1681" s="108"/>
      <c r="L1681" s="108"/>
      <c r="M1681" s="108"/>
      <c r="N1681" s="108"/>
      <c r="O1681" s="108"/>
      <c r="P1681" s="108"/>
      <c r="Q1681" s="108"/>
      <c r="R1681" s="108"/>
      <c r="S1681" s="108"/>
      <c r="T1681" s="108"/>
      <c r="U1681" s="108"/>
      <c r="V1681" s="108"/>
      <c r="W1681" s="108"/>
      <c r="X1681" s="108"/>
    </row>
    <row r="1682" spans="1:24">
      <c r="A1682" s="108"/>
      <c r="B1682" s="108"/>
      <c r="C1682" s="108"/>
      <c r="D1682" s="108"/>
      <c r="E1682" s="108"/>
      <c r="F1682" s="108"/>
      <c r="G1682" s="108"/>
      <c r="H1682" s="108"/>
      <c r="I1682" s="108"/>
      <c r="J1682" s="108"/>
      <c r="K1682" s="108"/>
      <c r="L1682" s="108"/>
      <c r="M1682" s="108"/>
      <c r="N1682" s="108"/>
      <c r="O1682" s="108"/>
      <c r="P1682" s="108"/>
      <c r="Q1682" s="108"/>
      <c r="R1682" s="108"/>
      <c r="S1682" s="108"/>
      <c r="T1682" s="108"/>
      <c r="U1682" s="108"/>
      <c r="V1682" s="108"/>
      <c r="W1682" s="108"/>
      <c r="X1682" s="108"/>
    </row>
    <row r="1683" spans="1:24">
      <c r="A1683" s="108"/>
      <c r="B1683" s="108"/>
      <c r="C1683" s="108"/>
      <c r="D1683" s="108"/>
      <c r="E1683" s="108"/>
      <c r="F1683" s="108"/>
      <c r="G1683" s="108"/>
      <c r="H1683" s="108"/>
      <c r="I1683" s="108"/>
      <c r="J1683" s="108"/>
      <c r="K1683" s="108"/>
      <c r="L1683" s="108"/>
      <c r="M1683" s="108"/>
      <c r="N1683" s="108"/>
      <c r="O1683" s="108"/>
      <c r="P1683" s="108"/>
      <c r="Q1683" s="108"/>
      <c r="R1683" s="108"/>
      <c r="S1683" s="108"/>
      <c r="T1683" s="108"/>
      <c r="U1683" s="108"/>
      <c r="V1683" s="108"/>
      <c r="W1683" s="108"/>
      <c r="X1683" s="108"/>
    </row>
    <row r="1684" spans="1:24">
      <c r="A1684" s="108"/>
      <c r="B1684" s="108"/>
      <c r="C1684" s="108"/>
      <c r="D1684" s="108"/>
      <c r="E1684" s="108"/>
      <c r="F1684" s="108"/>
      <c r="G1684" s="108"/>
      <c r="H1684" s="108"/>
      <c r="I1684" s="108"/>
      <c r="J1684" s="108"/>
      <c r="K1684" s="108"/>
      <c r="L1684" s="108"/>
      <c r="M1684" s="108"/>
      <c r="N1684" s="108"/>
      <c r="O1684" s="108"/>
      <c r="P1684" s="108"/>
      <c r="Q1684" s="108"/>
      <c r="R1684" s="108"/>
      <c r="S1684" s="108"/>
      <c r="T1684" s="108"/>
      <c r="U1684" s="108"/>
      <c r="V1684" s="108"/>
      <c r="W1684" s="108"/>
      <c r="X1684" s="108"/>
    </row>
    <row r="1685" spans="1:24">
      <c r="A1685" s="108"/>
      <c r="B1685" s="108"/>
      <c r="C1685" s="108"/>
      <c r="D1685" s="108"/>
      <c r="E1685" s="108"/>
      <c r="F1685" s="108"/>
      <c r="G1685" s="108"/>
      <c r="H1685" s="108"/>
      <c r="I1685" s="108"/>
      <c r="J1685" s="108"/>
      <c r="K1685" s="108"/>
      <c r="L1685" s="108"/>
      <c r="M1685" s="108"/>
      <c r="N1685" s="108"/>
      <c r="O1685" s="108"/>
      <c r="P1685" s="108"/>
      <c r="Q1685" s="108"/>
      <c r="R1685" s="108"/>
      <c r="S1685" s="108"/>
      <c r="T1685" s="108"/>
      <c r="U1685" s="108"/>
      <c r="V1685" s="108"/>
      <c r="W1685" s="108"/>
      <c r="X1685" s="108"/>
    </row>
    <row r="1686" spans="1:24">
      <c r="A1686" s="108"/>
      <c r="B1686" s="108"/>
      <c r="C1686" s="108"/>
      <c r="D1686" s="108"/>
      <c r="E1686" s="108"/>
      <c r="F1686" s="108"/>
      <c r="G1686" s="108"/>
      <c r="H1686" s="108"/>
      <c r="I1686" s="108"/>
      <c r="J1686" s="108"/>
      <c r="K1686" s="108"/>
      <c r="L1686" s="108"/>
      <c r="M1686" s="108"/>
      <c r="N1686" s="108"/>
      <c r="O1686" s="108"/>
      <c r="P1686" s="108"/>
      <c r="Q1686" s="108"/>
      <c r="R1686" s="108"/>
      <c r="S1686" s="108"/>
      <c r="T1686" s="108"/>
      <c r="U1686" s="108"/>
      <c r="V1686" s="108"/>
      <c r="W1686" s="108"/>
      <c r="X1686" s="108"/>
    </row>
    <row r="1687" spans="1:24">
      <c r="A1687" s="108"/>
      <c r="B1687" s="108"/>
      <c r="C1687" s="108"/>
      <c r="D1687" s="108"/>
      <c r="E1687" s="108"/>
      <c r="F1687" s="108"/>
      <c r="G1687" s="108"/>
      <c r="H1687" s="108"/>
      <c r="I1687" s="108"/>
      <c r="J1687" s="108"/>
      <c r="K1687" s="108"/>
      <c r="L1687" s="108"/>
      <c r="M1687" s="108"/>
      <c r="N1687" s="108"/>
      <c r="O1687" s="108"/>
      <c r="P1687" s="108"/>
      <c r="Q1687" s="108"/>
      <c r="R1687" s="108"/>
      <c r="S1687" s="108"/>
      <c r="T1687" s="108"/>
      <c r="U1687" s="108"/>
      <c r="V1687" s="108"/>
      <c r="W1687" s="108"/>
      <c r="X1687" s="108"/>
    </row>
    <row r="1688" spans="1:24">
      <c r="A1688" s="108"/>
      <c r="B1688" s="108"/>
      <c r="C1688" s="108"/>
      <c r="D1688" s="108"/>
      <c r="E1688" s="108"/>
      <c r="F1688" s="108"/>
      <c r="G1688" s="108"/>
      <c r="H1688" s="108"/>
      <c r="I1688" s="108"/>
      <c r="J1688" s="108"/>
      <c r="K1688" s="108"/>
      <c r="L1688" s="108"/>
      <c r="M1688" s="108"/>
      <c r="N1688" s="108"/>
      <c r="O1688" s="108"/>
      <c r="P1688" s="108"/>
      <c r="Q1688" s="108"/>
      <c r="R1688" s="108"/>
      <c r="S1688" s="108"/>
      <c r="T1688" s="108"/>
      <c r="U1688" s="108"/>
      <c r="V1688" s="108"/>
      <c r="W1688" s="108"/>
      <c r="X1688" s="108"/>
    </row>
    <row r="1689" spans="1:24">
      <c r="A1689" s="108"/>
      <c r="B1689" s="108"/>
      <c r="C1689" s="108"/>
      <c r="D1689" s="108"/>
      <c r="E1689" s="108"/>
      <c r="F1689" s="108"/>
      <c r="G1689" s="108"/>
      <c r="H1689" s="108"/>
      <c r="I1689" s="108"/>
      <c r="J1689" s="108"/>
      <c r="K1689" s="108"/>
      <c r="L1689" s="108"/>
      <c r="M1689" s="108"/>
      <c r="N1689" s="108"/>
      <c r="O1689" s="108"/>
      <c r="P1689" s="108"/>
      <c r="Q1689" s="108"/>
      <c r="R1689" s="108"/>
      <c r="S1689" s="108"/>
      <c r="T1689" s="108"/>
      <c r="U1689" s="108"/>
      <c r="V1689" s="108"/>
      <c r="W1689" s="108"/>
      <c r="X1689" s="108"/>
    </row>
    <row r="1690" spans="1:24">
      <c r="A1690" s="108"/>
      <c r="B1690" s="108"/>
      <c r="C1690" s="108"/>
      <c r="D1690" s="108"/>
      <c r="E1690" s="108"/>
      <c r="F1690" s="108"/>
      <c r="G1690" s="108"/>
      <c r="H1690" s="108"/>
      <c r="I1690" s="108"/>
      <c r="J1690" s="108"/>
      <c r="K1690" s="108"/>
      <c r="L1690" s="108"/>
      <c r="M1690" s="108"/>
      <c r="N1690" s="108"/>
      <c r="O1690" s="108"/>
      <c r="P1690" s="108"/>
      <c r="Q1690" s="108"/>
      <c r="R1690" s="108"/>
      <c r="S1690" s="108"/>
      <c r="T1690" s="108"/>
      <c r="U1690" s="108"/>
      <c r="V1690" s="108"/>
      <c r="W1690" s="108"/>
      <c r="X1690" s="108"/>
    </row>
    <row r="1691" spans="1:24">
      <c r="A1691" s="108"/>
      <c r="B1691" s="108"/>
      <c r="C1691" s="108"/>
      <c r="D1691" s="108"/>
      <c r="E1691" s="108"/>
      <c r="F1691" s="108"/>
      <c r="G1691" s="108"/>
      <c r="H1691" s="108"/>
      <c r="I1691" s="108"/>
      <c r="J1691" s="108"/>
      <c r="K1691" s="108"/>
      <c r="L1691" s="108"/>
      <c r="M1691" s="108"/>
      <c r="N1691" s="108"/>
      <c r="O1691" s="108"/>
      <c r="P1691" s="108"/>
      <c r="Q1691" s="108"/>
      <c r="R1691" s="108"/>
      <c r="S1691" s="108"/>
      <c r="T1691" s="108"/>
      <c r="U1691" s="108"/>
      <c r="V1691" s="108"/>
      <c r="W1691" s="108"/>
      <c r="X1691" s="108"/>
    </row>
    <row r="1692" spans="1:24">
      <c r="A1692" s="108"/>
      <c r="B1692" s="108"/>
      <c r="C1692" s="108"/>
      <c r="D1692" s="108"/>
      <c r="E1692" s="108"/>
      <c r="F1692" s="108"/>
      <c r="G1692" s="108"/>
      <c r="H1692" s="108"/>
      <c r="I1692" s="108"/>
      <c r="J1692" s="108"/>
      <c r="K1692" s="108"/>
      <c r="L1692" s="108"/>
      <c r="M1692" s="108"/>
      <c r="N1692" s="108"/>
      <c r="O1692" s="108"/>
      <c r="P1692" s="108"/>
      <c r="Q1692" s="108"/>
      <c r="R1692" s="108"/>
      <c r="S1692" s="108"/>
      <c r="T1692" s="108"/>
      <c r="U1692" s="108"/>
      <c r="V1692" s="108"/>
      <c r="W1692" s="108"/>
      <c r="X1692" s="108"/>
    </row>
    <row r="1693" spans="1:24">
      <c r="A1693" s="108"/>
      <c r="B1693" s="108"/>
      <c r="C1693" s="108"/>
      <c r="D1693" s="108"/>
      <c r="E1693" s="108"/>
      <c r="F1693" s="108"/>
      <c r="G1693" s="108"/>
      <c r="H1693" s="108"/>
      <c r="I1693" s="108"/>
      <c r="J1693" s="108"/>
      <c r="K1693" s="108"/>
      <c r="L1693" s="108"/>
      <c r="M1693" s="108"/>
      <c r="N1693" s="108"/>
      <c r="O1693" s="108"/>
      <c r="P1693" s="108"/>
      <c r="Q1693" s="108"/>
      <c r="R1693" s="108"/>
      <c r="S1693" s="108"/>
      <c r="T1693" s="108"/>
      <c r="U1693" s="108"/>
      <c r="V1693" s="108"/>
      <c r="W1693" s="108"/>
      <c r="X1693" s="108"/>
    </row>
    <row r="1694" spans="1:24">
      <c r="A1694" s="108"/>
      <c r="B1694" s="108"/>
      <c r="C1694" s="108"/>
      <c r="D1694" s="108"/>
      <c r="E1694" s="108"/>
      <c r="F1694" s="108"/>
      <c r="G1694" s="108"/>
      <c r="H1694" s="108"/>
      <c r="I1694" s="108"/>
      <c r="J1694" s="108"/>
      <c r="K1694" s="108"/>
      <c r="L1694" s="108"/>
      <c r="M1694" s="108"/>
      <c r="N1694" s="108"/>
      <c r="O1694" s="108"/>
      <c r="P1694" s="108"/>
      <c r="Q1694" s="108"/>
      <c r="R1694" s="108"/>
      <c r="S1694" s="108"/>
      <c r="T1694" s="108"/>
      <c r="U1694" s="108"/>
      <c r="V1694" s="108"/>
      <c r="W1694" s="108"/>
      <c r="X1694" s="108"/>
    </row>
    <row r="1695" spans="1:24">
      <c r="A1695" s="108"/>
      <c r="B1695" s="108"/>
      <c r="C1695" s="108"/>
      <c r="D1695" s="108"/>
      <c r="E1695" s="108"/>
      <c r="F1695" s="108"/>
      <c r="G1695" s="108"/>
      <c r="H1695" s="108"/>
      <c r="I1695" s="108"/>
      <c r="J1695" s="108"/>
      <c r="K1695" s="108"/>
      <c r="L1695" s="108"/>
      <c r="M1695" s="108"/>
      <c r="N1695" s="108"/>
      <c r="O1695" s="108"/>
      <c r="P1695" s="108"/>
      <c r="Q1695" s="108"/>
      <c r="R1695" s="108"/>
      <c r="S1695" s="108"/>
      <c r="T1695" s="108"/>
      <c r="U1695" s="108"/>
      <c r="V1695" s="108"/>
      <c r="W1695" s="108"/>
      <c r="X1695" s="108"/>
    </row>
    <row r="1696" spans="1:24">
      <c r="A1696" s="108"/>
      <c r="B1696" s="108"/>
      <c r="C1696" s="108"/>
      <c r="D1696" s="108"/>
      <c r="E1696" s="108"/>
      <c r="F1696" s="108"/>
      <c r="G1696" s="108"/>
      <c r="H1696" s="108"/>
      <c r="I1696" s="108"/>
      <c r="J1696" s="108"/>
      <c r="K1696" s="108"/>
      <c r="L1696" s="108"/>
      <c r="M1696" s="108"/>
      <c r="N1696" s="108"/>
      <c r="O1696" s="108"/>
      <c r="P1696" s="108"/>
      <c r="Q1696" s="108"/>
      <c r="R1696" s="108"/>
      <c r="S1696" s="108"/>
      <c r="T1696" s="108"/>
      <c r="U1696" s="108"/>
      <c r="V1696" s="108"/>
      <c r="W1696" s="108"/>
      <c r="X1696" s="108"/>
    </row>
    <row r="1697" spans="1:24">
      <c r="A1697" s="108"/>
      <c r="B1697" s="108"/>
      <c r="C1697" s="108"/>
      <c r="D1697" s="108"/>
      <c r="E1697" s="108"/>
      <c r="F1697" s="108"/>
      <c r="G1697" s="108"/>
      <c r="H1697" s="108"/>
      <c r="I1697" s="108"/>
      <c r="J1697" s="108"/>
      <c r="K1697" s="108"/>
      <c r="L1697" s="108"/>
      <c r="M1697" s="108"/>
      <c r="N1697" s="108"/>
      <c r="O1697" s="108"/>
      <c r="P1697" s="108"/>
      <c r="Q1697" s="108"/>
      <c r="R1697" s="108"/>
      <c r="S1697" s="108"/>
      <c r="T1697" s="108"/>
      <c r="U1697" s="108"/>
      <c r="V1697" s="108"/>
      <c r="W1697" s="108"/>
      <c r="X1697" s="108"/>
    </row>
    <row r="1698" spans="1:24">
      <c r="A1698" s="108"/>
      <c r="B1698" s="108"/>
      <c r="C1698" s="108"/>
      <c r="D1698" s="108"/>
      <c r="E1698" s="108"/>
      <c r="F1698" s="108"/>
      <c r="G1698" s="108"/>
      <c r="H1698" s="108"/>
      <c r="I1698" s="108"/>
      <c r="J1698" s="108"/>
      <c r="K1698" s="108"/>
      <c r="L1698" s="108"/>
      <c r="M1698" s="108"/>
      <c r="N1698" s="108"/>
      <c r="O1698" s="108"/>
      <c r="P1698" s="108"/>
      <c r="Q1698" s="108"/>
      <c r="R1698" s="108"/>
      <c r="S1698" s="108"/>
      <c r="T1698" s="108"/>
      <c r="U1698" s="108"/>
      <c r="V1698" s="108"/>
      <c r="W1698" s="108"/>
      <c r="X1698" s="108"/>
    </row>
    <row r="1699" spans="1:24">
      <c r="A1699" s="108"/>
      <c r="B1699" s="108"/>
      <c r="C1699" s="108"/>
      <c r="D1699" s="108"/>
      <c r="E1699" s="108"/>
      <c r="F1699" s="108"/>
      <c r="G1699" s="108"/>
      <c r="H1699" s="108"/>
      <c r="I1699" s="108"/>
      <c r="J1699" s="108"/>
      <c r="K1699" s="108"/>
      <c r="L1699" s="108"/>
      <c r="M1699" s="108"/>
      <c r="N1699" s="108"/>
      <c r="O1699" s="108"/>
      <c r="P1699" s="108"/>
      <c r="Q1699" s="108"/>
      <c r="R1699" s="108"/>
      <c r="S1699" s="108"/>
      <c r="T1699" s="108"/>
      <c r="U1699" s="108"/>
      <c r="V1699" s="108"/>
      <c r="W1699" s="108"/>
      <c r="X1699" s="108"/>
    </row>
    <row r="1700" spans="1:24">
      <c r="A1700" s="108"/>
      <c r="B1700" s="108"/>
      <c r="C1700" s="108"/>
      <c r="D1700" s="108"/>
      <c r="E1700" s="108"/>
      <c r="F1700" s="108"/>
      <c r="G1700" s="108"/>
      <c r="H1700" s="108"/>
      <c r="I1700" s="108"/>
      <c r="J1700" s="108"/>
      <c r="K1700" s="108"/>
      <c r="L1700" s="108"/>
      <c r="M1700" s="108"/>
      <c r="N1700" s="108"/>
      <c r="O1700" s="108"/>
      <c r="P1700" s="108"/>
      <c r="Q1700" s="108"/>
      <c r="R1700" s="108"/>
      <c r="S1700" s="108"/>
      <c r="T1700" s="108"/>
      <c r="U1700" s="108"/>
      <c r="V1700" s="108"/>
      <c r="W1700" s="108"/>
      <c r="X1700" s="108"/>
    </row>
    <row r="1701" spans="1:24">
      <c r="A1701" s="108"/>
      <c r="B1701" s="108"/>
      <c r="C1701" s="108"/>
      <c r="D1701" s="108"/>
      <c r="E1701" s="108"/>
      <c r="F1701" s="108"/>
      <c r="G1701" s="108"/>
      <c r="H1701" s="108"/>
      <c r="I1701" s="108"/>
      <c r="J1701" s="108"/>
      <c r="K1701" s="108"/>
      <c r="L1701" s="108"/>
      <c r="M1701" s="108"/>
      <c r="N1701" s="108"/>
      <c r="O1701" s="108"/>
      <c r="P1701" s="108"/>
      <c r="Q1701" s="108"/>
      <c r="R1701" s="108"/>
      <c r="S1701" s="108"/>
      <c r="T1701" s="108"/>
      <c r="U1701" s="108"/>
      <c r="V1701" s="108"/>
      <c r="W1701" s="108"/>
      <c r="X1701" s="108"/>
    </row>
    <row r="1702" spans="1:24">
      <c r="A1702" s="108"/>
      <c r="B1702" s="108"/>
      <c r="C1702" s="108"/>
      <c r="D1702" s="108"/>
      <c r="E1702" s="108"/>
      <c r="F1702" s="108"/>
      <c r="G1702" s="108"/>
      <c r="H1702" s="108"/>
      <c r="I1702" s="108"/>
      <c r="J1702" s="108"/>
      <c r="K1702" s="108"/>
      <c r="L1702" s="108"/>
      <c r="M1702" s="108"/>
      <c r="N1702" s="108"/>
      <c r="O1702" s="108"/>
      <c r="P1702" s="108"/>
      <c r="Q1702" s="108"/>
      <c r="R1702" s="108"/>
      <c r="S1702" s="108"/>
      <c r="T1702" s="108"/>
      <c r="U1702" s="108"/>
      <c r="V1702" s="108"/>
      <c r="W1702" s="108"/>
      <c r="X1702" s="108"/>
    </row>
    <row r="1703" spans="1:24">
      <c r="A1703" s="108"/>
      <c r="B1703" s="108"/>
      <c r="C1703" s="108"/>
      <c r="D1703" s="108"/>
      <c r="E1703" s="108"/>
      <c r="F1703" s="108"/>
      <c r="G1703" s="108"/>
      <c r="H1703" s="108"/>
      <c r="I1703" s="108"/>
      <c r="J1703" s="108"/>
      <c r="K1703" s="108"/>
      <c r="L1703" s="108"/>
      <c r="M1703" s="108"/>
      <c r="N1703" s="108"/>
      <c r="O1703" s="108"/>
      <c r="P1703" s="108"/>
      <c r="Q1703" s="108"/>
      <c r="R1703" s="108"/>
      <c r="S1703" s="108"/>
      <c r="T1703" s="108"/>
      <c r="U1703" s="108"/>
      <c r="V1703" s="108"/>
      <c r="W1703" s="108"/>
      <c r="X1703" s="108"/>
    </row>
    <row r="1704" spans="1:24">
      <c r="A1704" s="108"/>
      <c r="B1704" s="108"/>
      <c r="C1704" s="108"/>
      <c r="D1704" s="108"/>
      <c r="E1704" s="108"/>
      <c r="F1704" s="108"/>
      <c r="G1704" s="108"/>
      <c r="H1704" s="108"/>
      <c r="I1704" s="108"/>
      <c r="J1704" s="108"/>
      <c r="K1704" s="108"/>
      <c r="L1704" s="108"/>
      <c r="M1704" s="108"/>
      <c r="N1704" s="108"/>
      <c r="O1704" s="108"/>
      <c r="P1704" s="108"/>
      <c r="Q1704" s="108"/>
      <c r="R1704" s="108"/>
      <c r="S1704" s="108"/>
      <c r="T1704" s="108"/>
      <c r="U1704" s="108"/>
      <c r="V1704" s="108"/>
      <c r="W1704" s="108"/>
      <c r="X1704" s="108"/>
    </row>
    <row r="1705" spans="1:24">
      <c r="A1705" s="108"/>
      <c r="B1705" s="108"/>
      <c r="C1705" s="108"/>
      <c r="D1705" s="108"/>
      <c r="E1705" s="108"/>
      <c r="F1705" s="108"/>
      <c r="G1705" s="108"/>
      <c r="H1705" s="108"/>
      <c r="I1705" s="108"/>
      <c r="J1705" s="108"/>
      <c r="K1705" s="108"/>
      <c r="L1705" s="108"/>
      <c r="M1705" s="108"/>
      <c r="N1705" s="108"/>
      <c r="O1705" s="108"/>
      <c r="P1705" s="108"/>
      <c r="Q1705" s="108"/>
      <c r="R1705" s="108"/>
      <c r="S1705" s="108"/>
      <c r="T1705" s="108"/>
      <c r="U1705" s="108"/>
      <c r="V1705" s="108"/>
      <c r="W1705" s="108"/>
      <c r="X1705" s="108"/>
    </row>
    <row r="1706" spans="1:24">
      <c r="A1706" s="108"/>
      <c r="B1706" s="108"/>
      <c r="C1706" s="108"/>
      <c r="D1706" s="108"/>
      <c r="E1706" s="108"/>
      <c r="F1706" s="108"/>
      <c r="G1706" s="108"/>
      <c r="H1706" s="108"/>
      <c r="I1706" s="108"/>
      <c r="J1706" s="108"/>
      <c r="K1706" s="108"/>
      <c r="L1706" s="108"/>
      <c r="M1706" s="108"/>
      <c r="N1706" s="108"/>
      <c r="O1706" s="108"/>
      <c r="P1706" s="108"/>
      <c r="Q1706" s="108"/>
      <c r="R1706" s="108"/>
      <c r="S1706" s="108"/>
      <c r="T1706" s="108"/>
      <c r="U1706" s="108"/>
      <c r="V1706" s="108"/>
      <c r="W1706" s="108"/>
      <c r="X1706" s="108"/>
    </row>
    <row r="1707" spans="1:24">
      <c r="A1707" s="108"/>
      <c r="B1707" s="108"/>
      <c r="C1707" s="108"/>
      <c r="D1707" s="108"/>
      <c r="E1707" s="108"/>
      <c r="F1707" s="108"/>
      <c r="G1707" s="108"/>
      <c r="H1707" s="108"/>
      <c r="I1707" s="108"/>
      <c r="J1707" s="108"/>
      <c r="K1707" s="108"/>
      <c r="L1707" s="108"/>
      <c r="M1707" s="108"/>
      <c r="N1707" s="108"/>
      <c r="O1707" s="108"/>
      <c r="P1707" s="108"/>
      <c r="Q1707" s="108"/>
      <c r="R1707" s="108"/>
      <c r="S1707" s="108"/>
      <c r="T1707" s="108"/>
      <c r="U1707" s="108"/>
      <c r="V1707" s="108"/>
      <c r="W1707" s="108"/>
      <c r="X1707" s="108"/>
    </row>
    <row r="1708" spans="1:24">
      <c r="A1708" s="108"/>
      <c r="B1708" s="108"/>
      <c r="C1708" s="108"/>
      <c r="D1708" s="108"/>
      <c r="E1708" s="108"/>
      <c r="F1708" s="108"/>
      <c r="G1708" s="108"/>
      <c r="H1708" s="108"/>
      <c r="I1708" s="108"/>
      <c r="J1708" s="108"/>
      <c r="K1708" s="108"/>
      <c r="L1708" s="108"/>
      <c r="M1708" s="108"/>
      <c r="N1708" s="108"/>
      <c r="O1708" s="108"/>
      <c r="P1708" s="108"/>
      <c r="Q1708" s="108"/>
      <c r="R1708" s="108"/>
      <c r="S1708" s="108"/>
      <c r="T1708" s="108"/>
      <c r="U1708" s="108"/>
      <c r="V1708" s="108"/>
      <c r="W1708" s="108"/>
      <c r="X1708" s="108"/>
    </row>
    <row r="1709" spans="1:24">
      <c r="A1709" s="108"/>
      <c r="B1709" s="108"/>
      <c r="C1709" s="108"/>
      <c r="D1709" s="108"/>
      <c r="E1709" s="108"/>
      <c r="F1709" s="108"/>
      <c r="G1709" s="108"/>
      <c r="H1709" s="108"/>
      <c r="I1709" s="108"/>
      <c r="J1709" s="108"/>
      <c r="K1709" s="108"/>
      <c r="L1709" s="108"/>
      <c r="M1709" s="108"/>
      <c r="N1709" s="108"/>
      <c r="O1709" s="108"/>
      <c r="P1709" s="108"/>
      <c r="Q1709" s="108"/>
      <c r="R1709" s="108"/>
      <c r="S1709" s="108"/>
      <c r="T1709" s="108"/>
      <c r="U1709" s="108"/>
      <c r="V1709" s="108"/>
      <c r="W1709" s="108"/>
      <c r="X1709" s="108"/>
    </row>
    <row r="1710" spans="1:24">
      <c r="A1710" s="108"/>
      <c r="B1710" s="108"/>
      <c r="C1710" s="108"/>
      <c r="D1710" s="108"/>
      <c r="E1710" s="108"/>
      <c r="F1710" s="108"/>
      <c r="G1710" s="108"/>
      <c r="H1710" s="108"/>
      <c r="I1710" s="108"/>
      <c r="J1710" s="108"/>
      <c r="K1710" s="108"/>
      <c r="L1710" s="108"/>
      <c r="M1710" s="108"/>
      <c r="N1710" s="108"/>
      <c r="O1710" s="108"/>
      <c r="P1710" s="108"/>
      <c r="Q1710" s="108"/>
      <c r="R1710" s="108"/>
      <c r="S1710" s="108"/>
      <c r="T1710" s="108"/>
      <c r="U1710" s="108"/>
      <c r="V1710" s="108"/>
      <c r="W1710" s="108"/>
      <c r="X1710" s="108"/>
    </row>
    <row r="1711" spans="1:24">
      <c r="A1711" s="108"/>
      <c r="B1711" s="108"/>
      <c r="C1711" s="108"/>
      <c r="D1711" s="108"/>
      <c r="E1711" s="108"/>
      <c r="F1711" s="108"/>
      <c r="G1711" s="108"/>
      <c r="H1711" s="108"/>
      <c r="I1711" s="108"/>
      <c r="J1711" s="108"/>
      <c r="K1711" s="108"/>
      <c r="L1711" s="108"/>
      <c r="M1711" s="108"/>
      <c r="N1711" s="108"/>
      <c r="O1711" s="108"/>
      <c r="P1711" s="108"/>
      <c r="Q1711" s="108"/>
      <c r="R1711" s="108"/>
      <c r="S1711" s="108"/>
      <c r="T1711" s="108"/>
      <c r="U1711" s="108"/>
      <c r="V1711" s="108"/>
      <c r="W1711" s="108"/>
      <c r="X1711" s="108"/>
    </row>
    <row r="1712" spans="1:24">
      <c r="A1712" s="108"/>
      <c r="B1712" s="108"/>
      <c r="C1712" s="108"/>
      <c r="D1712" s="108"/>
      <c r="E1712" s="108"/>
      <c r="F1712" s="108"/>
      <c r="G1712" s="108"/>
      <c r="H1712" s="108"/>
      <c r="I1712" s="108"/>
      <c r="J1712" s="108"/>
      <c r="K1712" s="108"/>
      <c r="L1712" s="108"/>
      <c r="M1712" s="108"/>
      <c r="N1712" s="108"/>
      <c r="O1712" s="108"/>
      <c r="P1712" s="108"/>
      <c r="Q1712" s="108"/>
      <c r="R1712" s="108"/>
      <c r="S1712" s="108"/>
      <c r="T1712" s="108"/>
      <c r="U1712" s="108"/>
      <c r="V1712" s="108"/>
      <c r="W1712" s="108"/>
      <c r="X1712" s="108"/>
    </row>
    <row r="1713" spans="1:24">
      <c r="A1713" s="108"/>
      <c r="B1713" s="108"/>
      <c r="C1713" s="108"/>
      <c r="D1713" s="108"/>
      <c r="E1713" s="108"/>
      <c r="F1713" s="108"/>
      <c r="G1713" s="108"/>
      <c r="H1713" s="108"/>
      <c r="I1713" s="108"/>
      <c r="J1713" s="108"/>
      <c r="K1713" s="108"/>
      <c r="L1713" s="108"/>
      <c r="M1713" s="108"/>
      <c r="N1713" s="108"/>
      <c r="O1713" s="108"/>
      <c r="P1713" s="108"/>
      <c r="Q1713" s="108"/>
      <c r="R1713" s="108"/>
      <c r="S1713" s="108"/>
      <c r="T1713" s="108"/>
      <c r="U1713" s="108"/>
      <c r="V1713" s="108"/>
      <c r="W1713" s="108"/>
      <c r="X1713" s="108"/>
    </row>
    <row r="1714" spans="1:24">
      <c r="A1714" s="108"/>
      <c r="B1714" s="108"/>
      <c r="C1714" s="108"/>
      <c r="D1714" s="108"/>
      <c r="E1714" s="108"/>
      <c r="F1714" s="108"/>
      <c r="G1714" s="108"/>
      <c r="H1714" s="108"/>
      <c r="I1714" s="108"/>
      <c r="J1714" s="108"/>
      <c r="K1714" s="108"/>
      <c r="L1714" s="108"/>
      <c r="M1714" s="108"/>
      <c r="N1714" s="108"/>
      <c r="O1714" s="108"/>
      <c r="P1714" s="108"/>
      <c r="Q1714" s="108"/>
      <c r="R1714" s="108"/>
      <c r="S1714" s="108"/>
      <c r="T1714" s="108"/>
      <c r="U1714" s="108"/>
      <c r="V1714" s="108"/>
      <c r="W1714" s="108"/>
      <c r="X1714" s="108"/>
    </row>
    <row r="1715" spans="1:24">
      <c r="A1715" s="108"/>
      <c r="B1715" s="108"/>
      <c r="C1715" s="108"/>
      <c r="D1715" s="108"/>
      <c r="E1715" s="108"/>
      <c r="F1715" s="108"/>
      <c r="G1715" s="108"/>
      <c r="H1715" s="108"/>
      <c r="I1715" s="108"/>
      <c r="J1715" s="108"/>
      <c r="K1715" s="108"/>
      <c r="L1715" s="108"/>
      <c r="M1715" s="108"/>
      <c r="N1715" s="108"/>
      <c r="O1715" s="108"/>
      <c r="P1715" s="108"/>
      <c r="Q1715" s="108"/>
      <c r="R1715" s="108"/>
      <c r="S1715" s="108"/>
      <c r="T1715" s="108"/>
      <c r="U1715" s="108"/>
      <c r="V1715" s="108"/>
      <c r="W1715" s="108"/>
      <c r="X1715" s="108"/>
    </row>
    <row r="1716" spans="1:24">
      <c r="A1716" s="108"/>
      <c r="B1716" s="108"/>
      <c r="C1716" s="108"/>
      <c r="D1716" s="108"/>
      <c r="E1716" s="108"/>
      <c r="F1716" s="108"/>
      <c r="G1716" s="108"/>
      <c r="H1716" s="108"/>
      <c r="I1716" s="108"/>
      <c r="J1716" s="108"/>
      <c r="K1716" s="108"/>
      <c r="L1716" s="108"/>
      <c r="M1716" s="108"/>
      <c r="N1716" s="108"/>
      <c r="O1716" s="108"/>
      <c r="P1716" s="108"/>
      <c r="Q1716" s="108"/>
      <c r="R1716" s="108"/>
      <c r="S1716" s="108"/>
      <c r="T1716" s="108"/>
      <c r="U1716" s="108"/>
      <c r="V1716" s="108"/>
      <c r="W1716" s="108"/>
      <c r="X1716" s="108"/>
    </row>
    <row r="1717" spans="1:24">
      <c r="A1717" s="108"/>
      <c r="B1717" s="108"/>
      <c r="C1717" s="108"/>
      <c r="D1717" s="108"/>
      <c r="E1717" s="108"/>
      <c r="F1717" s="108"/>
      <c r="G1717" s="108"/>
      <c r="H1717" s="108"/>
      <c r="I1717" s="108"/>
      <c r="J1717" s="108"/>
      <c r="K1717" s="108"/>
      <c r="L1717" s="108"/>
      <c r="M1717" s="108"/>
      <c r="N1717" s="108"/>
      <c r="O1717" s="108"/>
      <c r="P1717" s="108"/>
      <c r="Q1717" s="108"/>
      <c r="R1717" s="108"/>
      <c r="S1717" s="108"/>
      <c r="T1717" s="108"/>
      <c r="U1717" s="108"/>
      <c r="V1717" s="108"/>
      <c r="W1717" s="108"/>
      <c r="X1717" s="108"/>
    </row>
    <row r="1718" spans="1:24">
      <c r="A1718" s="108"/>
      <c r="B1718" s="108"/>
      <c r="C1718" s="108"/>
      <c r="D1718" s="108"/>
      <c r="E1718" s="108"/>
      <c r="F1718" s="108"/>
      <c r="G1718" s="108"/>
      <c r="H1718" s="108"/>
      <c r="I1718" s="108"/>
      <c r="J1718" s="108"/>
      <c r="K1718" s="108"/>
      <c r="L1718" s="108"/>
      <c r="M1718" s="108"/>
      <c r="N1718" s="108"/>
      <c r="O1718" s="108"/>
      <c r="P1718" s="108"/>
      <c r="Q1718" s="108"/>
      <c r="R1718" s="108"/>
      <c r="S1718" s="108"/>
      <c r="T1718" s="108"/>
      <c r="U1718" s="108"/>
      <c r="V1718" s="108"/>
      <c r="W1718" s="108"/>
      <c r="X1718" s="108"/>
    </row>
    <row r="1719" spans="1:24">
      <c r="A1719" s="108"/>
      <c r="B1719" s="108"/>
      <c r="C1719" s="108"/>
      <c r="D1719" s="108"/>
      <c r="E1719" s="108"/>
      <c r="F1719" s="108"/>
      <c r="G1719" s="108"/>
      <c r="H1719" s="108"/>
      <c r="I1719" s="108"/>
      <c r="J1719" s="108"/>
      <c r="K1719" s="108"/>
      <c r="L1719" s="108"/>
      <c r="M1719" s="108"/>
      <c r="N1719" s="108"/>
      <c r="O1719" s="108"/>
      <c r="P1719" s="108"/>
      <c r="Q1719" s="108"/>
      <c r="R1719" s="108"/>
      <c r="S1719" s="108"/>
      <c r="T1719" s="108"/>
      <c r="U1719" s="108"/>
      <c r="V1719" s="108"/>
      <c r="W1719" s="108"/>
      <c r="X1719" s="108"/>
    </row>
    <row r="1720" spans="1:24">
      <c r="A1720" s="108"/>
      <c r="B1720" s="108"/>
      <c r="C1720" s="108"/>
      <c r="D1720" s="108"/>
      <c r="E1720" s="108"/>
      <c r="F1720" s="108"/>
      <c r="G1720" s="108"/>
      <c r="H1720" s="108"/>
      <c r="I1720" s="108"/>
      <c r="J1720" s="108"/>
      <c r="K1720" s="108"/>
      <c r="L1720" s="108"/>
      <c r="M1720" s="108"/>
      <c r="N1720" s="108"/>
      <c r="O1720" s="108"/>
      <c r="P1720" s="108"/>
      <c r="Q1720" s="108"/>
      <c r="R1720" s="108"/>
      <c r="S1720" s="108"/>
      <c r="T1720" s="108"/>
      <c r="U1720" s="108"/>
      <c r="V1720" s="108"/>
      <c r="W1720" s="108"/>
      <c r="X1720" s="108"/>
    </row>
    <row r="1721" spans="1:24">
      <c r="A1721" s="108"/>
      <c r="B1721" s="108"/>
      <c r="C1721" s="108"/>
      <c r="D1721" s="108"/>
      <c r="E1721" s="108"/>
      <c r="F1721" s="108"/>
      <c r="G1721" s="108"/>
      <c r="H1721" s="108"/>
      <c r="I1721" s="108"/>
      <c r="J1721" s="108"/>
      <c r="K1721" s="108"/>
      <c r="L1721" s="108"/>
      <c r="M1721" s="108"/>
      <c r="N1721" s="108"/>
      <c r="O1721" s="108"/>
      <c r="P1721" s="108"/>
      <c r="Q1721" s="108"/>
      <c r="R1721" s="108"/>
      <c r="S1721" s="108"/>
      <c r="T1721" s="108"/>
      <c r="U1721" s="108"/>
      <c r="V1721" s="108"/>
      <c r="W1721" s="108"/>
      <c r="X1721" s="108"/>
    </row>
    <row r="1722" spans="1:24">
      <c r="A1722" s="108"/>
      <c r="B1722" s="108"/>
      <c r="C1722" s="108"/>
      <c r="D1722" s="108"/>
      <c r="E1722" s="108"/>
      <c r="F1722" s="108"/>
      <c r="G1722" s="108"/>
      <c r="H1722" s="108"/>
      <c r="I1722" s="108"/>
      <c r="J1722" s="108"/>
      <c r="K1722" s="108"/>
      <c r="L1722" s="108"/>
      <c r="M1722" s="108"/>
      <c r="N1722" s="108"/>
      <c r="O1722" s="108"/>
      <c r="P1722" s="108"/>
      <c r="Q1722" s="108"/>
      <c r="R1722" s="108"/>
      <c r="S1722" s="108"/>
      <c r="T1722" s="108"/>
      <c r="U1722" s="108"/>
      <c r="V1722" s="108"/>
      <c r="W1722" s="108"/>
      <c r="X1722" s="108"/>
    </row>
    <row r="1723" spans="1:24">
      <c r="A1723" s="108"/>
      <c r="B1723" s="108"/>
      <c r="C1723" s="108"/>
      <c r="D1723" s="108"/>
      <c r="E1723" s="108"/>
      <c r="F1723" s="108"/>
      <c r="G1723" s="108"/>
      <c r="H1723" s="108"/>
      <c r="I1723" s="108"/>
      <c r="J1723" s="108"/>
      <c r="K1723" s="108"/>
      <c r="L1723" s="108"/>
      <c r="M1723" s="108"/>
      <c r="N1723" s="108"/>
      <c r="O1723" s="108"/>
      <c r="P1723" s="108"/>
      <c r="Q1723" s="108"/>
      <c r="R1723" s="108"/>
      <c r="S1723" s="108"/>
      <c r="T1723" s="108"/>
      <c r="U1723" s="108"/>
      <c r="V1723" s="108"/>
      <c r="W1723" s="108"/>
      <c r="X1723" s="108"/>
    </row>
    <row r="1724" spans="1:24">
      <c r="A1724" s="108"/>
      <c r="B1724" s="108"/>
      <c r="C1724" s="108"/>
      <c r="D1724" s="108"/>
      <c r="E1724" s="108"/>
      <c r="F1724" s="108"/>
      <c r="G1724" s="108"/>
      <c r="H1724" s="108"/>
      <c r="I1724" s="108"/>
      <c r="J1724" s="108"/>
      <c r="K1724" s="108"/>
      <c r="L1724" s="108"/>
      <c r="M1724" s="108"/>
      <c r="N1724" s="108"/>
      <c r="O1724" s="108"/>
      <c r="P1724" s="108"/>
      <c r="Q1724" s="108"/>
      <c r="R1724" s="108"/>
      <c r="S1724" s="108"/>
      <c r="T1724" s="108"/>
      <c r="U1724" s="108"/>
      <c r="V1724" s="108"/>
      <c r="W1724" s="108"/>
      <c r="X1724" s="108"/>
    </row>
    <row r="1725" spans="1:24">
      <c r="A1725" s="108"/>
      <c r="B1725" s="108"/>
      <c r="C1725" s="108"/>
      <c r="D1725" s="108"/>
      <c r="E1725" s="108"/>
      <c r="F1725" s="108"/>
      <c r="G1725" s="108"/>
      <c r="H1725" s="108"/>
      <c r="I1725" s="108"/>
      <c r="J1725" s="108"/>
      <c r="K1725" s="108"/>
      <c r="L1725" s="108"/>
      <c r="M1725" s="108"/>
      <c r="N1725" s="108"/>
      <c r="O1725" s="108"/>
      <c r="P1725" s="108"/>
      <c r="Q1725" s="108"/>
      <c r="R1725" s="108"/>
      <c r="S1725" s="108"/>
      <c r="T1725" s="108"/>
      <c r="U1725" s="108"/>
      <c r="V1725" s="108"/>
      <c r="W1725" s="108"/>
      <c r="X1725" s="108"/>
    </row>
    <row r="1726" spans="1:24">
      <c r="A1726" s="108"/>
      <c r="B1726" s="108"/>
      <c r="C1726" s="108"/>
      <c r="D1726" s="108"/>
      <c r="E1726" s="108"/>
      <c r="F1726" s="108"/>
      <c r="G1726" s="108"/>
      <c r="H1726" s="108"/>
      <c r="I1726" s="108"/>
      <c r="J1726" s="108"/>
      <c r="K1726" s="108"/>
      <c r="L1726" s="108"/>
      <c r="M1726" s="108"/>
      <c r="N1726" s="108"/>
      <c r="O1726" s="108"/>
      <c r="P1726" s="108"/>
      <c r="Q1726" s="108"/>
      <c r="R1726" s="108"/>
      <c r="S1726" s="108"/>
      <c r="T1726" s="108"/>
      <c r="U1726" s="108"/>
      <c r="V1726" s="108"/>
      <c r="W1726" s="108"/>
      <c r="X1726" s="108"/>
    </row>
    <row r="1727" spans="1:24">
      <c r="A1727" s="108"/>
      <c r="B1727" s="108"/>
      <c r="C1727" s="108"/>
      <c r="D1727" s="108"/>
      <c r="E1727" s="108"/>
      <c r="F1727" s="108"/>
      <c r="G1727" s="108"/>
      <c r="H1727" s="108"/>
      <c r="I1727" s="108"/>
      <c r="J1727" s="108"/>
      <c r="K1727" s="108"/>
      <c r="L1727" s="108"/>
      <c r="M1727" s="108"/>
      <c r="N1727" s="108"/>
      <c r="O1727" s="108"/>
      <c r="P1727" s="108"/>
      <c r="Q1727" s="108"/>
      <c r="R1727" s="108"/>
      <c r="S1727" s="108"/>
      <c r="T1727" s="108"/>
      <c r="U1727" s="108"/>
      <c r="V1727" s="108"/>
      <c r="W1727" s="108"/>
      <c r="X1727" s="108"/>
    </row>
    <row r="1728" spans="1:24">
      <c r="A1728" s="108"/>
      <c r="B1728" s="108"/>
      <c r="C1728" s="108"/>
      <c r="D1728" s="108"/>
      <c r="E1728" s="108"/>
      <c r="F1728" s="108"/>
      <c r="G1728" s="108"/>
      <c r="H1728" s="108"/>
      <c r="I1728" s="108"/>
      <c r="J1728" s="108"/>
      <c r="K1728" s="108"/>
      <c r="L1728" s="108"/>
      <c r="M1728" s="108"/>
      <c r="N1728" s="108"/>
      <c r="O1728" s="108"/>
      <c r="P1728" s="108"/>
      <c r="Q1728" s="108"/>
      <c r="R1728" s="108"/>
      <c r="S1728" s="108"/>
      <c r="T1728" s="108"/>
      <c r="U1728" s="108"/>
      <c r="V1728" s="108"/>
      <c r="W1728" s="108"/>
      <c r="X1728" s="108"/>
    </row>
    <row r="1729" spans="1:24">
      <c r="A1729" s="108"/>
      <c r="B1729" s="108"/>
      <c r="C1729" s="108"/>
      <c r="D1729" s="108"/>
      <c r="E1729" s="108"/>
      <c r="F1729" s="108"/>
      <c r="G1729" s="108"/>
      <c r="H1729" s="108"/>
      <c r="I1729" s="108"/>
      <c r="J1729" s="108"/>
      <c r="K1729" s="108"/>
      <c r="L1729" s="108"/>
      <c r="M1729" s="108"/>
      <c r="N1729" s="108"/>
      <c r="O1729" s="108"/>
      <c r="P1729" s="108"/>
      <c r="Q1729" s="108"/>
      <c r="R1729" s="108"/>
      <c r="S1729" s="108"/>
      <c r="T1729" s="108"/>
      <c r="U1729" s="108"/>
      <c r="V1729" s="108"/>
      <c r="W1729" s="108"/>
      <c r="X1729" s="108"/>
    </row>
    <row r="1730" spans="1:24">
      <c r="A1730" s="108"/>
      <c r="B1730" s="108"/>
      <c r="C1730" s="108"/>
      <c r="D1730" s="108"/>
      <c r="E1730" s="108"/>
      <c r="F1730" s="108"/>
      <c r="G1730" s="108"/>
      <c r="H1730" s="108"/>
      <c r="I1730" s="108"/>
      <c r="J1730" s="108"/>
      <c r="K1730" s="108"/>
      <c r="L1730" s="108"/>
      <c r="M1730" s="108"/>
      <c r="N1730" s="108"/>
      <c r="O1730" s="108"/>
      <c r="P1730" s="108"/>
      <c r="Q1730" s="108"/>
      <c r="R1730" s="108"/>
      <c r="S1730" s="108"/>
      <c r="T1730" s="108"/>
      <c r="U1730" s="108"/>
      <c r="V1730" s="108"/>
      <c r="W1730" s="108"/>
      <c r="X1730" s="108"/>
    </row>
    <row r="1731" spans="1:24">
      <c r="A1731" s="108"/>
      <c r="B1731" s="108"/>
      <c r="C1731" s="108"/>
      <c r="D1731" s="108"/>
      <c r="E1731" s="108"/>
      <c r="F1731" s="108"/>
      <c r="G1731" s="108"/>
      <c r="H1731" s="108"/>
      <c r="I1731" s="108"/>
      <c r="J1731" s="108"/>
      <c r="K1731" s="108"/>
      <c r="L1731" s="108"/>
      <c r="M1731" s="108"/>
      <c r="N1731" s="108"/>
      <c r="O1731" s="108"/>
      <c r="P1731" s="108"/>
      <c r="Q1731" s="108"/>
      <c r="R1731" s="108"/>
      <c r="S1731" s="108"/>
      <c r="T1731" s="108"/>
      <c r="U1731" s="108"/>
      <c r="V1731" s="108"/>
      <c r="W1731" s="108"/>
      <c r="X1731" s="108"/>
    </row>
    <row r="1732" spans="1:24">
      <c r="A1732" s="108"/>
      <c r="B1732" s="108"/>
      <c r="C1732" s="108"/>
      <c r="D1732" s="108"/>
      <c r="E1732" s="108"/>
      <c r="F1732" s="108"/>
      <c r="G1732" s="108"/>
      <c r="H1732" s="108"/>
      <c r="I1732" s="108"/>
      <c r="J1732" s="108"/>
      <c r="K1732" s="108"/>
      <c r="L1732" s="108"/>
      <c r="M1732" s="108"/>
      <c r="N1732" s="108"/>
      <c r="O1732" s="108"/>
      <c r="P1732" s="108"/>
      <c r="Q1732" s="108"/>
      <c r="R1732" s="108"/>
      <c r="S1732" s="108"/>
      <c r="T1732" s="108"/>
      <c r="U1732" s="108"/>
      <c r="V1732" s="108"/>
      <c r="W1732" s="108"/>
      <c r="X1732" s="108"/>
    </row>
    <row r="1733" spans="1:24">
      <c r="A1733" s="108"/>
      <c r="B1733" s="108"/>
      <c r="C1733" s="108"/>
      <c r="D1733" s="108"/>
      <c r="E1733" s="108"/>
      <c r="F1733" s="108"/>
      <c r="G1733" s="108"/>
      <c r="H1733" s="108"/>
      <c r="I1733" s="108"/>
      <c r="J1733" s="108"/>
      <c r="K1733" s="108"/>
      <c r="L1733" s="108"/>
      <c r="M1733" s="108"/>
      <c r="N1733" s="108"/>
      <c r="O1733" s="108"/>
      <c r="P1733" s="108"/>
      <c r="Q1733" s="108"/>
      <c r="R1733" s="108"/>
      <c r="S1733" s="108"/>
      <c r="T1733" s="108"/>
      <c r="U1733" s="108"/>
      <c r="V1733" s="108"/>
      <c r="W1733" s="108"/>
      <c r="X1733" s="108"/>
    </row>
    <row r="1734" spans="1:24">
      <c r="A1734" s="108"/>
      <c r="B1734" s="108"/>
      <c r="C1734" s="108"/>
      <c r="D1734" s="108"/>
      <c r="E1734" s="108"/>
      <c r="F1734" s="108"/>
      <c r="G1734" s="108"/>
      <c r="H1734" s="108"/>
      <c r="I1734" s="108"/>
      <c r="J1734" s="108"/>
      <c r="K1734" s="108"/>
      <c r="L1734" s="108"/>
      <c r="M1734" s="108"/>
      <c r="N1734" s="108"/>
      <c r="O1734" s="108"/>
      <c r="P1734" s="108"/>
      <c r="Q1734" s="108"/>
      <c r="R1734" s="108"/>
      <c r="S1734" s="108"/>
      <c r="T1734" s="108"/>
      <c r="U1734" s="108"/>
      <c r="V1734" s="108"/>
      <c r="W1734" s="108"/>
      <c r="X1734" s="108"/>
    </row>
    <row r="1735" spans="1:24">
      <c r="A1735" s="108"/>
      <c r="B1735" s="108"/>
      <c r="C1735" s="108"/>
      <c r="D1735" s="108"/>
      <c r="E1735" s="108"/>
      <c r="F1735" s="108"/>
      <c r="G1735" s="108"/>
      <c r="H1735" s="108"/>
      <c r="I1735" s="108"/>
      <c r="J1735" s="108"/>
      <c r="K1735" s="108"/>
      <c r="L1735" s="108"/>
      <c r="M1735" s="108"/>
      <c r="N1735" s="108"/>
      <c r="O1735" s="108"/>
      <c r="P1735" s="108"/>
      <c r="Q1735" s="108"/>
      <c r="R1735" s="108"/>
      <c r="S1735" s="108"/>
      <c r="T1735" s="108"/>
      <c r="U1735" s="108"/>
      <c r="V1735" s="108"/>
      <c r="W1735" s="108"/>
      <c r="X1735" s="108"/>
    </row>
    <row r="1736" spans="1:24">
      <c r="A1736" s="108"/>
      <c r="B1736" s="108"/>
      <c r="C1736" s="108"/>
      <c r="D1736" s="108"/>
      <c r="E1736" s="108"/>
      <c r="F1736" s="108"/>
      <c r="G1736" s="108"/>
      <c r="H1736" s="108"/>
      <c r="I1736" s="108"/>
      <c r="J1736" s="108"/>
      <c r="K1736" s="108"/>
      <c r="L1736" s="108"/>
      <c r="M1736" s="108"/>
      <c r="N1736" s="108"/>
      <c r="O1736" s="108"/>
      <c r="P1736" s="108"/>
      <c r="Q1736" s="108"/>
      <c r="R1736" s="108"/>
      <c r="S1736" s="108"/>
      <c r="T1736" s="108"/>
      <c r="U1736" s="108"/>
      <c r="V1736" s="108"/>
      <c r="W1736" s="108"/>
      <c r="X1736" s="108"/>
    </row>
    <row r="1737" spans="1:24">
      <c r="A1737" s="108"/>
      <c r="B1737" s="108"/>
      <c r="C1737" s="108"/>
      <c r="D1737" s="108"/>
      <c r="E1737" s="108"/>
      <c r="F1737" s="108"/>
      <c r="G1737" s="108"/>
      <c r="H1737" s="108"/>
      <c r="I1737" s="108"/>
      <c r="J1737" s="108"/>
      <c r="K1737" s="108"/>
      <c r="L1737" s="108"/>
      <c r="M1737" s="108"/>
      <c r="N1737" s="108"/>
      <c r="O1737" s="108"/>
      <c r="P1737" s="108"/>
      <c r="Q1737" s="108"/>
      <c r="R1737" s="108"/>
      <c r="S1737" s="108"/>
      <c r="T1737" s="108"/>
      <c r="U1737" s="108"/>
      <c r="V1737" s="108"/>
      <c r="W1737" s="108"/>
      <c r="X1737" s="108"/>
    </row>
    <row r="1738" spans="1:24">
      <c r="A1738" s="108"/>
      <c r="B1738" s="108"/>
      <c r="C1738" s="108"/>
      <c r="D1738" s="108"/>
      <c r="E1738" s="108"/>
      <c r="F1738" s="108"/>
      <c r="G1738" s="108"/>
      <c r="H1738" s="108"/>
      <c r="I1738" s="108"/>
      <c r="J1738" s="108"/>
      <c r="K1738" s="108"/>
      <c r="L1738" s="108"/>
      <c r="M1738" s="108"/>
      <c r="N1738" s="108"/>
      <c r="O1738" s="108"/>
      <c r="P1738" s="108"/>
      <c r="Q1738" s="108"/>
      <c r="R1738" s="108"/>
      <c r="S1738" s="108"/>
      <c r="T1738" s="108"/>
      <c r="U1738" s="108"/>
      <c r="V1738" s="108"/>
      <c r="W1738" s="108"/>
      <c r="X1738" s="108"/>
    </row>
    <row r="1739" spans="1:24">
      <c r="A1739" s="108"/>
      <c r="B1739" s="108"/>
      <c r="C1739" s="108"/>
      <c r="D1739" s="108"/>
      <c r="E1739" s="108"/>
      <c r="F1739" s="108"/>
      <c r="G1739" s="108"/>
      <c r="H1739" s="108"/>
      <c r="I1739" s="108"/>
      <c r="J1739" s="108"/>
      <c r="K1739" s="108"/>
      <c r="L1739" s="108"/>
      <c r="M1739" s="108"/>
      <c r="N1739" s="108"/>
      <c r="O1739" s="108"/>
      <c r="P1739" s="108"/>
      <c r="Q1739" s="108"/>
      <c r="R1739" s="108"/>
      <c r="S1739" s="108"/>
      <c r="T1739" s="108"/>
      <c r="U1739" s="108"/>
      <c r="V1739" s="108"/>
      <c r="W1739" s="108"/>
      <c r="X1739" s="108"/>
    </row>
    <row r="1740" spans="1:24">
      <c r="A1740" s="108"/>
      <c r="B1740" s="108"/>
      <c r="C1740" s="108"/>
      <c r="D1740" s="108"/>
      <c r="E1740" s="108"/>
      <c r="F1740" s="108"/>
      <c r="G1740" s="108"/>
      <c r="H1740" s="108"/>
      <c r="I1740" s="108"/>
      <c r="J1740" s="108"/>
      <c r="K1740" s="108"/>
      <c r="L1740" s="108"/>
      <c r="M1740" s="108"/>
      <c r="N1740" s="108"/>
      <c r="O1740" s="108"/>
      <c r="P1740" s="108"/>
      <c r="Q1740" s="108"/>
      <c r="R1740" s="108"/>
      <c r="S1740" s="108"/>
      <c r="T1740" s="108"/>
      <c r="U1740" s="108"/>
      <c r="V1740" s="108"/>
      <c r="W1740" s="108"/>
      <c r="X1740" s="108"/>
    </row>
    <row r="1741" spans="1:24">
      <c r="A1741" s="108"/>
      <c r="B1741" s="108"/>
      <c r="C1741" s="108"/>
      <c r="D1741" s="108"/>
      <c r="E1741" s="108"/>
      <c r="F1741" s="108"/>
      <c r="G1741" s="108"/>
      <c r="H1741" s="108"/>
      <c r="I1741" s="108"/>
      <c r="J1741" s="108"/>
      <c r="K1741" s="108"/>
      <c r="L1741" s="108"/>
      <c r="M1741" s="108"/>
      <c r="N1741" s="108"/>
      <c r="O1741" s="108"/>
      <c r="P1741" s="108"/>
      <c r="Q1741" s="108"/>
      <c r="R1741" s="108"/>
      <c r="S1741" s="108"/>
      <c r="T1741" s="108"/>
      <c r="U1741" s="108"/>
      <c r="V1741" s="108"/>
      <c r="W1741" s="108"/>
      <c r="X1741" s="108"/>
    </row>
    <row r="1742" spans="1:24">
      <c r="A1742" s="108"/>
      <c r="B1742" s="108"/>
      <c r="C1742" s="108"/>
      <c r="D1742" s="108"/>
      <c r="E1742" s="108"/>
      <c r="F1742" s="108"/>
      <c r="G1742" s="108"/>
      <c r="H1742" s="108"/>
      <c r="I1742" s="108"/>
      <c r="J1742" s="108"/>
      <c r="K1742" s="108"/>
      <c r="L1742" s="108"/>
      <c r="M1742" s="108"/>
      <c r="N1742" s="108"/>
      <c r="O1742" s="108"/>
      <c r="P1742" s="108"/>
      <c r="Q1742" s="108"/>
      <c r="R1742" s="108"/>
      <c r="S1742" s="108"/>
      <c r="T1742" s="108"/>
      <c r="U1742" s="108"/>
      <c r="V1742" s="108"/>
      <c r="W1742" s="108"/>
      <c r="X1742" s="108"/>
    </row>
    <row r="1743" spans="1:24">
      <c r="A1743" s="108"/>
      <c r="B1743" s="108"/>
      <c r="C1743" s="108"/>
      <c r="D1743" s="108"/>
      <c r="E1743" s="108"/>
      <c r="F1743" s="108"/>
      <c r="G1743" s="108"/>
      <c r="H1743" s="108"/>
      <c r="I1743" s="108"/>
      <c r="J1743" s="108"/>
      <c r="K1743" s="108"/>
      <c r="L1743" s="108"/>
      <c r="M1743" s="108"/>
      <c r="N1743" s="108"/>
      <c r="O1743" s="108"/>
      <c r="P1743" s="108"/>
      <c r="Q1743" s="108"/>
      <c r="R1743" s="108"/>
      <c r="S1743" s="108"/>
      <c r="T1743" s="108"/>
      <c r="U1743" s="108"/>
      <c r="V1743" s="108"/>
      <c r="W1743" s="108"/>
      <c r="X1743" s="108"/>
    </row>
    <row r="1744" spans="1:24">
      <c r="A1744" s="108"/>
      <c r="B1744" s="108"/>
      <c r="C1744" s="108"/>
      <c r="D1744" s="108"/>
      <c r="E1744" s="108"/>
      <c r="F1744" s="108"/>
      <c r="G1744" s="108"/>
      <c r="H1744" s="108"/>
      <c r="I1744" s="108"/>
      <c r="J1744" s="108"/>
      <c r="K1744" s="108"/>
      <c r="L1744" s="108"/>
      <c r="M1744" s="108"/>
      <c r="N1744" s="108"/>
      <c r="O1744" s="108"/>
      <c r="P1744" s="108"/>
      <c r="Q1744" s="108"/>
      <c r="R1744" s="108"/>
      <c r="S1744" s="108"/>
      <c r="T1744" s="108"/>
      <c r="U1744" s="108"/>
      <c r="V1744" s="108"/>
      <c r="W1744" s="108"/>
      <c r="X1744" s="108"/>
    </row>
    <row r="1745" spans="1:24">
      <c r="A1745" s="108"/>
      <c r="B1745" s="108"/>
      <c r="C1745" s="108"/>
      <c r="D1745" s="108"/>
      <c r="E1745" s="108"/>
      <c r="F1745" s="108"/>
      <c r="G1745" s="108"/>
      <c r="H1745" s="108"/>
      <c r="I1745" s="108"/>
      <c r="J1745" s="108"/>
      <c r="K1745" s="108"/>
      <c r="L1745" s="108"/>
      <c r="M1745" s="108"/>
      <c r="N1745" s="108"/>
      <c r="O1745" s="108"/>
      <c r="P1745" s="108"/>
      <c r="Q1745" s="108"/>
      <c r="R1745" s="108"/>
      <c r="S1745" s="108"/>
      <c r="T1745" s="108"/>
      <c r="U1745" s="108"/>
      <c r="V1745" s="108"/>
      <c r="W1745" s="108"/>
      <c r="X1745" s="108"/>
    </row>
    <row r="1746" spans="1:24">
      <c r="A1746" s="108"/>
      <c r="B1746" s="108"/>
      <c r="C1746" s="108"/>
      <c r="D1746" s="108"/>
      <c r="E1746" s="108"/>
      <c r="F1746" s="108"/>
      <c r="G1746" s="108"/>
      <c r="H1746" s="108"/>
      <c r="I1746" s="108"/>
      <c r="J1746" s="108"/>
      <c r="K1746" s="108"/>
      <c r="L1746" s="108"/>
      <c r="M1746" s="108"/>
      <c r="N1746" s="108"/>
      <c r="O1746" s="108"/>
      <c r="P1746" s="108"/>
      <c r="Q1746" s="108"/>
      <c r="R1746" s="108"/>
      <c r="S1746" s="108"/>
      <c r="T1746" s="108"/>
      <c r="U1746" s="108"/>
      <c r="V1746" s="108"/>
      <c r="W1746" s="108"/>
      <c r="X1746" s="108"/>
    </row>
    <row r="1747" spans="1:24">
      <c r="A1747" s="108"/>
      <c r="B1747" s="108"/>
      <c r="C1747" s="108"/>
      <c r="D1747" s="108"/>
      <c r="E1747" s="108"/>
      <c r="F1747" s="108"/>
      <c r="G1747" s="108"/>
      <c r="H1747" s="108"/>
      <c r="I1747" s="108"/>
      <c r="J1747" s="108"/>
      <c r="K1747" s="108"/>
      <c r="L1747" s="108"/>
      <c r="M1747" s="108"/>
      <c r="N1747" s="108"/>
      <c r="O1747" s="108"/>
      <c r="P1747" s="108"/>
      <c r="Q1747" s="108"/>
      <c r="R1747" s="108"/>
      <c r="S1747" s="108"/>
      <c r="T1747" s="108"/>
      <c r="U1747" s="108"/>
      <c r="V1747" s="108"/>
      <c r="W1747" s="108"/>
      <c r="X1747" s="108"/>
    </row>
    <row r="1748" spans="1:24">
      <c r="A1748" s="108"/>
      <c r="B1748" s="108"/>
      <c r="C1748" s="108"/>
      <c r="D1748" s="108"/>
      <c r="E1748" s="108"/>
      <c r="F1748" s="108"/>
      <c r="G1748" s="108"/>
      <c r="H1748" s="108"/>
      <c r="I1748" s="108"/>
      <c r="J1748" s="108"/>
      <c r="K1748" s="108"/>
      <c r="L1748" s="108"/>
      <c r="M1748" s="108"/>
      <c r="N1748" s="108"/>
      <c r="O1748" s="108"/>
      <c r="P1748" s="108"/>
      <c r="Q1748" s="108"/>
      <c r="R1748" s="108"/>
      <c r="S1748" s="108"/>
      <c r="T1748" s="108"/>
      <c r="U1748" s="108"/>
      <c r="V1748" s="108"/>
      <c r="W1748" s="108"/>
      <c r="X1748" s="108"/>
    </row>
    <row r="1749" spans="1:24">
      <c r="A1749" s="108"/>
      <c r="B1749" s="108"/>
      <c r="C1749" s="108"/>
      <c r="D1749" s="108"/>
      <c r="E1749" s="108"/>
      <c r="F1749" s="108"/>
      <c r="G1749" s="108"/>
      <c r="H1749" s="108"/>
      <c r="I1749" s="108"/>
      <c r="J1749" s="108"/>
      <c r="K1749" s="108"/>
      <c r="L1749" s="108"/>
      <c r="M1749" s="108"/>
      <c r="N1749" s="108"/>
      <c r="O1749" s="108"/>
      <c r="P1749" s="108"/>
      <c r="Q1749" s="108"/>
      <c r="R1749" s="108"/>
      <c r="S1749" s="108"/>
      <c r="T1749" s="108"/>
      <c r="U1749" s="108"/>
      <c r="V1749" s="108"/>
      <c r="W1749" s="108"/>
      <c r="X1749" s="108"/>
    </row>
    <row r="1750" spans="1:24">
      <c r="A1750" s="108"/>
      <c r="B1750" s="108"/>
      <c r="C1750" s="108"/>
      <c r="D1750" s="108"/>
      <c r="E1750" s="108"/>
      <c r="F1750" s="108"/>
      <c r="G1750" s="108"/>
      <c r="H1750" s="108"/>
      <c r="I1750" s="108"/>
      <c r="J1750" s="108"/>
      <c r="K1750" s="108"/>
      <c r="L1750" s="108"/>
      <c r="M1750" s="108"/>
      <c r="N1750" s="108"/>
      <c r="O1750" s="108"/>
      <c r="P1750" s="108"/>
      <c r="Q1750" s="108"/>
      <c r="R1750" s="108"/>
      <c r="S1750" s="108"/>
      <c r="T1750" s="108"/>
      <c r="U1750" s="108"/>
      <c r="V1750" s="108"/>
      <c r="W1750" s="108"/>
      <c r="X1750" s="108"/>
    </row>
    <row r="1751" spans="1:24">
      <c r="A1751" s="108"/>
      <c r="B1751" s="108"/>
      <c r="C1751" s="108"/>
      <c r="D1751" s="108"/>
      <c r="E1751" s="108"/>
      <c r="F1751" s="108"/>
      <c r="G1751" s="108"/>
      <c r="H1751" s="108"/>
      <c r="I1751" s="108"/>
      <c r="J1751" s="108"/>
      <c r="K1751" s="108"/>
      <c r="L1751" s="108"/>
      <c r="M1751" s="108"/>
      <c r="N1751" s="108"/>
      <c r="O1751" s="108"/>
      <c r="P1751" s="108"/>
      <c r="Q1751" s="108"/>
      <c r="R1751" s="108"/>
      <c r="S1751" s="108"/>
      <c r="T1751" s="108"/>
      <c r="U1751" s="108"/>
      <c r="V1751" s="108"/>
      <c r="W1751" s="108"/>
      <c r="X1751" s="108"/>
    </row>
    <row r="1752" spans="1:24">
      <c r="A1752" s="108"/>
      <c r="B1752" s="108"/>
      <c r="C1752" s="108"/>
      <c r="D1752" s="108"/>
      <c r="E1752" s="108"/>
      <c r="F1752" s="108"/>
      <c r="G1752" s="108"/>
      <c r="H1752" s="108"/>
      <c r="I1752" s="108"/>
      <c r="J1752" s="108"/>
      <c r="K1752" s="108"/>
      <c r="L1752" s="108"/>
      <c r="M1752" s="108"/>
      <c r="N1752" s="108"/>
      <c r="O1752" s="108"/>
      <c r="P1752" s="108"/>
      <c r="Q1752" s="108"/>
      <c r="R1752" s="108"/>
      <c r="S1752" s="108"/>
      <c r="T1752" s="108"/>
      <c r="U1752" s="108"/>
      <c r="V1752" s="108"/>
      <c r="W1752" s="108"/>
      <c r="X1752" s="108"/>
    </row>
    <row r="1753" spans="1:24">
      <c r="A1753" s="108"/>
      <c r="B1753" s="108"/>
      <c r="C1753" s="108"/>
      <c r="D1753" s="108"/>
      <c r="E1753" s="108"/>
      <c r="F1753" s="108"/>
      <c r="G1753" s="108"/>
      <c r="H1753" s="108"/>
      <c r="I1753" s="108"/>
      <c r="J1753" s="108"/>
      <c r="K1753" s="108"/>
      <c r="L1753" s="108"/>
      <c r="M1753" s="108"/>
      <c r="N1753" s="108"/>
      <c r="O1753" s="108"/>
      <c r="P1753" s="108"/>
      <c r="Q1753" s="108"/>
      <c r="R1753" s="108"/>
      <c r="S1753" s="108"/>
      <c r="T1753" s="108"/>
      <c r="U1753" s="108"/>
      <c r="V1753" s="108"/>
      <c r="W1753" s="108"/>
      <c r="X1753" s="108"/>
    </row>
    <row r="1754" spans="1:24">
      <c r="A1754" s="108"/>
      <c r="B1754" s="108"/>
      <c r="C1754" s="108"/>
      <c r="D1754" s="108"/>
      <c r="E1754" s="108"/>
      <c r="F1754" s="108"/>
      <c r="G1754" s="108"/>
      <c r="H1754" s="108"/>
      <c r="I1754" s="108"/>
      <c r="J1754" s="108"/>
      <c r="K1754" s="108"/>
      <c r="L1754" s="108"/>
      <c r="M1754" s="108"/>
      <c r="N1754" s="108"/>
      <c r="O1754" s="108"/>
      <c r="P1754" s="108"/>
      <c r="Q1754" s="108"/>
      <c r="R1754" s="108"/>
      <c r="S1754" s="108"/>
      <c r="T1754" s="108"/>
      <c r="U1754" s="108"/>
      <c r="V1754" s="108"/>
      <c r="W1754" s="108"/>
      <c r="X1754" s="108"/>
    </row>
    <row r="1755" spans="1:24">
      <c r="A1755" s="108"/>
      <c r="B1755" s="108"/>
      <c r="C1755" s="108"/>
      <c r="D1755" s="108"/>
      <c r="E1755" s="108"/>
      <c r="F1755" s="108"/>
      <c r="G1755" s="108"/>
      <c r="H1755" s="108"/>
      <c r="I1755" s="108"/>
      <c r="J1755" s="108"/>
      <c r="K1755" s="108"/>
      <c r="L1755" s="108"/>
      <c r="M1755" s="108"/>
      <c r="N1755" s="108"/>
      <c r="O1755" s="108"/>
      <c r="P1755" s="108"/>
      <c r="Q1755" s="108"/>
      <c r="R1755" s="108"/>
      <c r="S1755" s="108"/>
      <c r="T1755" s="108"/>
      <c r="U1755" s="108"/>
      <c r="V1755" s="108"/>
      <c r="W1755" s="108"/>
      <c r="X1755" s="108"/>
    </row>
    <row r="1756" spans="1:24">
      <c r="A1756" s="108"/>
      <c r="B1756" s="108"/>
      <c r="C1756" s="108"/>
      <c r="D1756" s="108"/>
      <c r="E1756" s="108"/>
      <c r="F1756" s="108"/>
      <c r="G1756" s="108"/>
      <c r="H1756" s="108"/>
      <c r="I1756" s="108"/>
      <c r="J1756" s="108"/>
      <c r="K1756" s="108"/>
      <c r="L1756" s="108"/>
      <c r="M1756" s="108"/>
      <c r="N1756" s="108"/>
      <c r="O1756" s="108"/>
      <c r="P1756" s="108"/>
      <c r="Q1756" s="108"/>
      <c r="R1756" s="108"/>
      <c r="S1756" s="108"/>
      <c r="T1756" s="108"/>
      <c r="U1756" s="108"/>
      <c r="V1756" s="108"/>
      <c r="W1756" s="108"/>
      <c r="X1756" s="108"/>
    </row>
    <row r="1757" spans="1:24">
      <c r="A1757" s="108"/>
      <c r="B1757" s="108"/>
      <c r="C1757" s="108"/>
      <c r="D1757" s="108"/>
      <c r="E1757" s="108"/>
      <c r="F1757" s="108"/>
      <c r="G1757" s="108"/>
      <c r="H1757" s="108"/>
      <c r="I1757" s="108"/>
      <c r="J1757" s="108"/>
      <c r="K1757" s="108"/>
      <c r="L1757" s="108"/>
      <c r="M1757" s="108"/>
      <c r="N1757" s="108"/>
      <c r="O1757" s="108"/>
      <c r="P1757" s="108"/>
      <c r="Q1757" s="108"/>
      <c r="R1757" s="108"/>
      <c r="S1757" s="108"/>
      <c r="T1757" s="108"/>
      <c r="U1757" s="108"/>
      <c r="V1757" s="108"/>
      <c r="W1757" s="108"/>
      <c r="X1757" s="108"/>
    </row>
    <row r="1758" spans="1:24">
      <c r="A1758" s="108"/>
      <c r="B1758" s="108"/>
      <c r="C1758" s="108"/>
      <c r="D1758" s="108"/>
      <c r="E1758" s="108"/>
      <c r="F1758" s="108"/>
      <c r="G1758" s="108"/>
      <c r="H1758" s="108"/>
      <c r="I1758" s="108"/>
      <c r="J1758" s="108"/>
      <c r="K1758" s="108"/>
      <c r="L1758" s="108"/>
      <c r="M1758" s="108"/>
      <c r="N1758" s="108"/>
      <c r="O1758" s="108"/>
      <c r="P1758" s="108"/>
      <c r="Q1758" s="108"/>
      <c r="R1758" s="108"/>
      <c r="S1758" s="108"/>
      <c r="T1758" s="108"/>
      <c r="U1758" s="108"/>
      <c r="V1758" s="108"/>
      <c r="W1758" s="108"/>
      <c r="X1758" s="108"/>
    </row>
    <row r="1759" spans="1:24">
      <c r="A1759" s="108"/>
      <c r="B1759" s="108"/>
      <c r="C1759" s="108"/>
      <c r="D1759" s="108"/>
      <c r="E1759" s="108"/>
      <c r="F1759" s="108"/>
      <c r="G1759" s="108"/>
      <c r="H1759" s="108"/>
      <c r="I1759" s="108"/>
      <c r="J1759" s="108"/>
      <c r="K1759" s="108"/>
      <c r="L1759" s="108"/>
      <c r="M1759" s="108"/>
      <c r="N1759" s="108"/>
      <c r="O1759" s="108"/>
      <c r="P1759" s="108"/>
      <c r="Q1759" s="108"/>
      <c r="R1759" s="108"/>
      <c r="S1759" s="108"/>
      <c r="T1759" s="108"/>
      <c r="U1759" s="108"/>
      <c r="V1759" s="108"/>
      <c r="W1759" s="108"/>
      <c r="X1759" s="108"/>
    </row>
    <row r="1760" spans="1:24">
      <c r="A1760" s="108"/>
      <c r="B1760" s="108"/>
      <c r="C1760" s="108"/>
      <c r="D1760" s="108"/>
      <c r="E1760" s="108"/>
      <c r="F1760" s="108"/>
      <c r="G1760" s="108"/>
      <c r="H1760" s="108"/>
      <c r="I1760" s="108"/>
      <c r="J1760" s="108"/>
      <c r="K1760" s="108"/>
      <c r="L1760" s="108"/>
      <c r="M1760" s="108"/>
      <c r="N1760" s="108"/>
      <c r="O1760" s="108"/>
      <c r="P1760" s="108"/>
      <c r="Q1760" s="108"/>
      <c r="R1760" s="108"/>
      <c r="S1760" s="108"/>
      <c r="T1760" s="108"/>
      <c r="U1760" s="108"/>
      <c r="V1760" s="108"/>
      <c r="W1760" s="108"/>
      <c r="X1760" s="108"/>
    </row>
    <row r="1761" spans="1:24">
      <c r="A1761" s="108"/>
      <c r="B1761" s="108"/>
      <c r="C1761" s="108"/>
      <c r="D1761" s="108"/>
      <c r="E1761" s="108"/>
      <c r="F1761" s="108"/>
      <c r="G1761" s="108"/>
      <c r="H1761" s="108"/>
      <c r="I1761" s="108"/>
      <c r="J1761" s="108"/>
      <c r="K1761" s="108"/>
      <c r="L1761" s="108"/>
      <c r="M1761" s="108"/>
      <c r="N1761" s="108"/>
      <c r="O1761" s="108"/>
      <c r="P1761" s="108"/>
      <c r="Q1761" s="108"/>
      <c r="R1761" s="108"/>
      <c r="S1761" s="108"/>
      <c r="T1761" s="108"/>
      <c r="U1761" s="108"/>
      <c r="V1761" s="108"/>
      <c r="W1761" s="108"/>
      <c r="X1761" s="108"/>
    </row>
    <row r="1762" spans="1:24">
      <c r="A1762" s="108"/>
      <c r="B1762" s="108"/>
      <c r="C1762" s="108"/>
      <c r="D1762" s="108"/>
      <c r="E1762" s="108"/>
      <c r="F1762" s="108"/>
      <c r="G1762" s="108"/>
      <c r="H1762" s="108"/>
      <c r="I1762" s="108"/>
      <c r="J1762" s="108"/>
      <c r="K1762" s="108"/>
      <c r="L1762" s="108"/>
      <c r="M1762" s="108"/>
      <c r="N1762" s="108"/>
      <c r="O1762" s="108"/>
      <c r="P1762" s="108"/>
      <c r="Q1762" s="108"/>
      <c r="R1762" s="108"/>
      <c r="S1762" s="108"/>
      <c r="T1762" s="108"/>
      <c r="U1762" s="108"/>
      <c r="V1762" s="108"/>
      <c r="W1762" s="108"/>
      <c r="X1762" s="108"/>
    </row>
    <row r="1763" spans="1:24">
      <c r="A1763" s="108"/>
      <c r="B1763" s="108"/>
      <c r="C1763" s="108"/>
      <c r="D1763" s="108"/>
      <c r="E1763" s="108"/>
      <c r="F1763" s="108"/>
      <c r="G1763" s="108"/>
      <c r="H1763" s="108"/>
      <c r="I1763" s="108"/>
      <c r="J1763" s="108"/>
      <c r="K1763" s="108"/>
      <c r="L1763" s="108"/>
      <c r="M1763" s="108"/>
      <c r="N1763" s="108"/>
      <c r="O1763" s="108"/>
      <c r="P1763" s="108"/>
      <c r="Q1763" s="108"/>
      <c r="R1763" s="108"/>
      <c r="S1763" s="108"/>
      <c r="T1763" s="108"/>
      <c r="U1763" s="108"/>
      <c r="V1763" s="108"/>
      <c r="W1763" s="108"/>
      <c r="X1763" s="108"/>
    </row>
    <row r="1764" spans="1:24">
      <c r="A1764" s="108"/>
      <c r="B1764" s="108"/>
      <c r="C1764" s="108"/>
      <c r="D1764" s="108"/>
      <c r="E1764" s="108"/>
      <c r="F1764" s="108"/>
      <c r="G1764" s="108"/>
      <c r="H1764" s="108"/>
      <c r="I1764" s="108"/>
      <c r="J1764" s="108"/>
      <c r="K1764" s="108"/>
      <c r="L1764" s="108"/>
      <c r="M1764" s="108"/>
      <c r="N1764" s="108"/>
      <c r="O1764" s="108"/>
      <c r="P1764" s="108"/>
      <c r="Q1764" s="108"/>
      <c r="R1764" s="108"/>
      <c r="S1764" s="108"/>
      <c r="T1764" s="108"/>
      <c r="U1764" s="108"/>
      <c r="V1764" s="108"/>
      <c r="W1764" s="108"/>
      <c r="X1764" s="108"/>
    </row>
    <row r="1765" spans="1:24">
      <c r="A1765" s="108"/>
      <c r="B1765" s="108"/>
      <c r="C1765" s="108"/>
      <c r="D1765" s="108"/>
      <c r="E1765" s="108"/>
      <c r="F1765" s="108"/>
      <c r="G1765" s="108"/>
      <c r="H1765" s="108"/>
      <c r="I1765" s="108"/>
      <c r="J1765" s="108"/>
      <c r="K1765" s="108"/>
      <c r="L1765" s="108"/>
      <c r="M1765" s="108"/>
      <c r="N1765" s="108"/>
      <c r="O1765" s="108"/>
      <c r="P1765" s="108"/>
      <c r="Q1765" s="108"/>
      <c r="R1765" s="108"/>
      <c r="S1765" s="108"/>
      <c r="T1765" s="108"/>
      <c r="U1765" s="108"/>
      <c r="V1765" s="108"/>
      <c r="W1765" s="108"/>
      <c r="X1765" s="108"/>
    </row>
    <row r="1766" spans="1:24">
      <c r="A1766" s="108"/>
      <c r="B1766" s="108"/>
      <c r="C1766" s="108"/>
      <c r="D1766" s="108"/>
      <c r="E1766" s="108"/>
      <c r="F1766" s="108"/>
      <c r="G1766" s="108"/>
      <c r="H1766" s="108"/>
      <c r="I1766" s="108"/>
      <c r="J1766" s="108"/>
      <c r="K1766" s="108"/>
      <c r="L1766" s="108"/>
      <c r="M1766" s="108"/>
      <c r="N1766" s="108"/>
      <c r="O1766" s="108"/>
      <c r="P1766" s="108"/>
      <c r="Q1766" s="108"/>
      <c r="R1766" s="108"/>
      <c r="S1766" s="108"/>
      <c r="T1766" s="108"/>
      <c r="U1766" s="108"/>
      <c r="V1766" s="108"/>
      <c r="W1766" s="108"/>
      <c r="X1766" s="108"/>
    </row>
    <row r="1767" spans="1:24">
      <c r="A1767" s="108"/>
      <c r="B1767" s="108"/>
      <c r="C1767" s="108"/>
      <c r="D1767" s="108"/>
      <c r="E1767" s="108"/>
      <c r="F1767" s="108"/>
      <c r="G1767" s="108"/>
      <c r="H1767" s="108"/>
      <c r="I1767" s="108"/>
      <c r="J1767" s="108"/>
      <c r="K1767" s="108"/>
      <c r="L1767" s="108"/>
      <c r="M1767" s="108"/>
      <c r="N1767" s="108"/>
      <c r="O1767" s="108"/>
      <c r="P1767" s="108"/>
      <c r="Q1767" s="108"/>
      <c r="R1767" s="108"/>
      <c r="S1767" s="108"/>
      <c r="T1767" s="108"/>
      <c r="U1767" s="108"/>
      <c r="V1767" s="108"/>
      <c r="W1767" s="108"/>
      <c r="X1767" s="108"/>
    </row>
    <row r="1768" spans="1:24">
      <c r="A1768" s="108"/>
      <c r="B1768" s="108"/>
      <c r="C1768" s="108"/>
      <c r="D1768" s="108"/>
      <c r="E1768" s="108"/>
      <c r="F1768" s="108"/>
      <c r="G1768" s="108"/>
      <c r="H1768" s="108"/>
      <c r="I1768" s="108"/>
      <c r="J1768" s="108"/>
      <c r="K1768" s="108"/>
      <c r="L1768" s="108"/>
      <c r="M1768" s="108"/>
      <c r="N1768" s="108"/>
      <c r="O1768" s="108"/>
      <c r="P1768" s="108"/>
      <c r="Q1768" s="108"/>
      <c r="R1768" s="108"/>
      <c r="S1768" s="108"/>
      <c r="T1768" s="108"/>
      <c r="U1768" s="108"/>
      <c r="V1768" s="108"/>
      <c r="W1768" s="108"/>
      <c r="X1768" s="108"/>
    </row>
    <row r="1769" spans="1:24">
      <c r="A1769" s="108"/>
      <c r="B1769" s="108"/>
      <c r="C1769" s="108"/>
      <c r="D1769" s="108"/>
      <c r="E1769" s="108"/>
      <c r="F1769" s="108"/>
      <c r="G1769" s="108"/>
      <c r="H1769" s="108"/>
      <c r="I1769" s="108"/>
      <c r="J1769" s="108"/>
      <c r="K1769" s="108"/>
      <c r="L1769" s="108"/>
      <c r="M1769" s="108"/>
      <c r="N1769" s="108"/>
      <c r="O1769" s="108"/>
      <c r="P1769" s="108"/>
      <c r="Q1769" s="108"/>
      <c r="R1769" s="108"/>
      <c r="S1769" s="108"/>
      <c r="T1769" s="108"/>
      <c r="U1769" s="108"/>
      <c r="V1769" s="108"/>
      <c r="W1769" s="108"/>
      <c r="X1769" s="108"/>
    </row>
    <row r="1770" spans="1:24">
      <c r="A1770" s="108"/>
      <c r="B1770" s="108"/>
      <c r="C1770" s="108"/>
      <c r="D1770" s="108"/>
      <c r="E1770" s="108"/>
      <c r="F1770" s="108"/>
      <c r="G1770" s="108"/>
      <c r="H1770" s="108"/>
      <c r="I1770" s="108"/>
      <c r="J1770" s="108"/>
      <c r="K1770" s="108"/>
      <c r="L1770" s="108"/>
      <c r="M1770" s="108"/>
      <c r="N1770" s="108"/>
      <c r="O1770" s="108"/>
      <c r="P1770" s="108"/>
      <c r="Q1770" s="108"/>
      <c r="R1770" s="108"/>
      <c r="S1770" s="108"/>
      <c r="T1770" s="108"/>
      <c r="U1770" s="108"/>
      <c r="V1770" s="108"/>
      <c r="W1770" s="108"/>
      <c r="X1770" s="108"/>
    </row>
    <row r="1771" spans="1:24">
      <c r="A1771" s="108"/>
      <c r="B1771" s="108"/>
      <c r="C1771" s="108"/>
      <c r="D1771" s="108"/>
      <c r="E1771" s="108"/>
      <c r="F1771" s="108"/>
      <c r="G1771" s="108"/>
      <c r="H1771" s="108"/>
      <c r="I1771" s="108"/>
      <c r="J1771" s="108"/>
      <c r="K1771" s="108"/>
      <c r="L1771" s="108"/>
      <c r="M1771" s="108"/>
      <c r="N1771" s="108"/>
      <c r="O1771" s="108"/>
      <c r="P1771" s="108"/>
      <c r="Q1771" s="108"/>
      <c r="R1771" s="108"/>
      <c r="S1771" s="108"/>
      <c r="T1771" s="108"/>
      <c r="U1771" s="108"/>
      <c r="V1771" s="108"/>
      <c r="W1771" s="108"/>
      <c r="X1771" s="108"/>
    </row>
    <row r="1772" spans="1:24">
      <c r="A1772" s="108"/>
      <c r="B1772" s="108"/>
      <c r="C1772" s="108"/>
      <c r="D1772" s="108"/>
      <c r="E1772" s="108"/>
      <c r="F1772" s="108"/>
      <c r="G1772" s="108"/>
      <c r="H1772" s="108"/>
      <c r="I1772" s="108"/>
      <c r="J1772" s="108"/>
      <c r="K1772" s="108"/>
      <c r="L1772" s="108"/>
      <c r="M1772" s="108"/>
      <c r="N1772" s="108"/>
      <c r="O1772" s="108"/>
      <c r="P1772" s="108"/>
      <c r="Q1772" s="108"/>
      <c r="R1772" s="108"/>
      <c r="S1772" s="108"/>
      <c r="T1772" s="108"/>
      <c r="U1772" s="108"/>
      <c r="V1772" s="108"/>
      <c r="W1772" s="108"/>
      <c r="X1772" s="108"/>
    </row>
    <row r="1773" spans="1:24">
      <c r="A1773" s="108"/>
      <c r="B1773" s="108"/>
      <c r="C1773" s="108"/>
      <c r="D1773" s="108"/>
      <c r="E1773" s="108"/>
      <c r="F1773" s="108"/>
      <c r="G1773" s="108"/>
      <c r="H1773" s="108"/>
      <c r="I1773" s="108"/>
      <c r="J1773" s="108"/>
      <c r="K1773" s="108"/>
      <c r="L1773" s="108"/>
      <c r="M1773" s="108"/>
      <c r="N1773" s="108"/>
      <c r="O1773" s="108"/>
      <c r="P1773" s="108"/>
      <c r="Q1773" s="108"/>
      <c r="R1773" s="108"/>
      <c r="S1773" s="108"/>
      <c r="T1773" s="108"/>
      <c r="U1773" s="108"/>
      <c r="V1773" s="108"/>
      <c r="W1773" s="108"/>
      <c r="X1773" s="108"/>
    </row>
    <row r="1774" spans="1:24">
      <c r="A1774" s="108"/>
      <c r="B1774" s="108"/>
      <c r="C1774" s="108"/>
      <c r="D1774" s="108"/>
      <c r="E1774" s="108"/>
      <c r="F1774" s="108"/>
      <c r="G1774" s="108"/>
      <c r="H1774" s="108"/>
      <c r="I1774" s="108"/>
      <c r="J1774" s="108"/>
      <c r="K1774" s="108"/>
      <c r="L1774" s="108"/>
      <c r="M1774" s="108"/>
      <c r="N1774" s="108"/>
      <c r="O1774" s="108"/>
      <c r="P1774" s="108"/>
      <c r="Q1774" s="108"/>
      <c r="R1774" s="108"/>
      <c r="S1774" s="108"/>
      <c r="T1774" s="108"/>
      <c r="U1774" s="108"/>
      <c r="V1774" s="108"/>
      <c r="W1774" s="108"/>
      <c r="X1774" s="108"/>
    </row>
    <row r="1775" spans="1:24">
      <c r="A1775" s="108"/>
      <c r="B1775" s="108"/>
      <c r="C1775" s="108"/>
      <c r="D1775" s="108"/>
      <c r="E1775" s="108"/>
      <c r="F1775" s="108"/>
      <c r="G1775" s="108"/>
      <c r="H1775" s="108"/>
      <c r="I1775" s="108"/>
      <c r="J1775" s="108"/>
      <c r="K1775" s="108"/>
      <c r="L1775" s="108"/>
      <c r="M1775" s="108"/>
      <c r="N1775" s="108"/>
      <c r="O1775" s="108"/>
      <c r="P1775" s="108"/>
      <c r="Q1775" s="108"/>
      <c r="R1775" s="108"/>
      <c r="S1775" s="108"/>
      <c r="T1775" s="108"/>
      <c r="U1775" s="108"/>
      <c r="V1775" s="108"/>
      <c r="W1775" s="108"/>
      <c r="X1775" s="108"/>
    </row>
    <row r="1776" spans="1:24">
      <c r="A1776" s="108"/>
      <c r="B1776" s="108"/>
      <c r="C1776" s="108"/>
      <c r="D1776" s="108"/>
      <c r="E1776" s="108"/>
      <c r="F1776" s="108"/>
      <c r="G1776" s="108"/>
      <c r="H1776" s="108"/>
      <c r="I1776" s="108"/>
      <c r="J1776" s="108"/>
      <c r="K1776" s="108"/>
      <c r="L1776" s="108"/>
      <c r="M1776" s="108"/>
      <c r="N1776" s="108"/>
      <c r="O1776" s="108"/>
      <c r="P1776" s="108"/>
      <c r="Q1776" s="108"/>
      <c r="R1776" s="108"/>
      <c r="S1776" s="108"/>
      <c r="T1776" s="108"/>
      <c r="U1776" s="108"/>
      <c r="V1776" s="108"/>
      <c r="W1776" s="108"/>
      <c r="X1776" s="108"/>
    </row>
    <row r="1777" spans="1:24">
      <c r="A1777" s="108"/>
      <c r="B1777" s="108"/>
      <c r="C1777" s="108"/>
      <c r="D1777" s="108"/>
      <c r="E1777" s="108"/>
      <c r="F1777" s="108"/>
      <c r="G1777" s="108"/>
      <c r="H1777" s="108"/>
      <c r="I1777" s="108"/>
      <c r="J1777" s="108"/>
      <c r="K1777" s="108"/>
      <c r="L1777" s="108"/>
      <c r="M1777" s="108"/>
      <c r="N1777" s="108"/>
      <c r="O1777" s="108"/>
      <c r="P1777" s="108"/>
      <c r="Q1777" s="108"/>
      <c r="R1777" s="108"/>
      <c r="S1777" s="108"/>
      <c r="T1777" s="108"/>
      <c r="U1777" s="108"/>
      <c r="V1777" s="108"/>
      <c r="W1777" s="108"/>
      <c r="X1777" s="108"/>
    </row>
    <row r="1778" spans="1:24">
      <c r="A1778" s="108"/>
      <c r="B1778" s="108"/>
      <c r="C1778" s="108"/>
      <c r="D1778" s="108"/>
      <c r="E1778" s="108"/>
      <c r="F1778" s="108"/>
      <c r="G1778" s="108"/>
      <c r="H1778" s="108"/>
      <c r="I1778" s="108"/>
      <c r="J1778" s="108"/>
      <c r="K1778" s="108"/>
      <c r="L1778" s="108"/>
      <c r="M1778" s="108"/>
      <c r="N1778" s="108"/>
      <c r="O1778" s="108"/>
      <c r="P1778" s="108"/>
      <c r="Q1778" s="108"/>
      <c r="R1778" s="108"/>
      <c r="S1778" s="108"/>
      <c r="T1778" s="108"/>
      <c r="U1778" s="108"/>
      <c r="V1778" s="108"/>
      <c r="W1778" s="108"/>
      <c r="X1778" s="108"/>
    </row>
    <row r="1779" spans="1:24">
      <c r="A1779" s="108"/>
      <c r="B1779" s="108"/>
      <c r="C1779" s="108"/>
      <c r="D1779" s="108"/>
      <c r="E1779" s="108"/>
      <c r="F1779" s="108"/>
      <c r="G1779" s="108"/>
      <c r="H1779" s="108"/>
      <c r="I1779" s="108"/>
      <c r="J1779" s="108"/>
      <c r="K1779" s="108"/>
      <c r="L1779" s="108"/>
      <c r="M1779" s="108"/>
      <c r="N1779" s="108"/>
      <c r="O1779" s="108"/>
      <c r="P1779" s="108"/>
      <c r="Q1779" s="108"/>
      <c r="R1779" s="108"/>
      <c r="S1779" s="108"/>
      <c r="T1779" s="108"/>
      <c r="U1779" s="108"/>
      <c r="V1779" s="108"/>
      <c r="W1779" s="108"/>
      <c r="X1779" s="108"/>
    </row>
    <row r="1780" spans="1:24">
      <c r="A1780" s="108"/>
      <c r="B1780" s="108"/>
      <c r="C1780" s="108"/>
      <c r="D1780" s="108"/>
      <c r="E1780" s="108"/>
      <c r="F1780" s="108"/>
      <c r="G1780" s="108"/>
      <c r="H1780" s="108"/>
      <c r="I1780" s="108"/>
      <c r="J1780" s="108"/>
      <c r="K1780" s="108"/>
      <c r="L1780" s="108"/>
      <c r="M1780" s="108"/>
      <c r="N1780" s="108"/>
      <c r="O1780" s="108"/>
      <c r="P1780" s="108"/>
      <c r="Q1780" s="108"/>
      <c r="R1780" s="108"/>
      <c r="S1780" s="108"/>
      <c r="T1780" s="108"/>
      <c r="U1780" s="108"/>
      <c r="V1780" s="108"/>
      <c r="W1780" s="108"/>
      <c r="X1780" s="108"/>
    </row>
    <row r="1781" spans="1:24">
      <c r="A1781" s="108"/>
      <c r="B1781" s="108"/>
      <c r="C1781" s="108"/>
      <c r="D1781" s="108"/>
      <c r="E1781" s="108"/>
      <c r="F1781" s="108"/>
      <c r="G1781" s="108"/>
      <c r="H1781" s="108"/>
      <c r="I1781" s="108"/>
      <c r="J1781" s="108"/>
      <c r="K1781" s="108"/>
      <c r="L1781" s="108"/>
      <c r="M1781" s="108"/>
      <c r="N1781" s="108"/>
      <c r="O1781" s="108"/>
      <c r="P1781" s="108"/>
      <c r="Q1781" s="108"/>
      <c r="R1781" s="108"/>
      <c r="S1781" s="108"/>
      <c r="T1781" s="108"/>
      <c r="U1781" s="108"/>
      <c r="V1781" s="108"/>
      <c r="W1781" s="108"/>
      <c r="X1781" s="108"/>
    </row>
    <row r="1782" spans="1:24">
      <c r="A1782" s="108"/>
      <c r="B1782" s="108"/>
      <c r="C1782" s="108"/>
      <c r="D1782" s="108"/>
      <c r="E1782" s="108"/>
      <c r="F1782" s="108"/>
      <c r="G1782" s="108"/>
      <c r="H1782" s="108"/>
      <c r="I1782" s="108"/>
      <c r="J1782" s="108"/>
      <c r="K1782" s="108"/>
      <c r="L1782" s="108"/>
      <c r="M1782" s="108"/>
      <c r="N1782" s="108"/>
      <c r="O1782" s="108"/>
      <c r="P1782" s="108"/>
      <c r="Q1782" s="108"/>
      <c r="R1782" s="108"/>
      <c r="S1782" s="108"/>
      <c r="T1782" s="108"/>
      <c r="U1782" s="108"/>
      <c r="V1782" s="108"/>
      <c r="W1782" s="108"/>
      <c r="X1782" s="108"/>
    </row>
    <row r="1783" spans="1:24">
      <c r="A1783" s="108"/>
      <c r="B1783" s="108"/>
      <c r="C1783" s="108"/>
      <c r="D1783" s="108"/>
      <c r="E1783" s="108"/>
      <c r="F1783" s="108"/>
      <c r="G1783" s="108"/>
      <c r="H1783" s="108"/>
      <c r="I1783" s="108"/>
      <c r="J1783" s="108"/>
      <c r="K1783" s="108"/>
      <c r="L1783" s="108"/>
      <c r="M1783" s="108"/>
      <c r="N1783" s="108"/>
      <c r="O1783" s="108"/>
      <c r="P1783" s="108"/>
      <c r="Q1783" s="108"/>
      <c r="R1783" s="108"/>
      <c r="S1783" s="108"/>
      <c r="T1783" s="108"/>
      <c r="U1783" s="108"/>
      <c r="V1783" s="108"/>
      <c r="W1783" s="108"/>
      <c r="X1783" s="108"/>
    </row>
    <row r="1784" spans="1:24">
      <c r="A1784" s="108"/>
      <c r="B1784" s="108"/>
      <c r="C1784" s="108"/>
      <c r="D1784" s="108"/>
      <c r="E1784" s="108"/>
      <c r="F1784" s="108"/>
      <c r="G1784" s="108"/>
      <c r="H1784" s="108"/>
      <c r="I1784" s="108"/>
      <c r="J1784" s="108"/>
      <c r="K1784" s="108"/>
      <c r="L1784" s="108"/>
      <c r="M1784" s="108"/>
      <c r="N1784" s="108"/>
      <c r="O1784" s="108"/>
      <c r="P1784" s="108"/>
      <c r="Q1784" s="108"/>
      <c r="R1784" s="108"/>
      <c r="S1784" s="108"/>
      <c r="T1784" s="108"/>
      <c r="U1784" s="108"/>
      <c r="V1784" s="108"/>
      <c r="W1784" s="108"/>
      <c r="X1784" s="108"/>
    </row>
    <row r="1785" spans="1:24">
      <c r="A1785" s="108"/>
      <c r="B1785" s="108"/>
      <c r="C1785" s="108"/>
      <c r="D1785" s="108"/>
      <c r="E1785" s="108"/>
      <c r="F1785" s="108"/>
      <c r="G1785" s="108"/>
      <c r="H1785" s="108"/>
      <c r="I1785" s="108"/>
      <c r="J1785" s="108"/>
      <c r="K1785" s="108"/>
      <c r="L1785" s="108"/>
      <c r="M1785" s="108"/>
      <c r="N1785" s="108"/>
      <c r="O1785" s="108"/>
      <c r="P1785" s="108"/>
      <c r="Q1785" s="108"/>
      <c r="R1785" s="108"/>
      <c r="S1785" s="108"/>
      <c r="T1785" s="108"/>
      <c r="U1785" s="108"/>
      <c r="V1785" s="108"/>
      <c r="W1785" s="108"/>
      <c r="X1785" s="108"/>
    </row>
    <row r="1786" spans="1:24">
      <c r="A1786" s="108"/>
      <c r="B1786" s="108"/>
      <c r="C1786" s="108"/>
      <c r="D1786" s="108"/>
      <c r="E1786" s="108"/>
      <c r="F1786" s="108"/>
      <c r="G1786" s="108"/>
      <c r="H1786" s="108"/>
      <c r="I1786" s="108"/>
      <c r="J1786" s="108"/>
      <c r="K1786" s="108"/>
      <c r="L1786" s="108"/>
      <c r="M1786" s="108"/>
      <c r="N1786" s="108"/>
      <c r="O1786" s="108"/>
      <c r="P1786" s="108"/>
      <c r="Q1786" s="108"/>
      <c r="R1786" s="108"/>
      <c r="S1786" s="108"/>
      <c r="T1786" s="108"/>
      <c r="U1786" s="108"/>
      <c r="V1786" s="108"/>
      <c r="W1786" s="108"/>
      <c r="X1786" s="108"/>
    </row>
    <row r="1787" spans="1:24">
      <c r="A1787" s="108"/>
      <c r="B1787" s="108"/>
      <c r="C1787" s="108"/>
      <c r="D1787" s="108"/>
      <c r="E1787" s="108"/>
      <c r="F1787" s="108"/>
      <c r="G1787" s="108"/>
      <c r="H1787" s="108"/>
      <c r="I1787" s="108"/>
      <c r="J1787" s="108"/>
      <c r="K1787" s="108"/>
      <c r="L1787" s="108"/>
      <c r="M1787" s="108"/>
      <c r="N1787" s="108"/>
      <c r="O1787" s="108"/>
      <c r="P1787" s="108"/>
      <c r="Q1787" s="108"/>
      <c r="R1787" s="108"/>
      <c r="S1787" s="108"/>
      <c r="T1787" s="108"/>
      <c r="U1787" s="108"/>
      <c r="V1787" s="108"/>
      <c r="W1787" s="108"/>
      <c r="X1787" s="108"/>
    </row>
    <row r="1788" spans="1:24">
      <c r="A1788" s="108"/>
      <c r="B1788" s="108"/>
      <c r="C1788" s="108"/>
      <c r="D1788" s="108"/>
      <c r="E1788" s="108"/>
      <c r="F1788" s="108"/>
      <c r="G1788" s="108"/>
      <c r="H1788" s="108"/>
      <c r="I1788" s="108"/>
      <c r="J1788" s="108"/>
      <c r="K1788" s="108"/>
      <c r="L1788" s="108"/>
      <c r="M1788" s="108"/>
      <c r="N1788" s="108"/>
      <c r="O1788" s="108"/>
      <c r="P1788" s="108"/>
      <c r="Q1788" s="108"/>
      <c r="R1788" s="108"/>
      <c r="S1788" s="108"/>
      <c r="T1788" s="108"/>
      <c r="U1788" s="108"/>
      <c r="V1788" s="108"/>
      <c r="W1788" s="108"/>
      <c r="X1788" s="108"/>
    </row>
    <row r="1789" spans="1:24">
      <c r="A1789" s="108"/>
      <c r="B1789" s="108"/>
      <c r="C1789" s="108"/>
      <c r="D1789" s="108"/>
      <c r="E1789" s="108"/>
      <c r="F1789" s="108"/>
      <c r="G1789" s="108"/>
      <c r="H1789" s="108"/>
      <c r="I1789" s="108"/>
      <c r="J1789" s="108"/>
      <c r="K1789" s="108"/>
      <c r="L1789" s="108"/>
      <c r="M1789" s="108"/>
      <c r="N1789" s="108"/>
      <c r="O1789" s="108"/>
      <c r="P1789" s="108"/>
      <c r="Q1789" s="108"/>
      <c r="R1789" s="108"/>
      <c r="S1789" s="108"/>
      <c r="T1789" s="108"/>
      <c r="U1789" s="108"/>
      <c r="V1789" s="108"/>
      <c r="W1789" s="108"/>
      <c r="X1789" s="108"/>
    </row>
    <row r="1790" spans="1:24">
      <c r="A1790" s="108"/>
      <c r="B1790" s="108"/>
      <c r="C1790" s="108"/>
      <c r="D1790" s="108"/>
      <c r="E1790" s="108"/>
      <c r="F1790" s="108"/>
      <c r="G1790" s="108"/>
      <c r="H1790" s="108"/>
      <c r="I1790" s="108"/>
      <c r="J1790" s="108"/>
      <c r="K1790" s="108"/>
      <c r="L1790" s="108"/>
      <c r="M1790" s="108"/>
      <c r="N1790" s="108"/>
      <c r="O1790" s="108"/>
      <c r="P1790" s="108"/>
      <c r="Q1790" s="108"/>
      <c r="R1790" s="108"/>
      <c r="S1790" s="108"/>
      <c r="T1790" s="108"/>
      <c r="U1790" s="108"/>
      <c r="V1790" s="108"/>
      <c r="W1790" s="108"/>
      <c r="X1790" s="108"/>
    </row>
    <row r="1791" spans="1:24">
      <c r="A1791" s="108"/>
      <c r="B1791" s="108"/>
      <c r="C1791" s="108"/>
      <c r="D1791" s="108"/>
      <c r="E1791" s="108"/>
      <c r="F1791" s="108"/>
      <c r="G1791" s="108"/>
      <c r="H1791" s="108"/>
      <c r="I1791" s="108"/>
      <c r="J1791" s="108"/>
      <c r="K1791" s="108"/>
      <c r="L1791" s="108"/>
      <c r="M1791" s="108"/>
      <c r="N1791" s="108"/>
      <c r="O1791" s="108"/>
      <c r="P1791" s="108"/>
      <c r="Q1791" s="108"/>
      <c r="R1791" s="108"/>
      <c r="S1791" s="108"/>
      <c r="T1791" s="108"/>
      <c r="U1791" s="108"/>
      <c r="V1791" s="108"/>
      <c r="W1791" s="108"/>
      <c r="X1791" s="108"/>
    </row>
    <row r="1792" spans="1:24">
      <c r="A1792" s="108"/>
      <c r="B1792" s="108"/>
      <c r="C1792" s="108"/>
      <c r="D1792" s="108"/>
      <c r="E1792" s="108"/>
      <c r="F1792" s="108"/>
      <c r="G1792" s="108"/>
      <c r="H1792" s="108"/>
      <c r="I1792" s="108"/>
      <c r="J1792" s="108"/>
      <c r="K1792" s="108"/>
      <c r="L1792" s="108"/>
      <c r="M1792" s="108"/>
      <c r="N1792" s="108"/>
      <c r="O1792" s="108"/>
      <c r="P1792" s="108"/>
      <c r="Q1792" s="108"/>
      <c r="R1792" s="108"/>
      <c r="S1792" s="108"/>
      <c r="T1792" s="108"/>
      <c r="U1792" s="108"/>
      <c r="V1792" s="108"/>
      <c r="W1792" s="108"/>
      <c r="X1792" s="108"/>
    </row>
    <row r="1793" spans="1:24">
      <c r="A1793" s="108"/>
      <c r="B1793" s="108"/>
      <c r="C1793" s="108"/>
      <c r="D1793" s="108"/>
      <c r="E1793" s="108"/>
      <c r="F1793" s="108"/>
      <c r="G1793" s="108"/>
      <c r="H1793" s="108"/>
      <c r="I1793" s="108"/>
      <c r="J1793" s="108"/>
      <c r="K1793" s="108"/>
      <c r="L1793" s="108"/>
      <c r="M1793" s="108"/>
      <c r="N1793" s="108"/>
      <c r="O1793" s="108"/>
      <c r="P1793" s="108"/>
      <c r="Q1793" s="108"/>
      <c r="R1793" s="108"/>
      <c r="S1793" s="108"/>
      <c r="T1793" s="108"/>
      <c r="U1793" s="108"/>
      <c r="V1793" s="108"/>
      <c r="W1793" s="108"/>
      <c r="X1793" s="108"/>
    </row>
    <row r="1794" spans="1:24">
      <c r="A1794" s="108"/>
      <c r="B1794" s="108"/>
      <c r="C1794" s="108"/>
      <c r="D1794" s="108"/>
      <c r="E1794" s="108"/>
      <c r="F1794" s="108"/>
      <c r="G1794" s="108"/>
      <c r="H1794" s="108"/>
      <c r="I1794" s="108"/>
      <c r="J1794" s="108"/>
      <c r="K1794" s="108"/>
      <c r="L1794" s="108"/>
      <c r="M1794" s="108"/>
      <c r="N1794" s="108"/>
      <c r="O1794" s="108"/>
      <c r="P1794" s="108"/>
      <c r="Q1794" s="108"/>
      <c r="R1794" s="108"/>
      <c r="S1794" s="108"/>
      <c r="T1794" s="108"/>
      <c r="U1794" s="108"/>
      <c r="V1794" s="108"/>
      <c r="W1794" s="108"/>
      <c r="X1794" s="108"/>
    </row>
    <row r="1795" spans="1:24">
      <c r="A1795" s="108"/>
      <c r="B1795" s="108"/>
      <c r="C1795" s="108"/>
      <c r="D1795" s="108"/>
      <c r="E1795" s="108"/>
      <c r="F1795" s="108"/>
      <c r="G1795" s="108"/>
      <c r="H1795" s="108"/>
      <c r="I1795" s="108"/>
      <c r="J1795" s="108"/>
      <c r="K1795" s="108"/>
      <c r="L1795" s="108"/>
      <c r="M1795" s="108"/>
      <c r="N1795" s="108"/>
      <c r="O1795" s="108"/>
      <c r="P1795" s="108"/>
      <c r="Q1795" s="108"/>
      <c r="R1795" s="108"/>
      <c r="S1795" s="108"/>
      <c r="T1795" s="108"/>
      <c r="U1795" s="108"/>
      <c r="V1795" s="108"/>
      <c r="W1795" s="108"/>
      <c r="X1795" s="108"/>
    </row>
    <row r="1796" spans="1:24">
      <c r="A1796" s="108"/>
      <c r="B1796" s="108"/>
      <c r="C1796" s="108"/>
      <c r="D1796" s="108"/>
      <c r="E1796" s="108"/>
      <c r="F1796" s="108"/>
      <c r="G1796" s="108"/>
      <c r="H1796" s="108"/>
      <c r="I1796" s="108"/>
      <c r="J1796" s="108"/>
      <c r="K1796" s="108"/>
      <c r="L1796" s="108"/>
      <c r="M1796" s="108"/>
      <c r="N1796" s="108"/>
      <c r="O1796" s="108"/>
      <c r="P1796" s="108"/>
      <c r="Q1796" s="108"/>
      <c r="R1796" s="108"/>
      <c r="S1796" s="108"/>
      <c r="T1796" s="108"/>
      <c r="U1796" s="108"/>
      <c r="V1796" s="108"/>
      <c r="W1796" s="108"/>
      <c r="X1796" s="108"/>
    </row>
    <row r="1797" spans="1:24">
      <c r="A1797" s="108"/>
      <c r="B1797" s="108"/>
      <c r="C1797" s="108"/>
      <c r="D1797" s="108"/>
      <c r="E1797" s="108"/>
      <c r="F1797" s="108"/>
      <c r="G1797" s="108"/>
      <c r="H1797" s="108"/>
      <c r="I1797" s="108"/>
      <c r="J1797" s="108"/>
      <c r="K1797" s="108"/>
      <c r="L1797" s="108"/>
      <c r="M1797" s="108"/>
      <c r="N1797" s="108"/>
      <c r="O1797" s="108"/>
      <c r="P1797" s="108"/>
      <c r="Q1797" s="108"/>
      <c r="R1797" s="108"/>
      <c r="S1797" s="108"/>
      <c r="T1797" s="108"/>
      <c r="U1797" s="108"/>
      <c r="V1797" s="108"/>
      <c r="W1797" s="108"/>
      <c r="X1797" s="108"/>
    </row>
    <row r="1798" spans="1:24">
      <c r="A1798" s="108"/>
      <c r="B1798" s="108"/>
      <c r="C1798" s="108"/>
      <c r="D1798" s="108"/>
      <c r="E1798" s="108"/>
      <c r="F1798" s="108"/>
      <c r="G1798" s="108"/>
      <c r="H1798" s="108"/>
      <c r="I1798" s="108"/>
      <c r="J1798" s="108"/>
      <c r="K1798" s="108"/>
      <c r="L1798" s="108"/>
      <c r="M1798" s="108"/>
      <c r="N1798" s="108"/>
      <c r="O1798" s="108"/>
      <c r="P1798" s="108"/>
      <c r="Q1798" s="108"/>
      <c r="R1798" s="108"/>
      <c r="S1798" s="108"/>
      <c r="T1798" s="108"/>
      <c r="U1798" s="108"/>
      <c r="V1798" s="108"/>
      <c r="W1798" s="108"/>
      <c r="X1798" s="108"/>
    </row>
    <row r="1799" spans="1:24">
      <c r="A1799" s="108"/>
      <c r="B1799" s="108"/>
      <c r="C1799" s="108"/>
      <c r="D1799" s="108"/>
      <c r="E1799" s="108"/>
      <c r="F1799" s="108"/>
      <c r="G1799" s="108"/>
      <c r="H1799" s="108"/>
      <c r="I1799" s="108"/>
      <c r="J1799" s="108"/>
      <c r="K1799" s="108"/>
      <c r="L1799" s="108"/>
      <c r="M1799" s="108"/>
      <c r="N1799" s="108"/>
      <c r="O1799" s="108"/>
      <c r="P1799" s="108"/>
      <c r="Q1799" s="108"/>
      <c r="R1799" s="108"/>
      <c r="S1799" s="108"/>
      <c r="T1799" s="108"/>
      <c r="U1799" s="108"/>
      <c r="V1799" s="108"/>
      <c r="W1799" s="108"/>
      <c r="X1799" s="108"/>
    </row>
    <row r="1800" spans="1:24">
      <c r="A1800" s="108"/>
      <c r="B1800" s="108"/>
      <c r="C1800" s="108"/>
      <c r="D1800" s="108"/>
      <c r="E1800" s="108"/>
      <c r="F1800" s="108"/>
      <c r="G1800" s="108"/>
      <c r="H1800" s="108"/>
      <c r="I1800" s="108"/>
      <c r="J1800" s="108"/>
      <c r="K1800" s="108"/>
      <c r="L1800" s="108"/>
      <c r="M1800" s="108"/>
      <c r="N1800" s="108"/>
      <c r="O1800" s="108"/>
      <c r="P1800" s="108"/>
      <c r="Q1800" s="108"/>
      <c r="R1800" s="108"/>
      <c r="S1800" s="108"/>
      <c r="T1800" s="108"/>
      <c r="U1800" s="108"/>
      <c r="V1800" s="108"/>
      <c r="W1800" s="108"/>
      <c r="X1800" s="108"/>
    </row>
    <row r="1801" spans="1:24">
      <c r="A1801" s="108"/>
      <c r="B1801" s="108"/>
      <c r="C1801" s="108"/>
      <c r="D1801" s="108"/>
      <c r="E1801" s="108"/>
      <c r="F1801" s="108"/>
      <c r="G1801" s="108"/>
      <c r="H1801" s="108"/>
      <c r="I1801" s="108"/>
      <c r="J1801" s="108"/>
      <c r="K1801" s="108"/>
      <c r="L1801" s="108"/>
      <c r="M1801" s="108"/>
      <c r="N1801" s="108"/>
      <c r="O1801" s="108"/>
      <c r="P1801" s="108"/>
      <c r="Q1801" s="108"/>
      <c r="R1801" s="108"/>
      <c r="S1801" s="108"/>
      <c r="T1801" s="108"/>
      <c r="U1801" s="108"/>
      <c r="V1801" s="108"/>
      <c r="W1801" s="108"/>
      <c r="X1801" s="108"/>
    </row>
    <row r="1802" spans="1:24">
      <c r="A1802" s="108"/>
      <c r="B1802" s="108"/>
      <c r="C1802" s="108"/>
      <c r="D1802" s="108"/>
      <c r="E1802" s="108"/>
      <c r="F1802" s="108"/>
      <c r="G1802" s="108"/>
      <c r="H1802" s="108"/>
      <c r="I1802" s="108"/>
      <c r="J1802" s="108"/>
      <c r="K1802" s="108"/>
      <c r="L1802" s="108"/>
      <c r="M1802" s="108"/>
      <c r="N1802" s="108"/>
      <c r="O1802" s="108"/>
      <c r="P1802" s="108"/>
      <c r="Q1802" s="108"/>
      <c r="R1802" s="108"/>
      <c r="S1802" s="108"/>
      <c r="T1802" s="108"/>
      <c r="U1802" s="108"/>
      <c r="V1802" s="108"/>
      <c r="W1802" s="108"/>
      <c r="X1802" s="108"/>
    </row>
    <row r="1803" spans="1:24">
      <c r="A1803" s="108"/>
      <c r="B1803" s="108"/>
      <c r="C1803" s="108"/>
      <c r="D1803" s="108"/>
      <c r="E1803" s="108"/>
      <c r="F1803" s="108"/>
      <c r="G1803" s="108"/>
      <c r="H1803" s="108"/>
      <c r="I1803" s="108"/>
      <c r="J1803" s="108"/>
      <c r="K1803" s="108"/>
      <c r="L1803" s="108"/>
      <c r="M1803" s="108"/>
      <c r="N1803" s="108"/>
      <c r="O1803" s="108"/>
      <c r="P1803" s="108"/>
      <c r="Q1803" s="108"/>
      <c r="R1803" s="108"/>
      <c r="S1803" s="108"/>
      <c r="T1803" s="108"/>
      <c r="U1803" s="108"/>
      <c r="V1803" s="108"/>
      <c r="W1803" s="108"/>
      <c r="X1803" s="108"/>
    </row>
    <row r="1804" spans="1:24">
      <c r="A1804" s="108"/>
      <c r="B1804" s="108"/>
      <c r="C1804" s="108"/>
      <c r="D1804" s="108"/>
      <c r="E1804" s="108"/>
      <c r="F1804" s="108"/>
      <c r="G1804" s="108"/>
      <c r="H1804" s="108"/>
      <c r="I1804" s="108"/>
      <c r="J1804" s="108"/>
      <c r="K1804" s="108"/>
      <c r="L1804" s="108"/>
      <c r="M1804" s="108"/>
      <c r="N1804" s="108"/>
      <c r="O1804" s="108"/>
      <c r="P1804" s="108"/>
      <c r="Q1804" s="108"/>
      <c r="R1804" s="108"/>
      <c r="S1804" s="108"/>
      <c r="T1804" s="108"/>
      <c r="U1804" s="108"/>
      <c r="V1804" s="108"/>
      <c r="W1804" s="108"/>
      <c r="X1804" s="108"/>
    </row>
    <row r="1805" spans="1:24">
      <c r="A1805" s="108"/>
      <c r="B1805" s="108"/>
      <c r="C1805" s="108"/>
      <c r="D1805" s="108"/>
      <c r="E1805" s="108"/>
      <c r="F1805" s="108"/>
      <c r="G1805" s="108"/>
      <c r="H1805" s="108"/>
      <c r="I1805" s="108"/>
      <c r="J1805" s="108"/>
      <c r="K1805" s="108"/>
      <c r="L1805" s="108"/>
      <c r="M1805" s="108"/>
      <c r="N1805" s="108"/>
      <c r="O1805" s="108"/>
      <c r="P1805" s="108"/>
      <c r="Q1805" s="108"/>
      <c r="R1805" s="108"/>
      <c r="S1805" s="108"/>
      <c r="T1805" s="108"/>
      <c r="U1805" s="108"/>
      <c r="V1805" s="108"/>
      <c r="W1805" s="108"/>
      <c r="X1805" s="108"/>
    </row>
    <row r="1806" spans="1:24">
      <c r="A1806" s="108"/>
      <c r="B1806" s="108"/>
      <c r="C1806" s="108"/>
      <c r="D1806" s="108"/>
      <c r="E1806" s="108"/>
      <c r="F1806" s="108"/>
      <c r="G1806" s="108"/>
      <c r="H1806" s="108"/>
      <c r="I1806" s="108"/>
      <c r="J1806" s="108"/>
      <c r="K1806" s="108"/>
      <c r="L1806" s="108"/>
      <c r="M1806" s="108"/>
      <c r="N1806" s="108"/>
      <c r="O1806" s="108"/>
      <c r="P1806" s="108"/>
      <c r="Q1806" s="108"/>
      <c r="R1806" s="108"/>
      <c r="S1806" s="108"/>
      <c r="T1806" s="108"/>
      <c r="U1806" s="108"/>
      <c r="V1806" s="108"/>
      <c r="W1806" s="108"/>
      <c r="X1806" s="108"/>
    </row>
    <row r="1807" spans="1:24">
      <c r="A1807" s="108"/>
      <c r="B1807" s="108"/>
      <c r="C1807" s="108"/>
      <c r="D1807" s="108"/>
      <c r="E1807" s="108"/>
      <c r="F1807" s="108"/>
      <c r="G1807" s="108"/>
      <c r="H1807" s="108"/>
      <c r="I1807" s="108"/>
      <c r="J1807" s="108"/>
      <c r="K1807" s="108"/>
      <c r="L1807" s="108"/>
      <c r="M1807" s="108"/>
      <c r="N1807" s="108"/>
      <c r="O1807" s="108"/>
      <c r="P1807" s="108"/>
      <c r="Q1807" s="108"/>
      <c r="R1807" s="108"/>
      <c r="S1807" s="108"/>
      <c r="T1807" s="108"/>
      <c r="U1807" s="108"/>
      <c r="V1807" s="108"/>
      <c r="W1807" s="108"/>
      <c r="X1807" s="108"/>
    </row>
    <row r="1808" spans="1:24">
      <c r="A1808" s="108"/>
      <c r="B1808" s="108"/>
      <c r="C1808" s="108"/>
      <c r="D1808" s="108"/>
      <c r="E1808" s="108"/>
      <c r="F1808" s="108"/>
      <c r="G1808" s="108"/>
      <c r="H1808" s="108"/>
      <c r="I1808" s="108"/>
      <c r="J1808" s="108"/>
      <c r="K1808" s="108"/>
      <c r="L1808" s="108"/>
      <c r="M1808" s="108"/>
      <c r="N1808" s="108"/>
      <c r="O1808" s="108"/>
      <c r="P1808" s="108"/>
      <c r="Q1808" s="108"/>
      <c r="R1808" s="108"/>
      <c r="S1808" s="108"/>
      <c r="T1808" s="108"/>
      <c r="U1808" s="108"/>
      <c r="V1808" s="108"/>
      <c r="W1808" s="108"/>
      <c r="X1808" s="108"/>
    </row>
    <row r="1809" spans="1:24">
      <c r="A1809" s="108"/>
      <c r="B1809" s="108"/>
      <c r="C1809" s="108"/>
      <c r="D1809" s="108"/>
      <c r="E1809" s="108"/>
      <c r="F1809" s="108"/>
      <c r="G1809" s="108"/>
      <c r="H1809" s="108"/>
      <c r="I1809" s="108"/>
      <c r="J1809" s="108"/>
      <c r="K1809" s="108"/>
      <c r="L1809" s="108"/>
      <c r="M1809" s="108"/>
      <c r="N1809" s="108"/>
      <c r="O1809" s="108"/>
      <c r="P1809" s="108"/>
      <c r="Q1809" s="108"/>
      <c r="R1809" s="108"/>
      <c r="S1809" s="108"/>
      <c r="T1809" s="108"/>
      <c r="U1809" s="108"/>
      <c r="V1809" s="108"/>
      <c r="W1809" s="108"/>
      <c r="X1809" s="108"/>
    </row>
    <row r="1810" spans="1:24">
      <c r="A1810" s="108"/>
      <c r="B1810" s="108"/>
      <c r="C1810" s="108"/>
      <c r="D1810" s="108"/>
      <c r="E1810" s="108"/>
      <c r="F1810" s="108"/>
      <c r="G1810" s="108"/>
      <c r="H1810" s="108"/>
      <c r="I1810" s="108"/>
      <c r="J1810" s="108"/>
      <c r="K1810" s="108"/>
      <c r="L1810" s="108"/>
      <c r="M1810" s="108"/>
      <c r="N1810" s="108"/>
      <c r="O1810" s="108"/>
      <c r="P1810" s="108"/>
      <c r="Q1810" s="108"/>
      <c r="R1810" s="108"/>
      <c r="S1810" s="108"/>
      <c r="T1810" s="108"/>
      <c r="U1810" s="108"/>
      <c r="V1810" s="108"/>
      <c r="W1810" s="108"/>
      <c r="X1810" s="108"/>
    </row>
    <row r="1811" spans="1:24">
      <c r="A1811" s="108"/>
      <c r="B1811" s="108"/>
      <c r="C1811" s="108"/>
      <c r="D1811" s="108"/>
      <c r="E1811" s="108"/>
      <c r="F1811" s="108"/>
      <c r="G1811" s="108"/>
      <c r="H1811" s="108"/>
      <c r="I1811" s="108"/>
      <c r="J1811" s="108"/>
      <c r="K1811" s="108"/>
      <c r="L1811" s="108"/>
      <c r="M1811" s="108"/>
      <c r="N1811" s="108"/>
      <c r="O1811" s="108"/>
      <c r="P1811" s="108"/>
      <c r="Q1811" s="108"/>
      <c r="R1811" s="108"/>
      <c r="S1811" s="108"/>
      <c r="T1811" s="108"/>
      <c r="U1811" s="108"/>
      <c r="V1811" s="108"/>
      <c r="W1811" s="108"/>
      <c r="X1811" s="108"/>
    </row>
    <row r="1812" spans="1:24">
      <c r="A1812" s="108"/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</row>
    <row r="1813" spans="1:24">
      <c r="A1813" s="108"/>
      <c r="B1813" s="108"/>
      <c r="C1813" s="108"/>
      <c r="D1813" s="108"/>
      <c r="E1813" s="108"/>
      <c r="F1813" s="108"/>
      <c r="G1813" s="108"/>
      <c r="H1813" s="108"/>
      <c r="I1813" s="108"/>
      <c r="J1813" s="108"/>
      <c r="K1813" s="108"/>
      <c r="L1813" s="108"/>
      <c r="M1813" s="108"/>
      <c r="N1813" s="108"/>
      <c r="O1813" s="108"/>
      <c r="P1813" s="108"/>
      <c r="Q1813" s="108"/>
      <c r="R1813" s="108"/>
      <c r="S1813" s="108"/>
      <c r="T1813" s="108"/>
      <c r="U1813" s="108"/>
      <c r="V1813" s="108"/>
      <c r="W1813" s="108"/>
      <c r="X1813" s="108"/>
    </row>
    <row r="1814" spans="1:24">
      <c r="A1814" s="108"/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</row>
    <row r="1815" spans="1:24">
      <c r="A1815" s="108"/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</row>
    <row r="1816" spans="1:24">
      <c r="A1816" s="108"/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</row>
    <row r="1817" spans="1:24">
      <c r="A1817" s="108"/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</row>
    <row r="1818" spans="1:24">
      <c r="A1818" s="108"/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</row>
    <row r="1819" spans="1:24">
      <c r="A1819" s="108"/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</row>
    <row r="1820" spans="1:24">
      <c r="A1820" s="108"/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</row>
    <row r="1821" spans="1:24">
      <c r="A1821" s="108"/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</row>
    <row r="1822" spans="1:24">
      <c r="A1822" s="108"/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</row>
    <row r="1823" spans="1:24">
      <c r="A1823" s="108"/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</row>
    <row r="1824" spans="1:24">
      <c r="A1824" s="108"/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</row>
    <row r="1825" spans="1:24">
      <c r="A1825" s="108"/>
      <c r="B1825" s="108"/>
      <c r="C1825" s="108"/>
      <c r="D1825" s="108"/>
      <c r="E1825" s="108"/>
      <c r="F1825" s="108"/>
      <c r="G1825" s="108"/>
      <c r="H1825" s="108"/>
      <c r="I1825" s="108"/>
      <c r="J1825" s="108"/>
      <c r="K1825" s="108"/>
      <c r="L1825" s="108"/>
      <c r="M1825" s="108"/>
      <c r="N1825" s="108"/>
      <c r="O1825" s="108"/>
      <c r="P1825" s="108"/>
      <c r="Q1825" s="108"/>
      <c r="R1825" s="108"/>
      <c r="S1825" s="108"/>
      <c r="T1825" s="108"/>
      <c r="U1825" s="108"/>
      <c r="V1825" s="108"/>
      <c r="W1825" s="108"/>
      <c r="X1825" s="108"/>
    </row>
    <row r="1826" spans="1:24">
      <c r="A1826" s="108"/>
      <c r="B1826" s="108"/>
      <c r="C1826" s="108"/>
      <c r="D1826" s="108"/>
      <c r="E1826" s="108"/>
      <c r="F1826" s="108"/>
      <c r="G1826" s="108"/>
      <c r="H1826" s="108"/>
      <c r="I1826" s="108"/>
      <c r="J1826" s="108"/>
      <c r="K1826" s="108"/>
      <c r="L1826" s="108"/>
      <c r="M1826" s="108"/>
      <c r="N1826" s="108"/>
      <c r="O1826" s="108"/>
      <c r="P1826" s="108"/>
      <c r="Q1826" s="108"/>
      <c r="R1826" s="108"/>
      <c r="S1826" s="108"/>
      <c r="T1826" s="108"/>
      <c r="U1826" s="108"/>
      <c r="V1826" s="108"/>
      <c r="W1826" s="108"/>
      <c r="X1826" s="108"/>
    </row>
    <row r="1827" spans="1:24">
      <c r="A1827" s="108"/>
      <c r="B1827" s="108"/>
      <c r="C1827" s="108"/>
      <c r="D1827" s="108"/>
      <c r="E1827" s="108"/>
      <c r="F1827" s="108"/>
      <c r="G1827" s="108"/>
      <c r="H1827" s="108"/>
      <c r="I1827" s="108"/>
      <c r="J1827" s="108"/>
      <c r="K1827" s="108"/>
      <c r="L1827" s="108"/>
      <c r="M1827" s="108"/>
      <c r="N1827" s="108"/>
      <c r="O1827" s="108"/>
      <c r="P1827" s="108"/>
      <c r="Q1827" s="108"/>
      <c r="R1827" s="108"/>
      <c r="S1827" s="108"/>
      <c r="T1827" s="108"/>
      <c r="U1827" s="108"/>
      <c r="V1827" s="108"/>
      <c r="W1827" s="108"/>
      <c r="X1827" s="108"/>
    </row>
    <row r="1828" spans="1:24">
      <c r="A1828" s="108"/>
      <c r="B1828" s="108"/>
      <c r="C1828" s="108"/>
      <c r="D1828" s="108"/>
      <c r="E1828" s="108"/>
      <c r="F1828" s="108"/>
      <c r="G1828" s="108"/>
      <c r="H1828" s="108"/>
      <c r="I1828" s="108"/>
      <c r="J1828" s="108"/>
      <c r="K1828" s="108"/>
      <c r="L1828" s="108"/>
      <c r="M1828" s="108"/>
      <c r="N1828" s="108"/>
      <c r="O1828" s="108"/>
      <c r="P1828" s="108"/>
      <c r="Q1828" s="108"/>
      <c r="R1828" s="108"/>
      <c r="S1828" s="108"/>
      <c r="T1828" s="108"/>
      <c r="U1828" s="108"/>
      <c r="V1828" s="108"/>
      <c r="W1828" s="108"/>
      <c r="X1828" s="108"/>
    </row>
    <row r="1829" spans="1:24">
      <c r="A1829" s="108"/>
      <c r="B1829" s="108"/>
      <c r="C1829" s="108"/>
      <c r="D1829" s="108"/>
      <c r="E1829" s="108"/>
      <c r="F1829" s="108"/>
      <c r="G1829" s="108"/>
      <c r="H1829" s="108"/>
      <c r="I1829" s="108"/>
      <c r="J1829" s="108"/>
      <c r="K1829" s="108"/>
      <c r="L1829" s="108"/>
      <c r="M1829" s="108"/>
      <c r="N1829" s="108"/>
      <c r="O1829" s="108"/>
      <c r="P1829" s="108"/>
      <c r="Q1829" s="108"/>
      <c r="R1829" s="108"/>
      <c r="S1829" s="108"/>
      <c r="T1829" s="108"/>
      <c r="U1829" s="108"/>
      <c r="V1829" s="108"/>
      <c r="W1829" s="108"/>
      <c r="X1829" s="108"/>
    </row>
    <row r="1830" spans="1:24">
      <c r="A1830" s="108"/>
      <c r="B1830" s="108"/>
      <c r="C1830" s="108"/>
      <c r="D1830" s="108"/>
      <c r="E1830" s="108"/>
      <c r="F1830" s="108"/>
      <c r="G1830" s="108"/>
      <c r="H1830" s="108"/>
      <c r="I1830" s="108"/>
      <c r="J1830" s="108"/>
      <c r="K1830" s="108"/>
      <c r="L1830" s="108"/>
      <c r="M1830" s="108"/>
      <c r="N1830" s="108"/>
      <c r="O1830" s="108"/>
      <c r="P1830" s="108"/>
      <c r="Q1830" s="108"/>
      <c r="R1830" s="108"/>
      <c r="S1830" s="108"/>
      <c r="T1830" s="108"/>
      <c r="U1830" s="108"/>
      <c r="V1830" s="108"/>
      <c r="W1830" s="108"/>
      <c r="X1830" s="108"/>
    </row>
    <row r="1831" spans="1:24">
      <c r="A1831" s="108"/>
      <c r="B1831" s="108"/>
      <c r="C1831" s="108"/>
      <c r="D1831" s="108"/>
      <c r="E1831" s="108"/>
      <c r="F1831" s="108"/>
      <c r="G1831" s="108"/>
      <c r="H1831" s="108"/>
      <c r="I1831" s="108"/>
      <c r="J1831" s="108"/>
      <c r="K1831" s="108"/>
      <c r="L1831" s="108"/>
      <c r="M1831" s="108"/>
      <c r="N1831" s="108"/>
      <c r="O1831" s="108"/>
      <c r="P1831" s="108"/>
      <c r="Q1831" s="108"/>
      <c r="R1831" s="108"/>
      <c r="S1831" s="108"/>
      <c r="T1831" s="108"/>
      <c r="U1831" s="108"/>
      <c r="V1831" s="108"/>
      <c r="W1831" s="108"/>
      <c r="X1831" s="108"/>
    </row>
    <row r="1832" spans="1:24">
      <c r="A1832" s="108"/>
      <c r="B1832" s="108"/>
      <c r="C1832" s="108"/>
      <c r="D1832" s="108"/>
      <c r="E1832" s="108"/>
      <c r="F1832" s="108"/>
      <c r="G1832" s="108"/>
      <c r="H1832" s="108"/>
      <c r="I1832" s="108"/>
      <c r="J1832" s="108"/>
      <c r="K1832" s="108"/>
      <c r="L1832" s="108"/>
      <c r="M1832" s="108"/>
      <c r="N1832" s="108"/>
      <c r="O1832" s="108"/>
      <c r="P1832" s="108"/>
      <c r="Q1832" s="108"/>
      <c r="R1832" s="108"/>
      <c r="S1832" s="108"/>
      <c r="T1832" s="108"/>
      <c r="U1832" s="108"/>
      <c r="V1832" s="108"/>
      <c r="W1832" s="108"/>
      <c r="X1832" s="108"/>
    </row>
    <row r="1833" spans="1:24">
      <c r="A1833" s="108"/>
      <c r="B1833" s="108"/>
      <c r="C1833" s="108"/>
      <c r="D1833" s="108"/>
      <c r="E1833" s="108"/>
      <c r="F1833" s="108"/>
      <c r="G1833" s="108"/>
      <c r="H1833" s="108"/>
      <c r="I1833" s="108"/>
      <c r="J1833" s="108"/>
      <c r="K1833" s="108"/>
      <c r="L1833" s="108"/>
      <c r="M1833" s="108"/>
      <c r="N1833" s="108"/>
      <c r="O1833" s="108"/>
      <c r="P1833" s="108"/>
      <c r="Q1833" s="108"/>
      <c r="R1833" s="108"/>
      <c r="S1833" s="108"/>
      <c r="T1833" s="108"/>
      <c r="U1833" s="108"/>
      <c r="V1833" s="108"/>
      <c r="W1833" s="108"/>
      <c r="X1833" s="108"/>
    </row>
    <row r="1834" spans="1:24">
      <c r="A1834" s="108"/>
      <c r="B1834" s="108"/>
      <c r="C1834" s="108"/>
      <c r="D1834" s="108"/>
      <c r="E1834" s="108"/>
      <c r="F1834" s="108"/>
      <c r="G1834" s="108"/>
      <c r="H1834" s="108"/>
      <c r="I1834" s="108"/>
      <c r="J1834" s="108"/>
      <c r="K1834" s="108"/>
      <c r="L1834" s="108"/>
      <c r="M1834" s="108"/>
      <c r="N1834" s="108"/>
      <c r="O1834" s="108"/>
      <c r="P1834" s="108"/>
      <c r="Q1834" s="108"/>
      <c r="R1834" s="108"/>
      <c r="S1834" s="108"/>
      <c r="T1834" s="108"/>
      <c r="U1834" s="108"/>
      <c r="V1834" s="108"/>
      <c r="W1834" s="108"/>
      <c r="X1834" s="108"/>
    </row>
    <row r="1835" spans="1:24">
      <c r="A1835" s="108"/>
      <c r="B1835" s="108"/>
      <c r="C1835" s="108"/>
      <c r="D1835" s="108"/>
      <c r="E1835" s="108"/>
      <c r="F1835" s="108"/>
      <c r="G1835" s="108"/>
      <c r="H1835" s="108"/>
      <c r="I1835" s="108"/>
      <c r="J1835" s="108"/>
      <c r="K1835" s="108"/>
      <c r="L1835" s="108"/>
      <c r="M1835" s="108"/>
      <c r="N1835" s="108"/>
      <c r="O1835" s="108"/>
      <c r="P1835" s="108"/>
      <c r="Q1835" s="108"/>
      <c r="R1835" s="108"/>
      <c r="S1835" s="108"/>
      <c r="T1835" s="108"/>
      <c r="U1835" s="108"/>
      <c r="V1835" s="108"/>
      <c r="W1835" s="108"/>
      <c r="X1835" s="108"/>
    </row>
    <row r="1836" spans="1:24">
      <c r="A1836" s="108"/>
      <c r="B1836" s="108"/>
      <c r="C1836" s="108"/>
      <c r="D1836" s="108"/>
      <c r="E1836" s="108"/>
      <c r="F1836" s="108"/>
      <c r="G1836" s="108"/>
      <c r="H1836" s="108"/>
      <c r="I1836" s="108"/>
      <c r="J1836" s="108"/>
      <c r="K1836" s="108"/>
      <c r="L1836" s="108"/>
      <c r="M1836" s="108"/>
      <c r="N1836" s="108"/>
      <c r="O1836" s="108"/>
      <c r="P1836" s="108"/>
      <c r="Q1836" s="108"/>
      <c r="R1836" s="108"/>
      <c r="S1836" s="108"/>
      <c r="T1836" s="108"/>
      <c r="U1836" s="108"/>
      <c r="V1836" s="108"/>
      <c r="W1836" s="108"/>
      <c r="X1836" s="108"/>
    </row>
    <row r="1837" spans="1:24">
      <c r="A1837" s="108"/>
      <c r="B1837" s="108"/>
      <c r="C1837" s="108"/>
      <c r="D1837" s="108"/>
      <c r="E1837" s="108"/>
      <c r="F1837" s="108"/>
      <c r="G1837" s="108"/>
      <c r="H1837" s="108"/>
      <c r="I1837" s="108"/>
      <c r="J1837" s="108"/>
      <c r="K1837" s="108"/>
      <c r="L1837" s="108"/>
      <c r="M1837" s="108"/>
      <c r="N1837" s="108"/>
      <c r="O1837" s="108"/>
      <c r="P1837" s="108"/>
      <c r="Q1837" s="108"/>
      <c r="R1837" s="108"/>
      <c r="S1837" s="108"/>
      <c r="T1837" s="108"/>
      <c r="U1837" s="108"/>
      <c r="V1837" s="108"/>
      <c r="W1837" s="108"/>
      <c r="X1837" s="108"/>
    </row>
    <row r="1838" spans="1:24">
      <c r="A1838" s="108"/>
      <c r="B1838" s="108"/>
      <c r="C1838" s="108"/>
      <c r="D1838" s="108"/>
      <c r="E1838" s="108"/>
      <c r="F1838" s="108"/>
      <c r="G1838" s="108"/>
      <c r="H1838" s="108"/>
      <c r="I1838" s="108"/>
      <c r="J1838" s="108"/>
      <c r="K1838" s="108"/>
      <c r="L1838" s="108"/>
      <c r="M1838" s="108"/>
      <c r="N1838" s="108"/>
      <c r="O1838" s="108"/>
      <c r="P1838" s="108"/>
      <c r="Q1838" s="108"/>
      <c r="R1838" s="108"/>
      <c r="S1838" s="108"/>
      <c r="T1838" s="108"/>
      <c r="U1838" s="108"/>
      <c r="V1838" s="108"/>
      <c r="W1838" s="108"/>
      <c r="X1838" s="108"/>
    </row>
    <row r="1839" spans="1:24">
      <c r="A1839" s="108"/>
      <c r="B1839" s="108"/>
      <c r="C1839" s="108"/>
      <c r="D1839" s="108"/>
      <c r="E1839" s="108"/>
      <c r="F1839" s="108"/>
      <c r="G1839" s="108"/>
      <c r="H1839" s="108"/>
      <c r="I1839" s="108"/>
      <c r="J1839" s="108"/>
      <c r="K1839" s="108"/>
      <c r="L1839" s="108"/>
      <c r="M1839" s="108"/>
      <c r="N1839" s="108"/>
      <c r="O1839" s="108"/>
      <c r="P1839" s="108"/>
      <c r="Q1839" s="108"/>
      <c r="R1839" s="108"/>
      <c r="S1839" s="108"/>
      <c r="T1839" s="108"/>
      <c r="U1839" s="108"/>
      <c r="V1839" s="108"/>
      <c r="W1839" s="108"/>
      <c r="X1839" s="108"/>
    </row>
    <row r="1840" spans="1:24">
      <c r="A1840" s="108"/>
      <c r="B1840" s="108"/>
      <c r="C1840" s="108"/>
      <c r="D1840" s="108"/>
      <c r="E1840" s="108"/>
      <c r="F1840" s="108"/>
      <c r="G1840" s="108"/>
      <c r="H1840" s="108"/>
      <c r="I1840" s="108"/>
      <c r="J1840" s="108"/>
      <c r="K1840" s="108"/>
      <c r="L1840" s="108"/>
      <c r="M1840" s="108"/>
      <c r="N1840" s="108"/>
      <c r="O1840" s="108"/>
      <c r="P1840" s="108"/>
      <c r="Q1840" s="108"/>
      <c r="R1840" s="108"/>
      <c r="S1840" s="108"/>
      <c r="T1840" s="108"/>
      <c r="U1840" s="108"/>
      <c r="V1840" s="108"/>
      <c r="W1840" s="108"/>
      <c r="X1840" s="108"/>
    </row>
    <row r="1841" spans="1:24">
      <c r="A1841" s="108"/>
      <c r="B1841" s="108"/>
      <c r="C1841" s="108"/>
      <c r="D1841" s="108"/>
      <c r="E1841" s="108"/>
      <c r="F1841" s="108"/>
      <c r="G1841" s="108"/>
      <c r="H1841" s="108"/>
      <c r="I1841" s="108"/>
      <c r="J1841" s="108"/>
      <c r="K1841" s="108"/>
      <c r="L1841" s="108"/>
      <c r="M1841" s="108"/>
      <c r="N1841" s="108"/>
      <c r="O1841" s="108"/>
      <c r="P1841" s="108"/>
      <c r="Q1841" s="108"/>
      <c r="R1841" s="108"/>
      <c r="S1841" s="108"/>
      <c r="T1841" s="108"/>
      <c r="U1841" s="108"/>
      <c r="V1841" s="108"/>
      <c r="W1841" s="108"/>
      <c r="X1841" s="108"/>
    </row>
    <row r="1842" spans="1:24">
      <c r="A1842" s="108"/>
      <c r="B1842" s="108"/>
      <c r="C1842" s="108"/>
      <c r="D1842" s="108"/>
      <c r="E1842" s="108"/>
      <c r="F1842" s="108"/>
      <c r="G1842" s="108"/>
      <c r="H1842" s="108"/>
      <c r="I1842" s="108"/>
      <c r="J1842" s="108"/>
      <c r="K1842" s="108"/>
      <c r="L1842" s="108"/>
      <c r="M1842" s="108"/>
      <c r="N1842" s="108"/>
      <c r="O1842" s="108"/>
      <c r="P1842" s="108"/>
      <c r="Q1842" s="108"/>
      <c r="R1842" s="108"/>
      <c r="S1842" s="108"/>
      <c r="T1842" s="108"/>
      <c r="U1842" s="108"/>
      <c r="V1842" s="108"/>
      <c r="W1842" s="108"/>
      <c r="X1842" s="108"/>
    </row>
    <row r="1843" spans="1:24">
      <c r="A1843" s="108"/>
      <c r="B1843" s="108"/>
      <c r="C1843" s="108"/>
      <c r="D1843" s="108"/>
      <c r="E1843" s="108"/>
      <c r="F1843" s="108"/>
      <c r="G1843" s="108"/>
      <c r="H1843" s="108"/>
      <c r="I1843" s="108"/>
      <c r="J1843" s="108"/>
      <c r="K1843" s="108"/>
      <c r="L1843" s="108"/>
      <c r="M1843" s="108"/>
      <c r="N1843" s="108"/>
      <c r="O1843" s="108"/>
      <c r="P1843" s="108"/>
      <c r="Q1843" s="108"/>
      <c r="R1843" s="108"/>
      <c r="S1843" s="108"/>
      <c r="T1843" s="108"/>
      <c r="U1843" s="108"/>
      <c r="V1843" s="108"/>
      <c r="W1843" s="108"/>
      <c r="X1843" s="108"/>
    </row>
    <row r="1844" spans="1:24">
      <c r="A1844" s="108"/>
      <c r="B1844" s="108"/>
      <c r="C1844" s="108"/>
      <c r="D1844" s="108"/>
      <c r="E1844" s="108"/>
      <c r="F1844" s="108"/>
      <c r="G1844" s="108"/>
      <c r="H1844" s="108"/>
      <c r="I1844" s="108"/>
      <c r="J1844" s="108"/>
      <c r="K1844" s="108"/>
      <c r="L1844" s="108"/>
      <c r="M1844" s="108"/>
      <c r="N1844" s="108"/>
      <c r="O1844" s="108"/>
      <c r="P1844" s="108"/>
      <c r="Q1844" s="108"/>
      <c r="R1844" s="108"/>
      <c r="S1844" s="108"/>
      <c r="T1844" s="108"/>
      <c r="U1844" s="108"/>
      <c r="V1844" s="108"/>
      <c r="W1844" s="108"/>
      <c r="X1844" s="108"/>
    </row>
    <row r="1845" spans="1:24">
      <c r="A1845" s="108"/>
      <c r="B1845" s="108"/>
      <c r="C1845" s="108"/>
      <c r="D1845" s="108"/>
      <c r="E1845" s="108"/>
      <c r="F1845" s="108"/>
      <c r="G1845" s="108"/>
      <c r="H1845" s="108"/>
      <c r="I1845" s="108"/>
      <c r="J1845" s="108"/>
      <c r="K1845" s="108"/>
      <c r="L1845" s="108"/>
      <c r="M1845" s="108"/>
      <c r="N1845" s="108"/>
      <c r="O1845" s="108"/>
      <c r="P1845" s="108"/>
      <c r="Q1845" s="108"/>
      <c r="R1845" s="108"/>
      <c r="S1845" s="108"/>
      <c r="T1845" s="108"/>
      <c r="U1845" s="108"/>
      <c r="V1845" s="108"/>
      <c r="W1845" s="108"/>
      <c r="X1845" s="108"/>
    </row>
    <row r="1846" spans="1:24">
      <c r="A1846" s="108"/>
      <c r="B1846" s="108"/>
      <c r="C1846" s="108"/>
      <c r="D1846" s="108"/>
      <c r="E1846" s="108"/>
      <c r="F1846" s="108"/>
      <c r="G1846" s="108"/>
      <c r="H1846" s="108"/>
      <c r="I1846" s="108"/>
      <c r="J1846" s="108"/>
      <c r="K1846" s="108"/>
      <c r="L1846" s="108"/>
      <c r="M1846" s="108"/>
      <c r="N1846" s="108"/>
      <c r="O1846" s="108"/>
      <c r="P1846" s="108"/>
      <c r="Q1846" s="108"/>
      <c r="R1846" s="108"/>
      <c r="S1846" s="108"/>
      <c r="T1846" s="108"/>
      <c r="U1846" s="108"/>
      <c r="V1846" s="108"/>
      <c r="W1846" s="108"/>
      <c r="X1846" s="108"/>
    </row>
    <row r="1847" spans="1:24">
      <c r="A1847" s="108"/>
      <c r="B1847" s="108"/>
      <c r="C1847" s="108"/>
      <c r="D1847" s="108"/>
      <c r="E1847" s="108"/>
      <c r="F1847" s="108"/>
      <c r="G1847" s="108"/>
      <c r="H1847" s="108"/>
      <c r="I1847" s="108"/>
      <c r="J1847" s="108"/>
      <c r="K1847" s="108"/>
      <c r="L1847" s="108"/>
      <c r="M1847" s="108"/>
      <c r="N1847" s="108"/>
      <c r="O1847" s="108"/>
      <c r="P1847" s="108"/>
      <c r="Q1847" s="108"/>
      <c r="R1847" s="108"/>
      <c r="S1847" s="108"/>
      <c r="T1847" s="108"/>
      <c r="U1847" s="108"/>
      <c r="V1847" s="108"/>
      <c r="W1847" s="108"/>
      <c r="X1847" s="108"/>
    </row>
    <row r="1848" spans="1:24">
      <c r="A1848" s="108"/>
      <c r="B1848" s="108"/>
      <c r="C1848" s="108"/>
      <c r="D1848" s="108"/>
      <c r="E1848" s="108"/>
      <c r="F1848" s="108"/>
      <c r="G1848" s="108"/>
      <c r="H1848" s="108"/>
      <c r="I1848" s="108"/>
      <c r="J1848" s="108"/>
      <c r="K1848" s="108"/>
      <c r="L1848" s="108"/>
      <c r="M1848" s="108"/>
      <c r="N1848" s="108"/>
      <c r="O1848" s="108"/>
      <c r="P1848" s="108"/>
      <c r="Q1848" s="108"/>
      <c r="R1848" s="108"/>
      <c r="S1848" s="108"/>
      <c r="T1848" s="108"/>
      <c r="U1848" s="108"/>
      <c r="V1848" s="108"/>
      <c r="W1848" s="108"/>
      <c r="X1848" s="108"/>
    </row>
    <row r="1849" spans="1:24">
      <c r="A1849" s="108"/>
      <c r="B1849" s="108"/>
      <c r="C1849" s="108"/>
      <c r="D1849" s="108"/>
      <c r="E1849" s="108"/>
      <c r="F1849" s="108"/>
      <c r="G1849" s="108"/>
      <c r="H1849" s="108"/>
      <c r="I1849" s="108"/>
      <c r="J1849" s="108"/>
      <c r="K1849" s="108"/>
      <c r="L1849" s="108"/>
      <c r="M1849" s="108"/>
      <c r="N1849" s="108"/>
      <c r="O1849" s="108"/>
      <c r="P1849" s="108"/>
      <c r="Q1849" s="108"/>
      <c r="R1849" s="108"/>
      <c r="S1849" s="108"/>
      <c r="T1849" s="108"/>
      <c r="U1849" s="108"/>
      <c r="V1849" s="108"/>
      <c r="W1849" s="108"/>
      <c r="X1849" s="108"/>
    </row>
    <row r="1850" spans="1:24">
      <c r="A1850" s="108"/>
      <c r="B1850" s="108"/>
      <c r="C1850" s="108"/>
      <c r="D1850" s="108"/>
      <c r="E1850" s="108"/>
      <c r="F1850" s="108"/>
      <c r="G1850" s="108"/>
      <c r="H1850" s="108"/>
      <c r="I1850" s="108"/>
      <c r="J1850" s="108"/>
      <c r="K1850" s="108"/>
      <c r="L1850" s="108"/>
      <c r="M1850" s="108"/>
      <c r="N1850" s="108"/>
      <c r="O1850" s="108"/>
      <c r="P1850" s="108"/>
      <c r="Q1850" s="108"/>
      <c r="R1850" s="108"/>
      <c r="S1850" s="108"/>
      <c r="T1850" s="108"/>
      <c r="U1850" s="108"/>
      <c r="V1850" s="108"/>
      <c r="W1850" s="108"/>
      <c r="X1850" s="108"/>
    </row>
    <row r="1851" spans="1:24">
      <c r="A1851" s="108"/>
      <c r="B1851" s="108"/>
      <c r="C1851" s="108"/>
      <c r="D1851" s="108"/>
      <c r="E1851" s="108"/>
      <c r="F1851" s="108"/>
      <c r="G1851" s="108"/>
      <c r="H1851" s="108"/>
      <c r="I1851" s="108"/>
      <c r="J1851" s="108"/>
      <c r="K1851" s="108"/>
      <c r="L1851" s="108"/>
      <c r="M1851" s="108"/>
      <c r="N1851" s="108"/>
      <c r="O1851" s="108"/>
      <c r="P1851" s="108"/>
      <c r="Q1851" s="108"/>
      <c r="R1851" s="108"/>
      <c r="S1851" s="108"/>
      <c r="T1851" s="108"/>
      <c r="U1851" s="108"/>
      <c r="V1851" s="108"/>
      <c r="W1851" s="108"/>
      <c r="X1851" s="108"/>
    </row>
    <row r="1852" spans="1:24">
      <c r="A1852" s="108"/>
      <c r="B1852" s="108"/>
      <c r="C1852" s="108"/>
      <c r="D1852" s="108"/>
      <c r="E1852" s="108"/>
      <c r="F1852" s="108"/>
      <c r="G1852" s="108"/>
      <c r="H1852" s="108"/>
      <c r="I1852" s="108"/>
      <c r="J1852" s="108"/>
      <c r="K1852" s="108"/>
      <c r="L1852" s="108"/>
      <c r="M1852" s="108"/>
      <c r="N1852" s="108"/>
      <c r="O1852" s="108"/>
      <c r="P1852" s="108"/>
      <c r="Q1852" s="108"/>
      <c r="R1852" s="108"/>
      <c r="S1852" s="108"/>
      <c r="T1852" s="108"/>
      <c r="U1852" s="108"/>
      <c r="V1852" s="108"/>
      <c r="W1852" s="108"/>
      <c r="X1852" s="108"/>
    </row>
    <row r="1853" spans="1:24">
      <c r="A1853" s="108"/>
      <c r="B1853" s="108"/>
      <c r="C1853" s="108"/>
      <c r="D1853" s="108"/>
      <c r="E1853" s="108"/>
      <c r="F1853" s="108"/>
      <c r="G1853" s="108"/>
      <c r="H1853" s="108"/>
      <c r="I1853" s="108"/>
      <c r="J1853" s="108"/>
      <c r="K1853" s="108"/>
      <c r="L1853" s="108"/>
      <c r="M1853" s="108"/>
      <c r="N1853" s="108"/>
      <c r="O1853" s="108"/>
      <c r="P1853" s="108"/>
      <c r="Q1853" s="108"/>
      <c r="R1853" s="108"/>
      <c r="S1853" s="108"/>
      <c r="T1853" s="108"/>
      <c r="U1853" s="108"/>
      <c r="V1853" s="108"/>
      <c r="W1853" s="108"/>
      <c r="X1853" s="108"/>
    </row>
    <row r="1854" spans="1:24">
      <c r="A1854" s="108"/>
      <c r="B1854" s="108"/>
      <c r="C1854" s="108"/>
      <c r="D1854" s="108"/>
      <c r="E1854" s="108"/>
      <c r="F1854" s="108"/>
      <c r="G1854" s="108"/>
      <c r="H1854" s="108"/>
      <c r="I1854" s="108"/>
      <c r="J1854" s="108"/>
      <c r="K1854" s="108"/>
      <c r="L1854" s="108"/>
      <c r="M1854" s="108"/>
      <c r="N1854" s="108"/>
      <c r="O1854" s="108"/>
      <c r="P1854" s="108"/>
      <c r="Q1854" s="108"/>
      <c r="R1854" s="108"/>
      <c r="S1854" s="108"/>
      <c r="T1854" s="108"/>
      <c r="U1854" s="108"/>
      <c r="V1854" s="108"/>
      <c r="W1854" s="108"/>
      <c r="X1854" s="108"/>
    </row>
    <row r="1855" spans="1:24">
      <c r="A1855" s="108"/>
      <c r="B1855" s="108"/>
      <c r="C1855" s="108"/>
      <c r="D1855" s="108"/>
      <c r="E1855" s="108"/>
      <c r="F1855" s="108"/>
      <c r="G1855" s="108"/>
      <c r="H1855" s="108"/>
      <c r="I1855" s="108"/>
      <c r="J1855" s="108"/>
      <c r="K1855" s="108"/>
      <c r="L1855" s="108"/>
      <c r="M1855" s="108"/>
      <c r="N1855" s="108"/>
      <c r="O1855" s="108"/>
      <c r="P1855" s="108"/>
      <c r="Q1855" s="108"/>
      <c r="R1855" s="108"/>
      <c r="S1855" s="108"/>
      <c r="T1855" s="108"/>
      <c r="U1855" s="108"/>
      <c r="V1855" s="108"/>
      <c r="W1855" s="108"/>
      <c r="X1855" s="108"/>
    </row>
    <row r="1856" spans="1:24">
      <c r="A1856" s="108"/>
      <c r="B1856" s="108"/>
      <c r="C1856" s="108"/>
      <c r="D1856" s="108"/>
      <c r="E1856" s="108"/>
      <c r="F1856" s="108"/>
      <c r="G1856" s="108"/>
      <c r="H1856" s="108"/>
      <c r="I1856" s="108"/>
      <c r="J1856" s="108"/>
      <c r="K1856" s="108"/>
      <c r="L1856" s="108"/>
      <c r="M1856" s="108"/>
      <c r="N1856" s="108"/>
      <c r="O1856" s="108"/>
      <c r="P1856" s="108"/>
      <c r="Q1856" s="108"/>
      <c r="R1856" s="108"/>
      <c r="S1856" s="108"/>
      <c r="T1856" s="108"/>
      <c r="U1856" s="108"/>
      <c r="V1856" s="108"/>
      <c r="W1856" s="108"/>
      <c r="X1856" s="108"/>
    </row>
    <row r="1857" spans="1:24">
      <c r="A1857" s="108"/>
      <c r="B1857" s="108"/>
      <c r="C1857" s="108"/>
      <c r="D1857" s="108"/>
      <c r="E1857" s="108"/>
      <c r="F1857" s="108"/>
      <c r="G1857" s="108"/>
      <c r="H1857" s="108"/>
      <c r="I1857" s="108"/>
      <c r="J1857" s="108"/>
      <c r="K1857" s="108"/>
      <c r="L1857" s="108"/>
      <c r="M1857" s="108"/>
      <c r="N1857" s="108"/>
      <c r="O1857" s="108"/>
      <c r="P1857" s="108"/>
      <c r="Q1857" s="108"/>
      <c r="R1857" s="108"/>
      <c r="S1857" s="108"/>
      <c r="T1857" s="108"/>
      <c r="U1857" s="108"/>
      <c r="V1857" s="108"/>
      <c r="W1857" s="108"/>
      <c r="X1857" s="108"/>
    </row>
    <row r="1858" spans="1:24">
      <c r="A1858" s="108"/>
      <c r="B1858" s="108"/>
      <c r="C1858" s="108"/>
      <c r="D1858" s="108"/>
      <c r="E1858" s="108"/>
      <c r="F1858" s="108"/>
      <c r="G1858" s="108"/>
      <c r="H1858" s="108"/>
      <c r="I1858" s="108"/>
      <c r="J1858" s="108"/>
      <c r="K1858" s="108"/>
      <c r="L1858" s="108"/>
      <c r="M1858" s="108"/>
      <c r="N1858" s="108"/>
      <c r="O1858" s="108"/>
      <c r="P1858" s="108"/>
      <c r="Q1858" s="108"/>
      <c r="R1858" s="108"/>
      <c r="S1858" s="108"/>
      <c r="T1858" s="108"/>
      <c r="U1858" s="108"/>
      <c r="V1858" s="108"/>
      <c r="W1858" s="108"/>
      <c r="X1858" s="108"/>
    </row>
    <row r="1859" spans="1:24">
      <c r="A1859" s="108"/>
      <c r="B1859" s="108"/>
      <c r="C1859" s="108"/>
      <c r="D1859" s="108"/>
      <c r="E1859" s="108"/>
      <c r="F1859" s="108"/>
      <c r="G1859" s="108"/>
      <c r="H1859" s="108"/>
      <c r="I1859" s="108"/>
      <c r="J1859" s="108"/>
      <c r="K1859" s="108"/>
      <c r="L1859" s="108"/>
      <c r="M1859" s="108"/>
      <c r="N1859" s="108"/>
      <c r="O1859" s="108"/>
      <c r="P1859" s="108"/>
      <c r="Q1859" s="108"/>
      <c r="R1859" s="108"/>
      <c r="S1859" s="108"/>
      <c r="T1859" s="108"/>
      <c r="U1859" s="108"/>
      <c r="V1859" s="108"/>
      <c r="W1859" s="108"/>
      <c r="X1859" s="108"/>
    </row>
    <row r="1860" spans="1:24">
      <c r="A1860" s="108"/>
      <c r="B1860" s="108"/>
      <c r="C1860" s="108"/>
      <c r="D1860" s="108"/>
      <c r="E1860" s="108"/>
      <c r="F1860" s="108"/>
      <c r="G1860" s="108"/>
      <c r="H1860" s="108"/>
      <c r="I1860" s="108"/>
      <c r="J1860" s="108"/>
      <c r="K1860" s="108"/>
      <c r="L1860" s="108"/>
      <c r="M1860" s="108"/>
      <c r="N1860" s="108"/>
      <c r="O1860" s="108"/>
      <c r="P1860" s="108"/>
      <c r="Q1860" s="108"/>
      <c r="R1860" s="108"/>
      <c r="S1860" s="108"/>
      <c r="T1860" s="108"/>
      <c r="U1860" s="108"/>
      <c r="V1860" s="108"/>
      <c r="W1860" s="108"/>
      <c r="X1860" s="108"/>
    </row>
    <row r="1861" spans="1:24">
      <c r="A1861" s="108"/>
      <c r="B1861" s="108"/>
      <c r="C1861" s="108"/>
      <c r="D1861" s="108"/>
      <c r="E1861" s="108"/>
      <c r="F1861" s="108"/>
      <c r="G1861" s="108"/>
      <c r="H1861" s="108"/>
      <c r="I1861" s="108"/>
      <c r="J1861" s="108"/>
      <c r="K1861" s="108"/>
      <c r="L1861" s="108"/>
      <c r="M1861" s="108"/>
      <c r="N1861" s="108"/>
      <c r="O1861" s="108"/>
      <c r="P1861" s="108"/>
      <c r="Q1861" s="108"/>
      <c r="R1861" s="108"/>
      <c r="S1861" s="108"/>
      <c r="T1861" s="108"/>
      <c r="U1861" s="108"/>
      <c r="V1861" s="108"/>
      <c r="W1861" s="108"/>
      <c r="X1861" s="108"/>
    </row>
    <row r="1862" spans="1:24">
      <c r="A1862" s="108"/>
      <c r="B1862" s="108"/>
      <c r="C1862" s="108"/>
      <c r="D1862" s="108"/>
      <c r="E1862" s="108"/>
      <c r="F1862" s="108"/>
      <c r="G1862" s="108"/>
      <c r="H1862" s="108"/>
      <c r="I1862" s="108"/>
      <c r="J1862" s="108"/>
      <c r="K1862" s="108"/>
      <c r="L1862" s="108"/>
      <c r="M1862" s="108"/>
      <c r="N1862" s="108"/>
      <c r="O1862" s="108"/>
      <c r="P1862" s="108"/>
      <c r="Q1862" s="108"/>
      <c r="R1862" s="108"/>
      <c r="S1862" s="108"/>
      <c r="T1862" s="108"/>
      <c r="U1862" s="108"/>
      <c r="V1862" s="108"/>
      <c r="W1862" s="108"/>
      <c r="X1862" s="108"/>
    </row>
    <row r="1863" spans="1:24">
      <c r="A1863" s="108"/>
      <c r="B1863" s="108"/>
      <c r="C1863" s="108"/>
      <c r="D1863" s="108"/>
      <c r="E1863" s="108"/>
      <c r="F1863" s="108"/>
      <c r="G1863" s="108"/>
      <c r="H1863" s="108"/>
      <c r="I1863" s="108"/>
      <c r="J1863" s="108"/>
      <c r="K1863" s="108"/>
      <c r="L1863" s="108"/>
      <c r="M1863" s="108"/>
      <c r="N1863" s="108"/>
      <c r="O1863" s="108"/>
      <c r="P1863" s="108"/>
      <c r="Q1863" s="108"/>
      <c r="R1863" s="108"/>
      <c r="S1863" s="108"/>
      <c r="T1863" s="108"/>
      <c r="U1863" s="108"/>
      <c r="V1863" s="108"/>
      <c r="W1863" s="108"/>
      <c r="X1863" s="108"/>
    </row>
    <row r="1864" spans="1:24">
      <c r="A1864" s="108"/>
      <c r="B1864" s="108"/>
      <c r="C1864" s="108"/>
      <c r="D1864" s="108"/>
      <c r="E1864" s="108"/>
      <c r="F1864" s="108"/>
      <c r="G1864" s="108"/>
      <c r="H1864" s="108"/>
      <c r="I1864" s="108"/>
      <c r="J1864" s="108"/>
      <c r="K1864" s="108"/>
      <c r="L1864" s="108"/>
      <c r="M1864" s="108"/>
      <c r="N1864" s="108"/>
      <c r="O1864" s="108"/>
      <c r="P1864" s="108"/>
      <c r="Q1864" s="108"/>
      <c r="R1864" s="108"/>
      <c r="S1864" s="108"/>
      <c r="T1864" s="108"/>
      <c r="U1864" s="108"/>
      <c r="V1864" s="108"/>
      <c r="W1864" s="108"/>
      <c r="X1864" s="108"/>
    </row>
    <row r="1865" spans="1:24">
      <c r="A1865" s="108"/>
      <c r="B1865" s="108"/>
      <c r="C1865" s="108"/>
      <c r="D1865" s="108"/>
      <c r="E1865" s="108"/>
      <c r="F1865" s="108"/>
      <c r="G1865" s="108"/>
      <c r="H1865" s="108"/>
      <c r="I1865" s="108"/>
      <c r="J1865" s="108"/>
      <c r="K1865" s="108"/>
      <c r="L1865" s="108"/>
      <c r="M1865" s="108"/>
      <c r="N1865" s="108"/>
      <c r="O1865" s="108"/>
      <c r="P1865" s="108"/>
      <c r="Q1865" s="108"/>
      <c r="R1865" s="108"/>
      <c r="S1865" s="108"/>
      <c r="T1865" s="108"/>
      <c r="U1865" s="108"/>
      <c r="V1865" s="108"/>
      <c r="W1865" s="108"/>
      <c r="X1865" s="108"/>
    </row>
    <row r="1866" spans="1:24">
      <c r="A1866" s="108"/>
      <c r="B1866" s="108"/>
      <c r="C1866" s="108"/>
      <c r="D1866" s="108"/>
      <c r="E1866" s="108"/>
      <c r="F1866" s="108"/>
      <c r="G1866" s="108"/>
      <c r="H1866" s="108"/>
      <c r="I1866" s="108"/>
      <c r="J1866" s="108"/>
      <c r="K1866" s="108"/>
      <c r="L1866" s="108"/>
      <c r="M1866" s="108"/>
      <c r="N1866" s="108"/>
      <c r="O1866" s="108"/>
      <c r="P1866" s="108"/>
      <c r="Q1866" s="108"/>
      <c r="R1866" s="108"/>
      <c r="S1866" s="108"/>
      <c r="T1866" s="108"/>
      <c r="U1866" s="108"/>
      <c r="V1866" s="108"/>
      <c r="W1866" s="108"/>
      <c r="X1866" s="108"/>
    </row>
    <row r="1867" spans="1:24">
      <c r="A1867" s="108"/>
      <c r="B1867" s="108"/>
      <c r="C1867" s="108"/>
      <c r="D1867" s="108"/>
      <c r="E1867" s="108"/>
      <c r="F1867" s="108"/>
      <c r="G1867" s="108"/>
      <c r="H1867" s="108"/>
      <c r="I1867" s="108"/>
      <c r="J1867" s="108"/>
      <c r="K1867" s="108"/>
      <c r="L1867" s="108"/>
      <c r="M1867" s="108"/>
      <c r="N1867" s="108"/>
      <c r="O1867" s="108"/>
      <c r="P1867" s="108"/>
      <c r="Q1867" s="108"/>
      <c r="R1867" s="108"/>
      <c r="S1867" s="108"/>
      <c r="T1867" s="108"/>
      <c r="U1867" s="108"/>
      <c r="V1867" s="108"/>
      <c r="W1867" s="108"/>
      <c r="X1867" s="108"/>
    </row>
    <row r="1868" spans="1:24">
      <c r="A1868" s="108"/>
      <c r="B1868" s="108"/>
      <c r="C1868" s="108"/>
      <c r="D1868" s="108"/>
      <c r="E1868" s="108"/>
      <c r="F1868" s="108"/>
      <c r="G1868" s="108"/>
      <c r="H1868" s="108"/>
      <c r="I1868" s="108"/>
      <c r="J1868" s="108"/>
      <c r="K1868" s="108"/>
      <c r="L1868" s="108"/>
      <c r="M1868" s="108"/>
      <c r="N1868" s="108"/>
      <c r="O1868" s="108"/>
      <c r="P1868" s="108"/>
      <c r="Q1868" s="108"/>
      <c r="R1868" s="108"/>
      <c r="S1868" s="108"/>
      <c r="T1868" s="108"/>
      <c r="U1868" s="108"/>
      <c r="V1868" s="108"/>
      <c r="W1868" s="108"/>
      <c r="X1868" s="108"/>
    </row>
    <row r="1869" spans="1:24">
      <c r="A1869" s="108"/>
      <c r="B1869" s="108"/>
      <c r="C1869" s="108"/>
      <c r="D1869" s="108"/>
      <c r="E1869" s="108"/>
      <c r="F1869" s="108"/>
      <c r="G1869" s="108"/>
      <c r="H1869" s="108"/>
      <c r="I1869" s="108"/>
      <c r="J1869" s="108"/>
      <c r="K1869" s="108"/>
      <c r="L1869" s="108"/>
      <c r="M1869" s="108"/>
      <c r="N1869" s="108"/>
      <c r="O1869" s="108"/>
      <c r="P1869" s="108"/>
      <c r="Q1869" s="108"/>
      <c r="R1869" s="108"/>
      <c r="S1869" s="108"/>
      <c r="T1869" s="108"/>
      <c r="U1869" s="108"/>
      <c r="V1869" s="108"/>
      <c r="W1869" s="108"/>
      <c r="X1869" s="108"/>
    </row>
    <row r="1870" spans="1:24">
      <c r="A1870" s="108"/>
      <c r="B1870" s="108"/>
      <c r="C1870" s="108"/>
      <c r="D1870" s="108"/>
      <c r="E1870" s="108"/>
      <c r="F1870" s="108"/>
      <c r="G1870" s="108"/>
      <c r="H1870" s="108"/>
      <c r="I1870" s="108"/>
      <c r="J1870" s="108"/>
      <c r="K1870" s="108"/>
      <c r="L1870" s="108"/>
      <c r="M1870" s="108"/>
      <c r="N1870" s="108"/>
      <c r="O1870" s="108"/>
      <c r="P1870" s="108"/>
      <c r="Q1870" s="108"/>
      <c r="R1870" s="108"/>
      <c r="S1870" s="108"/>
      <c r="T1870" s="108"/>
      <c r="U1870" s="108"/>
      <c r="V1870" s="108"/>
      <c r="W1870" s="108"/>
      <c r="X1870" s="108"/>
    </row>
    <row r="1871" spans="1:24">
      <c r="A1871" s="108"/>
      <c r="B1871" s="108"/>
      <c r="C1871" s="108"/>
      <c r="D1871" s="108"/>
      <c r="E1871" s="108"/>
      <c r="F1871" s="108"/>
      <c r="G1871" s="108"/>
      <c r="H1871" s="108"/>
      <c r="I1871" s="108"/>
      <c r="J1871" s="108"/>
      <c r="K1871" s="108"/>
      <c r="L1871" s="108"/>
      <c r="M1871" s="108"/>
      <c r="N1871" s="108"/>
      <c r="O1871" s="108"/>
      <c r="P1871" s="108"/>
      <c r="Q1871" s="108"/>
      <c r="R1871" s="108"/>
      <c r="S1871" s="108"/>
      <c r="T1871" s="108"/>
      <c r="U1871" s="108"/>
      <c r="V1871" s="108"/>
      <c r="W1871" s="108"/>
      <c r="X1871" s="108"/>
    </row>
    <row r="1872" spans="1:24">
      <c r="A1872" s="108"/>
      <c r="B1872" s="108"/>
      <c r="C1872" s="108"/>
      <c r="D1872" s="108"/>
      <c r="E1872" s="108"/>
      <c r="F1872" s="108"/>
      <c r="G1872" s="108"/>
      <c r="H1872" s="108"/>
      <c r="I1872" s="108"/>
      <c r="J1872" s="108"/>
      <c r="K1872" s="108"/>
      <c r="L1872" s="108"/>
      <c r="M1872" s="108"/>
      <c r="N1872" s="108"/>
      <c r="O1872" s="108"/>
      <c r="P1872" s="108"/>
      <c r="Q1872" s="108"/>
      <c r="R1872" s="108"/>
      <c r="S1872" s="108"/>
      <c r="T1872" s="108"/>
      <c r="U1872" s="108"/>
      <c r="V1872" s="108"/>
      <c r="W1872" s="108"/>
      <c r="X1872" s="108"/>
    </row>
    <row r="1873" spans="1:24">
      <c r="A1873" s="108"/>
      <c r="B1873" s="108"/>
      <c r="C1873" s="108"/>
      <c r="D1873" s="108"/>
      <c r="E1873" s="108"/>
      <c r="F1873" s="108"/>
      <c r="G1873" s="108"/>
      <c r="H1873" s="108"/>
      <c r="I1873" s="108"/>
      <c r="J1873" s="108"/>
      <c r="K1873" s="108"/>
      <c r="L1873" s="108"/>
      <c r="M1873" s="108"/>
      <c r="N1873" s="108"/>
      <c r="O1873" s="108"/>
      <c r="P1873" s="108"/>
      <c r="Q1873" s="108"/>
      <c r="R1873" s="108"/>
      <c r="S1873" s="108"/>
      <c r="T1873" s="108"/>
      <c r="U1873" s="108"/>
      <c r="V1873" s="108"/>
      <c r="W1873" s="108"/>
      <c r="X1873" s="108"/>
    </row>
    <row r="1874" spans="1:24">
      <c r="A1874" s="108"/>
      <c r="B1874" s="108"/>
      <c r="C1874" s="108"/>
      <c r="D1874" s="108"/>
      <c r="E1874" s="108"/>
      <c r="F1874" s="108"/>
      <c r="G1874" s="108"/>
      <c r="H1874" s="108"/>
      <c r="I1874" s="108"/>
      <c r="J1874" s="108"/>
      <c r="K1874" s="108"/>
      <c r="L1874" s="108"/>
      <c r="M1874" s="108"/>
      <c r="N1874" s="108"/>
      <c r="O1874" s="108"/>
      <c r="P1874" s="108"/>
      <c r="Q1874" s="108"/>
      <c r="R1874" s="108"/>
      <c r="S1874" s="108"/>
      <c r="T1874" s="108"/>
      <c r="U1874" s="108"/>
      <c r="V1874" s="108"/>
      <c r="W1874" s="108"/>
      <c r="X1874" s="108"/>
    </row>
    <row r="1875" spans="1:24">
      <c r="A1875" s="108"/>
      <c r="B1875" s="108"/>
      <c r="C1875" s="108"/>
      <c r="D1875" s="108"/>
      <c r="E1875" s="108"/>
      <c r="F1875" s="108"/>
      <c r="G1875" s="108"/>
      <c r="H1875" s="108"/>
      <c r="I1875" s="108"/>
      <c r="J1875" s="108"/>
      <c r="K1875" s="108"/>
      <c r="L1875" s="108"/>
      <c r="M1875" s="108"/>
      <c r="N1875" s="108"/>
      <c r="O1875" s="108"/>
      <c r="P1875" s="108"/>
      <c r="Q1875" s="108"/>
      <c r="R1875" s="108"/>
      <c r="S1875" s="108"/>
      <c r="T1875" s="108"/>
      <c r="U1875" s="108"/>
      <c r="V1875" s="108"/>
      <c r="W1875" s="108"/>
      <c r="X1875" s="108"/>
    </row>
    <row r="1876" spans="1:24">
      <c r="A1876" s="108"/>
      <c r="B1876" s="108"/>
      <c r="C1876" s="108"/>
      <c r="D1876" s="108"/>
      <c r="E1876" s="108"/>
      <c r="F1876" s="108"/>
      <c r="G1876" s="108"/>
      <c r="H1876" s="108"/>
      <c r="I1876" s="108"/>
      <c r="J1876" s="108"/>
      <c r="K1876" s="108"/>
      <c r="L1876" s="108"/>
      <c r="M1876" s="108"/>
      <c r="N1876" s="108"/>
      <c r="O1876" s="108"/>
      <c r="P1876" s="108"/>
      <c r="Q1876" s="108"/>
      <c r="R1876" s="108"/>
      <c r="S1876" s="108"/>
      <c r="T1876" s="108"/>
      <c r="U1876" s="108"/>
      <c r="V1876" s="108"/>
      <c r="W1876" s="108"/>
      <c r="X1876" s="108"/>
    </row>
    <row r="1877" spans="1:24">
      <c r="A1877" s="108"/>
      <c r="B1877" s="108"/>
      <c r="C1877" s="108"/>
      <c r="D1877" s="108"/>
      <c r="E1877" s="108"/>
      <c r="F1877" s="108"/>
      <c r="G1877" s="108"/>
      <c r="H1877" s="108"/>
      <c r="I1877" s="108"/>
      <c r="J1877" s="108"/>
      <c r="K1877" s="108"/>
      <c r="L1877" s="108"/>
      <c r="M1877" s="108"/>
      <c r="N1877" s="108"/>
      <c r="O1877" s="108"/>
      <c r="P1877" s="108"/>
      <c r="Q1877" s="108"/>
      <c r="R1877" s="108"/>
      <c r="S1877" s="108"/>
      <c r="T1877" s="108"/>
      <c r="U1877" s="108"/>
      <c r="V1877" s="108"/>
      <c r="W1877" s="108"/>
      <c r="X1877" s="108"/>
    </row>
    <row r="1878" spans="1:24">
      <c r="A1878" s="108"/>
      <c r="B1878" s="108"/>
      <c r="C1878" s="108"/>
      <c r="D1878" s="108"/>
      <c r="E1878" s="108"/>
      <c r="F1878" s="108"/>
      <c r="G1878" s="108"/>
      <c r="H1878" s="108"/>
      <c r="I1878" s="108"/>
      <c r="J1878" s="108"/>
      <c r="K1878" s="108"/>
      <c r="L1878" s="108"/>
      <c r="M1878" s="108"/>
      <c r="N1878" s="108"/>
      <c r="O1878" s="108"/>
      <c r="P1878" s="108"/>
      <c r="Q1878" s="108"/>
      <c r="R1878" s="108"/>
      <c r="S1878" s="108"/>
      <c r="T1878" s="108"/>
      <c r="U1878" s="108"/>
      <c r="V1878" s="108"/>
      <c r="W1878" s="108"/>
      <c r="X1878" s="108"/>
    </row>
    <row r="1879" spans="1:24">
      <c r="A1879" s="108"/>
      <c r="B1879" s="108"/>
      <c r="C1879" s="108"/>
      <c r="D1879" s="108"/>
      <c r="E1879" s="108"/>
      <c r="F1879" s="108"/>
      <c r="G1879" s="108"/>
      <c r="H1879" s="108"/>
      <c r="I1879" s="108"/>
      <c r="J1879" s="108"/>
      <c r="K1879" s="108"/>
      <c r="L1879" s="108"/>
      <c r="M1879" s="108"/>
      <c r="N1879" s="108"/>
      <c r="O1879" s="108"/>
      <c r="P1879" s="108"/>
      <c r="Q1879" s="108"/>
      <c r="R1879" s="108"/>
      <c r="S1879" s="108"/>
      <c r="T1879" s="108"/>
      <c r="U1879" s="108"/>
      <c r="V1879" s="108"/>
      <c r="W1879" s="108"/>
      <c r="X1879" s="108"/>
    </row>
    <row r="1880" spans="1:24">
      <c r="A1880" s="108"/>
      <c r="B1880" s="108"/>
      <c r="C1880" s="108"/>
      <c r="D1880" s="108"/>
      <c r="E1880" s="108"/>
      <c r="F1880" s="108"/>
      <c r="G1880" s="108"/>
      <c r="H1880" s="108"/>
      <c r="I1880" s="108"/>
      <c r="J1880" s="108"/>
      <c r="K1880" s="108"/>
      <c r="L1880" s="108"/>
      <c r="M1880" s="108"/>
      <c r="N1880" s="108"/>
      <c r="O1880" s="108"/>
      <c r="P1880" s="108"/>
      <c r="Q1880" s="108"/>
      <c r="R1880" s="108"/>
      <c r="S1880" s="108"/>
      <c r="T1880" s="108"/>
      <c r="U1880" s="108"/>
      <c r="V1880" s="108"/>
      <c r="W1880" s="108"/>
      <c r="X1880" s="108"/>
    </row>
    <row r="1881" spans="1:24">
      <c r="A1881" s="108"/>
      <c r="B1881" s="108"/>
      <c r="C1881" s="108"/>
      <c r="D1881" s="108"/>
      <c r="E1881" s="108"/>
      <c r="F1881" s="108"/>
      <c r="G1881" s="108"/>
      <c r="H1881" s="108"/>
      <c r="I1881" s="108"/>
      <c r="J1881" s="108"/>
      <c r="K1881" s="108"/>
      <c r="L1881" s="108"/>
      <c r="M1881" s="108"/>
      <c r="N1881" s="108"/>
      <c r="O1881" s="108"/>
      <c r="P1881" s="108"/>
      <c r="Q1881" s="108"/>
      <c r="R1881" s="108"/>
      <c r="S1881" s="108"/>
      <c r="T1881" s="108"/>
      <c r="U1881" s="108"/>
      <c r="V1881" s="108"/>
      <c r="W1881" s="108"/>
      <c r="X1881" s="108"/>
    </row>
    <row r="1882" spans="1:24">
      <c r="A1882" s="108"/>
      <c r="B1882" s="108"/>
      <c r="C1882" s="108"/>
      <c r="D1882" s="108"/>
      <c r="E1882" s="108"/>
      <c r="F1882" s="108"/>
      <c r="G1882" s="108"/>
      <c r="H1882" s="108"/>
      <c r="I1882" s="108"/>
      <c r="J1882" s="108"/>
      <c r="K1882" s="108"/>
      <c r="L1882" s="108"/>
      <c r="M1882" s="108"/>
      <c r="N1882" s="108"/>
      <c r="O1882" s="108"/>
      <c r="P1882" s="108"/>
      <c r="Q1882" s="108"/>
      <c r="R1882" s="108"/>
      <c r="S1882" s="108"/>
      <c r="T1882" s="108"/>
      <c r="U1882" s="108"/>
      <c r="V1882" s="108"/>
      <c r="W1882" s="108"/>
      <c r="X1882" s="108"/>
    </row>
    <row r="1883" spans="1:24">
      <c r="A1883" s="108"/>
      <c r="B1883" s="108"/>
      <c r="C1883" s="108"/>
      <c r="D1883" s="108"/>
      <c r="E1883" s="108"/>
      <c r="F1883" s="108"/>
      <c r="G1883" s="108"/>
      <c r="H1883" s="108"/>
      <c r="I1883" s="108"/>
      <c r="J1883" s="108"/>
      <c r="K1883" s="108"/>
      <c r="L1883" s="108"/>
      <c r="M1883" s="108"/>
      <c r="N1883" s="108"/>
      <c r="O1883" s="108"/>
      <c r="P1883" s="108"/>
      <c r="Q1883" s="108"/>
      <c r="R1883" s="108"/>
      <c r="S1883" s="108"/>
      <c r="T1883" s="108"/>
      <c r="U1883" s="108"/>
      <c r="V1883" s="108"/>
      <c r="W1883" s="108"/>
      <c r="X1883" s="108"/>
    </row>
    <row r="1884" spans="1:24">
      <c r="A1884" s="108"/>
      <c r="B1884" s="108"/>
      <c r="C1884" s="108"/>
      <c r="D1884" s="108"/>
      <c r="E1884" s="108"/>
      <c r="F1884" s="108"/>
      <c r="G1884" s="108"/>
      <c r="H1884" s="108"/>
      <c r="I1884" s="108"/>
      <c r="J1884" s="108"/>
      <c r="K1884" s="108"/>
      <c r="L1884" s="108"/>
      <c r="M1884" s="108"/>
      <c r="N1884" s="108"/>
      <c r="O1884" s="108"/>
      <c r="P1884" s="108"/>
      <c r="Q1884" s="108"/>
      <c r="R1884" s="108"/>
      <c r="S1884" s="108"/>
      <c r="T1884" s="108"/>
      <c r="U1884" s="108"/>
      <c r="V1884" s="108"/>
      <c r="W1884" s="108"/>
      <c r="X1884" s="108"/>
    </row>
    <row r="1885" spans="1:24">
      <c r="A1885" s="108"/>
      <c r="B1885" s="108"/>
      <c r="C1885" s="108"/>
      <c r="D1885" s="108"/>
      <c r="E1885" s="108"/>
      <c r="F1885" s="108"/>
      <c r="G1885" s="108"/>
      <c r="H1885" s="108"/>
      <c r="I1885" s="108"/>
      <c r="J1885" s="108"/>
      <c r="K1885" s="108"/>
      <c r="L1885" s="108"/>
      <c r="M1885" s="108"/>
      <c r="N1885" s="108"/>
      <c r="O1885" s="108"/>
      <c r="P1885" s="108"/>
      <c r="Q1885" s="108"/>
      <c r="R1885" s="108"/>
      <c r="S1885" s="108"/>
      <c r="T1885" s="108"/>
      <c r="U1885" s="108"/>
      <c r="V1885" s="108"/>
      <c r="W1885" s="108"/>
      <c r="X1885" s="108"/>
    </row>
    <row r="1886" spans="1:24">
      <c r="A1886" s="108"/>
      <c r="B1886" s="108"/>
      <c r="C1886" s="108"/>
      <c r="D1886" s="108"/>
      <c r="E1886" s="108"/>
      <c r="F1886" s="108"/>
      <c r="G1886" s="108"/>
      <c r="H1886" s="108"/>
      <c r="I1886" s="108"/>
      <c r="J1886" s="108"/>
      <c r="K1886" s="108"/>
      <c r="L1886" s="108"/>
      <c r="M1886" s="108"/>
      <c r="N1886" s="108"/>
      <c r="O1886" s="108"/>
      <c r="P1886" s="108"/>
      <c r="Q1886" s="108"/>
      <c r="R1886" s="108"/>
      <c r="S1886" s="108"/>
      <c r="T1886" s="108"/>
      <c r="U1886" s="108"/>
      <c r="V1886" s="108"/>
      <c r="W1886" s="108"/>
      <c r="X1886" s="108"/>
    </row>
    <row r="1887" spans="1:24">
      <c r="A1887" s="108"/>
      <c r="B1887" s="108"/>
      <c r="C1887" s="108"/>
      <c r="D1887" s="108"/>
      <c r="E1887" s="108"/>
      <c r="F1887" s="108"/>
      <c r="G1887" s="108"/>
      <c r="H1887" s="108"/>
      <c r="I1887" s="108"/>
      <c r="J1887" s="108"/>
      <c r="K1887" s="108"/>
      <c r="L1887" s="108"/>
      <c r="M1887" s="108"/>
      <c r="N1887" s="108"/>
      <c r="O1887" s="108"/>
      <c r="P1887" s="108"/>
      <c r="Q1887" s="108"/>
      <c r="R1887" s="108"/>
      <c r="S1887" s="108"/>
      <c r="T1887" s="108"/>
      <c r="U1887" s="108"/>
      <c r="V1887" s="108"/>
      <c r="W1887" s="108"/>
      <c r="X1887" s="108"/>
    </row>
    <row r="1888" spans="1:24">
      <c r="A1888" s="108"/>
      <c r="B1888" s="108"/>
      <c r="C1888" s="108"/>
      <c r="D1888" s="108"/>
      <c r="E1888" s="108"/>
      <c r="F1888" s="108"/>
      <c r="G1888" s="108"/>
      <c r="H1888" s="108"/>
      <c r="I1888" s="108"/>
      <c r="J1888" s="108"/>
      <c r="K1888" s="108"/>
      <c r="L1888" s="108"/>
      <c r="M1888" s="108"/>
      <c r="N1888" s="108"/>
      <c r="O1888" s="108"/>
      <c r="P1888" s="108"/>
      <c r="Q1888" s="108"/>
      <c r="R1888" s="108"/>
      <c r="S1888" s="108"/>
      <c r="T1888" s="108"/>
      <c r="U1888" s="108"/>
      <c r="V1888" s="108"/>
      <c r="W1888" s="108"/>
      <c r="X1888" s="108"/>
    </row>
    <row r="1889" spans="1:24">
      <c r="A1889" s="108"/>
      <c r="B1889" s="108"/>
      <c r="C1889" s="108"/>
      <c r="D1889" s="108"/>
      <c r="E1889" s="108"/>
      <c r="F1889" s="108"/>
      <c r="G1889" s="108"/>
      <c r="H1889" s="108"/>
      <c r="I1889" s="108"/>
      <c r="J1889" s="108"/>
      <c r="K1889" s="108"/>
      <c r="L1889" s="108"/>
      <c r="M1889" s="108"/>
      <c r="N1889" s="108"/>
      <c r="O1889" s="108"/>
      <c r="P1889" s="108"/>
      <c r="Q1889" s="108"/>
      <c r="R1889" s="108"/>
      <c r="S1889" s="108"/>
      <c r="T1889" s="108"/>
      <c r="U1889" s="108"/>
      <c r="V1889" s="108"/>
      <c r="W1889" s="108"/>
      <c r="X1889" s="108"/>
    </row>
    <row r="1890" spans="1:24">
      <c r="A1890" s="108"/>
      <c r="B1890" s="108"/>
      <c r="C1890" s="108"/>
      <c r="D1890" s="108"/>
      <c r="E1890" s="108"/>
      <c r="F1890" s="108"/>
      <c r="G1890" s="108"/>
      <c r="H1890" s="108"/>
      <c r="I1890" s="108"/>
      <c r="J1890" s="108"/>
      <c r="K1890" s="108"/>
      <c r="L1890" s="108"/>
      <c r="M1890" s="108"/>
      <c r="N1890" s="108"/>
      <c r="O1890" s="108"/>
      <c r="P1890" s="108"/>
      <c r="Q1890" s="108"/>
      <c r="R1890" s="108"/>
      <c r="S1890" s="108"/>
      <c r="T1890" s="108"/>
      <c r="U1890" s="108"/>
      <c r="V1890" s="108"/>
      <c r="W1890" s="108"/>
      <c r="X1890" s="108"/>
    </row>
    <row r="1891" spans="1:24">
      <c r="A1891" s="108"/>
      <c r="B1891" s="108"/>
      <c r="C1891" s="108"/>
      <c r="D1891" s="108"/>
      <c r="E1891" s="108"/>
      <c r="F1891" s="108"/>
      <c r="G1891" s="108"/>
      <c r="H1891" s="108"/>
      <c r="I1891" s="108"/>
      <c r="J1891" s="108"/>
      <c r="K1891" s="108"/>
      <c r="L1891" s="108"/>
      <c r="M1891" s="108"/>
      <c r="N1891" s="108"/>
      <c r="O1891" s="108"/>
      <c r="P1891" s="108"/>
      <c r="Q1891" s="108"/>
      <c r="R1891" s="108"/>
      <c r="S1891" s="108"/>
      <c r="T1891" s="108"/>
      <c r="U1891" s="108"/>
      <c r="V1891" s="108"/>
      <c r="W1891" s="108"/>
      <c r="X1891" s="108"/>
    </row>
    <row r="1892" spans="1:24">
      <c r="A1892" s="108"/>
      <c r="B1892" s="108"/>
      <c r="C1892" s="108"/>
      <c r="D1892" s="108"/>
      <c r="E1892" s="108"/>
      <c r="F1892" s="108"/>
      <c r="G1892" s="108"/>
      <c r="H1892" s="108"/>
      <c r="I1892" s="108"/>
      <c r="J1892" s="108"/>
      <c r="K1892" s="108"/>
      <c r="L1892" s="108"/>
      <c r="M1892" s="108"/>
      <c r="N1892" s="108"/>
      <c r="O1892" s="108"/>
      <c r="P1892" s="108"/>
      <c r="Q1892" s="108"/>
      <c r="R1892" s="108"/>
      <c r="S1892" s="108"/>
      <c r="T1892" s="108"/>
      <c r="U1892" s="108"/>
      <c r="V1892" s="108"/>
      <c r="W1892" s="108"/>
      <c r="X1892" s="108"/>
    </row>
    <row r="1893" spans="1:24">
      <c r="A1893" s="108"/>
      <c r="B1893" s="108"/>
      <c r="C1893" s="108"/>
      <c r="D1893" s="108"/>
      <c r="E1893" s="108"/>
      <c r="F1893" s="108"/>
      <c r="G1893" s="108"/>
      <c r="H1893" s="108"/>
      <c r="I1893" s="108"/>
      <c r="J1893" s="108"/>
      <c r="K1893" s="108"/>
      <c r="L1893" s="108"/>
      <c r="M1893" s="108"/>
      <c r="N1893" s="108"/>
      <c r="O1893" s="108"/>
      <c r="P1893" s="108"/>
      <c r="Q1893" s="108"/>
      <c r="R1893" s="108"/>
      <c r="S1893" s="108"/>
      <c r="T1893" s="108"/>
      <c r="U1893" s="108"/>
      <c r="V1893" s="108"/>
      <c r="W1893" s="108"/>
      <c r="X1893" s="108"/>
    </row>
    <row r="1894" spans="1:24">
      <c r="A1894" s="108"/>
      <c r="B1894" s="108"/>
      <c r="C1894" s="108"/>
      <c r="D1894" s="108"/>
      <c r="E1894" s="108"/>
      <c r="F1894" s="108"/>
      <c r="G1894" s="108"/>
      <c r="H1894" s="108"/>
      <c r="I1894" s="108"/>
      <c r="J1894" s="108"/>
      <c r="K1894" s="108"/>
      <c r="L1894" s="108"/>
      <c r="M1894" s="108"/>
      <c r="N1894" s="108"/>
      <c r="O1894" s="108"/>
      <c r="P1894" s="108"/>
      <c r="Q1894" s="108"/>
      <c r="R1894" s="108"/>
      <c r="S1894" s="108"/>
      <c r="T1894" s="108"/>
      <c r="U1894" s="108"/>
      <c r="V1894" s="108"/>
      <c r="W1894" s="108"/>
      <c r="X1894" s="108"/>
    </row>
    <row r="1895" spans="1:24">
      <c r="A1895" s="108"/>
      <c r="B1895" s="108"/>
      <c r="C1895" s="108"/>
      <c r="D1895" s="108"/>
      <c r="E1895" s="108"/>
      <c r="F1895" s="108"/>
      <c r="G1895" s="108"/>
      <c r="H1895" s="108"/>
      <c r="I1895" s="108"/>
      <c r="J1895" s="108"/>
      <c r="K1895" s="108"/>
      <c r="L1895" s="108"/>
      <c r="M1895" s="108"/>
      <c r="N1895" s="108"/>
      <c r="O1895" s="108"/>
      <c r="P1895" s="108"/>
      <c r="Q1895" s="108"/>
      <c r="R1895" s="108"/>
      <c r="S1895" s="108"/>
      <c r="T1895" s="108"/>
      <c r="U1895" s="108"/>
      <c r="V1895" s="108"/>
      <c r="W1895" s="108"/>
      <c r="X1895" s="108"/>
    </row>
    <row r="1896" spans="1:24">
      <c r="A1896" s="108"/>
      <c r="B1896" s="108"/>
      <c r="C1896" s="108"/>
      <c r="D1896" s="108"/>
      <c r="E1896" s="108"/>
      <c r="F1896" s="108"/>
      <c r="G1896" s="108"/>
      <c r="H1896" s="108"/>
      <c r="I1896" s="108"/>
      <c r="J1896" s="108"/>
      <c r="K1896" s="108"/>
      <c r="L1896" s="108"/>
      <c r="M1896" s="108"/>
      <c r="N1896" s="108"/>
      <c r="O1896" s="108"/>
      <c r="P1896" s="108"/>
      <c r="Q1896" s="108"/>
      <c r="R1896" s="108"/>
      <c r="S1896" s="108"/>
      <c r="T1896" s="108"/>
      <c r="U1896" s="108"/>
      <c r="V1896" s="108"/>
      <c r="W1896" s="108"/>
      <c r="X1896" s="108"/>
    </row>
    <row r="1897" spans="1:24">
      <c r="A1897" s="108"/>
      <c r="B1897" s="108"/>
      <c r="C1897" s="108"/>
      <c r="D1897" s="108"/>
      <c r="E1897" s="108"/>
      <c r="F1897" s="108"/>
      <c r="G1897" s="108"/>
      <c r="H1897" s="108"/>
      <c r="I1897" s="108"/>
      <c r="J1897" s="108"/>
      <c r="K1897" s="108"/>
      <c r="L1897" s="108"/>
      <c r="M1897" s="108"/>
      <c r="N1897" s="108"/>
      <c r="O1897" s="108"/>
      <c r="P1897" s="108"/>
      <c r="Q1897" s="108"/>
      <c r="R1897" s="108"/>
      <c r="S1897" s="108"/>
      <c r="T1897" s="108"/>
      <c r="U1897" s="108"/>
      <c r="V1897" s="108"/>
      <c r="W1897" s="108"/>
      <c r="X1897" s="108"/>
    </row>
    <row r="1898" spans="1:24">
      <c r="A1898" s="108"/>
      <c r="B1898" s="108"/>
      <c r="C1898" s="108"/>
      <c r="D1898" s="108"/>
      <c r="E1898" s="108"/>
      <c r="F1898" s="108"/>
      <c r="G1898" s="108"/>
      <c r="H1898" s="108"/>
      <c r="I1898" s="108"/>
      <c r="J1898" s="108"/>
      <c r="K1898" s="108"/>
      <c r="L1898" s="108"/>
      <c r="M1898" s="108"/>
      <c r="N1898" s="108"/>
      <c r="O1898" s="108"/>
      <c r="P1898" s="108"/>
      <c r="Q1898" s="108"/>
      <c r="R1898" s="108"/>
      <c r="S1898" s="108"/>
      <c r="T1898" s="108"/>
      <c r="U1898" s="108"/>
      <c r="V1898" s="108"/>
      <c r="W1898" s="108"/>
      <c r="X1898" s="108"/>
    </row>
    <row r="1899" spans="1:24">
      <c r="A1899" s="108"/>
      <c r="B1899" s="108"/>
      <c r="C1899" s="108"/>
      <c r="D1899" s="108"/>
      <c r="E1899" s="108"/>
      <c r="F1899" s="108"/>
      <c r="G1899" s="108"/>
      <c r="H1899" s="108"/>
      <c r="I1899" s="108"/>
      <c r="J1899" s="108"/>
      <c r="K1899" s="108"/>
      <c r="L1899" s="108"/>
      <c r="M1899" s="108"/>
      <c r="N1899" s="108"/>
      <c r="O1899" s="108"/>
      <c r="P1899" s="108"/>
      <c r="Q1899" s="108"/>
      <c r="R1899" s="108"/>
      <c r="S1899" s="108"/>
      <c r="T1899" s="108"/>
      <c r="U1899" s="108"/>
      <c r="V1899" s="108"/>
      <c r="W1899" s="108"/>
      <c r="X1899" s="108"/>
    </row>
    <row r="1900" spans="1:24">
      <c r="A1900" s="108"/>
      <c r="B1900" s="108"/>
      <c r="C1900" s="108"/>
      <c r="D1900" s="108"/>
      <c r="E1900" s="108"/>
      <c r="F1900" s="108"/>
      <c r="G1900" s="108"/>
      <c r="H1900" s="108"/>
      <c r="I1900" s="108"/>
      <c r="J1900" s="108"/>
      <c r="K1900" s="108"/>
      <c r="L1900" s="108"/>
      <c r="M1900" s="108"/>
      <c r="N1900" s="108"/>
      <c r="O1900" s="108"/>
      <c r="P1900" s="108"/>
      <c r="Q1900" s="108"/>
      <c r="R1900" s="108"/>
      <c r="S1900" s="108"/>
      <c r="T1900" s="108"/>
      <c r="U1900" s="108"/>
      <c r="V1900" s="108"/>
      <c r="W1900" s="108"/>
      <c r="X1900" s="108"/>
    </row>
    <row r="1901" spans="1:24">
      <c r="A1901" s="108"/>
      <c r="B1901" s="108"/>
      <c r="C1901" s="108"/>
      <c r="D1901" s="108"/>
      <c r="E1901" s="108"/>
      <c r="F1901" s="108"/>
      <c r="G1901" s="108"/>
      <c r="H1901" s="108"/>
      <c r="I1901" s="108"/>
      <c r="J1901" s="108"/>
      <c r="K1901" s="108"/>
      <c r="L1901" s="108"/>
      <c r="M1901" s="108"/>
      <c r="N1901" s="108"/>
      <c r="O1901" s="108"/>
      <c r="P1901" s="108"/>
      <c r="Q1901" s="108"/>
      <c r="R1901" s="108"/>
      <c r="S1901" s="108"/>
      <c r="T1901" s="108"/>
      <c r="U1901" s="108"/>
      <c r="V1901" s="108"/>
      <c r="W1901" s="108"/>
      <c r="X1901" s="108"/>
    </row>
    <row r="1902" spans="1:24">
      <c r="A1902" s="108"/>
      <c r="B1902" s="108"/>
      <c r="C1902" s="108"/>
      <c r="D1902" s="108"/>
      <c r="E1902" s="108"/>
      <c r="F1902" s="108"/>
      <c r="G1902" s="108"/>
      <c r="H1902" s="108"/>
      <c r="I1902" s="108"/>
      <c r="J1902" s="108"/>
      <c r="K1902" s="108"/>
      <c r="L1902" s="108"/>
      <c r="M1902" s="108"/>
      <c r="N1902" s="108"/>
      <c r="O1902" s="108"/>
      <c r="P1902" s="108"/>
      <c r="Q1902" s="108"/>
      <c r="R1902" s="108"/>
      <c r="S1902" s="108"/>
      <c r="T1902" s="108"/>
      <c r="U1902" s="108"/>
      <c r="V1902" s="108"/>
      <c r="W1902" s="108"/>
      <c r="X1902" s="108"/>
    </row>
    <row r="1903" spans="1:24">
      <c r="A1903" s="108"/>
      <c r="B1903" s="108"/>
      <c r="C1903" s="108"/>
      <c r="D1903" s="108"/>
      <c r="E1903" s="108"/>
      <c r="F1903" s="108"/>
      <c r="G1903" s="108"/>
      <c r="H1903" s="108"/>
      <c r="I1903" s="108"/>
      <c r="J1903" s="108"/>
      <c r="K1903" s="108"/>
      <c r="L1903" s="108"/>
      <c r="M1903" s="108"/>
      <c r="N1903" s="108"/>
      <c r="O1903" s="108"/>
      <c r="P1903" s="108"/>
      <c r="Q1903" s="108"/>
      <c r="R1903" s="108"/>
      <c r="S1903" s="108"/>
      <c r="T1903" s="108"/>
      <c r="U1903" s="108"/>
      <c r="V1903" s="108"/>
      <c r="W1903" s="108"/>
      <c r="X1903" s="108"/>
    </row>
    <row r="1904" spans="1:24">
      <c r="A1904" s="108"/>
      <c r="B1904" s="108"/>
      <c r="C1904" s="108"/>
      <c r="D1904" s="108"/>
      <c r="E1904" s="108"/>
      <c r="F1904" s="108"/>
      <c r="G1904" s="108"/>
      <c r="H1904" s="108"/>
      <c r="I1904" s="108"/>
      <c r="J1904" s="108"/>
      <c r="K1904" s="108"/>
      <c r="L1904" s="108"/>
      <c r="M1904" s="108"/>
      <c r="N1904" s="108"/>
      <c r="O1904" s="108"/>
      <c r="P1904" s="108"/>
      <c r="Q1904" s="108"/>
      <c r="R1904" s="108"/>
      <c r="S1904" s="108"/>
      <c r="T1904" s="108"/>
      <c r="U1904" s="108"/>
      <c r="V1904" s="108"/>
      <c r="W1904" s="108"/>
      <c r="X1904" s="108"/>
    </row>
    <row r="1905" spans="1:24">
      <c r="A1905" s="108"/>
      <c r="B1905" s="108"/>
      <c r="C1905" s="108"/>
      <c r="D1905" s="108"/>
      <c r="E1905" s="108"/>
      <c r="F1905" s="108"/>
      <c r="G1905" s="108"/>
      <c r="H1905" s="108"/>
      <c r="I1905" s="108"/>
      <c r="J1905" s="108"/>
      <c r="K1905" s="108"/>
      <c r="L1905" s="108"/>
      <c r="M1905" s="108"/>
      <c r="N1905" s="108"/>
      <c r="O1905" s="108"/>
      <c r="P1905" s="108"/>
      <c r="Q1905" s="108"/>
      <c r="R1905" s="108"/>
      <c r="S1905" s="108"/>
      <c r="T1905" s="108"/>
      <c r="U1905" s="108"/>
      <c r="V1905" s="108"/>
      <c r="W1905" s="108"/>
      <c r="X1905" s="108"/>
    </row>
    <row r="1906" spans="1:24">
      <c r="A1906" s="108"/>
      <c r="B1906" s="108"/>
      <c r="C1906" s="108"/>
      <c r="D1906" s="108"/>
      <c r="E1906" s="108"/>
      <c r="F1906" s="108"/>
      <c r="G1906" s="108"/>
      <c r="H1906" s="108"/>
      <c r="I1906" s="108"/>
      <c r="J1906" s="108"/>
      <c r="K1906" s="108"/>
      <c r="L1906" s="108"/>
      <c r="M1906" s="108"/>
      <c r="N1906" s="108"/>
      <c r="O1906" s="108"/>
      <c r="P1906" s="108"/>
      <c r="Q1906" s="108"/>
      <c r="R1906" s="108"/>
      <c r="S1906" s="108"/>
      <c r="T1906" s="108"/>
      <c r="U1906" s="108"/>
      <c r="V1906" s="108"/>
      <c r="W1906" s="108"/>
      <c r="X1906" s="108"/>
    </row>
    <row r="1907" spans="1:24">
      <c r="A1907" s="108"/>
      <c r="B1907" s="108"/>
      <c r="C1907" s="108"/>
      <c r="D1907" s="108"/>
      <c r="E1907" s="108"/>
      <c r="F1907" s="108"/>
      <c r="G1907" s="108"/>
      <c r="H1907" s="108"/>
      <c r="I1907" s="108"/>
      <c r="J1907" s="108"/>
      <c r="K1907" s="108"/>
      <c r="L1907" s="108"/>
      <c r="M1907" s="108"/>
      <c r="N1907" s="108"/>
      <c r="O1907" s="108"/>
      <c r="P1907" s="108"/>
      <c r="Q1907" s="108"/>
      <c r="R1907" s="108"/>
      <c r="S1907" s="108"/>
      <c r="T1907" s="108"/>
      <c r="U1907" s="108"/>
      <c r="V1907" s="108"/>
      <c r="W1907" s="108"/>
      <c r="X1907" s="108"/>
    </row>
    <row r="1908" spans="1:24">
      <c r="A1908" s="108"/>
      <c r="B1908" s="108"/>
      <c r="C1908" s="108"/>
      <c r="D1908" s="108"/>
      <c r="E1908" s="108"/>
      <c r="F1908" s="108"/>
      <c r="G1908" s="108"/>
      <c r="H1908" s="108"/>
      <c r="I1908" s="108"/>
      <c r="J1908" s="108"/>
      <c r="K1908" s="108"/>
      <c r="L1908" s="108"/>
      <c r="M1908" s="108"/>
      <c r="N1908" s="108"/>
      <c r="O1908" s="108"/>
      <c r="P1908" s="108"/>
      <c r="Q1908" s="108"/>
      <c r="R1908" s="108"/>
      <c r="S1908" s="108"/>
      <c r="T1908" s="108"/>
      <c r="U1908" s="108"/>
      <c r="V1908" s="108"/>
      <c r="W1908" s="108"/>
      <c r="X1908" s="108"/>
    </row>
    <row r="1909" spans="1:24">
      <c r="A1909" s="108"/>
      <c r="B1909" s="108"/>
      <c r="C1909" s="108"/>
      <c r="D1909" s="108"/>
      <c r="E1909" s="108"/>
      <c r="F1909" s="108"/>
      <c r="G1909" s="108"/>
      <c r="H1909" s="108"/>
      <c r="I1909" s="108"/>
      <c r="J1909" s="108"/>
      <c r="K1909" s="108"/>
      <c r="L1909" s="108"/>
      <c r="M1909" s="108"/>
      <c r="N1909" s="108"/>
      <c r="O1909" s="108"/>
      <c r="P1909" s="108"/>
      <c r="Q1909" s="108"/>
      <c r="R1909" s="108"/>
      <c r="S1909" s="108"/>
      <c r="T1909" s="108"/>
      <c r="U1909" s="108"/>
      <c r="V1909" s="108"/>
      <c r="W1909" s="108"/>
      <c r="X1909" s="108"/>
    </row>
    <row r="1910" spans="1:24">
      <c r="A1910" s="108"/>
      <c r="B1910" s="108"/>
      <c r="C1910" s="108"/>
      <c r="D1910" s="108"/>
      <c r="E1910" s="108"/>
      <c r="F1910" s="108"/>
      <c r="G1910" s="108"/>
      <c r="H1910" s="108"/>
      <c r="I1910" s="108"/>
      <c r="J1910" s="108"/>
      <c r="K1910" s="108"/>
      <c r="L1910" s="108"/>
      <c r="M1910" s="108"/>
      <c r="N1910" s="108"/>
      <c r="O1910" s="108"/>
      <c r="P1910" s="108"/>
      <c r="Q1910" s="108"/>
      <c r="R1910" s="108"/>
      <c r="S1910" s="108"/>
      <c r="T1910" s="108"/>
      <c r="U1910" s="108"/>
      <c r="V1910" s="108"/>
      <c r="W1910" s="108"/>
      <c r="X1910" s="108"/>
    </row>
    <row r="1911" spans="1:24">
      <c r="A1911" s="108"/>
      <c r="B1911" s="108"/>
      <c r="C1911" s="108"/>
      <c r="D1911" s="108"/>
      <c r="E1911" s="108"/>
      <c r="F1911" s="108"/>
      <c r="G1911" s="108"/>
      <c r="H1911" s="108"/>
      <c r="I1911" s="108"/>
      <c r="J1911" s="108"/>
      <c r="K1911" s="108"/>
      <c r="L1911" s="108"/>
      <c r="M1911" s="108"/>
      <c r="N1911" s="108"/>
      <c r="O1911" s="108"/>
      <c r="P1911" s="108"/>
      <c r="Q1911" s="108"/>
      <c r="R1911" s="108"/>
      <c r="S1911" s="108"/>
      <c r="T1911" s="108"/>
      <c r="U1911" s="108"/>
      <c r="V1911" s="108"/>
      <c r="W1911" s="108"/>
      <c r="X1911" s="108"/>
    </row>
    <row r="1912" spans="1:24">
      <c r="A1912" s="108"/>
      <c r="B1912" s="108"/>
      <c r="C1912" s="108"/>
      <c r="D1912" s="108"/>
      <c r="E1912" s="108"/>
      <c r="F1912" s="108"/>
      <c r="G1912" s="108"/>
      <c r="H1912" s="108"/>
      <c r="I1912" s="108"/>
      <c r="J1912" s="108"/>
      <c r="K1912" s="108"/>
      <c r="L1912" s="108"/>
      <c r="M1912" s="108"/>
      <c r="N1912" s="108"/>
      <c r="O1912" s="108"/>
      <c r="P1912" s="108"/>
      <c r="Q1912" s="108"/>
      <c r="R1912" s="108"/>
      <c r="S1912" s="108"/>
      <c r="T1912" s="108"/>
      <c r="U1912" s="108"/>
      <c r="V1912" s="108"/>
      <c r="W1912" s="108"/>
      <c r="X1912" s="108"/>
    </row>
    <row r="1913" spans="1:24">
      <c r="A1913" s="108"/>
      <c r="B1913" s="108"/>
      <c r="C1913" s="108"/>
      <c r="D1913" s="108"/>
      <c r="E1913" s="108"/>
      <c r="F1913" s="108"/>
      <c r="G1913" s="108"/>
      <c r="H1913" s="108"/>
      <c r="I1913" s="108"/>
      <c r="J1913" s="108"/>
      <c r="K1913" s="108"/>
      <c r="L1913" s="108"/>
      <c r="M1913" s="108"/>
      <c r="N1913" s="108"/>
      <c r="O1913" s="108"/>
      <c r="P1913" s="108"/>
      <c r="Q1913" s="108"/>
      <c r="R1913" s="108"/>
      <c r="S1913" s="108"/>
      <c r="T1913" s="108"/>
      <c r="U1913" s="108"/>
      <c r="V1913" s="108"/>
      <c r="W1913" s="108"/>
      <c r="X1913" s="108"/>
    </row>
    <row r="1914" spans="1:24">
      <c r="A1914" s="108"/>
      <c r="B1914" s="108"/>
      <c r="C1914" s="108"/>
      <c r="D1914" s="108"/>
      <c r="E1914" s="108"/>
      <c r="F1914" s="108"/>
      <c r="G1914" s="108"/>
      <c r="H1914" s="108"/>
      <c r="I1914" s="108"/>
      <c r="J1914" s="108"/>
      <c r="K1914" s="108"/>
      <c r="L1914" s="108"/>
      <c r="M1914" s="108"/>
      <c r="N1914" s="108"/>
      <c r="O1914" s="108"/>
      <c r="P1914" s="108"/>
      <c r="Q1914" s="108"/>
      <c r="R1914" s="108"/>
      <c r="S1914" s="108"/>
      <c r="T1914" s="108"/>
      <c r="U1914" s="108"/>
      <c r="V1914" s="108"/>
      <c r="W1914" s="108"/>
      <c r="X1914" s="108"/>
    </row>
    <row r="1915" spans="1:24">
      <c r="A1915" s="108"/>
      <c r="B1915" s="108"/>
      <c r="C1915" s="108"/>
      <c r="D1915" s="108"/>
      <c r="E1915" s="108"/>
      <c r="F1915" s="108"/>
      <c r="G1915" s="108"/>
      <c r="H1915" s="108"/>
      <c r="I1915" s="108"/>
      <c r="J1915" s="108"/>
      <c r="K1915" s="108"/>
      <c r="L1915" s="108"/>
      <c r="M1915" s="108"/>
      <c r="N1915" s="108"/>
      <c r="O1915" s="108"/>
      <c r="P1915" s="108"/>
      <c r="Q1915" s="108"/>
      <c r="R1915" s="108"/>
      <c r="S1915" s="108"/>
      <c r="T1915" s="108"/>
      <c r="U1915" s="108"/>
      <c r="V1915" s="108"/>
      <c r="W1915" s="108"/>
      <c r="X1915" s="108"/>
    </row>
    <row r="1916" spans="1:24">
      <c r="A1916" s="108"/>
      <c r="B1916" s="108"/>
      <c r="C1916" s="108"/>
      <c r="D1916" s="108"/>
      <c r="E1916" s="108"/>
      <c r="F1916" s="108"/>
      <c r="G1916" s="108"/>
      <c r="H1916" s="108"/>
      <c r="I1916" s="108"/>
      <c r="J1916" s="108"/>
      <c r="K1916" s="108"/>
      <c r="L1916" s="108"/>
      <c r="M1916" s="108"/>
      <c r="N1916" s="108"/>
      <c r="O1916" s="108"/>
      <c r="P1916" s="108"/>
      <c r="Q1916" s="108"/>
      <c r="R1916" s="108"/>
      <c r="S1916" s="108"/>
      <c r="T1916" s="108"/>
      <c r="U1916" s="108"/>
      <c r="V1916" s="108"/>
      <c r="W1916" s="108"/>
      <c r="X1916" s="108"/>
    </row>
    <row r="1917" spans="1:24">
      <c r="A1917" s="108"/>
      <c r="B1917" s="108"/>
      <c r="C1917" s="108"/>
      <c r="D1917" s="108"/>
      <c r="E1917" s="108"/>
      <c r="F1917" s="108"/>
      <c r="G1917" s="108"/>
      <c r="H1917" s="108"/>
      <c r="I1917" s="108"/>
      <c r="J1917" s="108"/>
      <c r="K1917" s="108"/>
      <c r="L1917" s="108"/>
      <c r="M1917" s="108"/>
      <c r="N1917" s="108"/>
      <c r="O1917" s="108"/>
      <c r="P1917" s="108"/>
      <c r="Q1917" s="108"/>
      <c r="R1917" s="108"/>
      <c r="S1917" s="108"/>
      <c r="T1917" s="108"/>
      <c r="U1917" s="108"/>
      <c r="V1917" s="108"/>
      <c r="W1917" s="108"/>
      <c r="X1917" s="108"/>
    </row>
    <row r="1918" spans="1:24">
      <c r="A1918" s="108"/>
      <c r="B1918" s="108"/>
      <c r="C1918" s="108"/>
      <c r="D1918" s="108"/>
      <c r="E1918" s="108"/>
      <c r="F1918" s="108"/>
      <c r="G1918" s="108"/>
      <c r="H1918" s="108"/>
      <c r="I1918" s="108"/>
      <c r="J1918" s="108"/>
      <c r="K1918" s="108"/>
      <c r="L1918" s="108"/>
      <c r="M1918" s="108"/>
      <c r="N1918" s="108"/>
      <c r="O1918" s="108"/>
      <c r="P1918" s="108"/>
      <c r="Q1918" s="108"/>
      <c r="R1918" s="108"/>
      <c r="S1918" s="108"/>
      <c r="T1918" s="108"/>
      <c r="U1918" s="108"/>
      <c r="V1918" s="108"/>
      <c r="W1918" s="108"/>
      <c r="X1918" s="108"/>
    </row>
    <row r="1919" spans="1:24">
      <c r="A1919" s="108"/>
      <c r="B1919" s="108"/>
      <c r="C1919" s="108"/>
      <c r="D1919" s="108"/>
      <c r="E1919" s="108"/>
      <c r="F1919" s="108"/>
      <c r="G1919" s="108"/>
      <c r="H1919" s="108"/>
      <c r="I1919" s="108"/>
      <c r="J1919" s="108"/>
      <c r="K1919" s="108"/>
      <c r="L1919" s="108"/>
      <c r="M1919" s="108"/>
      <c r="N1919" s="108"/>
      <c r="O1919" s="108"/>
      <c r="P1919" s="108"/>
      <c r="Q1919" s="108"/>
      <c r="R1919" s="108"/>
      <c r="S1919" s="108"/>
      <c r="T1919" s="108"/>
      <c r="U1919" s="108"/>
      <c r="V1919" s="108"/>
      <c r="W1919" s="108"/>
      <c r="X1919" s="108"/>
    </row>
    <row r="1920" spans="1:24">
      <c r="A1920" s="108"/>
      <c r="B1920" s="108"/>
      <c r="C1920" s="108"/>
      <c r="D1920" s="108"/>
      <c r="E1920" s="108"/>
      <c r="F1920" s="108"/>
      <c r="G1920" s="108"/>
      <c r="H1920" s="108"/>
      <c r="I1920" s="108"/>
      <c r="J1920" s="108"/>
      <c r="K1920" s="108"/>
      <c r="L1920" s="108"/>
      <c r="M1920" s="108"/>
      <c r="N1920" s="108"/>
      <c r="O1920" s="108"/>
      <c r="P1920" s="108"/>
      <c r="Q1920" s="108"/>
      <c r="R1920" s="108"/>
      <c r="S1920" s="108"/>
      <c r="T1920" s="108"/>
      <c r="U1920" s="108"/>
      <c r="V1920" s="108"/>
      <c r="W1920" s="108"/>
      <c r="X1920" s="108"/>
    </row>
    <row r="1921" spans="1:24">
      <c r="A1921" s="108"/>
      <c r="B1921" s="108"/>
      <c r="C1921" s="108"/>
      <c r="D1921" s="108"/>
      <c r="E1921" s="108"/>
      <c r="F1921" s="108"/>
      <c r="G1921" s="108"/>
      <c r="H1921" s="108"/>
      <c r="I1921" s="108"/>
      <c r="J1921" s="108"/>
      <c r="K1921" s="108"/>
      <c r="L1921" s="108"/>
      <c r="M1921" s="108"/>
      <c r="N1921" s="108"/>
      <c r="O1921" s="108"/>
      <c r="P1921" s="108"/>
      <c r="Q1921" s="108"/>
      <c r="R1921" s="108"/>
      <c r="S1921" s="108"/>
      <c r="T1921" s="108"/>
      <c r="U1921" s="108"/>
      <c r="V1921" s="108"/>
      <c r="W1921" s="108"/>
      <c r="X1921" s="108"/>
    </row>
    <row r="1922" spans="1:24">
      <c r="A1922" s="108"/>
      <c r="B1922" s="108"/>
      <c r="C1922" s="108"/>
      <c r="D1922" s="108"/>
      <c r="E1922" s="108"/>
      <c r="F1922" s="108"/>
      <c r="G1922" s="108"/>
      <c r="H1922" s="108"/>
      <c r="I1922" s="108"/>
      <c r="J1922" s="108"/>
      <c r="K1922" s="108"/>
      <c r="L1922" s="108"/>
      <c r="M1922" s="108"/>
      <c r="N1922" s="108"/>
      <c r="O1922" s="108"/>
      <c r="P1922" s="108"/>
      <c r="Q1922" s="108"/>
      <c r="R1922" s="108"/>
      <c r="S1922" s="108"/>
      <c r="T1922" s="108"/>
      <c r="U1922" s="108"/>
      <c r="V1922" s="108"/>
      <c r="W1922" s="108"/>
      <c r="X1922" s="108"/>
    </row>
    <row r="1923" spans="1:24">
      <c r="A1923" s="108"/>
      <c r="B1923" s="108"/>
      <c r="C1923" s="108"/>
      <c r="D1923" s="108"/>
      <c r="E1923" s="108"/>
      <c r="F1923" s="108"/>
      <c r="G1923" s="108"/>
      <c r="H1923" s="108"/>
      <c r="I1923" s="108"/>
      <c r="J1923" s="108"/>
      <c r="K1923" s="108"/>
      <c r="L1923" s="108"/>
      <c r="M1923" s="108"/>
      <c r="N1923" s="108"/>
      <c r="O1923" s="108"/>
      <c r="P1923" s="108"/>
      <c r="Q1923" s="108"/>
      <c r="R1923" s="108"/>
      <c r="S1923" s="108"/>
      <c r="T1923" s="108"/>
      <c r="U1923" s="108"/>
      <c r="V1923" s="108"/>
      <c r="W1923" s="108"/>
      <c r="X1923" s="108"/>
    </row>
    <row r="1924" spans="1:24">
      <c r="A1924" s="108"/>
      <c r="B1924" s="108"/>
      <c r="C1924" s="108"/>
      <c r="D1924" s="108"/>
      <c r="E1924" s="108"/>
      <c r="F1924" s="108"/>
      <c r="G1924" s="108"/>
      <c r="H1924" s="108"/>
      <c r="I1924" s="108"/>
      <c r="J1924" s="108"/>
      <c r="K1924" s="108"/>
      <c r="L1924" s="108"/>
      <c r="M1924" s="108"/>
      <c r="N1924" s="108"/>
      <c r="O1924" s="108"/>
      <c r="P1924" s="108"/>
      <c r="Q1924" s="108"/>
      <c r="R1924" s="108"/>
      <c r="S1924" s="108"/>
      <c r="T1924" s="108"/>
      <c r="U1924" s="108"/>
      <c r="V1924" s="108"/>
      <c r="W1924" s="108"/>
      <c r="X1924" s="108"/>
    </row>
    <row r="1925" spans="1:24">
      <c r="A1925" s="108"/>
      <c r="B1925" s="108"/>
      <c r="C1925" s="108"/>
      <c r="D1925" s="108"/>
      <c r="E1925" s="108"/>
      <c r="F1925" s="108"/>
      <c r="G1925" s="108"/>
      <c r="H1925" s="108"/>
      <c r="I1925" s="108"/>
      <c r="J1925" s="108"/>
      <c r="K1925" s="108"/>
      <c r="L1925" s="108"/>
      <c r="M1925" s="108"/>
      <c r="N1925" s="108"/>
      <c r="O1925" s="108"/>
      <c r="P1925" s="108"/>
      <c r="Q1925" s="108"/>
      <c r="R1925" s="108"/>
      <c r="S1925" s="108"/>
      <c r="T1925" s="108"/>
      <c r="U1925" s="108"/>
      <c r="V1925" s="108"/>
      <c r="W1925" s="108"/>
      <c r="X1925" s="108"/>
    </row>
    <row r="1926" spans="1:24">
      <c r="A1926" s="108"/>
      <c r="B1926" s="108"/>
      <c r="C1926" s="108"/>
      <c r="D1926" s="108"/>
      <c r="E1926" s="108"/>
      <c r="F1926" s="108"/>
      <c r="G1926" s="108"/>
      <c r="H1926" s="108"/>
      <c r="I1926" s="108"/>
      <c r="J1926" s="108"/>
      <c r="K1926" s="108"/>
      <c r="L1926" s="108"/>
      <c r="M1926" s="108"/>
      <c r="N1926" s="108"/>
      <c r="O1926" s="108"/>
      <c r="P1926" s="108"/>
      <c r="Q1926" s="108"/>
      <c r="R1926" s="108"/>
      <c r="S1926" s="108"/>
      <c r="T1926" s="108"/>
      <c r="U1926" s="108"/>
      <c r="V1926" s="108"/>
      <c r="W1926" s="108"/>
      <c r="X1926" s="108"/>
    </row>
    <row r="1927" spans="1:24">
      <c r="A1927" s="108"/>
      <c r="B1927" s="108"/>
      <c r="C1927" s="108"/>
      <c r="D1927" s="108"/>
      <c r="E1927" s="108"/>
      <c r="F1927" s="108"/>
      <c r="G1927" s="108"/>
      <c r="H1927" s="108"/>
      <c r="I1927" s="108"/>
      <c r="J1927" s="108"/>
      <c r="K1927" s="108"/>
      <c r="L1927" s="108"/>
      <c r="M1927" s="108"/>
      <c r="N1927" s="108"/>
      <c r="O1927" s="108"/>
      <c r="P1927" s="108"/>
      <c r="Q1927" s="108"/>
      <c r="R1927" s="108"/>
      <c r="S1927" s="108"/>
      <c r="T1927" s="108"/>
      <c r="U1927" s="108"/>
      <c r="V1927" s="108"/>
      <c r="W1927" s="108"/>
      <c r="X1927" s="108"/>
    </row>
    <row r="1928" spans="1:24">
      <c r="A1928" s="108"/>
      <c r="B1928" s="108"/>
      <c r="C1928" s="108"/>
      <c r="D1928" s="108"/>
      <c r="E1928" s="108"/>
      <c r="F1928" s="108"/>
      <c r="G1928" s="108"/>
      <c r="H1928" s="108"/>
      <c r="I1928" s="108"/>
      <c r="J1928" s="108"/>
      <c r="K1928" s="108"/>
      <c r="L1928" s="108"/>
      <c r="M1928" s="108"/>
      <c r="N1928" s="108"/>
      <c r="O1928" s="108"/>
      <c r="P1928" s="108"/>
      <c r="Q1928" s="108"/>
      <c r="R1928" s="108"/>
      <c r="S1928" s="108"/>
      <c r="T1928" s="108"/>
      <c r="U1928" s="108"/>
      <c r="V1928" s="108"/>
      <c r="W1928" s="108"/>
      <c r="X1928" s="108"/>
    </row>
    <row r="1929" spans="1:24">
      <c r="A1929" s="108"/>
      <c r="B1929" s="108"/>
      <c r="C1929" s="108"/>
      <c r="D1929" s="108"/>
      <c r="E1929" s="108"/>
      <c r="F1929" s="108"/>
      <c r="G1929" s="108"/>
      <c r="H1929" s="108"/>
      <c r="I1929" s="108"/>
      <c r="J1929" s="108"/>
      <c r="K1929" s="108"/>
      <c r="L1929" s="108"/>
      <c r="M1929" s="108"/>
      <c r="N1929" s="108"/>
      <c r="O1929" s="108"/>
      <c r="P1929" s="108"/>
      <c r="Q1929" s="108"/>
      <c r="R1929" s="108"/>
      <c r="S1929" s="108"/>
      <c r="T1929" s="108"/>
      <c r="U1929" s="108"/>
      <c r="V1929" s="108"/>
      <c r="W1929" s="108"/>
      <c r="X1929" s="108"/>
    </row>
    <row r="1930" spans="1:24">
      <c r="A1930" s="108"/>
      <c r="B1930" s="108"/>
      <c r="C1930" s="108"/>
      <c r="D1930" s="108"/>
      <c r="E1930" s="108"/>
      <c r="F1930" s="108"/>
      <c r="G1930" s="108"/>
      <c r="H1930" s="108"/>
      <c r="I1930" s="108"/>
      <c r="J1930" s="108"/>
      <c r="K1930" s="108"/>
      <c r="L1930" s="108"/>
      <c r="M1930" s="108"/>
      <c r="N1930" s="108"/>
      <c r="O1930" s="108"/>
      <c r="P1930" s="108"/>
      <c r="Q1930" s="108"/>
      <c r="R1930" s="108"/>
      <c r="S1930" s="108"/>
      <c r="T1930" s="108"/>
      <c r="U1930" s="108"/>
      <c r="V1930" s="108"/>
      <c r="W1930" s="108"/>
      <c r="X1930" s="108"/>
    </row>
    <row r="1931" spans="1:24">
      <c r="A1931" s="108"/>
      <c r="B1931" s="108"/>
      <c r="C1931" s="108"/>
      <c r="D1931" s="108"/>
      <c r="E1931" s="108"/>
      <c r="F1931" s="108"/>
      <c r="G1931" s="108"/>
      <c r="H1931" s="108"/>
      <c r="I1931" s="108"/>
      <c r="J1931" s="108"/>
      <c r="K1931" s="108"/>
      <c r="L1931" s="108"/>
      <c r="M1931" s="108"/>
      <c r="N1931" s="108"/>
      <c r="O1931" s="108"/>
      <c r="P1931" s="108"/>
      <c r="Q1931" s="108"/>
      <c r="R1931" s="108"/>
      <c r="S1931" s="108"/>
      <c r="T1931" s="108"/>
      <c r="U1931" s="108"/>
      <c r="V1931" s="108"/>
      <c r="W1931" s="108"/>
      <c r="X1931" s="108"/>
    </row>
    <row r="1932" spans="1:24">
      <c r="A1932" s="108"/>
      <c r="B1932" s="108"/>
      <c r="C1932" s="108"/>
      <c r="D1932" s="108"/>
      <c r="E1932" s="108"/>
      <c r="F1932" s="108"/>
      <c r="G1932" s="108"/>
      <c r="H1932" s="108"/>
      <c r="I1932" s="108"/>
      <c r="J1932" s="108"/>
      <c r="K1932" s="108"/>
      <c r="L1932" s="108"/>
      <c r="M1932" s="108"/>
      <c r="N1932" s="108"/>
      <c r="O1932" s="108"/>
      <c r="P1932" s="108"/>
      <c r="Q1932" s="108"/>
      <c r="R1932" s="108"/>
      <c r="S1932" s="108"/>
      <c r="T1932" s="108"/>
      <c r="U1932" s="108"/>
      <c r="V1932" s="108"/>
      <c r="W1932" s="108"/>
      <c r="X1932" s="108"/>
    </row>
    <row r="1933" spans="1:24">
      <c r="A1933" s="108"/>
      <c r="B1933" s="108"/>
      <c r="C1933" s="108"/>
      <c r="D1933" s="108"/>
      <c r="E1933" s="108"/>
      <c r="F1933" s="108"/>
      <c r="G1933" s="108"/>
      <c r="H1933" s="108"/>
      <c r="I1933" s="108"/>
      <c r="J1933" s="108"/>
      <c r="K1933" s="108"/>
      <c r="L1933" s="108"/>
      <c r="M1933" s="108"/>
      <c r="N1933" s="108"/>
      <c r="O1933" s="108"/>
      <c r="P1933" s="108"/>
      <c r="Q1933" s="108"/>
      <c r="R1933" s="108"/>
      <c r="S1933" s="108"/>
      <c r="T1933" s="108"/>
      <c r="U1933" s="108"/>
      <c r="V1933" s="108"/>
      <c r="W1933" s="108"/>
      <c r="X1933" s="108"/>
    </row>
    <row r="1934" spans="1:24">
      <c r="A1934" s="108"/>
      <c r="B1934" s="108"/>
      <c r="C1934" s="108"/>
      <c r="D1934" s="108"/>
      <c r="E1934" s="108"/>
      <c r="F1934" s="108"/>
      <c r="G1934" s="108"/>
      <c r="H1934" s="108"/>
      <c r="I1934" s="108"/>
      <c r="J1934" s="108"/>
      <c r="K1934" s="108"/>
      <c r="L1934" s="108"/>
      <c r="M1934" s="108"/>
      <c r="N1934" s="108"/>
      <c r="O1934" s="108"/>
      <c r="P1934" s="108"/>
      <c r="Q1934" s="108"/>
      <c r="R1934" s="108"/>
      <c r="S1934" s="108"/>
      <c r="T1934" s="108"/>
      <c r="U1934" s="108"/>
      <c r="V1934" s="108"/>
      <c r="W1934" s="108"/>
      <c r="X1934" s="108"/>
    </row>
    <row r="1935" spans="1:24">
      <c r="A1935" s="108"/>
      <c r="B1935" s="108"/>
      <c r="C1935" s="108"/>
      <c r="D1935" s="108"/>
      <c r="E1935" s="108"/>
      <c r="F1935" s="108"/>
      <c r="G1935" s="108"/>
      <c r="H1935" s="108"/>
      <c r="I1935" s="108"/>
      <c r="J1935" s="108"/>
      <c r="K1935" s="108"/>
      <c r="L1935" s="108"/>
      <c r="M1935" s="108"/>
      <c r="N1935" s="108"/>
      <c r="O1935" s="108"/>
      <c r="P1935" s="108"/>
      <c r="Q1935" s="108"/>
      <c r="R1935" s="108"/>
      <c r="S1935" s="108"/>
      <c r="T1935" s="108"/>
      <c r="U1935" s="108"/>
      <c r="V1935" s="108"/>
      <c r="W1935" s="108"/>
      <c r="X1935" s="108"/>
    </row>
    <row r="1936" spans="1:24">
      <c r="A1936" s="108"/>
      <c r="B1936" s="108"/>
      <c r="C1936" s="108"/>
      <c r="D1936" s="108"/>
      <c r="E1936" s="108"/>
      <c r="F1936" s="108"/>
      <c r="G1936" s="108"/>
      <c r="H1936" s="108"/>
      <c r="I1936" s="108"/>
      <c r="J1936" s="108"/>
      <c r="K1936" s="108"/>
      <c r="L1936" s="108"/>
      <c r="M1936" s="108"/>
      <c r="N1936" s="108"/>
      <c r="O1936" s="108"/>
      <c r="P1936" s="108"/>
      <c r="Q1936" s="108"/>
      <c r="R1936" s="108"/>
      <c r="S1936" s="108"/>
      <c r="T1936" s="108"/>
      <c r="U1936" s="108"/>
      <c r="V1936" s="108"/>
      <c r="W1936" s="108"/>
      <c r="X1936" s="108"/>
    </row>
    <row r="1937" spans="1:24">
      <c r="A1937" s="108"/>
      <c r="B1937" s="108"/>
      <c r="C1937" s="108"/>
      <c r="D1937" s="108"/>
      <c r="E1937" s="108"/>
      <c r="F1937" s="108"/>
      <c r="G1937" s="108"/>
      <c r="H1937" s="108"/>
      <c r="I1937" s="108"/>
      <c r="J1937" s="108"/>
      <c r="K1937" s="108"/>
      <c r="L1937" s="108"/>
      <c r="M1937" s="108"/>
      <c r="N1937" s="108"/>
      <c r="O1937" s="108"/>
      <c r="P1937" s="108"/>
      <c r="Q1937" s="108"/>
      <c r="R1937" s="108"/>
      <c r="S1937" s="108"/>
      <c r="T1937" s="108"/>
      <c r="U1937" s="108"/>
      <c r="V1937" s="108"/>
      <c r="W1937" s="108"/>
      <c r="X1937" s="108"/>
    </row>
    <row r="1938" spans="1:24">
      <c r="A1938" s="108"/>
      <c r="B1938" s="108"/>
      <c r="C1938" s="108"/>
      <c r="D1938" s="108"/>
      <c r="E1938" s="108"/>
      <c r="F1938" s="108"/>
      <c r="G1938" s="108"/>
      <c r="H1938" s="108"/>
      <c r="I1938" s="108"/>
      <c r="J1938" s="108"/>
      <c r="K1938" s="108"/>
      <c r="L1938" s="108"/>
      <c r="M1938" s="108"/>
      <c r="N1938" s="108"/>
      <c r="O1938" s="108"/>
      <c r="P1938" s="108"/>
      <c r="Q1938" s="108"/>
      <c r="R1938" s="108"/>
      <c r="S1938" s="108"/>
      <c r="T1938" s="108"/>
      <c r="U1938" s="108"/>
      <c r="V1938" s="108"/>
      <c r="W1938" s="108"/>
      <c r="X1938" s="108"/>
    </row>
    <row r="1939" spans="1:24">
      <c r="A1939" s="108"/>
      <c r="B1939" s="108"/>
      <c r="C1939" s="108"/>
      <c r="D1939" s="108"/>
      <c r="E1939" s="108"/>
      <c r="F1939" s="108"/>
      <c r="G1939" s="108"/>
      <c r="H1939" s="108"/>
      <c r="I1939" s="108"/>
      <c r="J1939" s="108"/>
      <c r="K1939" s="108"/>
      <c r="L1939" s="108"/>
      <c r="M1939" s="108"/>
      <c r="N1939" s="108"/>
      <c r="O1939" s="108"/>
      <c r="P1939" s="108"/>
      <c r="Q1939" s="108"/>
      <c r="R1939" s="108"/>
      <c r="S1939" s="108"/>
      <c r="T1939" s="108"/>
      <c r="U1939" s="108"/>
      <c r="V1939" s="108"/>
      <c r="W1939" s="108"/>
      <c r="X1939" s="108"/>
    </row>
    <row r="1940" spans="1:24">
      <c r="A1940" s="108"/>
      <c r="B1940" s="108"/>
      <c r="C1940" s="108"/>
      <c r="D1940" s="108"/>
      <c r="E1940" s="108"/>
      <c r="F1940" s="108"/>
      <c r="G1940" s="108"/>
      <c r="H1940" s="108"/>
      <c r="I1940" s="108"/>
      <c r="J1940" s="108"/>
      <c r="K1940" s="108"/>
      <c r="L1940" s="108"/>
      <c r="M1940" s="108"/>
      <c r="N1940" s="108"/>
      <c r="O1940" s="108"/>
      <c r="P1940" s="108"/>
      <c r="Q1940" s="108"/>
      <c r="R1940" s="108"/>
      <c r="S1940" s="108"/>
      <c r="T1940" s="108"/>
      <c r="U1940" s="108"/>
      <c r="V1940" s="108"/>
      <c r="W1940" s="108"/>
      <c r="X1940" s="108"/>
    </row>
    <row r="1941" spans="1:24">
      <c r="A1941" s="108"/>
      <c r="B1941" s="108"/>
      <c r="C1941" s="108"/>
      <c r="D1941" s="108"/>
      <c r="E1941" s="108"/>
      <c r="F1941" s="108"/>
      <c r="G1941" s="108"/>
      <c r="H1941" s="108"/>
      <c r="I1941" s="108"/>
      <c r="J1941" s="108"/>
      <c r="K1941" s="108"/>
      <c r="L1941" s="108"/>
      <c r="M1941" s="108"/>
      <c r="N1941" s="108"/>
      <c r="O1941" s="108"/>
      <c r="P1941" s="108"/>
      <c r="Q1941" s="108"/>
      <c r="R1941" s="108"/>
      <c r="S1941" s="108"/>
      <c r="T1941" s="108"/>
      <c r="U1941" s="108"/>
      <c r="V1941" s="108"/>
      <c r="W1941" s="108"/>
      <c r="X1941" s="108"/>
    </row>
    <row r="1942" spans="1:24">
      <c r="A1942" s="108"/>
      <c r="B1942" s="108"/>
      <c r="C1942" s="108"/>
      <c r="D1942" s="108"/>
      <c r="E1942" s="108"/>
      <c r="F1942" s="108"/>
      <c r="G1942" s="108"/>
      <c r="H1942" s="108"/>
      <c r="I1942" s="108"/>
      <c r="J1942" s="108"/>
      <c r="K1942" s="108"/>
      <c r="L1942" s="108"/>
      <c r="M1942" s="108"/>
      <c r="N1942" s="108"/>
      <c r="O1942" s="108"/>
      <c r="P1942" s="108"/>
      <c r="Q1942" s="108"/>
      <c r="R1942" s="108"/>
      <c r="S1942" s="108"/>
      <c r="T1942" s="108"/>
      <c r="U1942" s="108"/>
      <c r="V1942" s="108"/>
      <c r="W1942" s="108"/>
      <c r="X1942" s="108"/>
    </row>
    <row r="1943" spans="1:24">
      <c r="A1943" s="108"/>
      <c r="B1943" s="108"/>
      <c r="C1943" s="108"/>
      <c r="D1943" s="108"/>
      <c r="E1943" s="108"/>
      <c r="F1943" s="108"/>
      <c r="G1943" s="108"/>
      <c r="H1943" s="108"/>
      <c r="I1943" s="108"/>
      <c r="J1943" s="108"/>
      <c r="K1943" s="108"/>
      <c r="L1943" s="108"/>
      <c r="M1943" s="108"/>
      <c r="N1943" s="108"/>
      <c r="O1943" s="108"/>
      <c r="P1943" s="108"/>
      <c r="Q1943" s="108"/>
      <c r="R1943" s="108"/>
      <c r="S1943" s="108"/>
      <c r="T1943" s="108"/>
      <c r="U1943" s="108"/>
      <c r="V1943" s="108"/>
      <c r="W1943" s="108"/>
      <c r="X1943" s="108"/>
    </row>
    <row r="1944" spans="1:24">
      <c r="A1944" s="108"/>
      <c r="B1944" s="108"/>
      <c r="C1944" s="108"/>
      <c r="D1944" s="108"/>
      <c r="E1944" s="108"/>
      <c r="F1944" s="108"/>
      <c r="G1944" s="108"/>
      <c r="H1944" s="108"/>
      <c r="I1944" s="108"/>
      <c r="J1944" s="108"/>
      <c r="K1944" s="108"/>
      <c r="L1944" s="108"/>
      <c r="M1944" s="108"/>
      <c r="N1944" s="108"/>
      <c r="O1944" s="108"/>
      <c r="P1944" s="108"/>
      <c r="Q1944" s="108"/>
      <c r="R1944" s="108"/>
      <c r="S1944" s="108"/>
      <c r="T1944" s="108"/>
      <c r="U1944" s="108"/>
      <c r="V1944" s="108"/>
      <c r="W1944" s="108"/>
      <c r="X1944" s="108"/>
    </row>
    <row r="1945" spans="1:24">
      <c r="A1945" s="108"/>
      <c r="B1945" s="108"/>
      <c r="C1945" s="108"/>
      <c r="D1945" s="108"/>
      <c r="E1945" s="108"/>
      <c r="F1945" s="108"/>
      <c r="G1945" s="108"/>
      <c r="H1945" s="108"/>
      <c r="I1945" s="108"/>
      <c r="J1945" s="108"/>
      <c r="K1945" s="108"/>
      <c r="L1945" s="108"/>
      <c r="M1945" s="108"/>
      <c r="N1945" s="108"/>
      <c r="O1945" s="108"/>
      <c r="P1945" s="108"/>
      <c r="Q1945" s="108"/>
      <c r="R1945" s="108"/>
      <c r="S1945" s="108"/>
      <c r="T1945" s="108"/>
      <c r="U1945" s="108"/>
      <c r="V1945" s="108"/>
      <c r="W1945" s="108"/>
      <c r="X1945" s="108"/>
    </row>
    <row r="1946" spans="1:24">
      <c r="A1946" s="108"/>
      <c r="B1946" s="108"/>
      <c r="C1946" s="108"/>
      <c r="D1946" s="108"/>
      <c r="E1946" s="108"/>
      <c r="F1946" s="108"/>
      <c r="G1946" s="108"/>
      <c r="H1946" s="108"/>
      <c r="I1946" s="108"/>
      <c r="J1946" s="108"/>
      <c r="K1946" s="108"/>
      <c r="L1946" s="108"/>
      <c r="M1946" s="108"/>
      <c r="N1946" s="108"/>
      <c r="O1946" s="108"/>
      <c r="P1946" s="108"/>
      <c r="Q1946" s="108"/>
      <c r="R1946" s="108"/>
      <c r="S1946" s="108"/>
      <c r="T1946" s="108"/>
      <c r="U1946" s="108"/>
      <c r="V1946" s="108"/>
      <c r="W1946" s="108"/>
      <c r="X1946" s="108"/>
    </row>
    <row r="1947" spans="1:24">
      <c r="A1947" s="108"/>
      <c r="B1947" s="108"/>
      <c r="C1947" s="108"/>
      <c r="D1947" s="108"/>
      <c r="E1947" s="108"/>
      <c r="F1947" s="108"/>
      <c r="G1947" s="108"/>
      <c r="H1947" s="108"/>
      <c r="I1947" s="108"/>
      <c r="J1947" s="108"/>
      <c r="K1947" s="108"/>
      <c r="L1947" s="108"/>
      <c r="M1947" s="108"/>
      <c r="N1947" s="108"/>
      <c r="O1947" s="108"/>
      <c r="P1947" s="108"/>
      <c r="Q1947" s="108"/>
      <c r="R1947" s="108"/>
      <c r="S1947" s="108"/>
      <c r="T1947" s="108"/>
      <c r="U1947" s="108"/>
      <c r="V1947" s="108"/>
      <c r="W1947" s="108"/>
      <c r="X1947" s="108"/>
    </row>
    <row r="1948" spans="1:24">
      <c r="A1948" s="108"/>
      <c r="B1948" s="108"/>
      <c r="C1948" s="108"/>
      <c r="D1948" s="108"/>
      <c r="E1948" s="108"/>
      <c r="F1948" s="108"/>
      <c r="G1948" s="108"/>
      <c r="H1948" s="108"/>
      <c r="I1948" s="108"/>
      <c r="J1948" s="108"/>
      <c r="K1948" s="108"/>
      <c r="L1948" s="108"/>
      <c r="M1948" s="108"/>
      <c r="N1948" s="108"/>
      <c r="O1948" s="108"/>
      <c r="P1948" s="108"/>
      <c r="Q1948" s="108"/>
      <c r="R1948" s="108"/>
      <c r="S1948" s="108"/>
      <c r="T1948" s="108"/>
      <c r="U1948" s="108"/>
      <c r="V1948" s="108"/>
      <c r="W1948" s="108"/>
      <c r="X1948" s="108"/>
    </row>
    <row r="1949" spans="1:24">
      <c r="A1949" s="108"/>
      <c r="B1949" s="108"/>
      <c r="C1949" s="108"/>
      <c r="D1949" s="108"/>
      <c r="E1949" s="108"/>
      <c r="F1949" s="108"/>
      <c r="G1949" s="108"/>
      <c r="H1949" s="108"/>
      <c r="I1949" s="108"/>
      <c r="J1949" s="108"/>
      <c r="K1949" s="108"/>
      <c r="L1949" s="108"/>
      <c r="M1949" s="108"/>
      <c r="N1949" s="108"/>
      <c r="O1949" s="108"/>
      <c r="P1949" s="108"/>
      <c r="Q1949" s="108"/>
      <c r="R1949" s="108"/>
      <c r="S1949" s="108"/>
      <c r="T1949" s="108"/>
      <c r="U1949" s="108"/>
      <c r="V1949" s="108"/>
      <c r="W1949" s="108"/>
      <c r="X1949" s="108"/>
    </row>
    <row r="1950" spans="1:24">
      <c r="A1950" s="108"/>
      <c r="B1950" s="108"/>
      <c r="C1950" s="108"/>
      <c r="D1950" s="108"/>
      <c r="E1950" s="108"/>
      <c r="F1950" s="108"/>
      <c r="G1950" s="108"/>
      <c r="H1950" s="108"/>
      <c r="I1950" s="108"/>
      <c r="J1950" s="108"/>
      <c r="K1950" s="108"/>
      <c r="L1950" s="108"/>
      <c r="M1950" s="108"/>
      <c r="N1950" s="108"/>
      <c r="O1950" s="108"/>
      <c r="P1950" s="108"/>
      <c r="Q1950" s="108"/>
      <c r="R1950" s="108"/>
      <c r="S1950" s="108"/>
      <c r="T1950" s="108"/>
      <c r="U1950" s="108"/>
      <c r="V1950" s="108"/>
      <c r="W1950" s="108"/>
      <c r="X1950" s="108"/>
    </row>
    <row r="1951" spans="1:24">
      <c r="A1951" s="108"/>
      <c r="B1951" s="108"/>
      <c r="C1951" s="108"/>
      <c r="D1951" s="108"/>
      <c r="E1951" s="108"/>
      <c r="F1951" s="108"/>
      <c r="G1951" s="108"/>
      <c r="H1951" s="108"/>
      <c r="I1951" s="108"/>
      <c r="J1951" s="108"/>
      <c r="K1951" s="108"/>
      <c r="L1951" s="108"/>
      <c r="M1951" s="108"/>
      <c r="N1951" s="108"/>
      <c r="O1951" s="108"/>
      <c r="P1951" s="108"/>
      <c r="Q1951" s="108"/>
      <c r="R1951" s="108"/>
      <c r="S1951" s="108"/>
      <c r="T1951" s="108"/>
      <c r="U1951" s="108"/>
      <c r="V1951" s="108"/>
      <c r="W1951" s="108"/>
      <c r="X1951" s="108"/>
    </row>
    <row r="1952" spans="1:24">
      <c r="A1952" s="108"/>
      <c r="B1952" s="108"/>
      <c r="C1952" s="108"/>
      <c r="D1952" s="108"/>
      <c r="E1952" s="108"/>
      <c r="F1952" s="108"/>
      <c r="G1952" s="108"/>
      <c r="H1952" s="108"/>
      <c r="I1952" s="108"/>
      <c r="J1952" s="108"/>
      <c r="K1952" s="108"/>
      <c r="L1952" s="108"/>
      <c r="M1952" s="108"/>
      <c r="N1952" s="108"/>
      <c r="O1952" s="108"/>
      <c r="P1952" s="108"/>
      <c r="Q1952" s="108"/>
      <c r="R1952" s="108"/>
      <c r="S1952" s="108"/>
      <c r="T1952" s="108"/>
      <c r="U1952" s="108"/>
      <c r="V1952" s="108"/>
      <c r="W1952" s="108"/>
      <c r="X1952" s="108"/>
    </row>
    <row r="1953" spans="1:24">
      <c r="A1953" s="108"/>
      <c r="B1953" s="108"/>
      <c r="C1953" s="108"/>
      <c r="D1953" s="108"/>
      <c r="E1953" s="108"/>
      <c r="F1953" s="108"/>
      <c r="G1953" s="108"/>
      <c r="H1953" s="108"/>
      <c r="I1953" s="108"/>
      <c r="J1953" s="108"/>
      <c r="K1953" s="108"/>
      <c r="L1953" s="108"/>
      <c r="M1953" s="108"/>
      <c r="N1953" s="108"/>
      <c r="O1953" s="108"/>
      <c r="P1953" s="108"/>
      <c r="Q1953" s="108"/>
      <c r="R1953" s="108"/>
      <c r="S1953" s="108"/>
      <c r="T1953" s="108"/>
      <c r="U1953" s="108"/>
      <c r="V1953" s="108"/>
      <c r="W1953" s="108"/>
      <c r="X1953" s="108"/>
    </row>
    <row r="1954" spans="1:24">
      <c r="A1954" s="108"/>
      <c r="B1954" s="108"/>
      <c r="C1954" s="108"/>
      <c r="D1954" s="108"/>
      <c r="E1954" s="108"/>
      <c r="F1954" s="108"/>
      <c r="G1954" s="108"/>
      <c r="H1954" s="108"/>
      <c r="I1954" s="108"/>
      <c r="J1954" s="108"/>
      <c r="K1954" s="108"/>
      <c r="L1954" s="108"/>
      <c r="M1954" s="108"/>
      <c r="N1954" s="108"/>
      <c r="O1954" s="108"/>
      <c r="P1954" s="108"/>
      <c r="Q1954" s="108"/>
      <c r="R1954" s="108"/>
      <c r="S1954" s="108"/>
      <c r="T1954" s="108"/>
      <c r="U1954" s="108"/>
      <c r="V1954" s="108"/>
      <c r="W1954" s="108"/>
      <c r="X1954" s="108"/>
    </row>
    <row r="1955" spans="1:24">
      <c r="A1955" s="108"/>
      <c r="B1955" s="108"/>
      <c r="C1955" s="108"/>
      <c r="D1955" s="108"/>
      <c r="E1955" s="108"/>
      <c r="F1955" s="108"/>
      <c r="G1955" s="108"/>
      <c r="H1955" s="108"/>
      <c r="I1955" s="108"/>
      <c r="J1955" s="108"/>
      <c r="K1955" s="108"/>
      <c r="L1955" s="108"/>
      <c r="M1955" s="108"/>
      <c r="N1955" s="108"/>
      <c r="O1955" s="108"/>
      <c r="P1955" s="108"/>
      <c r="Q1955" s="108"/>
      <c r="R1955" s="108"/>
      <c r="S1955" s="108"/>
      <c r="T1955" s="108"/>
      <c r="U1955" s="108"/>
      <c r="V1955" s="108"/>
      <c r="W1955" s="108"/>
      <c r="X1955" s="108"/>
    </row>
    <row r="1956" spans="1:24">
      <c r="A1956" s="108"/>
      <c r="B1956" s="108"/>
      <c r="C1956" s="108"/>
      <c r="D1956" s="108"/>
      <c r="E1956" s="108"/>
      <c r="F1956" s="108"/>
      <c r="G1956" s="108"/>
      <c r="H1956" s="108"/>
      <c r="I1956" s="108"/>
      <c r="J1956" s="108"/>
      <c r="K1956" s="108"/>
      <c r="L1956" s="108"/>
      <c r="M1956" s="108"/>
      <c r="N1956" s="108"/>
      <c r="O1956" s="108"/>
      <c r="P1956" s="108"/>
      <c r="Q1956" s="108"/>
      <c r="R1956" s="108"/>
      <c r="S1956" s="108"/>
      <c r="T1956" s="108"/>
      <c r="U1956" s="108"/>
      <c r="V1956" s="108"/>
      <c r="W1956" s="108"/>
      <c r="X1956" s="108"/>
    </row>
    <row r="1957" spans="1:24">
      <c r="A1957" s="108"/>
      <c r="B1957" s="108"/>
      <c r="C1957" s="108"/>
      <c r="D1957" s="108"/>
      <c r="E1957" s="108"/>
      <c r="F1957" s="108"/>
      <c r="G1957" s="108"/>
      <c r="H1957" s="108"/>
      <c r="I1957" s="108"/>
      <c r="J1957" s="108"/>
      <c r="K1957" s="108"/>
      <c r="L1957" s="108"/>
      <c r="M1957" s="108"/>
      <c r="N1957" s="108"/>
      <c r="O1957" s="108"/>
      <c r="P1957" s="108"/>
      <c r="Q1957" s="108"/>
      <c r="R1957" s="108"/>
      <c r="S1957" s="108"/>
      <c r="T1957" s="108"/>
      <c r="U1957" s="108"/>
      <c r="V1957" s="108"/>
      <c r="W1957" s="108"/>
      <c r="X1957" s="108"/>
    </row>
    <row r="1958" spans="1:24">
      <c r="A1958" s="108"/>
      <c r="B1958" s="108"/>
      <c r="C1958" s="108"/>
      <c r="D1958" s="108"/>
      <c r="E1958" s="108"/>
      <c r="F1958" s="108"/>
      <c r="G1958" s="108"/>
      <c r="H1958" s="108"/>
      <c r="I1958" s="108"/>
      <c r="J1958" s="108"/>
      <c r="K1958" s="108"/>
      <c r="L1958" s="108"/>
      <c r="M1958" s="108"/>
      <c r="N1958" s="108"/>
      <c r="O1958" s="108"/>
      <c r="P1958" s="108"/>
      <c r="Q1958" s="108"/>
      <c r="R1958" s="108"/>
      <c r="S1958" s="108"/>
      <c r="T1958" s="108"/>
      <c r="U1958" s="108"/>
      <c r="V1958" s="108"/>
      <c r="W1958" s="108"/>
      <c r="X1958" s="108"/>
    </row>
    <row r="1959" spans="1:24">
      <c r="A1959" s="108"/>
      <c r="B1959" s="108"/>
      <c r="C1959" s="108"/>
      <c r="D1959" s="108"/>
      <c r="E1959" s="108"/>
      <c r="F1959" s="108"/>
      <c r="G1959" s="108"/>
      <c r="H1959" s="108"/>
      <c r="I1959" s="108"/>
      <c r="J1959" s="108"/>
      <c r="K1959" s="108"/>
      <c r="L1959" s="108"/>
      <c r="M1959" s="108"/>
      <c r="N1959" s="108"/>
      <c r="O1959" s="108"/>
      <c r="P1959" s="108"/>
      <c r="Q1959" s="108"/>
      <c r="R1959" s="108"/>
      <c r="S1959" s="108"/>
      <c r="T1959" s="108"/>
      <c r="U1959" s="108"/>
      <c r="V1959" s="108"/>
      <c r="W1959" s="108"/>
      <c r="X1959" s="108"/>
    </row>
    <row r="1960" spans="1:24">
      <c r="A1960" s="108"/>
      <c r="B1960" s="108"/>
      <c r="C1960" s="108"/>
      <c r="D1960" s="108"/>
      <c r="E1960" s="108"/>
      <c r="F1960" s="108"/>
      <c r="G1960" s="108"/>
      <c r="H1960" s="108"/>
      <c r="I1960" s="108"/>
      <c r="J1960" s="108"/>
      <c r="K1960" s="108"/>
      <c r="L1960" s="108"/>
      <c r="M1960" s="108"/>
      <c r="N1960" s="108"/>
      <c r="O1960" s="108"/>
      <c r="P1960" s="108"/>
      <c r="Q1960" s="108"/>
      <c r="R1960" s="108"/>
      <c r="S1960" s="108"/>
      <c r="T1960" s="108"/>
      <c r="U1960" s="108"/>
      <c r="V1960" s="108"/>
      <c r="W1960" s="108"/>
      <c r="X1960" s="108"/>
    </row>
    <row r="1961" spans="1:24">
      <c r="A1961" s="108"/>
      <c r="B1961" s="108"/>
      <c r="C1961" s="108"/>
      <c r="D1961" s="108"/>
      <c r="E1961" s="108"/>
      <c r="F1961" s="108"/>
      <c r="G1961" s="108"/>
      <c r="H1961" s="108"/>
      <c r="I1961" s="108"/>
      <c r="J1961" s="108"/>
      <c r="K1961" s="108"/>
      <c r="L1961" s="108"/>
      <c r="M1961" s="108"/>
      <c r="N1961" s="108"/>
      <c r="O1961" s="108"/>
      <c r="P1961" s="108"/>
      <c r="Q1961" s="108"/>
      <c r="R1961" s="108"/>
      <c r="S1961" s="108"/>
      <c r="T1961" s="108"/>
      <c r="U1961" s="108"/>
      <c r="V1961" s="108"/>
      <c r="W1961" s="108"/>
      <c r="X1961" s="108"/>
    </row>
    <row r="1962" spans="1:24">
      <c r="A1962" s="108"/>
      <c r="B1962" s="108"/>
      <c r="C1962" s="108"/>
      <c r="D1962" s="108"/>
      <c r="E1962" s="108"/>
      <c r="F1962" s="108"/>
      <c r="G1962" s="108"/>
      <c r="H1962" s="108"/>
      <c r="I1962" s="108"/>
      <c r="J1962" s="108"/>
      <c r="K1962" s="108"/>
      <c r="L1962" s="108"/>
      <c r="M1962" s="108"/>
      <c r="N1962" s="108"/>
      <c r="O1962" s="108"/>
      <c r="P1962" s="108"/>
      <c r="Q1962" s="108"/>
      <c r="R1962" s="108"/>
      <c r="S1962" s="108"/>
      <c r="T1962" s="108"/>
      <c r="U1962" s="108"/>
      <c r="V1962" s="108"/>
      <c r="W1962" s="108"/>
      <c r="X1962" s="108"/>
    </row>
    <row r="1963" spans="1:24">
      <c r="A1963" s="108"/>
      <c r="B1963" s="108"/>
      <c r="C1963" s="108"/>
      <c r="D1963" s="108"/>
      <c r="E1963" s="108"/>
      <c r="F1963" s="108"/>
      <c r="G1963" s="108"/>
      <c r="H1963" s="108"/>
      <c r="I1963" s="108"/>
      <c r="J1963" s="108"/>
      <c r="K1963" s="108"/>
      <c r="L1963" s="108"/>
      <c r="M1963" s="108"/>
      <c r="N1963" s="108"/>
      <c r="O1963" s="108"/>
      <c r="P1963" s="108"/>
      <c r="Q1963" s="108"/>
      <c r="R1963" s="108"/>
      <c r="S1963" s="108"/>
      <c r="T1963" s="108"/>
      <c r="U1963" s="108"/>
      <c r="V1963" s="108"/>
      <c r="W1963" s="108"/>
      <c r="X1963" s="108"/>
    </row>
    <row r="1964" spans="1:24">
      <c r="A1964" s="108"/>
      <c r="B1964" s="108"/>
      <c r="C1964" s="108"/>
      <c r="D1964" s="108"/>
      <c r="E1964" s="108"/>
      <c r="F1964" s="108"/>
      <c r="G1964" s="108"/>
      <c r="H1964" s="108"/>
      <c r="I1964" s="108"/>
      <c r="J1964" s="108"/>
      <c r="K1964" s="108"/>
      <c r="L1964" s="108"/>
      <c r="M1964" s="108"/>
      <c r="N1964" s="108"/>
      <c r="O1964" s="108"/>
      <c r="P1964" s="108"/>
      <c r="Q1964" s="108"/>
      <c r="R1964" s="108"/>
      <c r="S1964" s="108"/>
      <c r="T1964" s="108"/>
      <c r="U1964" s="108"/>
      <c r="V1964" s="108"/>
      <c r="W1964" s="108"/>
      <c r="X1964" s="108"/>
    </row>
    <row r="1965" spans="1:24">
      <c r="A1965" s="108"/>
      <c r="B1965" s="108"/>
      <c r="C1965" s="108"/>
      <c r="D1965" s="108"/>
      <c r="E1965" s="108"/>
      <c r="F1965" s="108"/>
      <c r="G1965" s="108"/>
      <c r="H1965" s="108"/>
      <c r="I1965" s="108"/>
      <c r="J1965" s="108"/>
      <c r="K1965" s="108"/>
      <c r="L1965" s="108"/>
      <c r="M1965" s="108"/>
      <c r="N1965" s="108"/>
      <c r="O1965" s="108"/>
      <c r="P1965" s="108"/>
      <c r="Q1965" s="108"/>
      <c r="R1965" s="108"/>
      <c r="S1965" s="108"/>
      <c r="T1965" s="108"/>
      <c r="U1965" s="108"/>
      <c r="V1965" s="108"/>
      <c r="W1965" s="108"/>
      <c r="X1965" s="108"/>
    </row>
    <row r="1966" spans="1:24">
      <c r="A1966" s="108"/>
      <c r="B1966" s="108"/>
      <c r="C1966" s="108"/>
      <c r="D1966" s="108"/>
      <c r="E1966" s="108"/>
      <c r="F1966" s="108"/>
      <c r="G1966" s="108"/>
      <c r="H1966" s="108"/>
      <c r="I1966" s="108"/>
      <c r="J1966" s="108"/>
      <c r="K1966" s="108"/>
      <c r="L1966" s="108"/>
      <c r="M1966" s="108"/>
      <c r="N1966" s="108"/>
      <c r="O1966" s="108"/>
      <c r="P1966" s="108"/>
      <c r="Q1966" s="108"/>
      <c r="R1966" s="108"/>
      <c r="S1966" s="108"/>
      <c r="T1966" s="108"/>
      <c r="U1966" s="108"/>
      <c r="V1966" s="108"/>
      <c r="W1966" s="108"/>
      <c r="X1966" s="108"/>
    </row>
    <row r="1967" spans="1:24">
      <c r="A1967" s="108"/>
      <c r="B1967" s="108"/>
      <c r="C1967" s="108"/>
      <c r="D1967" s="108"/>
      <c r="E1967" s="108"/>
      <c r="F1967" s="108"/>
      <c r="G1967" s="108"/>
      <c r="H1967" s="108"/>
      <c r="I1967" s="108"/>
      <c r="J1967" s="108"/>
      <c r="K1967" s="108"/>
      <c r="L1967" s="108"/>
      <c r="M1967" s="108"/>
      <c r="N1967" s="108"/>
      <c r="O1967" s="108"/>
      <c r="P1967" s="108"/>
      <c r="Q1967" s="108"/>
      <c r="R1967" s="108"/>
      <c r="S1967" s="108"/>
      <c r="T1967" s="108"/>
      <c r="U1967" s="108"/>
      <c r="V1967" s="108"/>
      <c r="W1967" s="108"/>
      <c r="X1967" s="108"/>
    </row>
    <row r="1968" spans="1:24">
      <c r="A1968" s="108"/>
      <c r="B1968" s="108"/>
      <c r="C1968" s="108"/>
      <c r="D1968" s="108"/>
      <c r="E1968" s="108"/>
      <c r="F1968" s="108"/>
      <c r="G1968" s="108"/>
      <c r="H1968" s="108"/>
      <c r="I1968" s="108"/>
      <c r="J1968" s="108"/>
      <c r="K1968" s="108"/>
      <c r="L1968" s="108"/>
      <c r="M1968" s="108"/>
      <c r="N1968" s="108"/>
      <c r="O1968" s="108"/>
      <c r="P1968" s="108"/>
      <c r="Q1968" s="108"/>
      <c r="R1968" s="108"/>
      <c r="S1968" s="108"/>
      <c r="T1968" s="108"/>
      <c r="U1968" s="108"/>
      <c r="V1968" s="108"/>
      <c r="W1968" s="108"/>
      <c r="X1968" s="108"/>
    </row>
    <row r="1969" spans="1:24">
      <c r="A1969" s="108"/>
      <c r="B1969" s="108"/>
      <c r="C1969" s="108"/>
      <c r="D1969" s="108"/>
      <c r="E1969" s="108"/>
      <c r="F1969" s="108"/>
      <c r="G1969" s="108"/>
      <c r="H1969" s="108"/>
      <c r="I1969" s="108"/>
      <c r="J1969" s="108"/>
      <c r="K1969" s="108"/>
      <c r="L1969" s="108"/>
      <c r="M1969" s="108"/>
      <c r="N1969" s="108"/>
      <c r="O1969" s="108"/>
      <c r="P1969" s="108"/>
      <c r="Q1969" s="108"/>
      <c r="R1969" s="108"/>
      <c r="S1969" s="108"/>
      <c r="T1969" s="108"/>
      <c r="U1969" s="108"/>
      <c r="V1969" s="108"/>
      <c r="W1969" s="108"/>
      <c r="X1969" s="108"/>
    </row>
    <row r="1970" spans="1:24">
      <c r="A1970" s="108"/>
      <c r="B1970" s="108"/>
      <c r="C1970" s="108"/>
      <c r="D1970" s="108"/>
      <c r="E1970" s="108"/>
      <c r="F1970" s="108"/>
      <c r="G1970" s="108"/>
      <c r="H1970" s="108"/>
      <c r="I1970" s="108"/>
      <c r="J1970" s="108"/>
      <c r="K1970" s="108"/>
      <c r="L1970" s="108"/>
      <c r="M1970" s="108"/>
      <c r="N1970" s="108"/>
      <c r="O1970" s="108"/>
      <c r="P1970" s="108"/>
      <c r="Q1970" s="108"/>
      <c r="R1970" s="108"/>
      <c r="S1970" s="108"/>
      <c r="T1970" s="108"/>
      <c r="U1970" s="108"/>
      <c r="V1970" s="108"/>
      <c r="W1970" s="108"/>
      <c r="X1970" s="108"/>
    </row>
    <row r="1971" spans="1:24">
      <c r="A1971" s="108"/>
      <c r="B1971" s="108"/>
      <c r="C1971" s="108"/>
      <c r="D1971" s="108"/>
      <c r="E1971" s="108"/>
      <c r="F1971" s="108"/>
      <c r="G1971" s="108"/>
      <c r="H1971" s="108"/>
      <c r="I1971" s="108"/>
      <c r="J1971" s="108"/>
      <c r="K1971" s="108"/>
      <c r="L1971" s="108"/>
      <c r="M1971" s="108"/>
      <c r="N1971" s="108"/>
      <c r="O1971" s="108"/>
      <c r="P1971" s="108"/>
      <c r="Q1971" s="108"/>
      <c r="R1971" s="108"/>
      <c r="S1971" s="108"/>
      <c r="T1971" s="108"/>
      <c r="U1971" s="108"/>
      <c r="V1971" s="108"/>
      <c r="W1971" s="108"/>
      <c r="X1971" s="108"/>
    </row>
    <row r="1972" spans="1:24">
      <c r="A1972" s="108"/>
      <c r="B1972" s="108"/>
      <c r="C1972" s="108"/>
      <c r="D1972" s="108"/>
      <c r="E1972" s="108"/>
      <c r="F1972" s="108"/>
      <c r="G1972" s="108"/>
      <c r="H1972" s="108"/>
      <c r="I1972" s="108"/>
      <c r="J1972" s="108"/>
      <c r="K1972" s="108"/>
      <c r="L1972" s="108"/>
      <c r="M1972" s="108"/>
      <c r="N1972" s="108"/>
      <c r="O1972" s="108"/>
      <c r="P1972" s="108"/>
      <c r="Q1972" s="108"/>
      <c r="R1972" s="108"/>
      <c r="S1972" s="108"/>
      <c r="T1972" s="108"/>
      <c r="U1972" s="108"/>
      <c r="V1972" s="108"/>
      <c r="W1972" s="108"/>
      <c r="X1972" s="108"/>
    </row>
    <row r="1973" spans="1:24">
      <c r="A1973" s="108"/>
      <c r="B1973" s="108"/>
      <c r="C1973" s="108"/>
      <c r="D1973" s="108"/>
      <c r="E1973" s="108"/>
      <c r="F1973" s="108"/>
      <c r="G1973" s="108"/>
      <c r="H1973" s="108"/>
      <c r="I1973" s="108"/>
      <c r="J1973" s="108"/>
      <c r="K1973" s="108"/>
      <c r="L1973" s="108"/>
      <c r="M1973" s="108"/>
      <c r="N1973" s="108"/>
      <c r="O1973" s="108"/>
      <c r="P1973" s="108"/>
      <c r="Q1973" s="108"/>
      <c r="R1973" s="108"/>
      <c r="S1973" s="108"/>
      <c r="T1973" s="108"/>
      <c r="U1973" s="108"/>
      <c r="V1973" s="108"/>
      <c r="W1973" s="108"/>
      <c r="X1973" s="108"/>
    </row>
    <row r="1974" spans="1:24">
      <c r="A1974" s="108"/>
      <c r="B1974" s="108"/>
      <c r="C1974" s="108"/>
      <c r="D1974" s="108"/>
      <c r="E1974" s="108"/>
      <c r="F1974" s="108"/>
      <c r="G1974" s="108"/>
      <c r="H1974" s="108"/>
      <c r="I1974" s="108"/>
      <c r="J1974" s="108"/>
      <c r="K1974" s="108"/>
      <c r="L1974" s="108"/>
      <c r="M1974" s="108"/>
      <c r="N1974" s="108"/>
      <c r="O1974" s="108"/>
      <c r="P1974" s="108"/>
      <c r="Q1974" s="108"/>
      <c r="R1974" s="108"/>
      <c r="S1974" s="108"/>
      <c r="T1974" s="108"/>
      <c r="U1974" s="108"/>
      <c r="V1974" s="108"/>
      <c r="W1974" s="108"/>
      <c r="X1974" s="108"/>
    </row>
    <row r="1975" spans="1:24">
      <c r="A1975" s="108"/>
      <c r="B1975" s="108"/>
      <c r="C1975" s="108"/>
      <c r="D1975" s="108"/>
      <c r="E1975" s="108"/>
      <c r="F1975" s="108"/>
      <c r="G1975" s="108"/>
      <c r="H1975" s="108"/>
      <c r="I1975" s="108"/>
      <c r="J1975" s="108"/>
      <c r="K1975" s="108"/>
      <c r="L1975" s="108"/>
      <c r="M1975" s="108"/>
      <c r="N1975" s="108"/>
      <c r="O1975" s="108"/>
      <c r="P1975" s="108"/>
      <c r="Q1975" s="108"/>
      <c r="R1975" s="108"/>
      <c r="S1975" s="108"/>
      <c r="T1975" s="108"/>
      <c r="U1975" s="108"/>
      <c r="V1975" s="108"/>
      <c r="W1975" s="108"/>
      <c r="X1975" s="108"/>
    </row>
    <row r="1976" spans="1:24">
      <c r="A1976" s="108"/>
      <c r="B1976" s="108"/>
      <c r="C1976" s="108"/>
      <c r="D1976" s="108"/>
      <c r="E1976" s="108"/>
      <c r="F1976" s="108"/>
      <c r="G1976" s="108"/>
      <c r="H1976" s="108"/>
      <c r="I1976" s="108"/>
      <c r="J1976" s="108"/>
      <c r="K1976" s="108"/>
      <c r="L1976" s="108"/>
      <c r="M1976" s="108"/>
      <c r="N1976" s="108"/>
      <c r="O1976" s="108"/>
      <c r="P1976" s="108"/>
      <c r="Q1976" s="108"/>
      <c r="R1976" s="108"/>
      <c r="S1976" s="108"/>
      <c r="T1976" s="108"/>
      <c r="U1976" s="108"/>
      <c r="V1976" s="108"/>
      <c r="W1976" s="108"/>
      <c r="X1976" s="108"/>
    </row>
    <row r="1977" spans="1:24">
      <c r="A1977" s="108"/>
      <c r="B1977" s="108"/>
      <c r="C1977" s="108"/>
      <c r="D1977" s="108"/>
      <c r="E1977" s="108"/>
      <c r="F1977" s="108"/>
      <c r="G1977" s="108"/>
      <c r="H1977" s="108"/>
      <c r="I1977" s="108"/>
      <c r="J1977" s="108"/>
      <c r="K1977" s="108"/>
      <c r="L1977" s="108"/>
      <c r="M1977" s="108"/>
      <c r="N1977" s="108"/>
      <c r="O1977" s="108"/>
      <c r="P1977" s="108"/>
      <c r="Q1977" s="108"/>
      <c r="R1977" s="108"/>
      <c r="S1977" s="108"/>
      <c r="T1977" s="108"/>
      <c r="U1977" s="108"/>
      <c r="V1977" s="108"/>
      <c r="W1977" s="108"/>
      <c r="X1977" s="108"/>
    </row>
    <row r="1978" spans="1:24">
      <c r="A1978" s="108"/>
      <c r="B1978" s="108"/>
      <c r="C1978" s="108"/>
      <c r="D1978" s="108"/>
      <c r="E1978" s="108"/>
      <c r="F1978" s="108"/>
      <c r="G1978" s="108"/>
      <c r="H1978" s="108"/>
      <c r="I1978" s="108"/>
      <c r="J1978" s="108"/>
      <c r="K1978" s="108"/>
      <c r="L1978" s="108"/>
      <c r="M1978" s="108"/>
      <c r="N1978" s="108"/>
      <c r="O1978" s="108"/>
      <c r="P1978" s="108"/>
      <c r="Q1978" s="108"/>
      <c r="R1978" s="108"/>
      <c r="S1978" s="108"/>
      <c r="T1978" s="108"/>
      <c r="U1978" s="108"/>
      <c r="V1978" s="108"/>
      <c r="W1978" s="108"/>
      <c r="X1978" s="108"/>
    </row>
    <row r="1979" spans="1:24">
      <c r="A1979" s="108"/>
      <c r="B1979" s="108"/>
      <c r="C1979" s="108"/>
      <c r="D1979" s="108"/>
      <c r="E1979" s="108"/>
      <c r="F1979" s="108"/>
      <c r="G1979" s="108"/>
      <c r="H1979" s="108"/>
      <c r="I1979" s="108"/>
      <c r="J1979" s="108"/>
      <c r="K1979" s="108"/>
      <c r="L1979" s="108"/>
      <c r="M1979" s="108"/>
      <c r="N1979" s="108"/>
      <c r="O1979" s="108"/>
      <c r="P1979" s="108"/>
      <c r="Q1979" s="108"/>
      <c r="R1979" s="108"/>
      <c r="S1979" s="108"/>
      <c r="T1979" s="108"/>
      <c r="U1979" s="108"/>
      <c r="V1979" s="108"/>
      <c r="W1979" s="108"/>
      <c r="X1979" s="108"/>
    </row>
    <row r="1980" spans="1:24">
      <c r="A1980" s="108"/>
      <c r="B1980" s="108"/>
      <c r="C1980" s="108"/>
      <c r="D1980" s="108"/>
      <c r="E1980" s="108"/>
      <c r="F1980" s="108"/>
      <c r="G1980" s="108"/>
      <c r="H1980" s="108"/>
      <c r="I1980" s="108"/>
      <c r="J1980" s="108"/>
      <c r="K1980" s="108"/>
      <c r="L1980" s="108"/>
      <c r="M1980" s="108"/>
      <c r="N1980" s="108"/>
      <c r="O1980" s="108"/>
      <c r="P1980" s="108"/>
      <c r="Q1980" s="108"/>
      <c r="R1980" s="108"/>
      <c r="S1980" s="108"/>
      <c r="T1980" s="108"/>
      <c r="U1980" s="108"/>
      <c r="V1980" s="108"/>
      <c r="W1980" s="108"/>
      <c r="X1980" s="108"/>
    </row>
    <row r="1981" spans="1:24">
      <c r="A1981" s="108"/>
      <c r="B1981" s="108"/>
      <c r="C1981" s="108"/>
      <c r="D1981" s="108"/>
      <c r="E1981" s="108"/>
      <c r="F1981" s="108"/>
      <c r="G1981" s="108"/>
      <c r="H1981" s="108"/>
      <c r="I1981" s="108"/>
      <c r="J1981" s="108"/>
      <c r="K1981" s="108"/>
      <c r="L1981" s="108"/>
      <c r="M1981" s="108"/>
      <c r="N1981" s="108"/>
      <c r="O1981" s="108"/>
      <c r="P1981" s="108"/>
      <c r="Q1981" s="108"/>
      <c r="R1981" s="108"/>
      <c r="S1981" s="108"/>
      <c r="T1981" s="108"/>
      <c r="U1981" s="108"/>
      <c r="V1981" s="108"/>
      <c r="W1981" s="108"/>
      <c r="X1981" s="108"/>
    </row>
    <row r="1982" spans="1:24">
      <c r="A1982" s="108"/>
      <c r="B1982" s="108"/>
      <c r="C1982" s="108"/>
      <c r="D1982" s="108"/>
      <c r="E1982" s="108"/>
      <c r="F1982" s="108"/>
      <c r="G1982" s="108"/>
      <c r="H1982" s="108"/>
      <c r="I1982" s="108"/>
      <c r="J1982" s="108"/>
      <c r="K1982" s="108"/>
      <c r="L1982" s="108"/>
      <c r="M1982" s="108"/>
      <c r="N1982" s="108"/>
      <c r="O1982" s="108"/>
      <c r="P1982" s="108"/>
      <c r="Q1982" s="108"/>
      <c r="R1982" s="108"/>
      <c r="S1982" s="108"/>
      <c r="T1982" s="108"/>
      <c r="U1982" s="108"/>
      <c r="V1982" s="108"/>
      <c r="W1982" s="108"/>
      <c r="X1982" s="108"/>
    </row>
    <row r="1983" spans="1:24">
      <c r="A1983" s="108"/>
      <c r="B1983" s="108"/>
      <c r="C1983" s="108"/>
      <c r="D1983" s="108"/>
      <c r="E1983" s="108"/>
      <c r="F1983" s="108"/>
      <c r="G1983" s="108"/>
      <c r="H1983" s="108"/>
      <c r="I1983" s="108"/>
      <c r="J1983" s="108"/>
      <c r="K1983" s="108"/>
      <c r="L1983" s="108"/>
      <c r="M1983" s="108"/>
      <c r="N1983" s="108"/>
      <c r="O1983" s="108"/>
      <c r="P1983" s="108"/>
      <c r="Q1983" s="108"/>
      <c r="R1983" s="108"/>
      <c r="S1983" s="108"/>
      <c r="T1983" s="108"/>
      <c r="U1983" s="108"/>
      <c r="V1983" s="108"/>
      <c r="W1983" s="108"/>
      <c r="X1983" s="108"/>
    </row>
    <row r="1984" spans="1:24">
      <c r="A1984" s="108"/>
      <c r="B1984" s="108"/>
      <c r="C1984" s="108"/>
      <c r="D1984" s="108"/>
      <c r="E1984" s="108"/>
      <c r="F1984" s="108"/>
      <c r="G1984" s="108"/>
      <c r="H1984" s="108"/>
      <c r="I1984" s="108"/>
      <c r="J1984" s="108"/>
      <c r="K1984" s="108"/>
      <c r="L1984" s="108"/>
      <c r="M1984" s="108"/>
      <c r="N1984" s="108"/>
      <c r="O1984" s="108"/>
      <c r="P1984" s="108"/>
      <c r="Q1984" s="108"/>
      <c r="R1984" s="108"/>
      <c r="S1984" s="108"/>
      <c r="T1984" s="108"/>
      <c r="U1984" s="108"/>
      <c r="V1984" s="108"/>
      <c r="W1984" s="108"/>
      <c r="X1984" s="108"/>
    </row>
    <row r="1985" spans="1:24">
      <c r="A1985" s="108"/>
      <c r="B1985" s="108"/>
      <c r="C1985" s="108"/>
      <c r="D1985" s="108"/>
      <c r="E1985" s="108"/>
      <c r="F1985" s="108"/>
      <c r="G1985" s="108"/>
      <c r="H1985" s="108"/>
      <c r="I1985" s="108"/>
      <c r="J1985" s="108"/>
      <c r="K1985" s="108"/>
      <c r="L1985" s="108"/>
      <c r="M1985" s="108"/>
      <c r="N1985" s="108"/>
      <c r="O1985" s="108"/>
      <c r="P1985" s="108"/>
      <c r="Q1985" s="108"/>
      <c r="R1985" s="108"/>
      <c r="S1985" s="108"/>
      <c r="T1985" s="108"/>
      <c r="U1985" s="108"/>
      <c r="V1985" s="108"/>
      <c r="W1985" s="108"/>
      <c r="X1985" s="108"/>
    </row>
    <row r="1986" spans="1:24">
      <c r="A1986" s="108"/>
      <c r="B1986" s="108"/>
      <c r="C1986" s="108"/>
      <c r="D1986" s="108"/>
      <c r="E1986" s="108"/>
      <c r="F1986" s="108"/>
      <c r="G1986" s="108"/>
      <c r="H1986" s="108"/>
      <c r="I1986" s="108"/>
      <c r="J1986" s="108"/>
      <c r="K1986" s="108"/>
      <c r="L1986" s="108"/>
      <c r="M1986" s="108"/>
      <c r="N1986" s="108"/>
      <c r="O1986" s="108"/>
      <c r="P1986" s="108"/>
      <c r="Q1986" s="108"/>
      <c r="R1986" s="108"/>
      <c r="S1986" s="108"/>
      <c r="T1986" s="108"/>
      <c r="U1986" s="108"/>
      <c r="V1986" s="108"/>
      <c r="W1986" s="108"/>
      <c r="X1986" s="108"/>
    </row>
    <row r="1987" spans="1:24">
      <c r="A1987" s="108"/>
      <c r="B1987" s="108"/>
      <c r="C1987" s="108"/>
      <c r="D1987" s="108"/>
      <c r="E1987" s="108"/>
      <c r="F1987" s="108"/>
      <c r="G1987" s="108"/>
      <c r="H1987" s="108"/>
      <c r="I1987" s="108"/>
      <c r="J1987" s="108"/>
      <c r="K1987" s="108"/>
      <c r="L1987" s="108"/>
      <c r="M1987" s="108"/>
      <c r="N1987" s="108"/>
      <c r="O1987" s="108"/>
      <c r="P1987" s="108"/>
      <c r="Q1987" s="108"/>
      <c r="R1987" s="108"/>
      <c r="S1987" s="108"/>
      <c r="T1987" s="108"/>
      <c r="U1987" s="108"/>
      <c r="V1987" s="108"/>
      <c r="W1987" s="108"/>
      <c r="X1987" s="108"/>
    </row>
    <row r="1988" spans="1:24">
      <c r="A1988" s="108"/>
      <c r="B1988" s="108"/>
      <c r="C1988" s="108"/>
      <c r="D1988" s="108"/>
      <c r="E1988" s="108"/>
      <c r="F1988" s="108"/>
      <c r="G1988" s="108"/>
      <c r="H1988" s="108"/>
      <c r="I1988" s="108"/>
      <c r="J1988" s="108"/>
      <c r="K1988" s="108"/>
      <c r="L1988" s="108"/>
      <c r="M1988" s="108"/>
      <c r="N1988" s="108"/>
      <c r="O1988" s="108"/>
      <c r="P1988" s="108"/>
      <c r="Q1988" s="108"/>
      <c r="R1988" s="108"/>
      <c r="S1988" s="108"/>
      <c r="T1988" s="108"/>
      <c r="U1988" s="108"/>
      <c r="V1988" s="108"/>
      <c r="W1988" s="108"/>
      <c r="X1988" s="108"/>
    </row>
    <row r="1989" spans="1:24">
      <c r="A1989" s="108"/>
      <c r="B1989" s="108"/>
      <c r="C1989" s="108"/>
      <c r="D1989" s="108"/>
      <c r="E1989" s="108"/>
      <c r="F1989" s="108"/>
      <c r="G1989" s="108"/>
      <c r="H1989" s="108"/>
      <c r="I1989" s="108"/>
      <c r="J1989" s="108"/>
      <c r="K1989" s="108"/>
      <c r="L1989" s="108"/>
      <c r="M1989" s="108"/>
      <c r="N1989" s="108"/>
      <c r="O1989" s="108"/>
      <c r="P1989" s="108"/>
      <c r="Q1989" s="108"/>
      <c r="R1989" s="108"/>
      <c r="S1989" s="108"/>
      <c r="T1989" s="108"/>
      <c r="U1989" s="108"/>
      <c r="V1989" s="108"/>
      <c r="W1989" s="108"/>
      <c r="X1989" s="108"/>
    </row>
    <row r="1990" spans="1:24">
      <c r="A1990" s="108"/>
      <c r="B1990" s="108"/>
      <c r="C1990" s="108"/>
      <c r="D1990" s="108"/>
      <c r="E1990" s="108"/>
      <c r="F1990" s="108"/>
      <c r="G1990" s="108"/>
      <c r="H1990" s="108"/>
      <c r="I1990" s="108"/>
      <c r="J1990" s="108"/>
      <c r="K1990" s="108"/>
      <c r="L1990" s="108"/>
      <c r="M1990" s="108"/>
      <c r="N1990" s="108"/>
      <c r="O1990" s="108"/>
      <c r="P1990" s="108"/>
      <c r="Q1990" s="108"/>
      <c r="R1990" s="108"/>
      <c r="S1990" s="108"/>
      <c r="T1990" s="108"/>
      <c r="U1990" s="108"/>
      <c r="V1990" s="108"/>
      <c r="W1990" s="108"/>
      <c r="X1990" s="108"/>
    </row>
    <row r="1991" spans="1:24">
      <c r="A1991" s="108"/>
      <c r="B1991" s="108"/>
      <c r="C1991" s="108"/>
      <c r="D1991" s="108"/>
      <c r="E1991" s="108"/>
      <c r="F1991" s="108"/>
      <c r="G1991" s="108"/>
      <c r="H1991" s="108"/>
      <c r="I1991" s="108"/>
      <c r="J1991" s="108"/>
      <c r="K1991" s="108"/>
      <c r="L1991" s="108"/>
      <c r="M1991" s="108"/>
      <c r="N1991" s="108"/>
      <c r="O1991" s="108"/>
      <c r="P1991" s="108"/>
      <c r="Q1991" s="108"/>
      <c r="R1991" s="108"/>
      <c r="S1991" s="108"/>
      <c r="T1991" s="108"/>
      <c r="U1991" s="108"/>
      <c r="V1991" s="108"/>
      <c r="W1991" s="108"/>
      <c r="X1991" s="108"/>
    </row>
    <row r="1992" spans="1:24">
      <c r="A1992" s="108"/>
      <c r="B1992" s="108"/>
      <c r="C1992" s="108"/>
      <c r="D1992" s="108"/>
      <c r="E1992" s="108"/>
      <c r="F1992" s="108"/>
      <c r="G1992" s="108"/>
      <c r="H1992" s="108"/>
      <c r="I1992" s="108"/>
      <c r="J1992" s="108"/>
      <c r="K1992" s="108"/>
      <c r="L1992" s="108"/>
      <c r="M1992" s="108"/>
      <c r="N1992" s="108"/>
      <c r="O1992" s="108"/>
      <c r="P1992" s="108"/>
      <c r="Q1992" s="108"/>
      <c r="R1992" s="108"/>
      <c r="S1992" s="108"/>
      <c r="T1992" s="108"/>
      <c r="U1992" s="108"/>
      <c r="V1992" s="108"/>
      <c r="W1992" s="108"/>
      <c r="X1992" s="108"/>
    </row>
    <row r="1993" spans="1:24">
      <c r="A1993" s="108"/>
      <c r="B1993" s="108"/>
      <c r="C1993" s="108"/>
      <c r="D1993" s="108"/>
      <c r="E1993" s="108"/>
      <c r="F1993" s="108"/>
      <c r="G1993" s="108"/>
      <c r="H1993" s="108"/>
      <c r="I1993" s="108"/>
      <c r="J1993" s="108"/>
      <c r="K1993" s="108"/>
      <c r="L1993" s="108"/>
      <c r="M1993" s="108"/>
      <c r="N1993" s="108"/>
      <c r="O1993" s="108"/>
      <c r="P1993" s="108"/>
      <c r="Q1993" s="108"/>
      <c r="R1993" s="108"/>
      <c r="S1993" s="108"/>
      <c r="T1993" s="108"/>
      <c r="U1993" s="108"/>
      <c r="V1993" s="108"/>
      <c r="W1993" s="108"/>
      <c r="X1993" s="108"/>
    </row>
    <row r="1994" spans="1:24">
      <c r="A1994" s="108"/>
      <c r="B1994" s="108"/>
      <c r="C1994" s="108"/>
      <c r="D1994" s="108"/>
      <c r="E1994" s="108"/>
      <c r="F1994" s="108"/>
      <c r="G1994" s="108"/>
      <c r="H1994" s="108"/>
      <c r="I1994" s="108"/>
      <c r="J1994" s="108"/>
      <c r="K1994" s="108"/>
      <c r="L1994" s="108"/>
      <c r="M1994" s="108"/>
      <c r="N1994" s="108"/>
      <c r="O1994" s="108"/>
      <c r="P1994" s="108"/>
      <c r="Q1994" s="108"/>
      <c r="R1994" s="108"/>
      <c r="S1994" s="108"/>
      <c r="T1994" s="108"/>
      <c r="U1994" s="108"/>
      <c r="V1994" s="108"/>
      <c r="W1994" s="108"/>
      <c r="X1994" s="108"/>
    </row>
    <row r="1995" spans="1:24">
      <c r="A1995" s="108"/>
      <c r="B1995" s="108"/>
      <c r="C1995" s="108"/>
      <c r="D1995" s="108"/>
      <c r="E1995" s="108"/>
      <c r="F1995" s="108"/>
      <c r="G1995" s="108"/>
      <c r="H1995" s="108"/>
      <c r="I1995" s="108"/>
      <c r="J1995" s="108"/>
      <c r="K1995" s="108"/>
      <c r="L1995" s="108"/>
      <c r="M1995" s="108"/>
      <c r="N1995" s="108"/>
      <c r="O1995" s="108"/>
      <c r="P1995" s="108"/>
      <c r="Q1995" s="108"/>
      <c r="R1995" s="108"/>
      <c r="S1995" s="108"/>
      <c r="T1995" s="108"/>
      <c r="U1995" s="108"/>
      <c r="V1995" s="108"/>
      <c r="W1995" s="108"/>
      <c r="X1995" s="108"/>
    </row>
    <row r="1996" spans="1:24">
      <c r="A1996" s="108"/>
      <c r="B1996" s="108"/>
      <c r="C1996" s="108"/>
      <c r="D1996" s="108"/>
      <c r="E1996" s="108"/>
      <c r="F1996" s="108"/>
      <c r="G1996" s="108"/>
      <c r="H1996" s="108"/>
      <c r="I1996" s="108"/>
      <c r="J1996" s="108"/>
      <c r="K1996" s="108"/>
      <c r="L1996" s="108"/>
      <c r="M1996" s="108"/>
      <c r="N1996" s="108"/>
      <c r="O1996" s="108"/>
      <c r="P1996" s="108"/>
      <c r="Q1996" s="108"/>
      <c r="R1996" s="108"/>
      <c r="S1996" s="108"/>
      <c r="T1996" s="108"/>
      <c r="U1996" s="108"/>
      <c r="V1996" s="108"/>
      <c r="W1996" s="108"/>
      <c r="X1996" s="108"/>
    </row>
    <row r="1997" spans="1:24">
      <c r="A1997" s="108"/>
      <c r="B1997" s="108"/>
      <c r="C1997" s="108"/>
      <c r="D1997" s="108"/>
      <c r="E1997" s="108"/>
      <c r="F1997" s="108"/>
      <c r="G1997" s="108"/>
      <c r="H1997" s="108"/>
      <c r="I1997" s="108"/>
      <c r="J1997" s="108"/>
      <c r="K1997" s="108"/>
      <c r="L1997" s="108"/>
      <c r="M1997" s="108"/>
      <c r="N1997" s="108"/>
      <c r="O1997" s="108"/>
      <c r="P1997" s="108"/>
      <c r="Q1997" s="108"/>
      <c r="R1997" s="108"/>
      <c r="S1997" s="108"/>
      <c r="T1997" s="108"/>
      <c r="U1997" s="108"/>
      <c r="V1997" s="108"/>
      <c r="W1997" s="108"/>
      <c r="X1997" s="108"/>
    </row>
    <row r="1998" spans="1:24">
      <c r="A1998" s="108"/>
      <c r="B1998" s="108"/>
      <c r="C1998" s="108"/>
      <c r="D1998" s="108"/>
      <c r="E1998" s="108"/>
      <c r="F1998" s="108"/>
      <c r="G1998" s="108"/>
      <c r="H1998" s="108"/>
      <c r="I1998" s="108"/>
      <c r="J1998" s="108"/>
      <c r="K1998" s="108"/>
      <c r="L1998" s="108"/>
      <c r="M1998" s="108"/>
      <c r="N1998" s="108"/>
      <c r="O1998" s="108"/>
      <c r="P1998" s="108"/>
      <c r="Q1998" s="108"/>
      <c r="R1998" s="108"/>
      <c r="S1998" s="108"/>
      <c r="T1998" s="108"/>
      <c r="U1998" s="108"/>
      <c r="V1998" s="108"/>
      <c r="W1998" s="108"/>
      <c r="X1998" s="108"/>
    </row>
    <row r="1999" spans="1:24">
      <c r="A1999" s="108"/>
      <c r="B1999" s="108"/>
      <c r="C1999" s="108"/>
      <c r="D1999" s="108"/>
      <c r="E1999" s="108"/>
      <c r="F1999" s="108"/>
      <c r="G1999" s="108"/>
      <c r="H1999" s="108"/>
      <c r="I1999" s="108"/>
      <c r="J1999" s="108"/>
      <c r="K1999" s="108"/>
      <c r="L1999" s="108"/>
      <c r="M1999" s="108"/>
      <c r="N1999" s="108"/>
      <c r="O1999" s="108"/>
      <c r="P1999" s="108"/>
      <c r="Q1999" s="108"/>
      <c r="R1999" s="108"/>
      <c r="S1999" s="108"/>
      <c r="T1999" s="108"/>
      <c r="U1999" s="108"/>
      <c r="V1999" s="108"/>
      <c r="W1999" s="108"/>
      <c r="X1999" s="108"/>
    </row>
    <row r="2000" spans="1:24">
      <c r="A2000" s="108"/>
      <c r="B2000" s="108"/>
      <c r="C2000" s="108"/>
      <c r="D2000" s="108"/>
      <c r="E2000" s="108"/>
      <c r="F2000" s="108"/>
      <c r="G2000" s="108"/>
      <c r="H2000" s="108"/>
      <c r="I2000" s="108"/>
      <c r="J2000" s="108"/>
      <c r="K2000" s="108"/>
      <c r="L2000" s="108"/>
      <c r="M2000" s="108"/>
      <c r="N2000" s="108"/>
      <c r="O2000" s="108"/>
      <c r="P2000" s="108"/>
      <c r="Q2000" s="108"/>
      <c r="R2000" s="108"/>
      <c r="S2000" s="108"/>
      <c r="T2000" s="108"/>
      <c r="U2000" s="108"/>
      <c r="V2000" s="108"/>
      <c r="W2000" s="108"/>
      <c r="X2000" s="108"/>
    </row>
    <row r="2001" spans="1:24">
      <c r="A2001" s="108"/>
      <c r="B2001" s="108"/>
      <c r="C2001" s="108"/>
      <c r="D2001" s="108"/>
      <c r="E2001" s="108"/>
      <c r="F2001" s="108"/>
      <c r="G2001" s="108"/>
      <c r="H2001" s="108"/>
      <c r="I2001" s="108"/>
      <c r="J2001" s="108"/>
      <c r="K2001" s="108"/>
      <c r="L2001" s="108"/>
      <c r="M2001" s="108"/>
      <c r="N2001" s="108"/>
      <c r="O2001" s="108"/>
      <c r="P2001" s="108"/>
      <c r="Q2001" s="108"/>
      <c r="R2001" s="108"/>
      <c r="S2001" s="108"/>
      <c r="T2001" s="108"/>
      <c r="U2001" s="108"/>
      <c r="V2001" s="108"/>
      <c r="W2001" s="108"/>
      <c r="X2001" s="108"/>
    </row>
    <row r="2002" spans="1:24">
      <c r="A2002" s="108"/>
      <c r="B2002" s="108"/>
      <c r="C2002" s="108"/>
      <c r="D2002" s="108"/>
      <c r="E2002" s="108"/>
      <c r="F2002" s="108"/>
      <c r="G2002" s="108"/>
      <c r="H2002" s="108"/>
      <c r="I2002" s="108"/>
      <c r="J2002" s="108"/>
      <c r="K2002" s="108"/>
      <c r="L2002" s="108"/>
      <c r="M2002" s="108"/>
      <c r="N2002" s="108"/>
      <c r="O2002" s="108"/>
      <c r="P2002" s="108"/>
      <c r="Q2002" s="108"/>
      <c r="R2002" s="108"/>
      <c r="S2002" s="108"/>
      <c r="T2002" s="108"/>
      <c r="U2002" s="108"/>
      <c r="V2002" s="108"/>
      <c r="W2002" s="108"/>
      <c r="X2002" s="108"/>
    </row>
    <row r="2003" spans="1:24">
      <c r="A2003" s="108"/>
      <c r="B2003" s="108"/>
      <c r="C2003" s="108"/>
      <c r="D2003" s="108"/>
      <c r="E2003" s="108"/>
      <c r="F2003" s="108"/>
      <c r="G2003" s="108"/>
      <c r="H2003" s="108"/>
      <c r="I2003" s="108"/>
      <c r="J2003" s="108"/>
      <c r="K2003" s="108"/>
      <c r="L2003" s="108"/>
      <c r="M2003" s="108"/>
      <c r="N2003" s="108"/>
      <c r="O2003" s="108"/>
      <c r="P2003" s="108"/>
      <c r="Q2003" s="108"/>
      <c r="R2003" s="108"/>
      <c r="S2003" s="108"/>
      <c r="T2003" s="108"/>
      <c r="U2003" s="108"/>
      <c r="V2003" s="108"/>
      <c r="W2003" s="108"/>
      <c r="X2003" s="108"/>
    </row>
    <row r="2004" spans="1:24">
      <c r="A2004" s="108"/>
      <c r="B2004" s="108"/>
      <c r="C2004" s="108"/>
      <c r="D2004" s="108"/>
      <c r="E2004" s="108"/>
      <c r="F2004" s="108"/>
      <c r="G2004" s="108"/>
      <c r="H2004" s="108"/>
      <c r="I2004" s="108"/>
      <c r="J2004" s="108"/>
      <c r="K2004" s="108"/>
      <c r="L2004" s="108"/>
      <c r="M2004" s="108"/>
      <c r="N2004" s="108"/>
      <c r="O2004" s="108"/>
      <c r="P2004" s="108"/>
      <c r="Q2004" s="108"/>
      <c r="R2004" s="108"/>
      <c r="S2004" s="108"/>
      <c r="T2004" s="108"/>
      <c r="U2004" s="108"/>
      <c r="V2004" s="108"/>
      <c r="W2004" s="108"/>
      <c r="X2004" s="108"/>
    </row>
    <row r="2005" spans="1:24">
      <c r="A2005" s="108"/>
      <c r="B2005" s="108"/>
      <c r="C2005" s="108"/>
      <c r="D2005" s="108"/>
      <c r="E2005" s="108"/>
      <c r="F2005" s="108"/>
      <c r="G2005" s="108"/>
      <c r="H2005" s="108"/>
      <c r="I2005" s="108"/>
      <c r="J2005" s="108"/>
      <c r="K2005" s="108"/>
      <c r="L2005" s="108"/>
      <c r="M2005" s="108"/>
      <c r="N2005" s="108"/>
      <c r="O2005" s="108"/>
      <c r="P2005" s="108"/>
      <c r="Q2005" s="108"/>
      <c r="R2005" s="108"/>
      <c r="S2005" s="108"/>
      <c r="T2005" s="108"/>
      <c r="U2005" s="108"/>
      <c r="V2005" s="108"/>
      <c r="W2005" s="108"/>
      <c r="X2005" s="108"/>
    </row>
    <row r="2006" spans="1:24">
      <c r="A2006" s="108"/>
      <c r="B2006" s="108"/>
      <c r="C2006" s="108"/>
      <c r="D2006" s="108"/>
      <c r="E2006" s="108"/>
      <c r="F2006" s="108"/>
      <c r="G2006" s="108"/>
      <c r="H2006" s="108"/>
      <c r="I2006" s="108"/>
      <c r="J2006" s="108"/>
      <c r="K2006" s="108"/>
      <c r="L2006" s="108"/>
      <c r="M2006" s="108"/>
      <c r="N2006" s="108"/>
      <c r="O2006" s="108"/>
      <c r="P2006" s="108"/>
      <c r="Q2006" s="108"/>
      <c r="R2006" s="108"/>
      <c r="S2006" s="108"/>
      <c r="T2006" s="108"/>
      <c r="U2006" s="108"/>
      <c r="V2006" s="108"/>
      <c r="W2006" s="108"/>
      <c r="X2006" s="108"/>
    </row>
    <row r="2007" spans="1:24">
      <c r="A2007" s="108"/>
      <c r="B2007" s="108"/>
      <c r="C2007" s="108"/>
      <c r="D2007" s="108"/>
      <c r="E2007" s="108"/>
      <c r="F2007" s="108"/>
      <c r="G2007" s="108"/>
      <c r="H2007" s="108"/>
      <c r="I2007" s="108"/>
      <c r="J2007" s="108"/>
      <c r="K2007" s="108"/>
      <c r="L2007" s="108"/>
      <c r="M2007" s="108"/>
      <c r="N2007" s="108"/>
      <c r="O2007" s="108"/>
      <c r="P2007" s="108"/>
      <c r="Q2007" s="108"/>
      <c r="R2007" s="108"/>
      <c r="S2007" s="108"/>
      <c r="T2007" s="108"/>
      <c r="U2007" s="108"/>
      <c r="V2007" s="108"/>
      <c r="W2007" s="108"/>
      <c r="X2007" s="108"/>
    </row>
    <row r="2008" spans="1:24">
      <c r="A2008" s="108"/>
      <c r="B2008" s="108"/>
      <c r="C2008" s="108"/>
      <c r="D2008" s="108"/>
      <c r="E2008" s="108"/>
      <c r="F2008" s="108"/>
      <c r="G2008" s="108"/>
      <c r="H2008" s="108"/>
      <c r="I2008" s="108"/>
      <c r="J2008" s="108"/>
      <c r="K2008" s="108"/>
      <c r="L2008" s="108"/>
      <c r="M2008" s="108"/>
      <c r="N2008" s="108"/>
      <c r="O2008" s="108"/>
      <c r="P2008" s="108"/>
      <c r="Q2008" s="108"/>
      <c r="R2008" s="108"/>
      <c r="S2008" s="108"/>
      <c r="T2008" s="108"/>
      <c r="U2008" s="108"/>
      <c r="V2008" s="108"/>
      <c r="W2008" s="108"/>
      <c r="X2008" s="108"/>
    </row>
    <row r="2009" spans="1:24">
      <c r="A2009" s="107"/>
      <c r="B2009" s="107"/>
      <c r="C2009" s="107"/>
      <c r="D2009" s="107"/>
      <c r="E2009" s="107"/>
      <c r="F2009" s="107"/>
      <c r="G2009" s="108"/>
      <c r="H2009" s="107"/>
      <c r="I2009" s="108"/>
      <c r="J2009" s="108"/>
      <c r="K2009" s="108"/>
      <c r="L2009" s="108"/>
      <c r="M2009" s="108"/>
      <c r="N2009" s="108"/>
      <c r="O2009" s="108"/>
      <c r="P2009" s="108"/>
      <c r="Q2009" s="108"/>
      <c r="R2009" s="108"/>
      <c r="S2009" s="108"/>
      <c r="T2009" s="108"/>
      <c r="U2009" s="108"/>
      <c r="V2009" s="108"/>
      <c r="W2009" s="108"/>
      <c r="X2009" s="108"/>
    </row>
    <row r="2010" spans="1:24">
      <c r="A2010" s="107"/>
      <c r="B2010" s="107"/>
      <c r="C2010" s="107"/>
      <c r="D2010" s="107"/>
      <c r="E2010" s="107"/>
      <c r="F2010" s="107"/>
      <c r="G2010" s="108"/>
      <c r="H2010" s="107"/>
      <c r="I2010" s="108"/>
      <c r="J2010" s="108"/>
      <c r="K2010" s="108"/>
      <c r="L2010" s="108"/>
      <c r="M2010" s="108"/>
      <c r="N2010" s="108"/>
      <c r="O2010" s="108"/>
      <c r="P2010" s="108"/>
      <c r="Q2010" s="108"/>
      <c r="R2010" s="108"/>
      <c r="S2010" s="108"/>
      <c r="T2010" s="108"/>
      <c r="U2010" s="108"/>
      <c r="V2010" s="108"/>
      <c r="W2010" s="108"/>
      <c r="X2010" s="108"/>
    </row>
    <row r="2011" spans="1:24">
      <c r="A2011" s="107"/>
      <c r="B2011" s="107"/>
      <c r="C2011" s="107"/>
      <c r="D2011" s="107"/>
      <c r="E2011" s="107"/>
      <c r="F2011" s="107"/>
      <c r="G2011" s="108"/>
      <c r="H2011" s="107"/>
      <c r="I2011" s="108"/>
      <c r="J2011" s="108"/>
      <c r="K2011" s="108"/>
      <c r="L2011" s="108"/>
      <c r="M2011" s="108"/>
      <c r="N2011" s="108"/>
      <c r="O2011" s="108"/>
      <c r="P2011" s="108"/>
      <c r="Q2011" s="108"/>
      <c r="R2011" s="108"/>
      <c r="S2011" s="108"/>
      <c r="T2011" s="108"/>
      <c r="U2011" s="108"/>
      <c r="V2011" s="108"/>
      <c r="W2011" s="108"/>
      <c r="X2011" s="108"/>
    </row>
    <row r="2012" spans="1:24">
      <c r="A2012" s="107"/>
      <c r="B2012" s="107"/>
      <c r="C2012" s="107"/>
      <c r="D2012" s="107"/>
      <c r="E2012" s="107"/>
      <c r="F2012" s="107"/>
      <c r="G2012" s="108"/>
      <c r="H2012" s="107"/>
      <c r="I2012" s="108"/>
      <c r="J2012" s="108"/>
      <c r="K2012" s="108"/>
      <c r="L2012" s="108"/>
      <c r="M2012" s="108"/>
      <c r="N2012" s="108"/>
      <c r="O2012" s="108"/>
      <c r="P2012" s="108"/>
      <c r="Q2012" s="108"/>
      <c r="R2012" s="108"/>
      <c r="S2012" s="108"/>
      <c r="T2012" s="108"/>
      <c r="U2012" s="108"/>
      <c r="V2012" s="108"/>
      <c r="W2012" s="108"/>
      <c r="X2012" s="108"/>
    </row>
    <row r="2013" spans="1:24">
      <c r="A2013" s="107"/>
      <c r="B2013" s="107"/>
      <c r="C2013" s="107"/>
      <c r="D2013" s="107"/>
      <c r="E2013" s="107"/>
      <c r="F2013" s="107"/>
      <c r="G2013" s="108"/>
      <c r="H2013" s="107"/>
      <c r="I2013" s="108"/>
      <c r="J2013" s="108"/>
      <c r="K2013" s="108"/>
      <c r="L2013" s="108"/>
      <c r="M2013" s="108"/>
      <c r="N2013" s="108"/>
      <c r="O2013" s="108"/>
      <c r="P2013" s="108"/>
      <c r="Q2013" s="108"/>
      <c r="R2013" s="108"/>
      <c r="S2013" s="108"/>
      <c r="T2013" s="108"/>
      <c r="U2013" s="108"/>
      <c r="V2013" s="108"/>
      <c r="W2013" s="108"/>
      <c r="X2013" s="108"/>
    </row>
    <row r="2014" spans="1:24">
      <c r="A2014" s="107"/>
      <c r="B2014" s="107"/>
      <c r="C2014" s="107"/>
      <c r="D2014" s="107"/>
      <c r="E2014" s="107"/>
      <c r="F2014" s="107"/>
      <c r="G2014" s="108"/>
      <c r="H2014" s="107"/>
      <c r="I2014" s="108"/>
      <c r="J2014" s="108"/>
      <c r="K2014" s="108"/>
      <c r="L2014" s="108"/>
      <c r="M2014" s="108"/>
      <c r="N2014" s="108"/>
      <c r="O2014" s="108"/>
      <c r="P2014" s="108"/>
      <c r="Q2014" s="108"/>
      <c r="R2014" s="108"/>
      <c r="S2014" s="108"/>
      <c r="T2014" s="108"/>
      <c r="U2014" s="108"/>
      <c r="V2014" s="108"/>
      <c r="W2014" s="108"/>
      <c r="X2014" s="108"/>
    </row>
    <row r="2015" spans="1:24">
      <c r="A2015" s="107"/>
      <c r="B2015" s="107"/>
      <c r="C2015" s="107"/>
      <c r="D2015" s="107"/>
      <c r="E2015" s="107"/>
      <c r="F2015" s="107"/>
      <c r="G2015" s="108"/>
      <c r="H2015" s="107"/>
      <c r="I2015" s="108"/>
      <c r="J2015" s="108"/>
      <c r="K2015" s="108"/>
      <c r="L2015" s="108"/>
      <c r="M2015" s="108"/>
      <c r="N2015" s="108"/>
      <c r="O2015" s="108"/>
      <c r="P2015" s="108"/>
      <c r="Q2015" s="108"/>
      <c r="R2015" s="108"/>
      <c r="S2015" s="108"/>
      <c r="T2015" s="108"/>
      <c r="U2015" s="108"/>
      <c r="V2015" s="108"/>
      <c r="W2015" s="108"/>
      <c r="X2015" s="108"/>
    </row>
    <row r="2016" spans="1:24">
      <c r="A2016" s="107"/>
      <c r="B2016" s="107"/>
      <c r="C2016" s="107"/>
      <c r="D2016" s="107"/>
      <c r="E2016" s="107"/>
      <c r="F2016" s="107"/>
      <c r="G2016" s="108"/>
      <c r="H2016" s="107"/>
      <c r="I2016" s="108"/>
      <c r="J2016" s="108"/>
      <c r="K2016" s="108"/>
      <c r="L2016" s="108"/>
      <c r="M2016" s="108"/>
      <c r="N2016" s="108"/>
      <c r="O2016" s="108"/>
      <c r="P2016" s="108"/>
      <c r="Q2016" s="108"/>
      <c r="R2016" s="108"/>
      <c r="S2016" s="108"/>
      <c r="T2016" s="108"/>
      <c r="U2016" s="108"/>
      <c r="V2016" s="108"/>
      <c r="W2016" s="108"/>
      <c r="X2016" s="108"/>
    </row>
    <row r="2017" spans="1:24">
      <c r="A2017" s="107"/>
      <c r="B2017" s="107"/>
      <c r="C2017" s="107"/>
      <c r="D2017" s="107"/>
      <c r="E2017" s="107"/>
      <c r="F2017" s="107"/>
      <c r="G2017" s="108"/>
      <c r="H2017" s="107"/>
      <c r="I2017" s="108"/>
      <c r="J2017" s="108"/>
      <c r="K2017" s="108"/>
      <c r="L2017" s="108"/>
      <c r="M2017" s="108"/>
      <c r="N2017" s="108"/>
      <c r="O2017" s="108"/>
      <c r="P2017" s="108"/>
      <c r="Q2017" s="108"/>
      <c r="R2017" s="108"/>
      <c r="S2017" s="108"/>
      <c r="T2017" s="108"/>
      <c r="U2017" s="108"/>
      <c r="V2017" s="108"/>
      <c r="W2017" s="108"/>
      <c r="X2017" s="108"/>
    </row>
    <row r="2018" spans="1:24">
      <c r="A2018" s="107"/>
      <c r="B2018" s="107"/>
      <c r="C2018" s="107"/>
      <c r="D2018" s="107"/>
      <c r="E2018" s="107"/>
      <c r="F2018" s="107"/>
      <c r="G2018" s="108"/>
      <c r="H2018" s="107"/>
      <c r="I2018" s="108"/>
      <c r="J2018" s="108"/>
      <c r="K2018" s="108"/>
      <c r="L2018" s="108"/>
      <c r="M2018" s="108"/>
      <c r="N2018" s="108"/>
      <c r="O2018" s="108"/>
      <c r="P2018" s="108"/>
      <c r="Q2018" s="108"/>
      <c r="R2018" s="108"/>
      <c r="S2018" s="108"/>
      <c r="T2018" s="108"/>
      <c r="U2018" s="108"/>
      <c r="V2018" s="108"/>
      <c r="W2018" s="108"/>
      <c r="X2018" s="108"/>
    </row>
    <row r="2019" spans="1:24">
      <c r="A2019" s="107"/>
      <c r="B2019" s="107"/>
      <c r="C2019" s="107"/>
      <c r="D2019" s="107"/>
      <c r="E2019" s="107"/>
      <c r="F2019" s="107"/>
      <c r="G2019" s="108"/>
      <c r="H2019" s="107"/>
      <c r="I2019" s="108"/>
      <c r="J2019" s="108"/>
      <c r="K2019" s="108"/>
      <c r="L2019" s="108"/>
      <c r="M2019" s="108"/>
      <c r="N2019" s="108"/>
      <c r="O2019" s="108"/>
      <c r="P2019" s="108"/>
      <c r="Q2019" s="108"/>
      <c r="R2019" s="108"/>
      <c r="S2019" s="108"/>
      <c r="T2019" s="108"/>
      <c r="U2019" s="108"/>
      <c r="V2019" s="108"/>
      <c r="W2019" s="108"/>
      <c r="X2019" s="108"/>
    </row>
    <row r="2020" spans="1:24">
      <c r="A2020" s="107"/>
      <c r="B2020" s="107"/>
      <c r="C2020" s="107"/>
      <c r="D2020" s="107"/>
      <c r="E2020" s="107"/>
      <c r="F2020" s="107"/>
      <c r="G2020" s="108"/>
      <c r="H2020" s="107"/>
      <c r="I2020" s="108"/>
      <c r="J2020" s="108"/>
      <c r="K2020" s="108"/>
      <c r="L2020" s="108"/>
      <c r="M2020" s="108"/>
      <c r="N2020" s="108"/>
      <c r="O2020" s="108"/>
      <c r="P2020" s="108"/>
      <c r="Q2020" s="108"/>
      <c r="R2020" s="108"/>
      <c r="S2020" s="108"/>
      <c r="T2020" s="108"/>
      <c r="U2020" s="108"/>
      <c r="V2020" s="108"/>
      <c r="W2020" s="108"/>
      <c r="X2020" s="108"/>
    </row>
    <row r="2021" spans="1:24">
      <c r="A2021" s="107"/>
      <c r="B2021" s="107"/>
      <c r="C2021" s="107"/>
      <c r="D2021" s="107"/>
      <c r="E2021" s="107"/>
      <c r="F2021" s="107"/>
      <c r="G2021" s="108"/>
      <c r="H2021" s="107"/>
      <c r="I2021" s="108"/>
      <c r="J2021" s="108"/>
      <c r="K2021" s="108"/>
      <c r="L2021" s="108"/>
      <c r="M2021" s="108"/>
      <c r="N2021" s="108"/>
      <c r="O2021" s="108"/>
      <c r="P2021" s="108"/>
      <c r="Q2021" s="108"/>
      <c r="R2021" s="108"/>
      <c r="S2021" s="108"/>
      <c r="T2021" s="108"/>
      <c r="U2021" s="108"/>
      <c r="V2021" s="108"/>
      <c r="W2021" s="108"/>
      <c r="X2021" s="108"/>
    </row>
    <row r="2022" spans="1:24">
      <c r="A2022" s="107"/>
      <c r="B2022" s="107"/>
      <c r="C2022" s="107"/>
      <c r="D2022" s="107"/>
      <c r="E2022" s="107"/>
      <c r="F2022" s="107"/>
      <c r="G2022" s="108"/>
      <c r="H2022" s="107"/>
      <c r="I2022" s="108"/>
      <c r="J2022" s="108"/>
      <c r="K2022" s="108"/>
      <c r="L2022" s="108"/>
      <c r="M2022" s="108"/>
      <c r="N2022" s="108"/>
      <c r="O2022" s="108"/>
      <c r="P2022" s="108"/>
      <c r="Q2022" s="108"/>
      <c r="R2022" s="108"/>
      <c r="S2022" s="108"/>
      <c r="T2022" s="108"/>
      <c r="U2022" s="108"/>
      <c r="V2022" s="108"/>
      <c r="W2022" s="108"/>
      <c r="X2022" s="108"/>
    </row>
    <row r="2023" spans="1:24">
      <c r="A2023" s="107"/>
      <c r="B2023" s="107"/>
      <c r="C2023" s="107"/>
      <c r="D2023" s="107"/>
      <c r="E2023" s="107"/>
      <c r="F2023" s="107"/>
      <c r="G2023" s="108"/>
      <c r="H2023" s="107"/>
      <c r="I2023" s="108"/>
      <c r="J2023" s="108"/>
      <c r="K2023" s="108"/>
      <c r="L2023" s="108"/>
      <c r="M2023" s="108"/>
      <c r="N2023" s="108"/>
      <c r="O2023" s="108"/>
      <c r="P2023" s="108"/>
      <c r="Q2023" s="108"/>
      <c r="R2023" s="108"/>
      <c r="S2023" s="108"/>
      <c r="T2023" s="108"/>
      <c r="U2023" s="108"/>
      <c r="V2023" s="108"/>
      <c r="W2023" s="108"/>
      <c r="X2023" s="108"/>
    </row>
    <row r="2024" spans="1:24">
      <c r="A2024" s="107"/>
      <c r="B2024" s="107"/>
      <c r="C2024" s="107"/>
      <c r="D2024" s="107"/>
      <c r="E2024" s="107"/>
      <c r="F2024" s="107"/>
      <c r="G2024" s="108"/>
      <c r="H2024" s="107"/>
      <c r="I2024" s="108"/>
      <c r="J2024" s="108"/>
      <c r="K2024" s="108"/>
      <c r="L2024" s="108"/>
      <c r="M2024" s="108"/>
      <c r="N2024" s="108"/>
      <c r="O2024" s="108"/>
      <c r="P2024" s="108"/>
      <c r="Q2024" s="108"/>
      <c r="R2024" s="108"/>
      <c r="S2024" s="108"/>
      <c r="T2024" s="108"/>
      <c r="U2024" s="108"/>
      <c r="V2024" s="108"/>
      <c r="W2024" s="108"/>
      <c r="X2024" s="108"/>
    </row>
    <row r="2025" spans="1:24">
      <c r="A2025" s="107"/>
      <c r="B2025" s="107"/>
      <c r="C2025" s="107"/>
      <c r="D2025" s="107"/>
      <c r="E2025" s="107"/>
      <c r="F2025" s="107"/>
      <c r="G2025" s="108"/>
      <c r="H2025" s="107"/>
      <c r="I2025" s="108"/>
      <c r="J2025" s="108"/>
      <c r="K2025" s="108"/>
      <c r="L2025" s="108"/>
      <c r="M2025" s="108"/>
      <c r="N2025" s="108"/>
      <c r="O2025" s="108"/>
      <c r="P2025" s="108"/>
      <c r="Q2025" s="108"/>
      <c r="R2025" s="108"/>
      <c r="S2025" s="108"/>
      <c r="T2025" s="108"/>
      <c r="U2025" s="108"/>
      <c r="V2025" s="108"/>
      <c r="W2025" s="108"/>
      <c r="X2025" s="108"/>
    </row>
    <row r="2026" spans="1:24">
      <c r="A2026" s="107"/>
      <c r="B2026" s="107"/>
      <c r="C2026" s="107"/>
      <c r="D2026" s="107"/>
      <c r="E2026" s="107"/>
      <c r="F2026" s="107"/>
      <c r="G2026" s="108"/>
      <c r="H2026" s="107"/>
      <c r="I2026" s="108"/>
      <c r="J2026" s="108"/>
      <c r="K2026" s="108"/>
      <c r="L2026" s="108"/>
      <c r="M2026" s="108"/>
      <c r="N2026" s="108"/>
      <c r="O2026" s="108"/>
      <c r="P2026" s="108"/>
      <c r="Q2026" s="108"/>
      <c r="R2026" s="108"/>
      <c r="S2026" s="108"/>
      <c r="T2026" s="108"/>
      <c r="U2026" s="108"/>
      <c r="V2026" s="108"/>
      <c r="W2026" s="108"/>
      <c r="X2026" s="108"/>
    </row>
    <row r="2027" spans="1:24">
      <c r="A2027" s="107"/>
      <c r="B2027" s="107"/>
      <c r="C2027" s="107"/>
      <c r="D2027" s="107"/>
      <c r="E2027" s="107"/>
      <c r="F2027" s="107"/>
      <c r="G2027" s="108"/>
      <c r="H2027" s="107"/>
      <c r="I2027" s="108"/>
      <c r="J2027" s="108"/>
      <c r="K2027" s="108"/>
      <c r="L2027" s="108"/>
      <c r="M2027" s="108"/>
      <c r="N2027" s="108"/>
      <c r="O2027" s="108"/>
      <c r="P2027" s="108"/>
      <c r="Q2027" s="108"/>
      <c r="R2027" s="108"/>
      <c r="S2027" s="108"/>
      <c r="T2027" s="108"/>
      <c r="U2027" s="108"/>
      <c r="V2027" s="108"/>
      <c r="W2027" s="108"/>
      <c r="X2027" s="108"/>
    </row>
    <row r="2028" spans="1:24">
      <c r="A2028" s="107"/>
      <c r="B2028" s="107"/>
      <c r="C2028" s="107"/>
      <c r="D2028" s="107"/>
      <c r="E2028" s="107"/>
      <c r="F2028" s="107"/>
      <c r="G2028" s="108"/>
      <c r="H2028" s="107"/>
      <c r="I2028" s="108"/>
      <c r="J2028" s="108"/>
      <c r="K2028" s="108"/>
      <c r="L2028" s="108"/>
      <c r="M2028" s="108"/>
      <c r="N2028" s="108"/>
      <c r="O2028" s="108"/>
      <c r="P2028" s="108"/>
      <c r="Q2028" s="108"/>
      <c r="R2028" s="108"/>
      <c r="S2028" s="108"/>
      <c r="T2028" s="108"/>
      <c r="U2028" s="108"/>
      <c r="V2028" s="108"/>
      <c r="W2028" s="108"/>
      <c r="X2028" s="108"/>
    </row>
    <row r="2029" spans="1:24">
      <c r="A2029" s="107"/>
      <c r="B2029" s="107"/>
      <c r="C2029" s="107"/>
      <c r="D2029" s="107"/>
      <c r="E2029" s="107"/>
      <c r="F2029" s="107"/>
      <c r="G2029" s="108"/>
      <c r="H2029" s="107"/>
      <c r="I2029" s="108"/>
      <c r="J2029" s="108"/>
      <c r="K2029" s="108"/>
      <c r="L2029" s="108"/>
      <c r="M2029" s="108"/>
      <c r="N2029" s="108"/>
      <c r="O2029" s="108"/>
      <c r="P2029" s="108"/>
      <c r="Q2029" s="108"/>
      <c r="R2029" s="108"/>
      <c r="S2029" s="108"/>
      <c r="T2029" s="108"/>
      <c r="U2029" s="108"/>
      <c r="V2029" s="108"/>
      <c r="W2029" s="108"/>
      <c r="X2029" s="108"/>
    </row>
    <row r="2030" spans="1:24">
      <c r="A2030" s="107"/>
      <c r="B2030" s="107"/>
      <c r="C2030" s="107"/>
      <c r="D2030" s="107"/>
      <c r="E2030" s="107"/>
      <c r="F2030" s="107"/>
      <c r="G2030" s="108"/>
      <c r="H2030" s="107"/>
      <c r="I2030" s="108"/>
      <c r="J2030" s="108"/>
      <c r="K2030" s="108"/>
      <c r="L2030" s="108"/>
      <c r="M2030" s="108"/>
      <c r="N2030" s="108"/>
      <c r="O2030" s="108"/>
      <c r="P2030" s="108"/>
      <c r="Q2030" s="108"/>
      <c r="R2030" s="108"/>
      <c r="S2030" s="108"/>
      <c r="T2030" s="108"/>
      <c r="U2030" s="108"/>
      <c r="V2030" s="108"/>
      <c r="W2030" s="108"/>
      <c r="X2030" s="108"/>
    </row>
    <row r="2031" spans="1:24">
      <c r="A2031" s="107"/>
      <c r="B2031" s="107"/>
      <c r="C2031" s="107"/>
      <c r="D2031" s="107"/>
      <c r="E2031" s="107"/>
      <c r="F2031" s="107"/>
      <c r="G2031" s="108"/>
      <c r="H2031" s="107"/>
      <c r="I2031" s="108"/>
      <c r="J2031" s="108"/>
      <c r="K2031" s="108"/>
      <c r="L2031" s="108"/>
      <c r="M2031" s="108"/>
      <c r="N2031" s="108"/>
      <c r="O2031" s="108"/>
      <c r="P2031" s="108"/>
      <c r="Q2031" s="108"/>
      <c r="R2031" s="108"/>
      <c r="S2031" s="108"/>
      <c r="T2031" s="108"/>
      <c r="U2031" s="108"/>
      <c r="V2031" s="108"/>
      <c r="W2031" s="108"/>
      <c r="X2031" s="108"/>
    </row>
    <row r="2032" spans="1:24">
      <c r="A2032" s="107"/>
      <c r="B2032" s="107"/>
      <c r="C2032" s="107"/>
      <c r="D2032" s="107"/>
      <c r="E2032" s="107"/>
      <c r="F2032" s="107"/>
      <c r="G2032" s="108"/>
      <c r="H2032" s="107"/>
      <c r="I2032" s="108"/>
      <c r="J2032" s="108"/>
      <c r="K2032" s="108"/>
      <c r="L2032" s="108"/>
      <c r="M2032" s="108"/>
      <c r="N2032" s="108"/>
      <c r="O2032" s="108"/>
      <c r="P2032" s="108"/>
      <c r="Q2032" s="108"/>
      <c r="R2032" s="108"/>
      <c r="S2032" s="108"/>
      <c r="T2032" s="108"/>
      <c r="U2032" s="108"/>
      <c r="V2032" s="108"/>
      <c r="W2032" s="108"/>
      <c r="X2032" s="108"/>
    </row>
    <row r="2033" spans="1:24">
      <c r="A2033" s="107"/>
      <c r="B2033" s="107"/>
      <c r="C2033" s="107"/>
      <c r="D2033" s="107"/>
      <c r="E2033" s="107"/>
      <c r="F2033" s="107"/>
      <c r="G2033" s="108"/>
      <c r="H2033" s="107"/>
      <c r="I2033" s="108"/>
      <c r="J2033" s="108"/>
      <c r="K2033" s="108"/>
      <c r="L2033" s="108"/>
      <c r="M2033" s="108"/>
      <c r="N2033" s="108"/>
      <c r="O2033" s="108"/>
      <c r="P2033" s="108"/>
      <c r="Q2033" s="108"/>
      <c r="R2033" s="108"/>
      <c r="S2033" s="108"/>
      <c r="T2033" s="108"/>
      <c r="U2033" s="108"/>
      <c r="V2033" s="108"/>
      <c r="W2033" s="108"/>
      <c r="X2033" s="108"/>
    </row>
    <row r="2034" spans="1:24">
      <c r="A2034" s="107"/>
      <c r="B2034" s="107"/>
      <c r="C2034" s="107"/>
      <c r="D2034" s="107"/>
      <c r="E2034" s="107"/>
      <c r="F2034" s="107"/>
      <c r="G2034" s="108"/>
      <c r="H2034" s="107"/>
      <c r="I2034" s="108"/>
      <c r="J2034" s="108"/>
      <c r="K2034" s="108"/>
      <c r="L2034" s="108"/>
      <c r="M2034" s="108"/>
      <c r="N2034" s="108"/>
      <c r="O2034" s="108"/>
      <c r="P2034" s="108"/>
      <c r="Q2034" s="108"/>
      <c r="R2034" s="108"/>
      <c r="S2034" s="108"/>
      <c r="T2034" s="108"/>
      <c r="U2034" s="108"/>
      <c r="V2034" s="108"/>
      <c r="W2034" s="108"/>
      <c r="X2034" s="108"/>
    </row>
    <row r="2035" spans="1:24">
      <c r="A2035" s="107"/>
      <c r="B2035" s="107"/>
      <c r="C2035" s="107"/>
      <c r="D2035" s="107"/>
      <c r="E2035" s="107"/>
      <c r="F2035" s="107"/>
      <c r="G2035" s="108"/>
      <c r="H2035" s="107"/>
      <c r="I2035" s="108"/>
      <c r="J2035" s="108"/>
      <c r="K2035" s="108"/>
      <c r="L2035" s="108"/>
      <c r="M2035" s="108"/>
      <c r="N2035" s="108"/>
      <c r="O2035" s="108"/>
      <c r="P2035" s="108"/>
      <c r="Q2035" s="108"/>
      <c r="R2035" s="108"/>
      <c r="S2035" s="108"/>
      <c r="T2035" s="108"/>
      <c r="U2035" s="108"/>
      <c r="V2035" s="108"/>
      <c r="W2035" s="108"/>
      <c r="X2035" s="108"/>
    </row>
    <row r="2036" spans="1:24">
      <c r="A2036" s="107"/>
      <c r="B2036" s="107"/>
      <c r="C2036" s="107"/>
      <c r="D2036" s="107"/>
      <c r="E2036" s="107"/>
      <c r="F2036" s="107"/>
      <c r="G2036" s="108"/>
      <c r="H2036" s="107"/>
      <c r="I2036" s="108"/>
      <c r="J2036" s="108"/>
      <c r="K2036" s="108"/>
      <c r="L2036" s="108"/>
      <c r="M2036" s="108"/>
      <c r="N2036" s="108"/>
      <c r="O2036" s="108"/>
      <c r="P2036" s="108"/>
      <c r="Q2036" s="108"/>
      <c r="R2036" s="108"/>
      <c r="S2036" s="108"/>
      <c r="T2036" s="108"/>
      <c r="U2036" s="108"/>
      <c r="V2036" s="108"/>
      <c r="W2036" s="108"/>
      <c r="X2036" s="108"/>
    </row>
    <row r="2037" spans="1:24">
      <c r="A2037" s="107"/>
      <c r="B2037" s="107"/>
      <c r="C2037" s="107"/>
      <c r="D2037" s="107"/>
      <c r="E2037" s="107"/>
      <c r="F2037" s="107"/>
      <c r="G2037" s="108"/>
      <c r="H2037" s="107"/>
      <c r="I2037" s="108"/>
      <c r="J2037" s="108"/>
      <c r="K2037" s="108"/>
      <c r="L2037" s="108"/>
      <c r="M2037" s="108"/>
      <c r="N2037" s="108"/>
      <c r="O2037" s="108"/>
      <c r="P2037" s="108"/>
      <c r="Q2037" s="108"/>
      <c r="R2037" s="108"/>
      <c r="S2037" s="108"/>
      <c r="T2037" s="108"/>
      <c r="U2037" s="108"/>
      <c r="V2037" s="108"/>
      <c r="W2037" s="108"/>
      <c r="X2037" s="108"/>
    </row>
    <row r="2038" spans="1:24">
      <c r="A2038" s="107"/>
      <c r="B2038" s="107"/>
      <c r="C2038" s="107"/>
      <c r="D2038" s="107"/>
      <c r="E2038" s="107"/>
      <c r="F2038" s="107"/>
      <c r="G2038" s="108"/>
      <c r="H2038" s="107"/>
      <c r="I2038" s="108"/>
      <c r="J2038" s="108"/>
      <c r="K2038" s="108"/>
      <c r="L2038" s="108"/>
      <c r="M2038" s="108"/>
      <c r="N2038" s="108"/>
      <c r="O2038" s="108"/>
      <c r="P2038" s="108"/>
      <c r="Q2038" s="108"/>
      <c r="R2038" s="108"/>
      <c r="S2038" s="108"/>
      <c r="T2038" s="108"/>
      <c r="U2038" s="108"/>
      <c r="V2038" s="108"/>
      <c r="W2038" s="108"/>
      <c r="X2038" s="108"/>
    </row>
    <row r="2039" spans="1:24">
      <c r="A2039" s="107"/>
      <c r="B2039" s="107"/>
      <c r="C2039" s="107"/>
      <c r="D2039" s="107"/>
      <c r="E2039" s="107"/>
      <c r="F2039" s="107"/>
      <c r="G2039" s="108"/>
      <c r="H2039" s="107"/>
      <c r="I2039" s="108"/>
      <c r="J2039" s="108"/>
      <c r="K2039" s="108"/>
      <c r="L2039" s="108"/>
      <c r="M2039" s="108"/>
      <c r="N2039" s="108"/>
      <c r="O2039" s="108"/>
      <c r="P2039" s="108"/>
      <c r="Q2039" s="108"/>
      <c r="R2039" s="108"/>
      <c r="S2039" s="108"/>
      <c r="T2039" s="108"/>
      <c r="U2039" s="108"/>
      <c r="V2039" s="108"/>
      <c r="W2039" s="108"/>
      <c r="X2039" s="108"/>
    </row>
    <row r="2040" spans="1:24">
      <c r="A2040" s="107"/>
      <c r="B2040" s="107"/>
      <c r="C2040" s="107"/>
      <c r="D2040" s="107"/>
      <c r="E2040" s="107"/>
      <c r="F2040" s="107"/>
      <c r="G2040" s="108"/>
      <c r="H2040" s="107"/>
      <c r="I2040" s="108"/>
      <c r="J2040" s="108"/>
      <c r="K2040" s="108"/>
      <c r="L2040" s="108"/>
      <c r="M2040" s="108"/>
      <c r="N2040" s="108"/>
      <c r="O2040" s="108"/>
      <c r="P2040" s="108"/>
      <c r="Q2040" s="108"/>
      <c r="R2040" s="108"/>
      <c r="S2040" s="108"/>
      <c r="T2040" s="108"/>
      <c r="U2040" s="108"/>
      <c r="V2040" s="108"/>
      <c r="W2040" s="108"/>
      <c r="X2040" s="108"/>
    </row>
    <row r="2041" spans="1:24">
      <c r="A2041" s="107"/>
      <c r="B2041" s="107"/>
      <c r="C2041" s="107"/>
      <c r="D2041" s="107"/>
      <c r="E2041" s="107"/>
      <c r="F2041" s="107"/>
      <c r="G2041" s="108"/>
      <c r="H2041" s="107"/>
      <c r="I2041" s="108"/>
      <c r="J2041" s="108"/>
      <c r="K2041" s="108"/>
      <c r="L2041" s="108"/>
      <c r="M2041" s="108"/>
      <c r="N2041" s="108"/>
      <c r="O2041" s="108"/>
      <c r="P2041" s="108"/>
      <c r="Q2041" s="108"/>
      <c r="R2041" s="108"/>
      <c r="S2041" s="108"/>
      <c r="T2041" s="108"/>
      <c r="U2041" s="108"/>
      <c r="V2041" s="108"/>
      <c r="W2041" s="108"/>
      <c r="X2041" s="108"/>
    </row>
    <row r="2042" spans="1:24">
      <c r="A2042" s="107"/>
      <c r="B2042" s="107"/>
      <c r="C2042" s="107"/>
      <c r="D2042" s="107"/>
      <c r="E2042" s="107"/>
      <c r="F2042" s="107"/>
      <c r="G2042" s="108"/>
      <c r="H2042" s="107"/>
      <c r="I2042" s="108"/>
      <c r="J2042" s="108"/>
      <c r="K2042" s="108"/>
      <c r="L2042" s="108"/>
      <c r="M2042" s="108"/>
      <c r="N2042" s="108"/>
      <c r="O2042" s="108"/>
      <c r="P2042" s="108"/>
      <c r="Q2042" s="108"/>
      <c r="R2042" s="108"/>
      <c r="S2042" s="108"/>
      <c r="T2042" s="108"/>
      <c r="U2042" s="108"/>
      <c r="V2042" s="108"/>
      <c r="W2042" s="108"/>
      <c r="X2042" s="108"/>
    </row>
    <row r="2043" spans="1:24">
      <c r="A2043" s="107"/>
      <c r="B2043" s="107"/>
      <c r="C2043" s="107"/>
      <c r="D2043" s="107"/>
      <c r="E2043" s="107"/>
      <c r="F2043" s="107"/>
      <c r="G2043" s="108"/>
      <c r="H2043" s="107"/>
      <c r="I2043" s="108"/>
      <c r="J2043" s="108"/>
      <c r="K2043" s="108"/>
      <c r="L2043" s="108"/>
      <c r="M2043" s="108"/>
      <c r="N2043" s="108"/>
      <c r="O2043" s="108"/>
      <c r="P2043" s="108"/>
      <c r="Q2043" s="108"/>
      <c r="R2043" s="108"/>
      <c r="S2043" s="108"/>
      <c r="T2043" s="108"/>
      <c r="U2043" s="108"/>
      <c r="V2043" s="108"/>
      <c r="W2043" s="108"/>
      <c r="X2043" s="108"/>
    </row>
    <row r="2044" spans="1:24">
      <c r="A2044" s="107"/>
      <c r="B2044" s="107"/>
      <c r="C2044" s="107"/>
      <c r="D2044" s="107"/>
      <c r="E2044" s="107"/>
      <c r="F2044" s="107"/>
      <c r="G2044" s="108"/>
      <c r="H2044" s="107"/>
      <c r="I2044" s="108"/>
      <c r="J2044" s="108"/>
      <c r="K2044" s="108"/>
      <c r="L2044" s="108"/>
      <c r="M2044" s="108"/>
      <c r="N2044" s="108"/>
      <c r="O2044" s="108"/>
      <c r="P2044" s="108"/>
      <c r="Q2044" s="108"/>
      <c r="R2044" s="108"/>
      <c r="S2044" s="108"/>
      <c r="T2044" s="108"/>
      <c r="U2044" s="108"/>
      <c r="V2044" s="108"/>
      <c r="W2044" s="108"/>
      <c r="X2044" s="108"/>
    </row>
    <row r="2045" spans="1:24">
      <c r="A2045" s="107"/>
      <c r="B2045" s="107"/>
      <c r="C2045" s="107"/>
      <c r="D2045" s="107"/>
      <c r="E2045" s="107"/>
      <c r="F2045" s="107"/>
      <c r="G2045" s="108"/>
      <c r="H2045" s="107"/>
      <c r="I2045" s="108"/>
      <c r="J2045" s="108"/>
      <c r="K2045" s="108"/>
      <c r="L2045" s="108"/>
      <c r="M2045" s="108"/>
      <c r="N2045" s="108"/>
      <c r="O2045" s="108"/>
      <c r="P2045" s="108"/>
      <c r="Q2045" s="108"/>
      <c r="R2045" s="108"/>
      <c r="S2045" s="108"/>
      <c r="T2045" s="108"/>
      <c r="U2045" s="108"/>
      <c r="V2045" s="108"/>
      <c r="W2045" s="108"/>
      <c r="X2045" s="108"/>
    </row>
    <row r="2046" spans="1:24">
      <c r="A2046" s="107"/>
      <c r="B2046" s="107"/>
      <c r="C2046" s="107"/>
      <c r="D2046" s="107"/>
      <c r="E2046" s="107"/>
      <c r="F2046" s="107"/>
      <c r="G2046" s="108"/>
      <c r="H2046" s="107"/>
      <c r="I2046" s="108"/>
      <c r="J2046" s="108"/>
      <c r="K2046" s="108"/>
      <c r="L2046" s="108"/>
      <c r="M2046" s="108"/>
      <c r="N2046" s="108"/>
      <c r="O2046" s="108"/>
      <c r="P2046" s="108"/>
      <c r="Q2046" s="108"/>
      <c r="R2046" s="108"/>
      <c r="S2046" s="108"/>
      <c r="T2046" s="108"/>
      <c r="U2046" s="108"/>
      <c r="V2046" s="108"/>
      <c r="W2046" s="108"/>
      <c r="X2046" s="108"/>
    </row>
    <row r="2047" spans="1:24">
      <c r="A2047" s="107"/>
      <c r="B2047" s="107"/>
      <c r="C2047" s="107"/>
      <c r="D2047" s="107"/>
      <c r="E2047" s="107"/>
      <c r="F2047" s="107"/>
      <c r="G2047" s="108"/>
      <c r="H2047" s="107"/>
      <c r="I2047" s="108"/>
      <c r="J2047" s="108"/>
      <c r="K2047" s="108"/>
      <c r="L2047" s="108"/>
      <c r="M2047" s="108"/>
      <c r="N2047" s="108"/>
      <c r="O2047" s="108"/>
      <c r="P2047" s="108"/>
      <c r="Q2047" s="108"/>
      <c r="R2047" s="108"/>
      <c r="S2047" s="108"/>
      <c r="T2047" s="108"/>
      <c r="U2047" s="108"/>
      <c r="V2047" s="108"/>
      <c r="W2047" s="108"/>
      <c r="X2047" s="108"/>
    </row>
    <row r="2048" spans="1:24">
      <c r="A2048" s="107"/>
      <c r="B2048" s="107"/>
      <c r="C2048" s="107"/>
      <c r="D2048" s="107"/>
      <c r="E2048" s="107"/>
      <c r="F2048" s="107"/>
      <c r="G2048" s="108"/>
      <c r="H2048" s="107"/>
      <c r="I2048" s="108"/>
      <c r="J2048" s="108"/>
      <c r="K2048" s="108"/>
      <c r="L2048" s="108"/>
      <c r="M2048" s="108"/>
      <c r="N2048" s="108"/>
      <c r="O2048" s="108"/>
      <c r="P2048" s="108"/>
      <c r="Q2048" s="108"/>
      <c r="R2048" s="108"/>
      <c r="S2048" s="108"/>
      <c r="T2048" s="108"/>
      <c r="U2048" s="108"/>
      <c r="V2048" s="108"/>
      <c r="W2048" s="108"/>
      <c r="X2048" s="108"/>
    </row>
    <row r="2049" spans="1:24">
      <c r="A2049" s="107"/>
      <c r="B2049" s="107"/>
      <c r="C2049" s="107"/>
      <c r="D2049" s="107"/>
      <c r="E2049" s="107"/>
      <c r="F2049" s="107"/>
      <c r="G2049" s="108"/>
      <c r="H2049" s="107"/>
      <c r="I2049" s="108"/>
      <c r="J2049" s="108"/>
      <c r="K2049" s="108"/>
      <c r="L2049" s="108"/>
      <c r="M2049" s="108"/>
      <c r="N2049" s="108"/>
      <c r="O2049" s="108"/>
      <c r="P2049" s="108"/>
      <c r="Q2049" s="108"/>
      <c r="R2049" s="108"/>
      <c r="S2049" s="108"/>
      <c r="T2049" s="108"/>
      <c r="U2049" s="108"/>
      <c r="V2049" s="108"/>
      <c r="W2049" s="108"/>
      <c r="X2049" s="108"/>
    </row>
    <row r="2050" spans="1:24">
      <c r="A2050" s="107"/>
      <c r="B2050" s="107"/>
      <c r="C2050" s="107"/>
      <c r="D2050" s="107"/>
      <c r="E2050" s="107"/>
      <c r="F2050" s="107"/>
      <c r="G2050" s="108"/>
      <c r="H2050" s="107"/>
      <c r="I2050" s="108"/>
      <c r="J2050" s="108"/>
      <c r="K2050" s="108"/>
      <c r="L2050" s="108"/>
      <c r="M2050" s="108"/>
      <c r="N2050" s="108"/>
      <c r="O2050" s="108"/>
      <c r="P2050" s="108"/>
      <c r="Q2050" s="108"/>
      <c r="R2050" s="108"/>
      <c r="S2050" s="108"/>
      <c r="T2050" s="108"/>
      <c r="U2050" s="108"/>
      <c r="V2050" s="108"/>
      <c r="W2050" s="108"/>
      <c r="X2050" s="108"/>
    </row>
    <row r="2051" spans="1:24">
      <c r="A2051" s="107"/>
      <c r="B2051" s="107"/>
      <c r="C2051" s="107"/>
      <c r="D2051" s="107"/>
      <c r="E2051" s="107"/>
      <c r="F2051" s="107"/>
      <c r="G2051" s="108"/>
      <c r="H2051" s="107"/>
      <c r="I2051" s="108"/>
      <c r="J2051" s="108"/>
      <c r="K2051" s="108"/>
      <c r="L2051" s="108"/>
      <c r="M2051" s="108"/>
      <c r="N2051" s="108"/>
      <c r="O2051" s="108"/>
      <c r="P2051" s="108"/>
      <c r="Q2051" s="108"/>
      <c r="R2051" s="108"/>
      <c r="S2051" s="108"/>
      <c r="T2051" s="108"/>
      <c r="U2051" s="108"/>
      <c r="V2051" s="108"/>
      <c r="W2051" s="108"/>
      <c r="X2051" s="108"/>
    </row>
    <row r="2052" spans="1:24">
      <c r="A2052" s="107"/>
      <c r="B2052" s="107"/>
      <c r="C2052" s="107"/>
      <c r="D2052" s="107"/>
      <c r="E2052" s="107"/>
      <c r="F2052" s="107"/>
      <c r="G2052" s="108"/>
      <c r="H2052" s="107"/>
      <c r="I2052" s="108"/>
      <c r="J2052" s="108"/>
      <c r="K2052" s="108"/>
      <c r="L2052" s="108"/>
      <c r="M2052" s="108"/>
      <c r="N2052" s="108"/>
      <c r="O2052" s="108"/>
      <c r="P2052" s="108"/>
      <c r="Q2052" s="108"/>
      <c r="R2052" s="108"/>
      <c r="S2052" s="108"/>
      <c r="T2052" s="108"/>
      <c r="U2052" s="108"/>
      <c r="V2052" s="108"/>
      <c r="W2052" s="108"/>
      <c r="X2052" s="108"/>
    </row>
    <row r="2053" spans="1:24">
      <c r="A2053" s="107"/>
      <c r="B2053" s="107"/>
      <c r="C2053" s="107"/>
      <c r="D2053" s="107"/>
      <c r="E2053" s="107"/>
      <c r="F2053" s="107"/>
      <c r="G2053" s="108"/>
      <c r="H2053" s="107"/>
      <c r="I2053" s="108"/>
      <c r="J2053" s="108"/>
      <c r="K2053" s="108"/>
      <c r="L2053" s="108"/>
      <c r="M2053" s="108"/>
      <c r="N2053" s="108"/>
      <c r="O2053" s="108"/>
      <c r="P2053" s="108"/>
      <c r="Q2053" s="108"/>
      <c r="R2053" s="108"/>
      <c r="S2053" s="108"/>
      <c r="T2053" s="108"/>
      <c r="U2053" s="108"/>
      <c r="V2053" s="108"/>
      <c r="W2053" s="108"/>
      <c r="X2053" s="108"/>
    </row>
    <row r="2054" spans="1:24">
      <c r="A2054" s="107"/>
      <c r="B2054" s="107"/>
      <c r="C2054" s="107"/>
      <c r="D2054" s="107"/>
      <c r="E2054" s="107"/>
      <c r="F2054" s="107"/>
      <c r="G2054" s="108"/>
      <c r="H2054" s="107"/>
      <c r="I2054" s="108"/>
      <c r="J2054" s="108"/>
      <c r="K2054" s="108"/>
      <c r="L2054" s="108"/>
      <c r="M2054" s="108"/>
      <c r="N2054" s="108"/>
      <c r="O2054" s="108"/>
      <c r="P2054" s="108"/>
      <c r="Q2054" s="108"/>
      <c r="R2054" s="108"/>
      <c r="S2054" s="108"/>
      <c r="T2054" s="108"/>
      <c r="U2054" s="108"/>
      <c r="V2054" s="108"/>
      <c r="W2054" s="108"/>
      <c r="X2054" s="108"/>
    </row>
    <row r="2055" spans="1:24">
      <c r="A2055" s="107"/>
      <c r="B2055" s="107"/>
      <c r="C2055" s="107"/>
      <c r="D2055" s="107"/>
      <c r="E2055" s="107"/>
      <c r="F2055" s="107"/>
      <c r="G2055" s="108"/>
      <c r="H2055" s="107"/>
      <c r="I2055" s="108"/>
      <c r="J2055" s="108"/>
      <c r="K2055" s="108"/>
      <c r="L2055" s="108"/>
      <c r="M2055" s="108"/>
      <c r="N2055" s="108"/>
      <c r="O2055" s="108"/>
      <c r="P2055" s="108"/>
      <c r="Q2055" s="108"/>
      <c r="R2055" s="108"/>
      <c r="S2055" s="108"/>
      <c r="T2055" s="108"/>
      <c r="U2055" s="108"/>
      <c r="V2055" s="108"/>
      <c r="W2055" s="108"/>
      <c r="X2055" s="108"/>
    </row>
    <row r="2056" spans="1:24">
      <c r="A2056" s="107"/>
      <c r="B2056" s="107"/>
      <c r="C2056" s="107"/>
      <c r="D2056" s="107"/>
      <c r="E2056" s="107"/>
      <c r="F2056" s="107"/>
      <c r="G2056" s="108"/>
      <c r="H2056" s="107"/>
      <c r="I2056" s="108"/>
      <c r="J2056" s="108"/>
      <c r="K2056" s="108"/>
      <c r="L2056" s="108"/>
      <c r="M2056" s="108"/>
      <c r="N2056" s="108"/>
      <c r="O2056" s="108"/>
      <c r="P2056" s="108"/>
      <c r="Q2056" s="108"/>
      <c r="R2056" s="108"/>
      <c r="S2056" s="108"/>
      <c r="T2056" s="108"/>
      <c r="U2056" s="108"/>
      <c r="V2056" s="108"/>
      <c r="W2056" s="108"/>
      <c r="X2056" s="108"/>
    </row>
    <row r="2057" spans="1:24">
      <c r="A2057" s="107"/>
      <c r="B2057" s="107"/>
      <c r="C2057" s="107"/>
      <c r="D2057" s="107"/>
      <c r="E2057" s="107"/>
      <c r="F2057" s="107"/>
      <c r="G2057" s="108"/>
      <c r="H2057" s="107"/>
      <c r="I2057" s="108"/>
      <c r="J2057" s="108"/>
      <c r="K2057" s="108"/>
      <c r="L2057" s="108"/>
      <c r="M2057" s="108"/>
      <c r="N2057" s="108"/>
      <c r="O2057" s="108"/>
      <c r="P2057" s="108"/>
      <c r="Q2057" s="108"/>
      <c r="R2057" s="108"/>
      <c r="S2057" s="108"/>
      <c r="T2057" s="108"/>
      <c r="U2057" s="108"/>
      <c r="V2057" s="108"/>
      <c r="W2057" s="108"/>
      <c r="X2057" s="108"/>
    </row>
    <row r="2058" spans="1:24">
      <c r="A2058" s="107"/>
      <c r="B2058" s="107"/>
      <c r="C2058" s="107"/>
      <c r="D2058" s="107"/>
      <c r="E2058" s="107"/>
      <c r="F2058" s="107"/>
      <c r="G2058" s="108"/>
      <c r="H2058" s="107"/>
      <c r="I2058" s="108"/>
      <c r="J2058" s="108"/>
      <c r="K2058" s="108"/>
      <c r="L2058" s="108"/>
      <c r="M2058" s="108"/>
      <c r="N2058" s="108"/>
      <c r="O2058" s="108"/>
      <c r="P2058" s="108"/>
      <c r="Q2058" s="108"/>
      <c r="R2058" s="108"/>
      <c r="S2058" s="108"/>
      <c r="T2058" s="108"/>
      <c r="U2058" s="108"/>
      <c r="V2058" s="108"/>
      <c r="W2058" s="108"/>
      <c r="X2058" s="108"/>
    </row>
    <row r="2059" spans="1:24">
      <c r="A2059" s="107"/>
      <c r="B2059" s="107"/>
      <c r="C2059" s="107"/>
      <c r="D2059" s="107"/>
      <c r="E2059" s="107"/>
      <c r="F2059" s="107"/>
      <c r="G2059" s="108"/>
      <c r="H2059" s="107"/>
      <c r="I2059" s="108"/>
      <c r="J2059" s="108"/>
      <c r="K2059" s="108"/>
      <c r="L2059" s="108"/>
      <c r="M2059" s="108"/>
      <c r="N2059" s="108"/>
      <c r="O2059" s="108"/>
      <c r="P2059" s="108"/>
      <c r="Q2059" s="108"/>
      <c r="R2059" s="108"/>
      <c r="S2059" s="108"/>
      <c r="T2059" s="108"/>
      <c r="U2059" s="108"/>
      <c r="V2059" s="108"/>
      <c r="W2059" s="108"/>
      <c r="X2059" s="108"/>
    </row>
    <row r="2060" spans="1:24">
      <c r="A2060" s="107"/>
      <c r="B2060" s="107"/>
      <c r="C2060" s="107"/>
      <c r="D2060" s="107"/>
      <c r="E2060" s="107"/>
      <c r="F2060" s="107"/>
      <c r="G2060" s="108"/>
      <c r="H2060" s="107"/>
      <c r="I2060" s="108"/>
      <c r="J2060" s="108"/>
      <c r="K2060" s="108"/>
      <c r="L2060" s="108"/>
      <c r="M2060" s="108"/>
      <c r="N2060" s="108"/>
      <c r="O2060" s="108"/>
      <c r="P2060" s="108"/>
      <c r="Q2060" s="108"/>
      <c r="R2060" s="108"/>
      <c r="S2060" s="108"/>
      <c r="T2060" s="108"/>
      <c r="U2060" s="108"/>
      <c r="V2060" s="108"/>
      <c r="W2060" s="108"/>
      <c r="X2060" s="108"/>
    </row>
    <row r="2061" spans="1:24">
      <c r="A2061" s="107"/>
      <c r="B2061" s="107"/>
      <c r="C2061" s="107"/>
      <c r="D2061" s="107"/>
      <c r="E2061" s="107"/>
      <c r="F2061" s="107"/>
      <c r="G2061" s="108"/>
      <c r="H2061" s="107"/>
      <c r="I2061" s="108"/>
      <c r="J2061" s="108"/>
      <c r="K2061" s="108"/>
      <c r="L2061" s="108"/>
      <c r="M2061" s="108"/>
      <c r="N2061" s="108"/>
      <c r="O2061" s="108"/>
      <c r="P2061" s="108"/>
      <c r="Q2061" s="108"/>
      <c r="R2061" s="108"/>
      <c r="S2061" s="108"/>
      <c r="T2061" s="108"/>
      <c r="U2061" s="108"/>
      <c r="V2061" s="108"/>
      <c r="W2061" s="108"/>
      <c r="X2061" s="108"/>
    </row>
    <row r="2062" spans="1:24">
      <c r="A2062" s="107"/>
      <c r="B2062" s="107"/>
      <c r="C2062" s="107"/>
      <c r="D2062" s="107"/>
      <c r="E2062" s="107"/>
      <c r="F2062" s="107"/>
      <c r="G2062" s="108"/>
      <c r="H2062" s="107"/>
      <c r="I2062" s="108"/>
      <c r="J2062" s="108"/>
      <c r="K2062" s="108"/>
      <c r="L2062" s="108"/>
      <c r="M2062" s="108"/>
      <c r="N2062" s="108"/>
      <c r="O2062" s="108"/>
      <c r="P2062" s="108"/>
      <c r="Q2062" s="108"/>
      <c r="R2062" s="108"/>
      <c r="S2062" s="108"/>
      <c r="T2062" s="108"/>
      <c r="U2062" s="108"/>
      <c r="V2062" s="108"/>
      <c r="W2062" s="108"/>
      <c r="X2062" s="108"/>
    </row>
    <row r="2063" spans="1:24">
      <c r="A2063" s="107"/>
      <c r="B2063" s="107"/>
      <c r="C2063" s="107"/>
      <c r="D2063" s="107"/>
      <c r="E2063" s="107"/>
      <c r="F2063" s="107"/>
      <c r="G2063" s="108"/>
      <c r="H2063" s="107"/>
      <c r="I2063" s="108"/>
      <c r="J2063" s="108"/>
      <c r="K2063" s="108"/>
      <c r="L2063" s="108"/>
      <c r="M2063" s="108"/>
      <c r="N2063" s="108"/>
      <c r="O2063" s="108"/>
      <c r="P2063" s="108"/>
      <c r="Q2063" s="108"/>
      <c r="R2063" s="108"/>
      <c r="S2063" s="108"/>
      <c r="T2063" s="108"/>
      <c r="U2063" s="108"/>
      <c r="V2063" s="108"/>
      <c r="W2063" s="108"/>
      <c r="X2063" s="108"/>
    </row>
    <row r="2064" spans="1:24">
      <c r="A2064" s="107"/>
      <c r="B2064" s="107"/>
      <c r="C2064" s="107"/>
      <c r="D2064" s="107"/>
      <c r="E2064" s="107"/>
      <c r="F2064" s="107"/>
      <c r="G2064" s="108"/>
      <c r="H2064" s="107"/>
      <c r="I2064" s="108"/>
      <c r="J2064" s="108"/>
      <c r="K2064" s="108"/>
      <c r="L2064" s="108"/>
      <c r="M2064" s="108"/>
      <c r="N2064" s="108"/>
      <c r="O2064" s="108"/>
      <c r="P2064" s="108"/>
      <c r="Q2064" s="108"/>
      <c r="R2064" s="108"/>
      <c r="S2064" s="108"/>
      <c r="T2064" s="108"/>
      <c r="U2064" s="108"/>
      <c r="V2064" s="108"/>
      <c r="W2064" s="108"/>
      <c r="X2064" s="108"/>
    </row>
    <row r="2065" spans="1:24">
      <c r="A2065" s="107"/>
      <c r="B2065" s="107"/>
      <c r="C2065" s="107"/>
      <c r="D2065" s="107"/>
      <c r="E2065" s="107"/>
      <c r="F2065" s="107"/>
      <c r="G2065" s="108"/>
      <c r="H2065" s="107"/>
      <c r="I2065" s="108"/>
      <c r="J2065" s="108"/>
      <c r="K2065" s="108"/>
      <c r="L2065" s="108"/>
      <c r="M2065" s="108"/>
      <c r="N2065" s="108"/>
      <c r="O2065" s="108"/>
      <c r="P2065" s="108"/>
      <c r="Q2065" s="108"/>
      <c r="R2065" s="108"/>
      <c r="S2065" s="108"/>
      <c r="T2065" s="108"/>
      <c r="U2065" s="108"/>
      <c r="V2065" s="108"/>
      <c r="W2065" s="108"/>
      <c r="X2065" s="108"/>
    </row>
    <row r="2066" spans="1:24">
      <c r="A2066" s="107"/>
      <c r="B2066" s="107"/>
      <c r="C2066" s="107"/>
      <c r="D2066" s="107"/>
      <c r="E2066" s="107"/>
      <c r="F2066" s="107"/>
      <c r="G2066" s="108"/>
      <c r="H2066" s="107"/>
      <c r="I2066" s="108"/>
      <c r="J2066" s="108"/>
      <c r="K2066" s="108"/>
      <c r="L2066" s="108"/>
      <c r="M2066" s="108"/>
      <c r="N2066" s="108"/>
      <c r="O2066" s="108"/>
      <c r="P2066" s="108"/>
      <c r="Q2066" s="108"/>
      <c r="R2066" s="108"/>
      <c r="S2066" s="108"/>
      <c r="T2066" s="108"/>
      <c r="U2066" s="108"/>
      <c r="V2066" s="108"/>
      <c r="W2066" s="108"/>
      <c r="X2066" s="108"/>
    </row>
    <row r="2067" spans="1:24">
      <c r="A2067" s="107"/>
      <c r="B2067" s="107"/>
      <c r="C2067" s="107"/>
      <c r="D2067" s="107"/>
      <c r="E2067" s="107"/>
      <c r="F2067" s="107"/>
      <c r="G2067" s="108"/>
      <c r="H2067" s="107"/>
      <c r="I2067" s="108"/>
      <c r="J2067" s="108"/>
      <c r="K2067" s="108"/>
      <c r="L2067" s="108"/>
      <c r="M2067" s="108"/>
      <c r="N2067" s="108"/>
      <c r="O2067" s="108"/>
      <c r="P2067" s="108"/>
      <c r="Q2067" s="108"/>
      <c r="R2067" s="108"/>
      <c r="S2067" s="108"/>
      <c r="T2067" s="108"/>
      <c r="U2067" s="108"/>
      <c r="V2067" s="108"/>
      <c r="W2067" s="108"/>
      <c r="X2067" s="108"/>
    </row>
    <row r="2068" spans="1:24">
      <c r="A2068" s="107"/>
      <c r="B2068" s="107"/>
      <c r="C2068" s="107"/>
      <c r="D2068" s="107"/>
      <c r="E2068" s="107"/>
      <c r="F2068" s="107"/>
      <c r="G2068" s="108"/>
      <c r="H2068" s="107"/>
      <c r="I2068" s="108"/>
      <c r="J2068" s="108"/>
      <c r="K2068" s="108"/>
      <c r="L2068" s="108"/>
      <c r="M2068" s="108"/>
      <c r="N2068" s="108"/>
      <c r="O2068" s="108"/>
      <c r="P2068" s="108"/>
      <c r="Q2068" s="108"/>
      <c r="R2068" s="108"/>
      <c r="S2068" s="108"/>
      <c r="T2068" s="108"/>
      <c r="U2068" s="108"/>
      <c r="V2068" s="108"/>
      <c r="W2068" s="108"/>
      <c r="X2068" s="108"/>
    </row>
    <row r="2069" spans="1:24">
      <c r="A2069" s="107"/>
      <c r="B2069" s="107"/>
      <c r="C2069" s="107"/>
      <c r="D2069" s="107"/>
      <c r="E2069" s="107"/>
      <c r="F2069" s="107"/>
      <c r="G2069" s="108"/>
      <c r="H2069" s="107"/>
      <c r="I2069" s="108"/>
      <c r="J2069" s="108"/>
      <c r="K2069" s="108"/>
      <c r="L2069" s="108"/>
      <c r="M2069" s="108"/>
      <c r="N2069" s="108"/>
      <c r="O2069" s="108"/>
      <c r="P2069" s="108"/>
      <c r="Q2069" s="108"/>
      <c r="R2069" s="108"/>
      <c r="S2069" s="108"/>
      <c r="T2069" s="108"/>
      <c r="U2069" s="108"/>
      <c r="V2069" s="108"/>
      <c r="W2069" s="108"/>
      <c r="X2069" s="108"/>
    </row>
    <row r="2070" spans="1:24">
      <c r="A2070" s="107"/>
      <c r="B2070" s="107"/>
      <c r="C2070" s="107"/>
      <c r="D2070" s="107"/>
      <c r="E2070" s="107"/>
      <c r="F2070" s="107"/>
      <c r="G2070" s="108"/>
      <c r="H2070" s="107"/>
      <c r="I2070" s="108"/>
      <c r="J2070" s="108"/>
      <c r="K2070" s="108"/>
      <c r="L2070" s="108"/>
      <c r="M2070" s="108"/>
      <c r="N2070" s="108"/>
      <c r="O2070" s="108"/>
      <c r="P2070" s="108"/>
      <c r="Q2070" s="108"/>
      <c r="R2070" s="108"/>
      <c r="S2070" s="108"/>
      <c r="T2070" s="108"/>
      <c r="U2070" s="108"/>
      <c r="V2070" s="108"/>
      <c r="W2070" s="108"/>
      <c r="X2070" s="108"/>
    </row>
    <row r="2071" spans="1:24">
      <c r="A2071" s="107"/>
      <c r="B2071" s="107"/>
      <c r="C2071" s="107"/>
      <c r="D2071" s="107"/>
      <c r="E2071" s="107"/>
      <c r="F2071" s="107"/>
      <c r="G2071" s="108"/>
      <c r="H2071" s="107"/>
      <c r="I2071" s="108"/>
      <c r="J2071" s="108"/>
      <c r="K2071" s="108"/>
      <c r="L2071" s="108"/>
      <c r="M2071" s="108"/>
      <c r="N2071" s="108"/>
      <c r="O2071" s="108"/>
      <c r="P2071" s="108"/>
      <c r="Q2071" s="108"/>
      <c r="R2071" s="108"/>
      <c r="S2071" s="108"/>
      <c r="T2071" s="108"/>
      <c r="U2071" s="108"/>
      <c r="V2071" s="108"/>
      <c r="W2071" s="108"/>
      <c r="X2071" s="108"/>
    </row>
    <row r="2072" spans="1:24">
      <c r="A2072" s="107"/>
      <c r="B2072" s="107"/>
      <c r="C2072" s="107"/>
      <c r="D2072" s="107"/>
      <c r="E2072" s="107"/>
      <c r="F2072" s="107"/>
      <c r="G2072" s="108"/>
      <c r="H2072" s="107"/>
      <c r="I2072" s="108"/>
      <c r="J2072" s="108"/>
      <c r="K2072" s="108"/>
      <c r="L2072" s="108"/>
      <c r="M2072" s="108"/>
      <c r="N2072" s="108"/>
      <c r="O2072" s="108"/>
      <c r="P2072" s="108"/>
      <c r="Q2072" s="108"/>
      <c r="R2072" s="108"/>
      <c r="S2072" s="108"/>
      <c r="T2072" s="108"/>
      <c r="U2072" s="108"/>
      <c r="V2072" s="108"/>
      <c r="W2072" s="108"/>
      <c r="X2072" s="108"/>
    </row>
    <row r="2073" spans="1:24">
      <c r="A2073" s="107"/>
      <c r="B2073" s="107"/>
      <c r="C2073" s="107"/>
      <c r="D2073" s="107"/>
      <c r="E2073" s="107"/>
      <c r="F2073" s="107"/>
      <c r="G2073" s="108"/>
      <c r="H2073" s="107"/>
      <c r="I2073" s="108"/>
      <c r="J2073" s="108"/>
      <c r="K2073" s="108"/>
      <c r="L2073" s="108"/>
      <c r="M2073" s="108"/>
      <c r="N2073" s="108"/>
      <c r="O2073" s="108"/>
      <c r="P2073" s="108"/>
      <c r="Q2073" s="108"/>
      <c r="R2073" s="108"/>
      <c r="S2073" s="108"/>
      <c r="T2073" s="108"/>
      <c r="U2073" s="108"/>
      <c r="V2073" s="108"/>
      <c r="W2073" s="108"/>
      <c r="X2073" s="108"/>
    </row>
    <row r="2074" spans="1:24">
      <c r="A2074" s="107"/>
      <c r="B2074" s="107"/>
      <c r="C2074" s="107"/>
      <c r="D2074" s="107"/>
      <c r="E2074" s="107"/>
      <c r="F2074" s="107"/>
      <c r="G2074" s="108"/>
      <c r="H2074" s="107"/>
      <c r="I2074" s="108"/>
      <c r="J2074" s="108"/>
      <c r="K2074" s="108"/>
      <c r="L2074" s="108"/>
      <c r="M2074" s="108"/>
      <c r="N2074" s="108"/>
      <c r="O2074" s="108"/>
      <c r="P2074" s="108"/>
      <c r="Q2074" s="108"/>
      <c r="R2074" s="108"/>
      <c r="S2074" s="108"/>
      <c r="T2074" s="108"/>
      <c r="U2074" s="108"/>
      <c r="V2074" s="108"/>
      <c r="W2074" s="108"/>
      <c r="X2074" s="108"/>
    </row>
    <row r="2075" spans="1:24">
      <c r="A2075" s="107"/>
      <c r="B2075" s="107"/>
      <c r="C2075" s="107"/>
      <c r="D2075" s="107"/>
      <c r="E2075" s="107"/>
      <c r="F2075" s="107"/>
      <c r="G2075" s="108"/>
      <c r="H2075" s="107"/>
      <c r="I2075" s="108"/>
      <c r="J2075" s="108"/>
      <c r="K2075" s="108"/>
      <c r="L2075" s="108"/>
      <c r="M2075" s="108"/>
      <c r="N2075" s="108"/>
      <c r="O2075" s="108"/>
      <c r="P2075" s="108"/>
      <c r="Q2075" s="108"/>
      <c r="R2075" s="108"/>
      <c r="S2075" s="108"/>
      <c r="T2075" s="108"/>
      <c r="U2075" s="108"/>
      <c r="V2075" s="108"/>
      <c r="W2075" s="108"/>
      <c r="X2075" s="108"/>
    </row>
    <row r="2076" spans="1:24">
      <c r="A2076" s="107"/>
      <c r="B2076" s="107"/>
      <c r="C2076" s="107"/>
      <c r="D2076" s="107"/>
      <c r="E2076" s="107"/>
      <c r="F2076" s="107"/>
      <c r="G2076" s="108"/>
      <c r="H2076" s="107"/>
      <c r="I2076" s="108"/>
      <c r="J2076" s="108"/>
      <c r="K2076" s="108"/>
      <c r="L2076" s="108"/>
      <c r="M2076" s="108"/>
      <c r="N2076" s="108"/>
      <c r="O2076" s="108"/>
      <c r="P2076" s="108"/>
      <c r="Q2076" s="108"/>
      <c r="R2076" s="108"/>
      <c r="S2076" s="108"/>
      <c r="T2076" s="108"/>
      <c r="U2076" s="108"/>
      <c r="V2076" s="108"/>
      <c r="W2076" s="108"/>
      <c r="X2076" s="108"/>
    </row>
    <row r="2077" spans="1:24">
      <c r="A2077" s="107"/>
      <c r="B2077" s="107"/>
      <c r="C2077" s="107"/>
      <c r="D2077" s="107"/>
      <c r="E2077" s="107"/>
      <c r="F2077" s="107"/>
      <c r="G2077" s="108"/>
      <c r="H2077" s="107"/>
      <c r="I2077" s="108"/>
      <c r="J2077" s="108"/>
      <c r="K2077" s="108"/>
      <c r="L2077" s="108"/>
      <c r="M2077" s="108"/>
      <c r="N2077" s="108"/>
      <c r="O2077" s="108"/>
      <c r="P2077" s="108"/>
      <c r="Q2077" s="108"/>
      <c r="R2077" s="108"/>
      <c r="S2077" s="108"/>
      <c r="T2077" s="108"/>
      <c r="U2077" s="108"/>
      <c r="V2077" s="108"/>
      <c r="W2077" s="108"/>
      <c r="X2077" s="108"/>
    </row>
    <row r="2078" spans="1:24">
      <c r="A2078" s="107"/>
      <c r="B2078" s="107"/>
      <c r="C2078" s="107"/>
      <c r="D2078" s="107"/>
      <c r="E2078" s="107"/>
      <c r="F2078" s="107"/>
      <c r="G2078" s="108"/>
      <c r="H2078" s="107"/>
      <c r="I2078" s="108"/>
      <c r="J2078" s="108"/>
      <c r="K2078" s="108"/>
      <c r="L2078" s="108"/>
      <c r="M2078" s="108"/>
      <c r="N2078" s="108"/>
      <c r="O2078" s="108"/>
      <c r="P2078" s="108"/>
      <c r="Q2078" s="108"/>
      <c r="R2078" s="108"/>
      <c r="S2078" s="108"/>
      <c r="T2078" s="108"/>
      <c r="U2078" s="108"/>
      <c r="V2078" s="108"/>
      <c r="W2078" s="108"/>
      <c r="X2078" s="108"/>
    </row>
    <row r="2079" spans="1:24">
      <c r="A2079" s="107"/>
      <c r="B2079" s="107"/>
      <c r="C2079" s="107"/>
      <c r="D2079" s="107"/>
      <c r="E2079" s="107"/>
      <c r="F2079" s="107"/>
      <c r="G2079" s="108"/>
      <c r="H2079" s="107"/>
      <c r="I2079" s="108"/>
      <c r="J2079" s="108"/>
      <c r="K2079" s="108"/>
      <c r="L2079" s="108"/>
      <c r="M2079" s="108"/>
      <c r="N2079" s="108"/>
      <c r="O2079" s="108"/>
      <c r="P2079" s="108"/>
      <c r="Q2079" s="108"/>
      <c r="R2079" s="108"/>
      <c r="S2079" s="108"/>
      <c r="T2079" s="108"/>
      <c r="U2079" s="108"/>
      <c r="V2079" s="108"/>
      <c r="W2079" s="108"/>
      <c r="X2079" s="108"/>
    </row>
    <row r="2080" spans="1:24">
      <c r="A2080" s="107"/>
      <c r="B2080" s="107"/>
      <c r="C2080" s="107"/>
      <c r="D2080" s="107"/>
      <c r="E2080" s="107"/>
      <c r="F2080" s="107"/>
      <c r="G2080" s="108"/>
      <c r="H2080" s="107"/>
      <c r="I2080" s="108"/>
      <c r="J2080" s="108"/>
      <c r="K2080" s="108"/>
      <c r="L2080" s="108"/>
      <c r="M2080" s="108"/>
      <c r="N2080" s="108"/>
      <c r="O2080" s="108"/>
      <c r="P2080" s="108"/>
      <c r="Q2080" s="108"/>
      <c r="R2080" s="108"/>
      <c r="S2080" s="108"/>
      <c r="T2080" s="108"/>
      <c r="U2080" s="108"/>
      <c r="V2080" s="108"/>
      <c r="W2080" s="108"/>
      <c r="X2080" s="108"/>
    </row>
    <row r="2081" spans="1:24">
      <c r="A2081" s="107"/>
      <c r="B2081" s="107"/>
      <c r="C2081" s="107"/>
      <c r="D2081" s="107"/>
      <c r="E2081" s="107"/>
      <c r="F2081" s="107"/>
      <c r="G2081" s="108"/>
      <c r="H2081" s="107"/>
      <c r="I2081" s="108"/>
      <c r="J2081" s="108"/>
      <c r="K2081" s="108"/>
      <c r="L2081" s="108"/>
      <c r="M2081" s="108"/>
      <c r="N2081" s="108"/>
      <c r="O2081" s="108"/>
      <c r="P2081" s="108"/>
      <c r="Q2081" s="108"/>
      <c r="R2081" s="108"/>
      <c r="S2081" s="108"/>
      <c r="T2081" s="108"/>
      <c r="U2081" s="108"/>
      <c r="V2081" s="108"/>
      <c r="W2081" s="108"/>
      <c r="X2081" s="108"/>
    </row>
    <row r="2082" spans="1:24">
      <c r="A2082" s="107"/>
      <c r="B2082" s="107"/>
      <c r="C2082" s="107"/>
      <c r="D2082" s="107"/>
      <c r="E2082" s="107"/>
      <c r="F2082" s="107"/>
      <c r="G2082" s="108"/>
      <c r="H2082" s="107"/>
      <c r="I2082" s="108"/>
      <c r="J2082" s="108"/>
      <c r="K2082" s="108"/>
      <c r="L2082" s="108"/>
      <c r="M2082" s="108"/>
      <c r="N2082" s="108"/>
      <c r="O2082" s="108"/>
      <c r="P2082" s="108"/>
      <c r="Q2082" s="108"/>
      <c r="R2082" s="108"/>
      <c r="S2082" s="108"/>
      <c r="T2082" s="108"/>
      <c r="U2082" s="108"/>
      <c r="V2082" s="108"/>
      <c r="W2082" s="108"/>
      <c r="X2082" s="108"/>
    </row>
    <row r="2083" spans="1:24">
      <c r="A2083" s="107"/>
      <c r="B2083" s="107"/>
      <c r="C2083" s="107"/>
      <c r="D2083" s="107"/>
      <c r="E2083" s="107"/>
      <c r="F2083" s="107"/>
      <c r="G2083" s="108"/>
      <c r="H2083" s="107"/>
      <c r="I2083" s="108"/>
      <c r="J2083" s="108"/>
      <c r="K2083" s="108"/>
      <c r="L2083" s="108"/>
      <c r="M2083" s="108"/>
      <c r="N2083" s="108"/>
      <c r="O2083" s="108"/>
      <c r="P2083" s="108"/>
      <c r="Q2083" s="108"/>
      <c r="R2083" s="108"/>
      <c r="S2083" s="108"/>
      <c r="T2083" s="108"/>
      <c r="U2083" s="108"/>
      <c r="V2083" s="108"/>
      <c r="W2083" s="108"/>
      <c r="X2083" s="108"/>
    </row>
    <row r="2084" spans="1:24">
      <c r="A2084" s="107"/>
      <c r="B2084" s="107"/>
      <c r="C2084" s="107"/>
      <c r="D2084" s="107"/>
      <c r="E2084" s="107"/>
      <c r="F2084" s="107"/>
      <c r="G2084" s="108"/>
      <c r="H2084" s="107"/>
      <c r="I2084" s="108"/>
      <c r="J2084" s="108"/>
      <c r="K2084" s="108"/>
      <c r="L2084" s="108"/>
      <c r="M2084" s="108"/>
      <c r="N2084" s="108"/>
      <c r="O2084" s="108"/>
      <c r="P2084" s="108"/>
      <c r="Q2084" s="108"/>
      <c r="R2084" s="108"/>
      <c r="S2084" s="108"/>
      <c r="T2084" s="108"/>
      <c r="U2084" s="108"/>
      <c r="V2084" s="108"/>
      <c r="W2084" s="108"/>
      <c r="X2084" s="108"/>
    </row>
    <row r="2085" spans="1:24">
      <c r="A2085" s="107"/>
      <c r="B2085" s="107"/>
      <c r="C2085" s="107"/>
      <c r="D2085" s="107"/>
      <c r="E2085" s="107"/>
      <c r="F2085" s="107"/>
      <c r="G2085" s="108"/>
      <c r="H2085" s="107"/>
      <c r="I2085" s="108"/>
      <c r="J2085" s="108"/>
      <c r="K2085" s="108"/>
      <c r="L2085" s="108"/>
      <c r="M2085" s="108"/>
      <c r="N2085" s="108"/>
      <c r="O2085" s="108"/>
      <c r="P2085" s="108"/>
      <c r="Q2085" s="108"/>
      <c r="R2085" s="108"/>
      <c r="S2085" s="108"/>
      <c r="T2085" s="108"/>
      <c r="U2085" s="108"/>
      <c r="V2085" s="108"/>
      <c r="W2085" s="108"/>
      <c r="X2085" s="108"/>
    </row>
    <row r="2086" spans="1:24">
      <c r="A2086" s="107"/>
      <c r="B2086" s="107"/>
      <c r="C2086" s="107"/>
      <c r="D2086" s="107"/>
      <c r="E2086" s="107"/>
      <c r="F2086" s="107"/>
      <c r="G2086" s="108"/>
      <c r="H2086" s="107"/>
      <c r="I2086" s="108"/>
      <c r="J2086" s="108"/>
      <c r="K2086" s="108"/>
      <c r="L2086" s="108"/>
      <c r="M2086" s="108"/>
      <c r="N2086" s="108"/>
      <c r="O2086" s="108"/>
      <c r="P2086" s="108"/>
      <c r="Q2086" s="108"/>
      <c r="R2086" s="108"/>
      <c r="S2086" s="108"/>
      <c r="T2086" s="108"/>
      <c r="U2086" s="108"/>
      <c r="V2086" s="108"/>
      <c r="W2086" s="108"/>
      <c r="X2086" s="108"/>
    </row>
    <row r="2087" spans="1:24">
      <c r="A2087" s="107"/>
      <c r="B2087" s="107"/>
      <c r="C2087" s="107"/>
      <c r="D2087" s="107"/>
      <c r="E2087" s="107"/>
      <c r="F2087" s="107"/>
      <c r="G2087" s="108"/>
      <c r="H2087" s="107"/>
      <c r="I2087" s="108"/>
      <c r="J2087" s="108"/>
      <c r="K2087" s="108"/>
      <c r="L2087" s="108"/>
      <c r="M2087" s="108"/>
      <c r="N2087" s="108"/>
      <c r="O2087" s="108"/>
      <c r="P2087" s="108"/>
      <c r="Q2087" s="108"/>
      <c r="R2087" s="108"/>
      <c r="S2087" s="108"/>
      <c r="T2087" s="108"/>
      <c r="U2087" s="108"/>
      <c r="V2087" s="108"/>
      <c r="W2087" s="108"/>
      <c r="X2087" s="108"/>
    </row>
    <row r="2088" spans="1:24">
      <c r="A2088" s="107"/>
      <c r="B2088" s="107"/>
      <c r="C2088" s="107"/>
      <c r="D2088" s="107"/>
      <c r="E2088" s="107"/>
      <c r="F2088" s="107"/>
      <c r="G2088" s="108"/>
      <c r="H2088" s="107"/>
      <c r="I2088" s="108"/>
      <c r="J2088" s="108"/>
      <c r="K2088" s="108"/>
      <c r="L2088" s="108"/>
      <c r="M2088" s="108"/>
      <c r="N2088" s="108"/>
      <c r="O2088" s="108"/>
      <c r="P2088" s="108"/>
      <c r="Q2088" s="108"/>
      <c r="R2088" s="108"/>
      <c r="S2088" s="108"/>
      <c r="T2088" s="108"/>
      <c r="U2088" s="108"/>
      <c r="V2088" s="108"/>
      <c r="W2088" s="108"/>
      <c r="X2088" s="108"/>
    </row>
    <row r="2089" spans="1:24">
      <c r="A2089" s="107"/>
      <c r="B2089" s="107"/>
      <c r="C2089" s="107"/>
      <c r="D2089" s="107"/>
      <c r="E2089" s="107"/>
      <c r="F2089" s="107"/>
      <c r="G2089" s="108"/>
      <c r="H2089" s="107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</row>
    <row r="2090" spans="1:24">
      <c r="A2090" s="107"/>
      <c r="B2090" s="107"/>
      <c r="C2090" s="107"/>
      <c r="D2090" s="107"/>
      <c r="E2090" s="107"/>
      <c r="F2090" s="107"/>
      <c r="G2090" s="108"/>
      <c r="H2090" s="107"/>
      <c r="I2090" s="108"/>
      <c r="J2090" s="108"/>
      <c r="K2090" s="108"/>
      <c r="L2090" s="108"/>
      <c r="M2090" s="108"/>
      <c r="N2090" s="108"/>
      <c r="O2090" s="108"/>
      <c r="P2090" s="108"/>
      <c r="Q2090" s="108"/>
      <c r="R2090" s="108"/>
      <c r="S2090" s="108"/>
      <c r="T2090" s="108"/>
      <c r="U2090" s="108"/>
      <c r="V2090" s="108"/>
      <c r="W2090" s="108"/>
      <c r="X2090" s="108"/>
    </row>
    <row r="2091" spans="1:24">
      <c r="A2091" s="107"/>
      <c r="B2091" s="107"/>
      <c r="C2091" s="107"/>
      <c r="D2091" s="107"/>
      <c r="E2091" s="107"/>
      <c r="F2091" s="107"/>
      <c r="G2091" s="108"/>
      <c r="H2091" s="107"/>
      <c r="I2091" s="108"/>
      <c r="J2091" s="108"/>
      <c r="K2091" s="108"/>
      <c r="L2091" s="108"/>
      <c r="M2091" s="108"/>
      <c r="N2091" s="108"/>
      <c r="O2091" s="108"/>
      <c r="P2091" s="108"/>
      <c r="Q2091" s="108"/>
      <c r="R2091" s="108"/>
      <c r="S2091" s="108"/>
      <c r="T2091" s="108"/>
      <c r="U2091" s="108"/>
      <c r="V2091" s="108"/>
      <c r="W2091" s="108"/>
      <c r="X2091" s="108"/>
    </row>
    <row r="2092" spans="1:24">
      <c r="A2092" s="107"/>
      <c r="B2092" s="107"/>
      <c r="C2092" s="107"/>
      <c r="D2092" s="107"/>
      <c r="E2092" s="107"/>
      <c r="F2092" s="107"/>
      <c r="G2092" s="108"/>
      <c r="H2092" s="107"/>
      <c r="I2092" s="108"/>
      <c r="J2092" s="108"/>
      <c r="K2092" s="108"/>
      <c r="L2092" s="108"/>
      <c r="M2092" s="108"/>
      <c r="N2092" s="108"/>
      <c r="O2092" s="108"/>
      <c r="P2092" s="108"/>
      <c r="Q2092" s="108"/>
      <c r="R2092" s="108"/>
      <c r="S2092" s="108"/>
      <c r="T2092" s="108"/>
      <c r="U2092" s="108"/>
      <c r="V2092" s="108"/>
      <c r="W2092" s="108"/>
      <c r="X2092" s="108"/>
    </row>
    <row r="2093" spans="1:24">
      <c r="A2093" s="107"/>
      <c r="B2093" s="107"/>
      <c r="C2093" s="107"/>
      <c r="D2093" s="107"/>
      <c r="E2093" s="107"/>
      <c r="F2093" s="107"/>
      <c r="G2093" s="108"/>
      <c r="H2093" s="107"/>
      <c r="I2093" s="108"/>
      <c r="J2093" s="108"/>
      <c r="K2093" s="108"/>
      <c r="L2093" s="108"/>
      <c r="M2093" s="108"/>
      <c r="N2093" s="108"/>
      <c r="O2093" s="108"/>
      <c r="P2093" s="108"/>
      <c r="Q2093" s="108"/>
      <c r="R2093" s="108"/>
      <c r="S2093" s="108"/>
      <c r="T2093" s="108"/>
      <c r="U2093" s="108"/>
      <c r="V2093" s="108"/>
      <c r="W2093" s="108"/>
      <c r="X2093" s="108"/>
    </row>
    <row r="2094" spans="1:24">
      <c r="A2094" s="107"/>
      <c r="B2094" s="107"/>
      <c r="C2094" s="107"/>
      <c r="D2094" s="107"/>
      <c r="E2094" s="107"/>
      <c r="F2094" s="107"/>
      <c r="G2094" s="108"/>
      <c r="H2094" s="107"/>
      <c r="I2094" s="108"/>
      <c r="J2094" s="108"/>
      <c r="K2094" s="108"/>
      <c r="L2094" s="108"/>
      <c r="M2094" s="108"/>
      <c r="N2094" s="108"/>
      <c r="O2094" s="108"/>
      <c r="P2094" s="108"/>
      <c r="Q2094" s="108"/>
      <c r="R2094" s="108"/>
      <c r="S2094" s="108"/>
      <c r="T2094" s="108"/>
      <c r="U2094" s="108"/>
      <c r="V2094" s="108"/>
      <c r="W2094" s="108"/>
      <c r="X2094" s="108"/>
    </row>
    <row r="2095" spans="1:24">
      <c r="A2095" s="107"/>
      <c r="B2095" s="107"/>
      <c r="C2095" s="107"/>
      <c r="D2095" s="107"/>
      <c r="E2095" s="107"/>
      <c r="F2095" s="107"/>
      <c r="G2095" s="108"/>
      <c r="H2095" s="107"/>
      <c r="I2095" s="108"/>
      <c r="J2095" s="108"/>
      <c r="K2095" s="108"/>
      <c r="L2095" s="108"/>
      <c r="M2095" s="108"/>
      <c r="N2095" s="108"/>
      <c r="O2095" s="108"/>
      <c r="P2095" s="108"/>
      <c r="Q2095" s="108"/>
      <c r="R2095" s="108"/>
      <c r="S2095" s="108"/>
      <c r="T2095" s="108"/>
      <c r="U2095" s="108"/>
      <c r="V2095" s="108"/>
      <c r="W2095" s="108"/>
      <c r="X2095" s="108"/>
    </row>
    <row r="2096" spans="1:24">
      <c r="A2096" s="107"/>
      <c r="B2096" s="107"/>
      <c r="C2096" s="107"/>
      <c r="D2096" s="107"/>
      <c r="E2096" s="107"/>
      <c r="F2096" s="107"/>
      <c r="G2096" s="108"/>
      <c r="H2096" s="107"/>
      <c r="I2096" s="108"/>
      <c r="J2096" s="108"/>
      <c r="K2096" s="108"/>
      <c r="L2096" s="108"/>
      <c r="M2096" s="108"/>
      <c r="N2096" s="108"/>
      <c r="O2096" s="108"/>
      <c r="P2096" s="108"/>
      <c r="Q2096" s="108"/>
      <c r="R2096" s="108"/>
      <c r="S2096" s="108"/>
      <c r="T2096" s="108"/>
      <c r="U2096" s="108"/>
      <c r="V2096" s="108"/>
      <c r="W2096" s="108"/>
      <c r="X2096" s="108"/>
    </row>
    <row r="2097" spans="1:24">
      <c r="A2097" s="107"/>
      <c r="B2097" s="107"/>
      <c r="C2097" s="107"/>
      <c r="D2097" s="107"/>
      <c r="E2097" s="107"/>
      <c r="F2097" s="107"/>
      <c r="G2097" s="108"/>
      <c r="H2097" s="107"/>
      <c r="I2097" s="108"/>
      <c r="J2097" s="108"/>
      <c r="K2097" s="108"/>
      <c r="L2097" s="108"/>
      <c r="M2097" s="108"/>
      <c r="N2097" s="108"/>
      <c r="O2097" s="108"/>
      <c r="P2097" s="108"/>
      <c r="Q2097" s="108"/>
      <c r="R2097" s="108"/>
      <c r="S2097" s="108"/>
      <c r="T2097" s="108"/>
      <c r="U2097" s="108"/>
      <c r="V2097" s="108"/>
      <c r="W2097" s="108"/>
      <c r="X2097" s="108"/>
    </row>
    <row r="2098" spans="1:24">
      <c r="A2098" s="107"/>
      <c r="B2098" s="107"/>
      <c r="C2098" s="107"/>
      <c r="D2098" s="107"/>
      <c r="E2098" s="107"/>
      <c r="F2098" s="107"/>
      <c r="G2098" s="108"/>
      <c r="H2098" s="107"/>
      <c r="I2098" s="108"/>
      <c r="J2098" s="108"/>
      <c r="K2098" s="108"/>
      <c r="L2098" s="108"/>
      <c r="M2098" s="108"/>
      <c r="N2098" s="108"/>
      <c r="O2098" s="108"/>
      <c r="P2098" s="108"/>
      <c r="Q2098" s="108"/>
      <c r="R2098" s="108"/>
      <c r="S2098" s="108"/>
      <c r="T2098" s="108"/>
      <c r="U2098" s="108"/>
      <c r="V2098" s="108"/>
      <c r="W2098" s="108"/>
      <c r="X2098" s="108"/>
    </row>
    <row r="2099" spans="1:24">
      <c r="A2099" s="107"/>
      <c r="B2099" s="107"/>
      <c r="C2099" s="107"/>
      <c r="D2099" s="107"/>
      <c r="E2099" s="107"/>
      <c r="F2099" s="107"/>
      <c r="G2099" s="108"/>
      <c r="H2099" s="107"/>
      <c r="I2099" s="108"/>
      <c r="J2099" s="108"/>
      <c r="K2099" s="108"/>
      <c r="L2099" s="108"/>
      <c r="M2099" s="108"/>
      <c r="N2099" s="108"/>
      <c r="O2099" s="108"/>
      <c r="P2099" s="108"/>
      <c r="Q2099" s="108"/>
      <c r="R2099" s="108"/>
      <c r="S2099" s="108"/>
      <c r="T2099" s="108"/>
      <c r="U2099" s="108"/>
      <c r="V2099" s="108"/>
      <c r="W2099" s="108"/>
      <c r="X2099" s="108"/>
    </row>
    <row r="2100" spans="1:24">
      <c r="A2100" s="107"/>
      <c r="B2100" s="107"/>
      <c r="C2100" s="107"/>
      <c r="D2100" s="107"/>
      <c r="E2100" s="107"/>
      <c r="F2100" s="107"/>
      <c r="G2100" s="108"/>
      <c r="H2100" s="107"/>
      <c r="I2100" s="108"/>
      <c r="J2100" s="108"/>
      <c r="K2100" s="108"/>
      <c r="L2100" s="108"/>
      <c r="M2100" s="108"/>
      <c r="N2100" s="108"/>
      <c r="O2100" s="108"/>
      <c r="P2100" s="108"/>
      <c r="Q2100" s="108"/>
      <c r="R2100" s="108"/>
      <c r="S2100" s="108"/>
      <c r="T2100" s="108"/>
      <c r="U2100" s="108"/>
      <c r="V2100" s="108"/>
      <c r="W2100" s="108"/>
      <c r="X2100" s="108"/>
    </row>
    <row r="2101" spans="1:24">
      <c r="A2101" s="107"/>
      <c r="B2101" s="107"/>
      <c r="C2101" s="107"/>
      <c r="D2101" s="107"/>
      <c r="E2101" s="107"/>
      <c r="F2101" s="107"/>
      <c r="G2101" s="108"/>
      <c r="H2101" s="107"/>
      <c r="I2101" s="108"/>
      <c r="J2101" s="108"/>
      <c r="K2101" s="108"/>
      <c r="L2101" s="108"/>
      <c r="M2101" s="108"/>
      <c r="N2101" s="108"/>
      <c r="O2101" s="108"/>
      <c r="P2101" s="108"/>
      <c r="Q2101" s="108"/>
      <c r="R2101" s="108"/>
      <c r="S2101" s="108"/>
      <c r="T2101" s="108"/>
      <c r="U2101" s="108"/>
      <c r="V2101" s="108"/>
      <c r="W2101" s="108"/>
      <c r="X2101" s="108"/>
    </row>
    <row r="2102" spans="1:24">
      <c r="A2102" s="107"/>
      <c r="B2102" s="107"/>
      <c r="C2102" s="107"/>
      <c r="D2102" s="107"/>
      <c r="E2102" s="107"/>
      <c r="F2102" s="107"/>
      <c r="G2102" s="108"/>
      <c r="H2102" s="107"/>
      <c r="I2102" s="108"/>
      <c r="J2102" s="108"/>
      <c r="K2102" s="108"/>
      <c r="L2102" s="108"/>
      <c r="M2102" s="108"/>
      <c r="N2102" s="108"/>
      <c r="O2102" s="108"/>
      <c r="P2102" s="108"/>
      <c r="Q2102" s="108"/>
      <c r="R2102" s="108"/>
      <c r="S2102" s="108"/>
      <c r="T2102" s="108"/>
      <c r="U2102" s="108"/>
      <c r="V2102" s="108"/>
      <c r="W2102" s="108"/>
      <c r="X2102" s="108"/>
    </row>
    <row r="2103" spans="1:24">
      <c r="A2103" s="107"/>
      <c r="B2103" s="107"/>
      <c r="C2103" s="107"/>
      <c r="D2103" s="107"/>
      <c r="E2103" s="107"/>
      <c r="F2103" s="107"/>
      <c r="G2103" s="108"/>
      <c r="H2103" s="107"/>
      <c r="I2103" s="108"/>
      <c r="J2103" s="108"/>
      <c r="K2103" s="108"/>
      <c r="L2103" s="108"/>
      <c r="M2103" s="108"/>
      <c r="N2103" s="108"/>
      <c r="O2103" s="108"/>
      <c r="P2103" s="108"/>
      <c r="Q2103" s="108"/>
      <c r="R2103" s="108"/>
      <c r="S2103" s="108"/>
      <c r="T2103" s="108"/>
      <c r="U2103" s="108"/>
      <c r="V2103" s="108"/>
      <c r="W2103" s="108"/>
      <c r="X2103" s="108"/>
    </row>
    <row r="2104" spans="1:24">
      <c r="A2104" s="107"/>
      <c r="B2104" s="107"/>
      <c r="C2104" s="107"/>
      <c r="D2104" s="107"/>
      <c r="E2104" s="107"/>
      <c r="F2104" s="107"/>
      <c r="G2104" s="108"/>
      <c r="H2104" s="107"/>
      <c r="I2104" s="108"/>
      <c r="J2104" s="108"/>
      <c r="K2104" s="108"/>
      <c r="L2104" s="108"/>
      <c r="M2104" s="108"/>
      <c r="N2104" s="108"/>
      <c r="O2104" s="108"/>
      <c r="P2104" s="108"/>
      <c r="Q2104" s="108"/>
      <c r="R2104" s="108"/>
      <c r="S2104" s="108"/>
      <c r="T2104" s="108"/>
      <c r="U2104" s="108"/>
      <c r="V2104" s="108"/>
      <c r="W2104" s="108"/>
      <c r="X2104" s="108"/>
    </row>
    <row r="2105" spans="1:24">
      <c r="A2105" s="107"/>
      <c r="B2105" s="107"/>
      <c r="C2105" s="107"/>
      <c r="D2105" s="107"/>
      <c r="E2105" s="107"/>
      <c r="F2105" s="107"/>
      <c r="G2105" s="108"/>
      <c r="H2105" s="107"/>
      <c r="I2105" s="108"/>
      <c r="J2105" s="108"/>
      <c r="K2105" s="108"/>
      <c r="L2105" s="108"/>
      <c r="M2105" s="108"/>
      <c r="N2105" s="108"/>
      <c r="O2105" s="108"/>
      <c r="P2105" s="108"/>
      <c r="Q2105" s="108"/>
      <c r="R2105" s="108"/>
      <c r="S2105" s="108"/>
      <c r="T2105" s="108"/>
      <c r="U2105" s="108"/>
      <c r="V2105" s="108"/>
      <c r="W2105" s="108"/>
      <c r="X2105" s="108"/>
    </row>
    <row r="2106" spans="1:24">
      <c r="A2106" s="107"/>
      <c r="B2106" s="107"/>
      <c r="C2106" s="107"/>
      <c r="D2106" s="107"/>
      <c r="E2106" s="107"/>
      <c r="F2106" s="107"/>
      <c r="G2106" s="108"/>
      <c r="H2106" s="107"/>
      <c r="I2106" s="108"/>
      <c r="J2106" s="108"/>
      <c r="K2106" s="108"/>
      <c r="L2106" s="108"/>
      <c r="M2106" s="108"/>
      <c r="N2106" s="108"/>
      <c r="O2106" s="108"/>
      <c r="P2106" s="108"/>
      <c r="Q2106" s="108"/>
      <c r="R2106" s="108"/>
      <c r="S2106" s="108"/>
      <c r="T2106" s="108"/>
      <c r="U2106" s="108"/>
      <c r="V2106" s="108"/>
      <c r="W2106" s="108"/>
      <c r="X2106" s="108"/>
    </row>
    <row r="2107" spans="1:24">
      <c r="A2107" s="107"/>
      <c r="B2107" s="107"/>
      <c r="C2107" s="107"/>
      <c r="D2107" s="107"/>
      <c r="E2107" s="107"/>
      <c r="F2107" s="107"/>
      <c r="G2107" s="108"/>
      <c r="H2107" s="107"/>
      <c r="I2107" s="108"/>
      <c r="J2107" s="108"/>
      <c r="K2107" s="108"/>
      <c r="L2107" s="108"/>
      <c r="M2107" s="108"/>
      <c r="N2107" s="108"/>
      <c r="O2107" s="108"/>
      <c r="P2107" s="108"/>
      <c r="Q2107" s="108"/>
      <c r="R2107" s="108"/>
      <c r="S2107" s="108"/>
      <c r="T2107" s="108"/>
      <c r="U2107" s="108"/>
      <c r="V2107" s="108"/>
      <c r="W2107" s="108"/>
      <c r="X2107" s="108"/>
    </row>
    <row r="2108" spans="1:24">
      <c r="A2108" s="107"/>
      <c r="B2108" s="107"/>
      <c r="C2108" s="107"/>
      <c r="D2108" s="107"/>
      <c r="E2108" s="107"/>
      <c r="F2108" s="107"/>
      <c r="G2108" s="108"/>
      <c r="H2108" s="107"/>
      <c r="I2108" s="108"/>
      <c r="J2108" s="108"/>
      <c r="K2108" s="108"/>
      <c r="L2108" s="108"/>
      <c r="M2108" s="108"/>
      <c r="N2108" s="108"/>
      <c r="O2108" s="108"/>
      <c r="P2108" s="108"/>
      <c r="Q2108" s="108"/>
      <c r="R2108" s="108"/>
      <c r="S2108" s="108"/>
      <c r="T2108" s="108"/>
      <c r="U2108" s="108"/>
      <c r="V2108" s="108"/>
      <c r="W2108" s="108"/>
      <c r="X2108" s="108"/>
    </row>
    <row r="2109" spans="1:24">
      <c r="A2109" s="107"/>
      <c r="B2109" s="107"/>
      <c r="C2109" s="107"/>
      <c r="D2109" s="107"/>
      <c r="E2109" s="107"/>
      <c r="F2109" s="107"/>
      <c r="G2109" s="108"/>
      <c r="H2109" s="107"/>
      <c r="I2109" s="108"/>
      <c r="J2109" s="108"/>
      <c r="K2109" s="108"/>
      <c r="L2109" s="108"/>
      <c r="M2109" s="108"/>
      <c r="N2109" s="108"/>
      <c r="O2109" s="108"/>
      <c r="P2109" s="108"/>
      <c r="Q2109" s="108"/>
      <c r="R2109" s="108"/>
      <c r="S2109" s="108"/>
      <c r="T2109" s="108"/>
      <c r="U2109" s="108"/>
      <c r="V2109" s="108"/>
      <c r="W2109" s="108"/>
      <c r="X2109" s="108"/>
    </row>
    <row r="2110" spans="1:24">
      <c r="A2110" s="107"/>
      <c r="B2110" s="107"/>
      <c r="C2110" s="107"/>
      <c r="D2110" s="107"/>
      <c r="E2110" s="107"/>
      <c r="F2110" s="107"/>
      <c r="G2110" s="108"/>
      <c r="H2110" s="107"/>
      <c r="I2110" s="108"/>
      <c r="J2110" s="108"/>
      <c r="K2110" s="108"/>
      <c r="L2110" s="108"/>
      <c r="M2110" s="108"/>
      <c r="N2110" s="108"/>
      <c r="O2110" s="108"/>
      <c r="P2110" s="108"/>
      <c r="Q2110" s="108"/>
      <c r="R2110" s="108"/>
      <c r="S2110" s="108"/>
      <c r="T2110" s="108"/>
      <c r="U2110" s="108"/>
      <c r="V2110" s="108"/>
      <c r="W2110" s="108"/>
      <c r="X2110" s="108"/>
    </row>
    <row r="2111" spans="1:24">
      <c r="A2111" s="107"/>
      <c r="B2111" s="107"/>
      <c r="C2111" s="107"/>
      <c r="D2111" s="107"/>
      <c r="E2111" s="107"/>
      <c r="F2111" s="107"/>
      <c r="G2111" s="108"/>
      <c r="H2111" s="107"/>
      <c r="I2111" s="108"/>
      <c r="J2111" s="108"/>
      <c r="K2111" s="108"/>
      <c r="L2111" s="108"/>
      <c r="M2111" s="108"/>
      <c r="N2111" s="108"/>
      <c r="O2111" s="108"/>
      <c r="P2111" s="108"/>
      <c r="Q2111" s="108"/>
      <c r="R2111" s="108"/>
      <c r="S2111" s="108"/>
      <c r="T2111" s="108"/>
      <c r="U2111" s="108"/>
      <c r="V2111" s="108"/>
      <c r="W2111" s="108"/>
      <c r="X2111" s="108"/>
    </row>
    <row r="2112" spans="1:24">
      <c r="A2112" s="107"/>
      <c r="B2112" s="107"/>
      <c r="C2112" s="107"/>
      <c r="D2112" s="107"/>
      <c r="E2112" s="107"/>
      <c r="F2112" s="107"/>
      <c r="G2112" s="108"/>
      <c r="H2112" s="107"/>
      <c r="I2112" s="108"/>
      <c r="J2112" s="108"/>
      <c r="K2112" s="108"/>
      <c r="L2112" s="108"/>
      <c r="M2112" s="108"/>
      <c r="N2112" s="108"/>
      <c r="O2112" s="108"/>
      <c r="P2112" s="108"/>
      <c r="Q2112" s="108"/>
      <c r="R2112" s="108"/>
      <c r="S2112" s="108"/>
      <c r="T2112" s="108"/>
      <c r="U2112" s="108"/>
      <c r="V2112" s="108"/>
      <c r="W2112" s="108"/>
      <c r="X2112" s="108"/>
    </row>
    <row r="2113" spans="1:24">
      <c r="A2113" s="107"/>
      <c r="B2113" s="107"/>
      <c r="C2113" s="107"/>
      <c r="D2113" s="107"/>
      <c r="E2113" s="107"/>
      <c r="F2113" s="107"/>
      <c r="G2113" s="108"/>
      <c r="H2113" s="107"/>
      <c r="I2113" s="108"/>
      <c r="J2113" s="108"/>
      <c r="K2113" s="108"/>
      <c r="L2113" s="108"/>
      <c r="M2113" s="108"/>
      <c r="N2113" s="108"/>
      <c r="O2113" s="108"/>
      <c r="P2113" s="108"/>
      <c r="Q2113" s="108"/>
      <c r="R2113" s="108"/>
      <c r="S2113" s="108"/>
      <c r="T2113" s="108"/>
      <c r="U2113" s="108"/>
      <c r="V2113" s="108"/>
      <c r="W2113" s="108"/>
      <c r="X2113" s="108"/>
    </row>
    <row r="2114" spans="1:24">
      <c r="A2114" s="107"/>
      <c r="B2114" s="107"/>
      <c r="C2114" s="107"/>
      <c r="D2114" s="107"/>
      <c r="E2114" s="107"/>
      <c r="F2114" s="107"/>
      <c r="G2114" s="108"/>
      <c r="H2114" s="107"/>
      <c r="I2114" s="108"/>
      <c r="J2114" s="108"/>
      <c r="K2114" s="108"/>
      <c r="L2114" s="108"/>
      <c r="M2114" s="108"/>
      <c r="N2114" s="108"/>
      <c r="O2114" s="108"/>
      <c r="P2114" s="108"/>
      <c r="Q2114" s="108"/>
      <c r="R2114" s="108"/>
      <c r="S2114" s="108"/>
      <c r="T2114" s="108"/>
      <c r="U2114" s="108"/>
      <c r="V2114" s="108"/>
      <c r="W2114" s="108"/>
      <c r="X2114" s="108"/>
    </row>
    <row r="2115" spans="1:24">
      <c r="A2115" s="107"/>
      <c r="B2115" s="107"/>
      <c r="C2115" s="107"/>
      <c r="D2115" s="107"/>
      <c r="E2115" s="107"/>
      <c r="F2115" s="107"/>
      <c r="G2115" s="108"/>
      <c r="H2115" s="107"/>
      <c r="I2115" s="108"/>
      <c r="J2115" s="108"/>
      <c r="K2115" s="108"/>
      <c r="L2115" s="108"/>
      <c r="M2115" s="108"/>
      <c r="N2115" s="108"/>
      <c r="O2115" s="108"/>
      <c r="P2115" s="108"/>
      <c r="Q2115" s="108"/>
      <c r="R2115" s="108"/>
      <c r="S2115" s="108"/>
      <c r="T2115" s="108"/>
      <c r="U2115" s="108"/>
      <c r="V2115" s="108"/>
      <c r="W2115" s="108"/>
      <c r="X2115" s="108"/>
    </row>
    <row r="2116" spans="1:24">
      <c r="A2116" s="107"/>
      <c r="B2116" s="107"/>
      <c r="C2116" s="107"/>
      <c r="D2116" s="107"/>
      <c r="E2116" s="107"/>
      <c r="F2116" s="107"/>
      <c r="G2116" s="108"/>
      <c r="H2116" s="107"/>
      <c r="I2116" s="108"/>
      <c r="J2116" s="108"/>
      <c r="K2116" s="108"/>
      <c r="L2116" s="108"/>
      <c r="M2116" s="108"/>
      <c r="N2116" s="108"/>
      <c r="O2116" s="108"/>
      <c r="P2116" s="108"/>
      <c r="Q2116" s="108"/>
      <c r="R2116" s="108"/>
      <c r="S2116" s="108"/>
      <c r="T2116" s="108"/>
      <c r="U2116" s="108"/>
      <c r="V2116" s="108"/>
      <c r="W2116" s="108"/>
      <c r="X2116" s="108"/>
    </row>
    <row r="2117" spans="1:24">
      <c r="A2117" s="107"/>
      <c r="B2117" s="107"/>
      <c r="C2117" s="107"/>
      <c r="D2117" s="107"/>
      <c r="E2117" s="107"/>
      <c r="F2117" s="107"/>
      <c r="G2117" s="108"/>
      <c r="H2117" s="107"/>
      <c r="I2117" s="108"/>
      <c r="J2117" s="108"/>
      <c r="K2117" s="108"/>
      <c r="L2117" s="108"/>
      <c r="M2117" s="108"/>
      <c r="N2117" s="108"/>
      <c r="O2117" s="108"/>
      <c r="P2117" s="108"/>
      <c r="Q2117" s="108"/>
      <c r="R2117" s="108"/>
      <c r="S2117" s="108"/>
      <c r="T2117" s="108"/>
      <c r="U2117" s="108"/>
      <c r="V2117" s="108"/>
      <c r="W2117" s="108"/>
      <c r="X2117" s="108"/>
    </row>
    <row r="2118" spans="1:24">
      <c r="A2118" s="107"/>
      <c r="B2118" s="107"/>
      <c r="C2118" s="107"/>
      <c r="D2118" s="107"/>
      <c r="E2118" s="107"/>
      <c r="F2118" s="107"/>
      <c r="G2118" s="108"/>
      <c r="H2118" s="107"/>
      <c r="I2118" s="108"/>
      <c r="J2118" s="108"/>
      <c r="K2118" s="108"/>
      <c r="L2118" s="108"/>
      <c r="M2118" s="108"/>
      <c r="N2118" s="108"/>
      <c r="O2118" s="108"/>
      <c r="P2118" s="108"/>
      <c r="Q2118" s="108"/>
      <c r="R2118" s="108"/>
      <c r="S2118" s="108"/>
      <c r="T2118" s="108"/>
      <c r="U2118" s="108"/>
      <c r="V2118" s="108"/>
      <c r="W2118" s="108"/>
      <c r="X2118" s="108"/>
    </row>
    <row r="2119" spans="1:24">
      <c r="A2119" s="107"/>
      <c r="B2119" s="107"/>
      <c r="C2119" s="107"/>
      <c r="D2119" s="107"/>
      <c r="E2119" s="107"/>
      <c r="F2119" s="107"/>
      <c r="G2119" s="108"/>
      <c r="H2119" s="107"/>
      <c r="I2119" s="108"/>
      <c r="J2119" s="108"/>
      <c r="K2119" s="108"/>
      <c r="L2119" s="108"/>
      <c r="M2119" s="108"/>
      <c r="N2119" s="108"/>
      <c r="O2119" s="108"/>
      <c r="P2119" s="108"/>
      <c r="Q2119" s="108"/>
      <c r="R2119" s="108"/>
      <c r="S2119" s="108"/>
      <c r="T2119" s="108"/>
      <c r="U2119" s="108"/>
      <c r="V2119" s="108"/>
      <c r="W2119" s="108"/>
      <c r="X2119" s="108"/>
    </row>
    <row r="2120" spans="1:24">
      <c r="A2120" s="107"/>
      <c r="B2120" s="107"/>
      <c r="C2120" s="107"/>
      <c r="D2120" s="107"/>
      <c r="E2120" s="107"/>
      <c r="F2120" s="107"/>
      <c r="G2120" s="108"/>
      <c r="H2120" s="107"/>
      <c r="I2120" s="108"/>
      <c r="J2120" s="108"/>
      <c r="K2120" s="108"/>
      <c r="L2120" s="108"/>
      <c r="M2120" s="108"/>
      <c r="N2120" s="108"/>
      <c r="O2120" s="108"/>
      <c r="P2120" s="108"/>
      <c r="Q2120" s="108"/>
      <c r="R2120" s="108"/>
      <c r="S2120" s="108"/>
      <c r="T2120" s="108"/>
      <c r="U2120" s="108"/>
      <c r="V2120" s="108"/>
      <c r="W2120" s="108"/>
      <c r="X2120" s="108"/>
    </row>
    <row r="2121" spans="1:24">
      <c r="A2121" s="107"/>
      <c r="B2121" s="107"/>
      <c r="C2121" s="107"/>
      <c r="D2121" s="107"/>
      <c r="E2121" s="107"/>
      <c r="F2121" s="107"/>
      <c r="G2121" s="108"/>
      <c r="H2121" s="107"/>
      <c r="I2121" s="108"/>
      <c r="J2121" s="108"/>
      <c r="K2121" s="108"/>
      <c r="L2121" s="108"/>
      <c r="M2121" s="108"/>
      <c r="N2121" s="108"/>
      <c r="O2121" s="108"/>
      <c r="P2121" s="108"/>
      <c r="Q2121" s="108"/>
      <c r="R2121" s="108"/>
      <c r="S2121" s="108"/>
      <c r="T2121" s="108"/>
      <c r="U2121" s="108"/>
      <c r="V2121" s="108"/>
      <c r="W2121" s="108"/>
      <c r="X2121" s="108"/>
    </row>
    <row r="2122" spans="1:24">
      <c r="A2122" s="107"/>
      <c r="B2122" s="107"/>
      <c r="C2122" s="107"/>
      <c r="D2122" s="107"/>
      <c r="E2122" s="107"/>
      <c r="F2122" s="107"/>
      <c r="G2122" s="108"/>
      <c r="H2122" s="107"/>
      <c r="I2122" s="108"/>
      <c r="J2122" s="108"/>
      <c r="K2122" s="108"/>
      <c r="L2122" s="108"/>
      <c r="M2122" s="108"/>
      <c r="N2122" s="108"/>
      <c r="O2122" s="108"/>
      <c r="P2122" s="108"/>
      <c r="Q2122" s="108"/>
      <c r="R2122" s="108"/>
      <c r="S2122" s="108"/>
      <c r="T2122" s="108"/>
      <c r="U2122" s="108"/>
      <c r="V2122" s="108"/>
      <c r="W2122" s="108"/>
      <c r="X2122" s="108"/>
    </row>
    <row r="2123" spans="1:24">
      <c r="A2123" s="107"/>
      <c r="B2123" s="107"/>
      <c r="C2123" s="107"/>
      <c r="D2123" s="107"/>
      <c r="E2123" s="107"/>
      <c r="F2123" s="107"/>
      <c r="G2123" s="108"/>
      <c r="H2123" s="107"/>
      <c r="I2123" s="108"/>
      <c r="J2123" s="108"/>
      <c r="K2123" s="108"/>
      <c r="L2123" s="108"/>
      <c r="M2123" s="108"/>
      <c r="N2123" s="108"/>
      <c r="O2123" s="108"/>
      <c r="P2123" s="108"/>
      <c r="Q2123" s="108"/>
      <c r="R2123" s="108"/>
      <c r="S2123" s="108"/>
      <c r="T2123" s="108"/>
      <c r="U2123" s="108"/>
      <c r="V2123" s="108"/>
      <c r="W2123" s="108"/>
      <c r="X2123" s="108"/>
    </row>
    <row r="2124" spans="1:24">
      <c r="A2124" s="107"/>
      <c r="B2124" s="107"/>
      <c r="C2124" s="107"/>
      <c r="D2124" s="107"/>
      <c r="E2124" s="107"/>
      <c r="F2124" s="107"/>
      <c r="G2124" s="108"/>
      <c r="H2124" s="107"/>
      <c r="I2124" s="108"/>
      <c r="J2124" s="108"/>
      <c r="K2124" s="108"/>
      <c r="L2124" s="108"/>
      <c r="M2124" s="108"/>
      <c r="N2124" s="108"/>
      <c r="O2124" s="108"/>
      <c r="P2124" s="108"/>
      <c r="Q2124" s="108"/>
      <c r="R2124" s="108"/>
      <c r="S2124" s="108"/>
      <c r="T2124" s="108"/>
      <c r="U2124" s="108"/>
      <c r="V2124" s="108"/>
      <c r="W2124" s="108"/>
      <c r="X2124" s="108"/>
    </row>
    <row r="2125" spans="1:24">
      <c r="A2125" s="107"/>
      <c r="B2125" s="107"/>
      <c r="C2125" s="107"/>
      <c r="D2125" s="107"/>
      <c r="E2125" s="107"/>
      <c r="F2125" s="107"/>
      <c r="G2125" s="108"/>
      <c r="H2125" s="107"/>
      <c r="I2125" s="108"/>
      <c r="J2125" s="108"/>
      <c r="K2125" s="108"/>
      <c r="L2125" s="108"/>
      <c r="M2125" s="108"/>
      <c r="N2125" s="108"/>
      <c r="O2125" s="108"/>
      <c r="P2125" s="108"/>
      <c r="Q2125" s="108"/>
      <c r="R2125" s="108"/>
      <c r="S2125" s="108"/>
      <c r="T2125" s="108"/>
      <c r="U2125" s="108"/>
      <c r="V2125" s="108"/>
      <c r="W2125" s="108"/>
      <c r="X2125" s="108"/>
    </row>
    <row r="2126" spans="1:24">
      <c r="A2126" s="107"/>
      <c r="B2126" s="107"/>
      <c r="C2126" s="107"/>
      <c r="D2126" s="107"/>
      <c r="E2126" s="107"/>
      <c r="F2126" s="107"/>
      <c r="G2126" s="108"/>
      <c r="H2126" s="107"/>
      <c r="I2126" s="108"/>
      <c r="J2126" s="108"/>
      <c r="K2126" s="108"/>
      <c r="L2126" s="108"/>
      <c r="M2126" s="108"/>
      <c r="N2126" s="108"/>
      <c r="O2126" s="108"/>
      <c r="P2126" s="108"/>
      <c r="Q2126" s="108"/>
      <c r="R2126" s="108"/>
      <c r="S2126" s="108"/>
      <c r="T2126" s="108"/>
      <c r="U2126" s="108"/>
      <c r="V2126" s="108"/>
      <c r="W2126" s="108"/>
      <c r="X2126" s="108"/>
    </row>
    <row r="2127" spans="1:24">
      <c r="A2127" s="107"/>
      <c r="B2127" s="107"/>
      <c r="C2127" s="107"/>
      <c r="D2127" s="107"/>
      <c r="E2127" s="107"/>
      <c r="F2127" s="107"/>
      <c r="G2127" s="108"/>
      <c r="H2127" s="107"/>
      <c r="I2127" s="108"/>
      <c r="J2127" s="108"/>
      <c r="K2127" s="108"/>
      <c r="L2127" s="108"/>
      <c r="M2127" s="108"/>
      <c r="N2127" s="108"/>
      <c r="O2127" s="108"/>
      <c r="P2127" s="108"/>
      <c r="Q2127" s="108"/>
      <c r="R2127" s="108"/>
      <c r="S2127" s="108"/>
      <c r="T2127" s="108"/>
      <c r="U2127" s="108"/>
      <c r="V2127" s="108"/>
      <c r="W2127" s="108"/>
      <c r="X2127" s="108"/>
    </row>
    <row r="2128" spans="1:24">
      <c r="A2128" s="107"/>
      <c r="B2128" s="107"/>
      <c r="C2128" s="107"/>
      <c r="D2128" s="107"/>
      <c r="E2128" s="107"/>
      <c r="F2128" s="107"/>
      <c r="G2128" s="108"/>
      <c r="H2128" s="107"/>
      <c r="I2128" s="108"/>
      <c r="J2128" s="108"/>
      <c r="K2128" s="108"/>
      <c r="L2128" s="108"/>
      <c r="M2128" s="108"/>
      <c r="N2128" s="108"/>
      <c r="O2128" s="108"/>
      <c r="P2128" s="108"/>
      <c r="Q2128" s="108"/>
      <c r="R2128" s="108"/>
      <c r="S2128" s="108"/>
      <c r="T2128" s="108"/>
      <c r="U2128" s="108"/>
      <c r="V2128" s="108"/>
      <c r="W2128" s="108"/>
      <c r="X2128" s="108"/>
    </row>
    <row r="2129" spans="1:24">
      <c r="A2129" s="107"/>
      <c r="B2129" s="107"/>
      <c r="C2129" s="107"/>
      <c r="D2129" s="107"/>
      <c r="E2129" s="107"/>
      <c r="F2129" s="107"/>
      <c r="G2129" s="108"/>
      <c r="H2129" s="107"/>
      <c r="I2129" s="108"/>
      <c r="J2129" s="108"/>
      <c r="K2129" s="108"/>
      <c r="L2129" s="108"/>
      <c r="M2129" s="108"/>
      <c r="N2129" s="108"/>
      <c r="O2129" s="108"/>
      <c r="P2129" s="108"/>
      <c r="Q2129" s="108"/>
      <c r="R2129" s="108"/>
      <c r="S2129" s="108"/>
      <c r="T2129" s="108"/>
      <c r="U2129" s="108"/>
      <c r="V2129" s="108"/>
      <c r="W2129" s="108"/>
      <c r="X2129" s="108"/>
    </row>
    <row r="2130" spans="1:24">
      <c r="A2130" s="107"/>
      <c r="B2130" s="107"/>
      <c r="C2130" s="107"/>
      <c r="D2130" s="107"/>
      <c r="E2130" s="107"/>
      <c r="F2130" s="107"/>
      <c r="G2130" s="108"/>
      <c r="H2130" s="107"/>
      <c r="I2130" s="108"/>
      <c r="J2130" s="108"/>
      <c r="K2130" s="108"/>
      <c r="L2130" s="108"/>
      <c r="M2130" s="108"/>
      <c r="N2130" s="108"/>
      <c r="O2130" s="108"/>
      <c r="P2130" s="108"/>
      <c r="Q2130" s="108"/>
      <c r="R2130" s="108"/>
      <c r="S2130" s="108"/>
      <c r="T2130" s="108"/>
      <c r="U2130" s="108"/>
      <c r="V2130" s="108"/>
      <c r="W2130" s="108"/>
      <c r="X2130" s="108"/>
    </row>
    <row r="2131" spans="1:24">
      <c r="A2131" s="107"/>
      <c r="B2131" s="107"/>
      <c r="C2131" s="107"/>
      <c r="D2131" s="107"/>
      <c r="E2131" s="107"/>
      <c r="F2131" s="107"/>
      <c r="G2131" s="108"/>
      <c r="H2131" s="107"/>
      <c r="I2131" s="108"/>
      <c r="J2131" s="108"/>
      <c r="K2131" s="108"/>
      <c r="L2131" s="108"/>
      <c r="M2131" s="108"/>
      <c r="N2131" s="108"/>
      <c r="O2131" s="108"/>
      <c r="P2131" s="108"/>
      <c r="Q2131" s="108"/>
      <c r="R2131" s="108"/>
      <c r="S2131" s="108"/>
      <c r="T2131" s="108"/>
      <c r="U2131" s="108"/>
      <c r="V2131" s="108"/>
      <c r="W2131" s="108"/>
      <c r="X2131" s="108"/>
    </row>
    <row r="2132" spans="1:24">
      <c r="A2132" s="107"/>
      <c r="B2132" s="107"/>
      <c r="C2132" s="107"/>
      <c r="D2132" s="107"/>
      <c r="E2132" s="107"/>
      <c r="F2132" s="107"/>
      <c r="G2132" s="108"/>
      <c r="H2132" s="107"/>
      <c r="I2132" s="108"/>
      <c r="J2132" s="108"/>
      <c r="K2132" s="108"/>
      <c r="L2132" s="108"/>
      <c r="M2132" s="108"/>
      <c r="N2132" s="108"/>
      <c r="O2132" s="108"/>
      <c r="P2132" s="108"/>
      <c r="Q2132" s="108"/>
      <c r="R2132" s="108"/>
      <c r="S2132" s="108"/>
      <c r="T2132" s="108"/>
      <c r="U2132" s="108"/>
      <c r="V2132" s="108"/>
      <c r="W2132" s="108"/>
      <c r="X2132" s="108"/>
    </row>
    <row r="2133" spans="1:24">
      <c r="A2133" s="107"/>
      <c r="B2133" s="107"/>
      <c r="C2133" s="107"/>
      <c r="D2133" s="107"/>
      <c r="E2133" s="107"/>
      <c r="F2133" s="107"/>
      <c r="G2133" s="108"/>
      <c r="H2133" s="107"/>
      <c r="I2133" s="108"/>
      <c r="J2133" s="108"/>
      <c r="K2133" s="108"/>
      <c r="L2133" s="108"/>
      <c r="M2133" s="108"/>
      <c r="N2133" s="108"/>
      <c r="O2133" s="108"/>
      <c r="P2133" s="108"/>
      <c r="Q2133" s="108"/>
      <c r="R2133" s="108"/>
      <c r="S2133" s="108"/>
      <c r="T2133" s="108"/>
      <c r="U2133" s="108"/>
      <c r="V2133" s="108"/>
      <c r="W2133" s="108"/>
      <c r="X2133" s="108"/>
    </row>
    <row r="2134" spans="1:24">
      <c r="A2134" s="107"/>
      <c r="B2134" s="107"/>
      <c r="C2134" s="107"/>
      <c r="D2134" s="107"/>
      <c r="E2134" s="107"/>
      <c r="F2134" s="107"/>
      <c r="G2134" s="108"/>
      <c r="H2134" s="107"/>
      <c r="I2134" s="108"/>
      <c r="J2134" s="108"/>
      <c r="K2134" s="108"/>
      <c r="L2134" s="108"/>
      <c r="M2134" s="108"/>
      <c r="N2134" s="108"/>
      <c r="O2134" s="108"/>
      <c r="P2134" s="108"/>
      <c r="Q2134" s="108"/>
      <c r="R2134" s="108"/>
      <c r="S2134" s="108"/>
      <c r="T2134" s="108"/>
      <c r="U2134" s="108"/>
      <c r="V2134" s="108"/>
      <c r="W2134" s="108"/>
      <c r="X2134" s="108"/>
    </row>
    <row r="2135" spans="1:24">
      <c r="A2135" s="107"/>
      <c r="B2135" s="107"/>
      <c r="C2135" s="107"/>
      <c r="D2135" s="107"/>
      <c r="E2135" s="107"/>
      <c r="F2135" s="107"/>
      <c r="G2135" s="108"/>
      <c r="H2135" s="107"/>
      <c r="I2135" s="108"/>
      <c r="J2135" s="108"/>
      <c r="K2135" s="108"/>
      <c r="L2135" s="108"/>
      <c r="M2135" s="108"/>
      <c r="N2135" s="108"/>
      <c r="O2135" s="108"/>
      <c r="P2135" s="108"/>
      <c r="Q2135" s="108"/>
      <c r="R2135" s="108"/>
      <c r="S2135" s="108"/>
      <c r="T2135" s="108"/>
      <c r="U2135" s="108"/>
      <c r="V2135" s="108"/>
      <c r="W2135" s="108"/>
      <c r="X2135" s="108"/>
    </row>
    <row r="2136" spans="1:24">
      <c r="A2136" s="107"/>
      <c r="B2136" s="107"/>
      <c r="C2136" s="107"/>
      <c r="D2136" s="107"/>
      <c r="E2136" s="107"/>
      <c r="F2136" s="107"/>
      <c r="G2136" s="108"/>
      <c r="H2136" s="107"/>
      <c r="I2136" s="108"/>
      <c r="J2136" s="108"/>
      <c r="K2136" s="108"/>
      <c r="L2136" s="108"/>
      <c r="M2136" s="108"/>
      <c r="N2136" s="108"/>
      <c r="O2136" s="108"/>
      <c r="P2136" s="108"/>
      <c r="Q2136" s="108"/>
      <c r="R2136" s="108"/>
      <c r="S2136" s="108"/>
      <c r="T2136" s="108"/>
      <c r="U2136" s="108"/>
      <c r="V2136" s="108"/>
      <c r="W2136" s="108"/>
      <c r="X2136" s="108"/>
    </row>
    <row r="2137" spans="1:24">
      <c r="A2137" s="107"/>
      <c r="B2137" s="107"/>
      <c r="C2137" s="107"/>
      <c r="D2137" s="107"/>
      <c r="E2137" s="107"/>
      <c r="F2137" s="107"/>
      <c r="G2137" s="108"/>
      <c r="H2137" s="107"/>
      <c r="I2137" s="108"/>
      <c r="J2137" s="108"/>
      <c r="K2137" s="108"/>
      <c r="L2137" s="108"/>
      <c r="M2137" s="108"/>
      <c r="N2137" s="108"/>
      <c r="O2137" s="108"/>
      <c r="P2137" s="108"/>
      <c r="Q2137" s="108"/>
      <c r="R2137" s="108"/>
      <c r="S2137" s="108"/>
      <c r="T2137" s="108"/>
      <c r="U2137" s="108"/>
      <c r="V2137" s="108"/>
      <c r="W2137" s="108"/>
      <c r="X2137" s="108"/>
    </row>
    <row r="2138" spans="1:24">
      <c r="A2138" s="107"/>
      <c r="B2138" s="107"/>
      <c r="C2138" s="107"/>
      <c r="D2138" s="107"/>
      <c r="E2138" s="107"/>
      <c r="F2138" s="107"/>
      <c r="G2138" s="108"/>
      <c r="H2138" s="107"/>
      <c r="I2138" s="108"/>
      <c r="J2138" s="108"/>
      <c r="K2138" s="108"/>
      <c r="L2138" s="108"/>
      <c r="M2138" s="108"/>
      <c r="N2138" s="108"/>
      <c r="O2138" s="108"/>
      <c r="P2138" s="108"/>
      <c r="Q2138" s="108"/>
      <c r="R2138" s="108"/>
      <c r="S2138" s="108"/>
      <c r="T2138" s="108"/>
      <c r="U2138" s="108"/>
      <c r="V2138" s="108"/>
      <c r="W2138" s="108"/>
      <c r="X2138" s="108"/>
    </row>
    <row r="2139" spans="1:24">
      <c r="A2139" s="107"/>
      <c r="B2139" s="107"/>
      <c r="C2139" s="107"/>
      <c r="D2139" s="107"/>
      <c r="E2139" s="107"/>
      <c r="F2139" s="107"/>
      <c r="G2139" s="108"/>
      <c r="H2139" s="107"/>
      <c r="I2139" s="108"/>
      <c r="J2139" s="108"/>
      <c r="K2139" s="108"/>
      <c r="L2139" s="108"/>
      <c r="M2139" s="108"/>
      <c r="N2139" s="108"/>
      <c r="O2139" s="108"/>
      <c r="P2139" s="108"/>
      <c r="Q2139" s="108"/>
      <c r="R2139" s="108"/>
      <c r="S2139" s="108"/>
      <c r="T2139" s="108"/>
      <c r="U2139" s="108"/>
      <c r="V2139" s="108"/>
      <c r="W2139" s="108"/>
      <c r="X2139" s="108"/>
    </row>
    <row r="2140" spans="1:24">
      <c r="A2140" s="107"/>
      <c r="B2140" s="107"/>
      <c r="C2140" s="107"/>
      <c r="D2140" s="107"/>
      <c r="E2140" s="107"/>
      <c r="F2140" s="107"/>
      <c r="G2140" s="108"/>
      <c r="H2140" s="107"/>
      <c r="I2140" s="108"/>
      <c r="J2140" s="108"/>
      <c r="K2140" s="108"/>
      <c r="L2140" s="108"/>
      <c r="M2140" s="108"/>
      <c r="N2140" s="108"/>
      <c r="O2140" s="108"/>
      <c r="P2140" s="108"/>
      <c r="Q2140" s="108"/>
      <c r="R2140" s="108"/>
      <c r="S2140" s="108"/>
      <c r="T2140" s="108"/>
      <c r="U2140" s="108"/>
      <c r="V2140" s="108"/>
      <c r="W2140" s="108"/>
      <c r="X2140" s="108"/>
    </row>
    <row r="2141" spans="1:24">
      <c r="A2141" s="107"/>
      <c r="B2141" s="107"/>
      <c r="C2141" s="107"/>
      <c r="D2141" s="107"/>
      <c r="E2141" s="107"/>
      <c r="F2141" s="107"/>
      <c r="G2141" s="108"/>
      <c r="H2141" s="107"/>
      <c r="I2141" s="108"/>
      <c r="J2141" s="108"/>
      <c r="K2141" s="108"/>
      <c r="L2141" s="108"/>
      <c r="M2141" s="108"/>
      <c r="N2141" s="108"/>
      <c r="O2141" s="108"/>
      <c r="P2141" s="108"/>
      <c r="Q2141" s="108"/>
      <c r="R2141" s="108"/>
      <c r="S2141" s="108"/>
      <c r="T2141" s="108"/>
      <c r="U2141" s="108"/>
      <c r="V2141" s="108"/>
      <c r="W2141" s="108"/>
      <c r="X2141" s="108"/>
    </row>
    <row r="2142" spans="1:24">
      <c r="A2142" s="107"/>
      <c r="B2142" s="107"/>
      <c r="C2142" s="107"/>
      <c r="D2142" s="107"/>
      <c r="E2142" s="107"/>
      <c r="F2142" s="107"/>
      <c r="G2142" s="108"/>
      <c r="H2142" s="107"/>
      <c r="I2142" s="108"/>
      <c r="J2142" s="108"/>
      <c r="K2142" s="108"/>
      <c r="L2142" s="108"/>
      <c r="M2142" s="108"/>
      <c r="N2142" s="108"/>
      <c r="O2142" s="108"/>
      <c r="P2142" s="108"/>
      <c r="Q2142" s="108"/>
      <c r="R2142" s="108"/>
      <c r="S2142" s="108"/>
      <c r="T2142" s="108"/>
      <c r="U2142" s="108"/>
      <c r="V2142" s="108"/>
      <c r="W2142" s="108"/>
      <c r="X2142" s="108"/>
    </row>
    <row r="2143" spans="1:24">
      <c r="A2143" s="107"/>
      <c r="B2143" s="107"/>
      <c r="C2143" s="107"/>
      <c r="D2143" s="107"/>
      <c r="E2143" s="107"/>
      <c r="F2143" s="107"/>
      <c r="G2143" s="108"/>
      <c r="H2143" s="107"/>
      <c r="I2143" s="108"/>
      <c r="J2143" s="108"/>
      <c r="K2143" s="108"/>
      <c r="L2143" s="108"/>
      <c r="M2143" s="108"/>
      <c r="N2143" s="108"/>
      <c r="O2143" s="108"/>
      <c r="P2143" s="108"/>
      <c r="Q2143" s="108"/>
      <c r="R2143" s="108"/>
      <c r="S2143" s="108"/>
      <c r="T2143" s="108"/>
      <c r="U2143" s="108"/>
      <c r="V2143" s="108"/>
      <c r="W2143" s="108"/>
      <c r="X2143" s="108"/>
    </row>
    <row r="2144" spans="1:24">
      <c r="A2144" s="107"/>
      <c r="B2144" s="107"/>
      <c r="C2144" s="107"/>
      <c r="D2144" s="107"/>
      <c r="E2144" s="107"/>
      <c r="F2144" s="107"/>
      <c r="G2144" s="108"/>
      <c r="H2144" s="107"/>
      <c r="I2144" s="108"/>
      <c r="J2144" s="108"/>
      <c r="K2144" s="108"/>
      <c r="L2144" s="108"/>
      <c r="M2144" s="108"/>
      <c r="N2144" s="108"/>
      <c r="O2144" s="108"/>
      <c r="P2144" s="108"/>
      <c r="Q2144" s="108"/>
      <c r="R2144" s="108"/>
      <c r="S2144" s="108"/>
      <c r="T2144" s="108"/>
      <c r="U2144" s="108"/>
      <c r="V2144" s="108"/>
      <c r="W2144" s="108"/>
      <c r="X2144" s="108"/>
    </row>
    <row r="2145" spans="1:24">
      <c r="A2145" s="107"/>
      <c r="B2145" s="107"/>
      <c r="C2145" s="107"/>
      <c r="D2145" s="107"/>
      <c r="E2145" s="107"/>
      <c r="F2145" s="107"/>
      <c r="G2145" s="108"/>
      <c r="H2145" s="107"/>
      <c r="I2145" s="108"/>
      <c r="J2145" s="108"/>
      <c r="K2145" s="108"/>
      <c r="L2145" s="108"/>
      <c r="M2145" s="108"/>
      <c r="N2145" s="108"/>
      <c r="O2145" s="108"/>
      <c r="P2145" s="108"/>
      <c r="Q2145" s="108"/>
      <c r="R2145" s="108"/>
      <c r="S2145" s="108"/>
      <c r="T2145" s="108"/>
      <c r="U2145" s="108"/>
      <c r="V2145" s="108"/>
      <c r="W2145" s="108"/>
      <c r="X2145" s="108"/>
    </row>
    <row r="2146" spans="1:24">
      <c r="A2146" s="107"/>
      <c r="B2146" s="107"/>
      <c r="C2146" s="107"/>
      <c r="D2146" s="107"/>
      <c r="E2146" s="107"/>
      <c r="F2146" s="107"/>
      <c r="G2146" s="108"/>
      <c r="H2146" s="107"/>
      <c r="I2146" s="108"/>
      <c r="J2146" s="108"/>
      <c r="K2146" s="108"/>
      <c r="L2146" s="108"/>
      <c r="M2146" s="108"/>
      <c r="N2146" s="108"/>
      <c r="O2146" s="108"/>
      <c r="P2146" s="108"/>
      <c r="Q2146" s="108"/>
      <c r="R2146" s="108"/>
      <c r="S2146" s="108"/>
      <c r="T2146" s="108"/>
      <c r="U2146" s="108"/>
      <c r="V2146" s="108"/>
      <c r="W2146" s="108"/>
      <c r="X2146" s="108"/>
    </row>
    <row r="2147" spans="1:24">
      <c r="A2147" s="107"/>
      <c r="B2147" s="107"/>
      <c r="C2147" s="107"/>
      <c r="D2147" s="107"/>
      <c r="E2147" s="107"/>
      <c r="F2147" s="107"/>
      <c r="G2147" s="108"/>
      <c r="H2147" s="107"/>
      <c r="I2147" s="108"/>
      <c r="J2147" s="108"/>
      <c r="K2147" s="108"/>
      <c r="L2147" s="108"/>
      <c r="M2147" s="108"/>
      <c r="N2147" s="108"/>
      <c r="O2147" s="108"/>
      <c r="P2147" s="108"/>
      <c r="Q2147" s="108"/>
      <c r="R2147" s="108"/>
      <c r="S2147" s="108"/>
      <c r="T2147" s="108"/>
      <c r="U2147" s="108"/>
      <c r="V2147" s="108"/>
      <c r="W2147" s="108"/>
      <c r="X2147" s="108"/>
    </row>
    <row r="2148" spans="1:24">
      <c r="A2148" s="107"/>
      <c r="B2148" s="107"/>
      <c r="C2148" s="107"/>
      <c r="D2148" s="107"/>
      <c r="E2148" s="107"/>
      <c r="F2148" s="107"/>
      <c r="G2148" s="108"/>
      <c r="H2148" s="107"/>
      <c r="I2148" s="108"/>
      <c r="J2148" s="108"/>
      <c r="K2148" s="108"/>
      <c r="L2148" s="108"/>
      <c r="M2148" s="108"/>
      <c r="N2148" s="108"/>
      <c r="O2148" s="108"/>
      <c r="P2148" s="108"/>
      <c r="Q2148" s="108"/>
      <c r="R2148" s="108"/>
      <c r="S2148" s="108"/>
      <c r="T2148" s="108"/>
      <c r="U2148" s="108"/>
      <c r="V2148" s="108"/>
      <c r="W2148" s="108"/>
      <c r="X2148" s="108"/>
    </row>
    <row r="2149" spans="1:24">
      <c r="A2149" s="107"/>
      <c r="B2149" s="107"/>
      <c r="C2149" s="107"/>
      <c r="D2149" s="107"/>
      <c r="E2149" s="107"/>
      <c r="F2149" s="107"/>
      <c r="G2149" s="108"/>
      <c r="H2149" s="107"/>
      <c r="I2149" s="108"/>
      <c r="J2149" s="108"/>
      <c r="K2149" s="108"/>
      <c r="L2149" s="108"/>
      <c r="M2149" s="108"/>
      <c r="N2149" s="108"/>
      <c r="O2149" s="108"/>
      <c r="P2149" s="108"/>
      <c r="Q2149" s="108"/>
      <c r="R2149" s="108"/>
      <c r="S2149" s="108"/>
      <c r="T2149" s="108"/>
      <c r="U2149" s="108"/>
      <c r="V2149" s="108"/>
      <c r="W2149" s="108"/>
      <c r="X2149" s="108"/>
    </row>
    <row r="2150" spans="1:24">
      <c r="A2150" s="107"/>
      <c r="B2150" s="107"/>
      <c r="C2150" s="107"/>
      <c r="D2150" s="107"/>
      <c r="E2150" s="107"/>
      <c r="F2150" s="107"/>
      <c r="G2150" s="108"/>
      <c r="H2150" s="107"/>
      <c r="I2150" s="108"/>
      <c r="J2150" s="108"/>
      <c r="K2150" s="108"/>
      <c r="L2150" s="108"/>
      <c r="M2150" s="108"/>
      <c r="N2150" s="108"/>
      <c r="O2150" s="108"/>
      <c r="P2150" s="108"/>
      <c r="Q2150" s="108"/>
      <c r="R2150" s="108"/>
      <c r="S2150" s="108"/>
      <c r="T2150" s="108"/>
      <c r="U2150" s="108"/>
      <c r="V2150" s="108"/>
      <c r="W2150" s="108"/>
      <c r="X2150" s="108"/>
    </row>
    <row r="2151" spans="1:24">
      <c r="A2151" s="107"/>
      <c r="B2151" s="107"/>
      <c r="C2151" s="107"/>
      <c r="D2151" s="107"/>
      <c r="E2151" s="107"/>
      <c r="F2151" s="107"/>
      <c r="G2151" s="108"/>
      <c r="H2151" s="107"/>
      <c r="I2151" s="108"/>
      <c r="J2151" s="108"/>
      <c r="K2151" s="108"/>
      <c r="L2151" s="108"/>
      <c r="M2151" s="108"/>
      <c r="N2151" s="108"/>
      <c r="O2151" s="108"/>
      <c r="P2151" s="108"/>
      <c r="Q2151" s="108"/>
      <c r="R2151" s="108"/>
      <c r="S2151" s="108"/>
      <c r="T2151" s="108"/>
      <c r="U2151" s="108"/>
      <c r="V2151" s="108"/>
      <c r="W2151" s="108"/>
      <c r="X2151" s="108"/>
    </row>
    <row r="2152" spans="1:24">
      <c r="A2152" s="107"/>
      <c r="B2152" s="107"/>
      <c r="C2152" s="107"/>
      <c r="D2152" s="107"/>
      <c r="E2152" s="107"/>
      <c r="F2152" s="107"/>
      <c r="G2152" s="108"/>
      <c r="H2152" s="107"/>
      <c r="I2152" s="108"/>
      <c r="J2152" s="108"/>
      <c r="K2152" s="108"/>
      <c r="L2152" s="108"/>
      <c r="M2152" s="108"/>
      <c r="N2152" s="108"/>
      <c r="O2152" s="108"/>
      <c r="P2152" s="108"/>
      <c r="Q2152" s="108"/>
      <c r="R2152" s="108"/>
      <c r="S2152" s="108"/>
      <c r="T2152" s="108"/>
      <c r="U2152" s="108"/>
      <c r="V2152" s="108"/>
      <c r="W2152" s="108"/>
      <c r="X2152" s="108"/>
    </row>
    <row r="2153" spans="1:24">
      <c r="A2153" s="107"/>
      <c r="B2153" s="107"/>
      <c r="C2153" s="107"/>
      <c r="D2153" s="107"/>
      <c r="E2153" s="107"/>
      <c r="F2153" s="107"/>
      <c r="G2153" s="108"/>
      <c r="H2153" s="107"/>
      <c r="I2153" s="108"/>
      <c r="J2153" s="108"/>
      <c r="K2153" s="108"/>
      <c r="L2153" s="108"/>
      <c r="M2153" s="108"/>
      <c r="N2153" s="108"/>
      <c r="O2153" s="108"/>
      <c r="P2153" s="108"/>
      <c r="Q2153" s="108"/>
      <c r="R2153" s="108"/>
      <c r="S2153" s="108"/>
      <c r="T2153" s="108"/>
      <c r="U2153" s="108"/>
      <c r="V2153" s="108"/>
      <c r="W2153" s="108"/>
      <c r="X2153" s="108"/>
    </row>
    <row r="2154" spans="1:24">
      <c r="A2154" s="107"/>
      <c r="B2154" s="107"/>
      <c r="C2154" s="107"/>
      <c r="D2154" s="107"/>
      <c r="E2154" s="107"/>
      <c r="F2154" s="107"/>
      <c r="G2154" s="108"/>
      <c r="H2154" s="107"/>
      <c r="I2154" s="108"/>
      <c r="J2154" s="108"/>
      <c r="K2154" s="108"/>
      <c r="L2154" s="108"/>
      <c r="M2154" s="108"/>
      <c r="N2154" s="108"/>
      <c r="O2154" s="108"/>
      <c r="P2154" s="108"/>
      <c r="Q2154" s="108"/>
      <c r="R2154" s="108"/>
      <c r="S2154" s="108"/>
      <c r="T2154" s="108"/>
      <c r="U2154" s="108"/>
      <c r="V2154" s="108"/>
      <c r="W2154" s="108"/>
      <c r="X2154" s="108"/>
    </row>
    <row r="2155" spans="1:24">
      <c r="A2155" s="107"/>
      <c r="B2155" s="107"/>
      <c r="C2155" s="107"/>
      <c r="D2155" s="107"/>
      <c r="E2155" s="107"/>
      <c r="F2155" s="107"/>
      <c r="G2155" s="108"/>
      <c r="H2155" s="107"/>
      <c r="I2155" s="108"/>
      <c r="J2155" s="108"/>
      <c r="K2155" s="108"/>
      <c r="L2155" s="108"/>
      <c r="M2155" s="108"/>
      <c r="N2155" s="108"/>
      <c r="O2155" s="108"/>
      <c r="P2155" s="108"/>
      <c r="Q2155" s="108"/>
      <c r="R2155" s="108"/>
      <c r="S2155" s="108"/>
      <c r="T2155" s="108"/>
      <c r="U2155" s="108"/>
      <c r="V2155" s="108"/>
      <c r="W2155" s="108"/>
      <c r="X2155" s="108"/>
    </row>
    <row r="2156" spans="1:24">
      <c r="A2156" s="107"/>
      <c r="B2156" s="107"/>
      <c r="C2156" s="107"/>
      <c r="D2156" s="107"/>
      <c r="E2156" s="107"/>
      <c r="F2156" s="107"/>
      <c r="G2156" s="108"/>
      <c r="H2156" s="107"/>
      <c r="I2156" s="108"/>
      <c r="J2156" s="108"/>
      <c r="K2156" s="108"/>
      <c r="L2156" s="108"/>
      <c r="M2156" s="108"/>
      <c r="N2156" s="108"/>
      <c r="O2156" s="108"/>
      <c r="P2156" s="108"/>
      <c r="Q2156" s="108"/>
      <c r="R2156" s="108"/>
      <c r="S2156" s="108"/>
      <c r="T2156" s="108"/>
      <c r="U2156" s="108"/>
      <c r="V2156" s="108"/>
      <c r="W2156" s="108"/>
      <c r="X2156" s="108"/>
    </row>
    <row r="2157" spans="1:24">
      <c r="A2157" s="107"/>
      <c r="B2157" s="107"/>
      <c r="C2157" s="107"/>
      <c r="D2157" s="107"/>
      <c r="E2157" s="107"/>
      <c r="F2157" s="107"/>
      <c r="G2157" s="108"/>
      <c r="H2157" s="107"/>
      <c r="I2157" s="108"/>
      <c r="J2157" s="108"/>
      <c r="K2157" s="108"/>
      <c r="L2157" s="108"/>
      <c r="M2157" s="108"/>
      <c r="N2157" s="108"/>
      <c r="O2157" s="108"/>
      <c r="P2157" s="108"/>
      <c r="Q2157" s="108"/>
      <c r="R2157" s="108"/>
      <c r="S2157" s="108"/>
      <c r="T2157" s="108"/>
      <c r="U2157" s="108"/>
      <c r="V2157" s="108"/>
      <c r="W2157" s="108"/>
      <c r="X2157" s="108"/>
    </row>
    <row r="2158" spans="1:24">
      <c r="A2158" s="107"/>
      <c r="B2158" s="107"/>
      <c r="C2158" s="107"/>
      <c r="D2158" s="107"/>
      <c r="E2158" s="107"/>
      <c r="F2158" s="107"/>
      <c r="G2158" s="108"/>
      <c r="H2158" s="107"/>
      <c r="I2158" s="108"/>
      <c r="J2158" s="108"/>
      <c r="K2158" s="108"/>
      <c r="L2158" s="108"/>
      <c r="M2158" s="108"/>
      <c r="N2158" s="108"/>
      <c r="O2158" s="108"/>
      <c r="P2158" s="108"/>
      <c r="Q2158" s="108"/>
      <c r="R2158" s="108"/>
      <c r="S2158" s="108"/>
      <c r="T2158" s="108"/>
      <c r="U2158" s="108"/>
      <c r="V2158" s="108"/>
      <c r="W2158" s="108"/>
      <c r="X2158" s="108"/>
    </row>
    <row r="2159" spans="1:24">
      <c r="A2159" s="107"/>
      <c r="B2159" s="107"/>
      <c r="C2159" s="107"/>
      <c r="D2159" s="107"/>
      <c r="E2159" s="107"/>
      <c r="F2159" s="107"/>
      <c r="G2159" s="108"/>
      <c r="H2159" s="107"/>
      <c r="I2159" s="108"/>
      <c r="J2159" s="108"/>
      <c r="K2159" s="108"/>
      <c r="L2159" s="108"/>
      <c r="M2159" s="108"/>
      <c r="N2159" s="108"/>
      <c r="O2159" s="108"/>
      <c r="P2159" s="108"/>
      <c r="Q2159" s="108"/>
      <c r="R2159" s="108"/>
      <c r="S2159" s="108"/>
      <c r="T2159" s="108"/>
      <c r="U2159" s="108"/>
      <c r="V2159" s="108"/>
      <c r="W2159" s="108"/>
      <c r="X2159" s="108"/>
    </row>
    <row r="2160" spans="1:24">
      <c r="A2160" s="107"/>
      <c r="B2160" s="107"/>
      <c r="C2160" s="107"/>
      <c r="D2160" s="107"/>
      <c r="E2160" s="107"/>
      <c r="F2160" s="107"/>
      <c r="G2160" s="108"/>
      <c r="H2160" s="107"/>
      <c r="I2160" s="108"/>
      <c r="J2160" s="108"/>
      <c r="K2160" s="108"/>
      <c r="L2160" s="108"/>
      <c r="M2160" s="108"/>
      <c r="N2160" s="108"/>
      <c r="O2160" s="108"/>
      <c r="P2160" s="108"/>
      <c r="Q2160" s="108"/>
      <c r="R2160" s="108"/>
      <c r="S2160" s="108"/>
      <c r="T2160" s="108"/>
      <c r="U2160" s="108"/>
      <c r="V2160" s="108"/>
      <c r="W2160" s="108"/>
      <c r="X2160" s="108"/>
    </row>
    <row r="2161" spans="1:24">
      <c r="A2161" s="107"/>
      <c r="B2161" s="107"/>
      <c r="C2161" s="107"/>
      <c r="D2161" s="107"/>
      <c r="E2161" s="107"/>
      <c r="F2161" s="107"/>
      <c r="G2161" s="108"/>
      <c r="H2161" s="107"/>
      <c r="I2161" s="108"/>
      <c r="J2161" s="108"/>
      <c r="K2161" s="108"/>
      <c r="L2161" s="108"/>
      <c r="M2161" s="108"/>
      <c r="N2161" s="108"/>
      <c r="O2161" s="108"/>
      <c r="P2161" s="108"/>
      <c r="Q2161" s="108"/>
      <c r="R2161" s="108"/>
      <c r="S2161" s="108"/>
      <c r="T2161" s="108"/>
      <c r="U2161" s="108"/>
      <c r="V2161" s="108"/>
      <c r="W2161" s="108"/>
      <c r="X2161" s="108"/>
    </row>
    <row r="2162" spans="1:24">
      <c r="A2162" s="107"/>
      <c r="B2162" s="107"/>
      <c r="C2162" s="107"/>
      <c r="D2162" s="107"/>
      <c r="E2162" s="107"/>
      <c r="F2162" s="107"/>
      <c r="G2162" s="108"/>
      <c r="H2162" s="107"/>
      <c r="I2162" s="108"/>
      <c r="J2162" s="108"/>
      <c r="K2162" s="108"/>
      <c r="L2162" s="108"/>
      <c r="M2162" s="108"/>
      <c r="N2162" s="108"/>
      <c r="O2162" s="108"/>
      <c r="P2162" s="108"/>
      <c r="Q2162" s="108"/>
      <c r="R2162" s="108"/>
      <c r="S2162" s="108"/>
      <c r="T2162" s="108"/>
      <c r="U2162" s="108"/>
      <c r="V2162" s="108"/>
      <c r="W2162" s="108"/>
      <c r="X2162" s="108"/>
    </row>
    <row r="2163" spans="1:24">
      <c r="A2163" s="107"/>
      <c r="B2163" s="107"/>
      <c r="C2163" s="107"/>
      <c r="D2163" s="107"/>
      <c r="E2163" s="107"/>
      <c r="F2163" s="107"/>
      <c r="G2163" s="108"/>
      <c r="H2163" s="107"/>
      <c r="I2163" s="108"/>
      <c r="J2163" s="108"/>
      <c r="K2163" s="108"/>
      <c r="L2163" s="108"/>
      <c r="M2163" s="108"/>
      <c r="N2163" s="108"/>
      <c r="O2163" s="108"/>
      <c r="P2163" s="108"/>
      <c r="Q2163" s="108"/>
      <c r="R2163" s="108"/>
      <c r="S2163" s="108"/>
      <c r="T2163" s="108"/>
      <c r="U2163" s="108"/>
      <c r="V2163" s="108"/>
      <c r="W2163" s="108"/>
      <c r="X2163" s="108"/>
    </row>
    <row r="2164" spans="1:24">
      <c r="A2164" s="107"/>
      <c r="B2164" s="107"/>
      <c r="C2164" s="107"/>
      <c r="D2164" s="107"/>
      <c r="E2164" s="107"/>
      <c r="F2164" s="107"/>
      <c r="G2164" s="108"/>
      <c r="H2164" s="107"/>
      <c r="I2164" s="108"/>
      <c r="J2164" s="108"/>
      <c r="K2164" s="108"/>
      <c r="L2164" s="108"/>
      <c r="M2164" s="108"/>
      <c r="N2164" s="108"/>
      <c r="O2164" s="108"/>
      <c r="P2164" s="108"/>
      <c r="Q2164" s="108"/>
      <c r="R2164" s="108"/>
      <c r="S2164" s="108"/>
      <c r="T2164" s="108"/>
      <c r="U2164" s="108"/>
      <c r="V2164" s="108"/>
      <c r="W2164" s="108"/>
      <c r="X2164" s="108"/>
    </row>
    <row r="2165" spans="1:24">
      <c r="A2165" s="107"/>
      <c r="B2165" s="107"/>
      <c r="C2165" s="107"/>
      <c r="D2165" s="107"/>
      <c r="E2165" s="107"/>
      <c r="F2165" s="107"/>
      <c r="G2165" s="108"/>
      <c r="H2165" s="107"/>
      <c r="I2165" s="108"/>
      <c r="J2165" s="108"/>
      <c r="K2165" s="108"/>
      <c r="L2165" s="108"/>
      <c r="M2165" s="108"/>
      <c r="N2165" s="108"/>
      <c r="O2165" s="108"/>
      <c r="P2165" s="108"/>
      <c r="Q2165" s="108"/>
      <c r="R2165" s="108"/>
      <c r="S2165" s="108"/>
      <c r="T2165" s="108"/>
      <c r="U2165" s="108"/>
      <c r="V2165" s="108"/>
      <c r="W2165" s="108"/>
      <c r="X2165" s="108"/>
    </row>
    <row r="2166" spans="1:24">
      <c r="A2166" s="107"/>
      <c r="B2166" s="107"/>
      <c r="C2166" s="107"/>
      <c r="D2166" s="107"/>
      <c r="E2166" s="107"/>
      <c r="F2166" s="107"/>
      <c r="G2166" s="108"/>
      <c r="H2166" s="107"/>
      <c r="I2166" s="108"/>
      <c r="J2166" s="108"/>
      <c r="K2166" s="108"/>
      <c r="L2166" s="108"/>
      <c r="M2166" s="108"/>
      <c r="N2166" s="108"/>
      <c r="O2166" s="108"/>
      <c r="P2166" s="108"/>
      <c r="Q2166" s="108"/>
      <c r="R2166" s="108"/>
      <c r="S2166" s="108"/>
      <c r="T2166" s="108"/>
      <c r="U2166" s="108"/>
      <c r="V2166" s="108"/>
      <c r="W2166" s="108"/>
      <c r="X2166" s="108"/>
    </row>
    <row r="2167" spans="1:24">
      <c r="A2167" s="107"/>
      <c r="B2167" s="107"/>
      <c r="C2167" s="107"/>
      <c r="D2167" s="107"/>
      <c r="E2167" s="107"/>
      <c r="F2167" s="107"/>
      <c r="G2167" s="108"/>
      <c r="H2167" s="107"/>
      <c r="I2167" s="108"/>
      <c r="J2167" s="108"/>
      <c r="K2167" s="108"/>
      <c r="L2167" s="108"/>
      <c r="M2167" s="108"/>
      <c r="N2167" s="108"/>
      <c r="O2167" s="108"/>
      <c r="P2167" s="108"/>
      <c r="Q2167" s="108"/>
      <c r="R2167" s="108"/>
      <c r="S2167" s="108"/>
      <c r="T2167" s="108"/>
      <c r="U2167" s="108"/>
      <c r="V2167" s="108"/>
      <c r="W2167" s="108"/>
      <c r="X2167" s="108"/>
    </row>
    <row r="2168" spans="1:24">
      <c r="A2168" s="107"/>
      <c r="B2168" s="107"/>
      <c r="C2168" s="107"/>
      <c r="D2168" s="107"/>
      <c r="E2168" s="107"/>
      <c r="F2168" s="107"/>
      <c r="G2168" s="108"/>
      <c r="H2168" s="107"/>
      <c r="I2168" s="108"/>
      <c r="J2168" s="108"/>
      <c r="K2168" s="108"/>
      <c r="L2168" s="108"/>
      <c r="M2168" s="108"/>
      <c r="N2168" s="108"/>
      <c r="O2168" s="108"/>
      <c r="P2168" s="108"/>
      <c r="Q2168" s="108"/>
      <c r="R2168" s="108"/>
      <c r="S2168" s="108"/>
      <c r="T2168" s="108"/>
      <c r="U2168" s="108"/>
      <c r="V2168" s="108"/>
      <c r="W2168" s="108"/>
      <c r="X2168" s="108"/>
    </row>
    <row r="2169" spans="1:24">
      <c r="A2169" s="107"/>
      <c r="B2169" s="107"/>
      <c r="C2169" s="107"/>
      <c r="D2169" s="107"/>
      <c r="E2169" s="107"/>
      <c r="F2169" s="107"/>
      <c r="G2169" s="108"/>
      <c r="H2169" s="107"/>
      <c r="I2169" s="108"/>
      <c r="J2169" s="108"/>
      <c r="K2169" s="108"/>
      <c r="L2169" s="108"/>
      <c r="M2169" s="108"/>
      <c r="N2169" s="108"/>
      <c r="O2169" s="108"/>
      <c r="P2169" s="108"/>
      <c r="Q2169" s="108"/>
      <c r="R2169" s="108"/>
      <c r="S2169" s="108"/>
      <c r="T2169" s="108"/>
      <c r="U2169" s="108"/>
      <c r="V2169" s="108"/>
      <c r="W2169" s="108"/>
      <c r="X2169" s="108"/>
    </row>
    <row r="2170" spans="1:24">
      <c r="A2170" s="107"/>
      <c r="B2170" s="107"/>
      <c r="C2170" s="107"/>
      <c r="D2170" s="107"/>
      <c r="E2170" s="107"/>
      <c r="F2170" s="107"/>
      <c r="G2170" s="108"/>
      <c r="H2170" s="107"/>
      <c r="I2170" s="108"/>
      <c r="J2170" s="108"/>
      <c r="K2170" s="108"/>
      <c r="L2170" s="108"/>
      <c r="M2170" s="108"/>
      <c r="N2170" s="108"/>
      <c r="O2170" s="108"/>
      <c r="P2170" s="108"/>
      <c r="Q2170" s="108"/>
      <c r="R2170" s="108"/>
      <c r="S2170" s="108"/>
      <c r="T2170" s="108"/>
      <c r="U2170" s="108"/>
      <c r="V2170" s="108"/>
      <c r="W2170" s="108"/>
      <c r="X2170" s="108"/>
    </row>
    <row r="2171" spans="1:24">
      <c r="A2171" s="107"/>
      <c r="B2171" s="107"/>
      <c r="C2171" s="107"/>
      <c r="D2171" s="107"/>
      <c r="E2171" s="107"/>
      <c r="F2171" s="107"/>
      <c r="G2171" s="108"/>
      <c r="H2171" s="107"/>
      <c r="I2171" s="108"/>
      <c r="J2171" s="108"/>
      <c r="K2171" s="108"/>
      <c r="L2171" s="108"/>
      <c r="M2171" s="108"/>
      <c r="N2171" s="108"/>
      <c r="O2171" s="108"/>
      <c r="P2171" s="108"/>
      <c r="Q2171" s="108"/>
      <c r="R2171" s="108"/>
      <c r="S2171" s="108"/>
      <c r="T2171" s="108"/>
      <c r="U2171" s="108"/>
      <c r="V2171" s="108"/>
      <c r="W2171" s="108"/>
      <c r="X2171" s="108"/>
    </row>
    <row r="2172" spans="1:24">
      <c r="A2172" s="107"/>
      <c r="B2172" s="107"/>
      <c r="C2172" s="107"/>
      <c r="D2172" s="107"/>
      <c r="E2172" s="107"/>
      <c r="F2172" s="107"/>
      <c r="G2172" s="108"/>
      <c r="H2172" s="107"/>
      <c r="I2172" s="108"/>
      <c r="J2172" s="108"/>
      <c r="K2172" s="108"/>
      <c r="L2172" s="108"/>
      <c r="M2172" s="108"/>
      <c r="N2172" s="108"/>
      <c r="O2172" s="108"/>
      <c r="P2172" s="108"/>
      <c r="Q2172" s="108"/>
      <c r="R2172" s="108"/>
      <c r="S2172" s="108"/>
      <c r="T2172" s="108"/>
      <c r="U2172" s="108"/>
      <c r="V2172" s="108"/>
      <c r="W2172" s="108"/>
      <c r="X2172" s="108"/>
    </row>
    <row r="2173" spans="1:24">
      <c r="A2173" s="107"/>
      <c r="B2173" s="107"/>
      <c r="C2173" s="107"/>
      <c r="D2173" s="107"/>
      <c r="E2173" s="107"/>
      <c r="F2173" s="107"/>
      <c r="G2173" s="108"/>
      <c r="H2173" s="107"/>
      <c r="I2173" s="108"/>
      <c r="J2173" s="108"/>
      <c r="K2173" s="108"/>
      <c r="L2173" s="108"/>
      <c r="M2173" s="108"/>
      <c r="N2173" s="108"/>
      <c r="O2173" s="108"/>
      <c r="P2173" s="108"/>
      <c r="Q2173" s="108"/>
      <c r="R2173" s="108"/>
      <c r="S2173" s="108"/>
      <c r="T2173" s="108"/>
      <c r="U2173" s="108"/>
      <c r="V2173" s="108"/>
      <c r="W2173" s="108"/>
      <c r="X2173" s="108"/>
    </row>
    <row r="2174" spans="1:24">
      <c r="A2174" s="107"/>
      <c r="B2174" s="107"/>
      <c r="C2174" s="107"/>
      <c r="D2174" s="107"/>
      <c r="E2174" s="107"/>
      <c r="F2174" s="107"/>
      <c r="G2174" s="108"/>
      <c r="H2174" s="107"/>
      <c r="I2174" s="108"/>
      <c r="J2174" s="108"/>
      <c r="K2174" s="108"/>
      <c r="L2174" s="108"/>
      <c r="M2174" s="108"/>
      <c r="N2174" s="108"/>
      <c r="O2174" s="108"/>
      <c r="P2174" s="108"/>
      <c r="Q2174" s="108"/>
      <c r="R2174" s="108"/>
      <c r="S2174" s="108"/>
      <c r="T2174" s="108"/>
      <c r="U2174" s="108"/>
      <c r="V2174" s="108"/>
      <c r="W2174" s="108"/>
      <c r="X2174" s="108"/>
    </row>
    <row r="2175" spans="1:24">
      <c r="A2175" s="107"/>
      <c r="B2175" s="107"/>
      <c r="C2175" s="107"/>
      <c r="D2175" s="107"/>
      <c r="E2175" s="107"/>
      <c r="F2175" s="107"/>
      <c r="G2175" s="108"/>
      <c r="H2175" s="107"/>
      <c r="I2175" s="108"/>
      <c r="J2175" s="108"/>
      <c r="K2175" s="108"/>
      <c r="L2175" s="108"/>
      <c r="M2175" s="108"/>
      <c r="N2175" s="108"/>
      <c r="O2175" s="108"/>
      <c r="P2175" s="108"/>
      <c r="Q2175" s="108"/>
      <c r="R2175" s="108"/>
      <c r="S2175" s="108"/>
      <c r="T2175" s="108"/>
      <c r="U2175" s="108"/>
      <c r="V2175" s="108"/>
      <c r="W2175" s="108"/>
      <c r="X2175" s="108"/>
    </row>
    <row r="2176" spans="1:24">
      <c r="A2176" s="107"/>
      <c r="B2176" s="107"/>
      <c r="C2176" s="107"/>
      <c r="D2176" s="107"/>
      <c r="E2176" s="107"/>
      <c r="F2176" s="107"/>
      <c r="G2176" s="108"/>
      <c r="H2176" s="107"/>
      <c r="I2176" s="108"/>
      <c r="J2176" s="108"/>
      <c r="K2176" s="108"/>
      <c r="L2176" s="108"/>
      <c r="M2176" s="108"/>
      <c r="N2176" s="108"/>
      <c r="O2176" s="108"/>
      <c r="P2176" s="108"/>
      <c r="Q2176" s="108"/>
      <c r="R2176" s="108"/>
      <c r="S2176" s="108"/>
      <c r="T2176" s="108"/>
      <c r="U2176" s="108"/>
      <c r="V2176" s="108"/>
      <c r="W2176" s="108"/>
      <c r="X2176" s="108"/>
    </row>
    <row r="2177" spans="1:24">
      <c r="A2177" s="107"/>
      <c r="B2177" s="107"/>
      <c r="C2177" s="107"/>
      <c r="D2177" s="107"/>
      <c r="E2177" s="107"/>
      <c r="F2177" s="107"/>
      <c r="G2177" s="108"/>
      <c r="H2177" s="107"/>
      <c r="I2177" s="108"/>
      <c r="J2177" s="108"/>
      <c r="K2177" s="108"/>
      <c r="L2177" s="108"/>
      <c r="M2177" s="108"/>
      <c r="N2177" s="108"/>
      <c r="O2177" s="108"/>
      <c r="P2177" s="108"/>
      <c r="Q2177" s="108"/>
      <c r="R2177" s="108"/>
      <c r="S2177" s="108"/>
      <c r="T2177" s="108"/>
      <c r="U2177" s="108"/>
      <c r="V2177" s="108"/>
      <c r="W2177" s="108"/>
      <c r="X2177" s="108"/>
    </row>
    <row r="2178" spans="1:24">
      <c r="A2178" s="107"/>
      <c r="B2178" s="107"/>
      <c r="C2178" s="107"/>
      <c r="D2178" s="107"/>
      <c r="E2178" s="107"/>
      <c r="F2178" s="107"/>
      <c r="G2178" s="108"/>
      <c r="H2178" s="107"/>
      <c r="I2178" s="108"/>
      <c r="J2178" s="108"/>
      <c r="K2178" s="108"/>
      <c r="L2178" s="108"/>
      <c r="M2178" s="108"/>
      <c r="N2178" s="108"/>
      <c r="O2178" s="108"/>
      <c r="P2178" s="108"/>
      <c r="Q2178" s="108"/>
      <c r="R2178" s="108"/>
      <c r="S2178" s="108"/>
      <c r="T2178" s="108"/>
      <c r="U2178" s="108"/>
      <c r="V2178" s="108"/>
      <c r="W2178" s="108"/>
      <c r="X2178" s="108"/>
    </row>
    <row r="2179" spans="1:24">
      <c r="A2179" s="107"/>
      <c r="B2179" s="107"/>
      <c r="C2179" s="107"/>
      <c r="D2179" s="107"/>
      <c r="E2179" s="107"/>
      <c r="F2179" s="107"/>
      <c r="G2179" s="108"/>
      <c r="H2179" s="107"/>
      <c r="I2179" s="108"/>
      <c r="J2179" s="108"/>
      <c r="K2179" s="108"/>
      <c r="L2179" s="108"/>
      <c r="M2179" s="108"/>
      <c r="N2179" s="108"/>
      <c r="O2179" s="108"/>
      <c r="P2179" s="108"/>
      <c r="Q2179" s="108"/>
      <c r="R2179" s="108"/>
      <c r="S2179" s="108"/>
      <c r="T2179" s="108"/>
      <c r="U2179" s="108"/>
      <c r="V2179" s="108"/>
      <c r="W2179" s="108"/>
      <c r="X2179" s="108"/>
    </row>
    <row r="2180" spans="1:24">
      <c r="A2180" s="107"/>
      <c r="B2180" s="107"/>
      <c r="C2180" s="107"/>
      <c r="D2180" s="107"/>
      <c r="E2180" s="107"/>
      <c r="F2180" s="107"/>
      <c r="G2180" s="108"/>
      <c r="H2180" s="107"/>
      <c r="I2180" s="108"/>
      <c r="J2180" s="108"/>
      <c r="K2180" s="108"/>
      <c r="L2180" s="108"/>
      <c r="M2180" s="108"/>
      <c r="N2180" s="108"/>
      <c r="O2180" s="108"/>
      <c r="P2180" s="108"/>
      <c r="Q2180" s="108"/>
      <c r="R2180" s="108"/>
      <c r="S2180" s="108"/>
      <c r="T2180" s="108"/>
      <c r="U2180" s="108"/>
      <c r="V2180" s="108"/>
      <c r="W2180" s="108"/>
      <c r="X2180" s="108"/>
    </row>
    <row r="2181" spans="1:24">
      <c r="A2181" s="107"/>
      <c r="B2181" s="107"/>
      <c r="C2181" s="107"/>
      <c r="D2181" s="107"/>
      <c r="E2181" s="107"/>
      <c r="F2181" s="107"/>
      <c r="G2181" s="108"/>
      <c r="H2181" s="107"/>
      <c r="I2181" s="108"/>
      <c r="J2181" s="108"/>
      <c r="K2181" s="108"/>
      <c r="L2181" s="108"/>
      <c r="M2181" s="108"/>
      <c r="N2181" s="108"/>
      <c r="O2181" s="108"/>
      <c r="P2181" s="108"/>
      <c r="Q2181" s="108"/>
      <c r="R2181" s="108"/>
      <c r="S2181" s="108"/>
      <c r="T2181" s="108"/>
      <c r="U2181" s="108"/>
      <c r="V2181" s="108"/>
      <c r="W2181" s="108"/>
      <c r="X2181" s="108"/>
    </row>
    <row r="2182" spans="1:24">
      <c r="A2182" s="107"/>
      <c r="B2182" s="107"/>
      <c r="C2182" s="107"/>
      <c r="D2182" s="107"/>
      <c r="E2182" s="107"/>
      <c r="F2182" s="107"/>
      <c r="G2182" s="108"/>
      <c r="H2182" s="107"/>
      <c r="I2182" s="108"/>
      <c r="J2182" s="108"/>
      <c r="K2182" s="108"/>
      <c r="L2182" s="108"/>
      <c r="M2182" s="108"/>
      <c r="N2182" s="108"/>
      <c r="O2182" s="108"/>
      <c r="P2182" s="108"/>
      <c r="Q2182" s="108"/>
      <c r="R2182" s="108"/>
      <c r="S2182" s="108"/>
      <c r="T2182" s="108"/>
      <c r="U2182" s="108"/>
      <c r="V2182" s="108"/>
      <c r="W2182" s="108"/>
      <c r="X2182" s="108"/>
    </row>
    <row r="2183" spans="1:24">
      <c r="A2183" s="107"/>
      <c r="B2183" s="107"/>
      <c r="C2183" s="107"/>
      <c r="D2183" s="107"/>
      <c r="E2183" s="107"/>
      <c r="F2183" s="107"/>
      <c r="G2183" s="108"/>
      <c r="H2183" s="107"/>
      <c r="I2183" s="108"/>
      <c r="J2183" s="108"/>
      <c r="K2183" s="108"/>
      <c r="L2183" s="108"/>
      <c r="M2183" s="108"/>
      <c r="N2183" s="108"/>
      <c r="O2183" s="108"/>
      <c r="P2183" s="108"/>
      <c r="Q2183" s="108"/>
      <c r="R2183" s="108"/>
      <c r="S2183" s="108"/>
      <c r="T2183" s="108"/>
      <c r="U2183" s="108"/>
      <c r="V2183" s="108"/>
      <c r="W2183" s="108"/>
      <c r="X2183" s="108"/>
    </row>
    <row r="2184" spans="1:24">
      <c r="A2184" s="107"/>
      <c r="B2184" s="107"/>
      <c r="C2184" s="107"/>
      <c r="D2184" s="107"/>
      <c r="E2184" s="107"/>
      <c r="F2184" s="107"/>
      <c r="G2184" s="108"/>
      <c r="H2184" s="107"/>
      <c r="I2184" s="108"/>
      <c r="J2184" s="108"/>
      <c r="K2184" s="108"/>
      <c r="L2184" s="108"/>
      <c r="M2184" s="108"/>
      <c r="N2184" s="108"/>
      <c r="O2184" s="108"/>
      <c r="P2184" s="108"/>
      <c r="Q2184" s="108"/>
      <c r="R2184" s="108"/>
      <c r="S2184" s="108"/>
      <c r="T2184" s="108"/>
      <c r="U2184" s="108"/>
      <c r="V2184" s="108"/>
      <c r="W2184" s="108"/>
      <c r="X2184" s="108"/>
    </row>
    <row r="2185" spans="1:24">
      <c r="A2185" s="107"/>
      <c r="B2185" s="107"/>
      <c r="C2185" s="107"/>
      <c r="D2185" s="107"/>
      <c r="E2185" s="107"/>
      <c r="F2185" s="107"/>
      <c r="G2185" s="108"/>
      <c r="H2185" s="107"/>
      <c r="I2185" s="108"/>
      <c r="J2185" s="108"/>
      <c r="K2185" s="108"/>
      <c r="L2185" s="108"/>
      <c r="M2185" s="108"/>
      <c r="N2185" s="108"/>
      <c r="O2185" s="108"/>
      <c r="P2185" s="108"/>
      <c r="Q2185" s="108"/>
      <c r="R2185" s="108"/>
      <c r="S2185" s="108"/>
      <c r="T2185" s="108"/>
      <c r="U2185" s="108"/>
      <c r="V2185" s="108"/>
      <c r="W2185" s="108"/>
      <c r="X2185" s="108"/>
    </row>
    <row r="2186" spans="1:24">
      <c r="A2186" s="107"/>
      <c r="B2186" s="107"/>
      <c r="C2186" s="107"/>
      <c r="D2186" s="107"/>
      <c r="E2186" s="107"/>
      <c r="F2186" s="107"/>
      <c r="G2186" s="108"/>
      <c r="H2186" s="107"/>
      <c r="I2186" s="108"/>
      <c r="J2186" s="108"/>
      <c r="K2186" s="108"/>
      <c r="L2186" s="108"/>
      <c r="M2186" s="108"/>
      <c r="N2186" s="108"/>
      <c r="O2186" s="108"/>
      <c r="P2186" s="108"/>
      <c r="Q2186" s="108"/>
      <c r="R2186" s="108"/>
      <c r="S2186" s="108"/>
      <c r="T2186" s="108"/>
      <c r="U2186" s="108"/>
      <c r="V2186" s="108"/>
      <c r="W2186" s="108"/>
      <c r="X2186" s="108"/>
    </row>
    <row r="2187" spans="1:24">
      <c r="A2187" s="107"/>
      <c r="B2187" s="107"/>
      <c r="C2187" s="107"/>
      <c r="D2187" s="107"/>
      <c r="E2187" s="107"/>
      <c r="F2187" s="107"/>
      <c r="G2187" s="108"/>
      <c r="H2187" s="107"/>
      <c r="I2187" s="108"/>
      <c r="J2187" s="108"/>
      <c r="K2187" s="108"/>
      <c r="L2187" s="108"/>
      <c r="M2187" s="108"/>
      <c r="N2187" s="108"/>
      <c r="O2187" s="108"/>
      <c r="P2187" s="108"/>
      <c r="Q2187" s="108"/>
      <c r="R2187" s="108"/>
      <c r="S2187" s="108"/>
      <c r="T2187" s="108"/>
      <c r="U2187" s="108"/>
      <c r="V2187" s="108"/>
      <c r="W2187" s="108"/>
      <c r="X2187" s="108"/>
    </row>
    <row r="2188" spans="1:24">
      <c r="A2188" s="107"/>
      <c r="B2188" s="107"/>
      <c r="C2188" s="107"/>
      <c r="D2188" s="107"/>
      <c r="E2188" s="107"/>
      <c r="F2188" s="107"/>
      <c r="G2188" s="108"/>
      <c r="H2188" s="107"/>
      <c r="I2188" s="108"/>
      <c r="J2188" s="108"/>
      <c r="K2188" s="108"/>
      <c r="L2188" s="108"/>
      <c r="M2188" s="108"/>
      <c r="N2188" s="108"/>
      <c r="O2188" s="108"/>
      <c r="P2188" s="108"/>
      <c r="Q2188" s="108"/>
      <c r="R2188" s="108"/>
      <c r="S2188" s="108"/>
      <c r="T2188" s="108"/>
      <c r="U2188" s="108"/>
      <c r="V2188" s="108"/>
      <c r="W2188" s="108"/>
      <c r="X2188" s="108"/>
    </row>
    <row r="2189" spans="1:24">
      <c r="A2189" s="107"/>
      <c r="B2189" s="107"/>
      <c r="C2189" s="107"/>
      <c r="D2189" s="107"/>
      <c r="E2189" s="107"/>
      <c r="F2189" s="107"/>
      <c r="G2189" s="108"/>
      <c r="H2189" s="107"/>
      <c r="I2189" s="108"/>
      <c r="J2189" s="108"/>
      <c r="K2189" s="108"/>
      <c r="L2189" s="108"/>
      <c r="M2189" s="108"/>
      <c r="N2189" s="108"/>
      <c r="O2189" s="108"/>
      <c r="P2189" s="108"/>
      <c r="Q2189" s="108"/>
      <c r="R2189" s="108"/>
      <c r="S2189" s="108"/>
      <c r="T2189" s="108"/>
      <c r="U2189" s="108"/>
      <c r="V2189" s="108"/>
      <c r="W2189" s="108"/>
      <c r="X2189" s="108"/>
    </row>
    <row r="2190" spans="1:24">
      <c r="A2190" s="107"/>
      <c r="B2190" s="107"/>
      <c r="C2190" s="107"/>
      <c r="D2190" s="107"/>
      <c r="E2190" s="107"/>
      <c r="F2190" s="107"/>
      <c r="G2190" s="108"/>
      <c r="H2190" s="107"/>
      <c r="I2190" s="108"/>
      <c r="J2190" s="108"/>
      <c r="K2190" s="108"/>
      <c r="L2190" s="108"/>
      <c r="M2190" s="108"/>
      <c r="N2190" s="108"/>
      <c r="O2190" s="108"/>
      <c r="P2190" s="108"/>
      <c r="Q2190" s="108"/>
      <c r="R2190" s="108"/>
      <c r="S2190" s="108"/>
      <c r="T2190" s="108"/>
      <c r="U2190" s="108"/>
      <c r="V2190" s="108"/>
      <c r="W2190" s="108"/>
      <c r="X2190" s="108"/>
    </row>
    <row r="2191" spans="1:24">
      <c r="A2191" s="107"/>
      <c r="B2191" s="107"/>
      <c r="C2191" s="107"/>
      <c r="D2191" s="107"/>
      <c r="E2191" s="107"/>
      <c r="F2191" s="107"/>
      <c r="G2191" s="108"/>
      <c r="H2191" s="107"/>
      <c r="I2191" s="108"/>
      <c r="J2191" s="108"/>
      <c r="K2191" s="108"/>
      <c r="L2191" s="108"/>
      <c r="M2191" s="108"/>
      <c r="N2191" s="108"/>
      <c r="O2191" s="108"/>
      <c r="P2191" s="108"/>
      <c r="Q2191" s="108"/>
      <c r="R2191" s="108"/>
      <c r="S2191" s="108"/>
      <c r="T2191" s="108"/>
      <c r="U2191" s="108"/>
      <c r="V2191" s="108"/>
      <c r="W2191" s="108"/>
      <c r="X2191" s="108"/>
    </row>
    <row r="2192" spans="1:24">
      <c r="A2192" s="107"/>
      <c r="B2192" s="107"/>
      <c r="C2192" s="107"/>
      <c r="D2192" s="107"/>
      <c r="E2192" s="107"/>
      <c r="F2192" s="107"/>
      <c r="G2192" s="108"/>
      <c r="H2192" s="107"/>
      <c r="I2192" s="108"/>
      <c r="J2192" s="108"/>
      <c r="K2192" s="108"/>
      <c r="L2192" s="108"/>
      <c r="M2192" s="108"/>
      <c r="N2192" s="108"/>
      <c r="O2192" s="108"/>
      <c r="P2192" s="108"/>
      <c r="Q2192" s="108"/>
      <c r="R2192" s="108"/>
      <c r="S2192" s="108"/>
      <c r="T2192" s="108"/>
      <c r="U2192" s="108"/>
      <c r="V2192" s="108"/>
      <c r="W2192" s="108"/>
      <c r="X2192" s="108"/>
    </row>
    <row r="2193" spans="1:24">
      <c r="A2193" s="107"/>
      <c r="B2193" s="107"/>
      <c r="C2193" s="107"/>
      <c r="D2193" s="107"/>
      <c r="E2193" s="107"/>
      <c r="F2193" s="107"/>
      <c r="G2193" s="108"/>
      <c r="H2193" s="107"/>
      <c r="I2193" s="108"/>
      <c r="J2193" s="108"/>
      <c r="K2193" s="108"/>
      <c r="L2193" s="108"/>
      <c r="M2193" s="108"/>
      <c r="N2193" s="108"/>
      <c r="O2193" s="108"/>
      <c r="P2193" s="108"/>
      <c r="Q2193" s="108"/>
      <c r="R2193" s="108"/>
      <c r="S2193" s="108"/>
      <c r="T2193" s="108"/>
      <c r="U2193" s="108"/>
      <c r="V2193" s="108"/>
      <c r="W2193" s="108"/>
      <c r="X2193" s="108"/>
    </row>
    <row r="2194" spans="1:24">
      <c r="A2194" s="107"/>
      <c r="B2194" s="107"/>
      <c r="C2194" s="107"/>
      <c r="D2194" s="107"/>
      <c r="E2194" s="107"/>
      <c r="F2194" s="107"/>
      <c r="G2194" s="108"/>
      <c r="H2194" s="107"/>
      <c r="I2194" s="108"/>
      <c r="J2194" s="108"/>
      <c r="K2194" s="108"/>
      <c r="L2194" s="108"/>
      <c r="M2194" s="108"/>
      <c r="N2194" s="108"/>
      <c r="O2194" s="108"/>
      <c r="P2194" s="108"/>
      <c r="Q2194" s="108"/>
      <c r="R2194" s="108"/>
      <c r="S2194" s="108"/>
      <c r="T2194" s="108"/>
      <c r="U2194" s="108"/>
      <c r="V2194" s="108"/>
      <c r="W2194" s="108"/>
      <c r="X2194" s="108"/>
    </row>
    <row r="2195" spans="1:24">
      <c r="A2195" s="107"/>
      <c r="B2195" s="107"/>
      <c r="C2195" s="107"/>
      <c r="D2195" s="107"/>
      <c r="E2195" s="107"/>
      <c r="F2195" s="107"/>
      <c r="G2195" s="108"/>
      <c r="H2195" s="107"/>
      <c r="I2195" s="108"/>
      <c r="J2195" s="108"/>
      <c r="K2195" s="108"/>
      <c r="L2195" s="108"/>
      <c r="M2195" s="108"/>
      <c r="N2195" s="108"/>
      <c r="O2195" s="108"/>
      <c r="P2195" s="108"/>
      <c r="Q2195" s="108"/>
      <c r="R2195" s="108"/>
      <c r="S2195" s="108"/>
      <c r="T2195" s="108"/>
      <c r="U2195" s="108"/>
      <c r="V2195" s="108"/>
      <c r="W2195" s="108"/>
      <c r="X2195" s="108"/>
    </row>
    <row r="2196" spans="1:24">
      <c r="A2196" s="107"/>
      <c r="B2196" s="107"/>
      <c r="C2196" s="107"/>
      <c r="D2196" s="107"/>
      <c r="E2196" s="107"/>
      <c r="F2196" s="107"/>
      <c r="G2196" s="108"/>
      <c r="H2196" s="107"/>
      <c r="I2196" s="108"/>
      <c r="J2196" s="108"/>
      <c r="K2196" s="108"/>
      <c r="L2196" s="108"/>
      <c r="M2196" s="108"/>
      <c r="N2196" s="108"/>
      <c r="O2196" s="108"/>
      <c r="P2196" s="108"/>
      <c r="Q2196" s="108"/>
      <c r="R2196" s="108"/>
      <c r="S2196" s="108"/>
      <c r="T2196" s="108"/>
      <c r="U2196" s="108"/>
      <c r="V2196" s="108"/>
      <c r="W2196" s="108"/>
      <c r="X2196" s="108"/>
    </row>
    <row r="2197" spans="1:24">
      <c r="A2197" s="107"/>
      <c r="B2197" s="107"/>
      <c r="C2197" s="107"/>
      <c r="D2197" s="107"/>
      <c r="E2197" s="107"/>
      <c r="F2197" s="107"/>
      <c r="G2197" s="108"/>
      <c r="H2197" s="107"/>
      <c r="I2197" s="108"/>
      <c r="J2197" s="108"/>
      <c r="K2197" s="108"/>
      <c r="L2197" s="108"/>
      <c r="M2197" s="108"/>
      <c r="N2197" s="108"/>
      <c r="O2197" s="108"/>
      <c r="P2197" s="108"/>
      <c r="Q2197" s="108"/>
      <c r="R2197" s="108"/>
      <c r="S2197" s="108"/>
      <c r="T2197" s="108"/>
      <c r="U2197" s="108"/>
      <c r="V2197" s="108"/>
      <c r="W2197" s="108"/>
      <c r="X2197" s="108"/>
    </row>
    <row r="2198" spans="1:24">
      <c r="A2198" s="107"/>
      <c r="B2198" s="107"/>
      <c r="C2198" s="107"/>
      <c r="D2198" s="107"/>
      <c r="E2198" s="107"/>
      <c r="F2198" s="107"/>
      <c r="G2198" s="108"/>
      <c r="H2198" s="107"/>
      <c r="I2198" s="108"/>
      <c r="J2198" s="108"/>
      <c r="K2198" s="108"/>
      <c r="L2198" s="108"/>
      <c r="M2198" s="108"/>
      <c r="N2198" s="108"/>
      <c r="O2198" s="108"/>
      <c r="P2198" s="108"/>
      <c r="Q2198" s="108"/>
      <c r="R2198" s="108"/>
      <c r="S2198" s="108"/>
      <c r="T2198" s="108"/>
      <c r="U2198" s="108"/>
      <c r="V2198" s="108"/>
      <c r="W2198" s="108"/>
      <c r="X2198" s="108"/>
    </row>
    <row r="2199" spans="1:24">
      <c r="A2199" s="107"/>
      <c r="B2199" s="107"/>
      <c r="C2199" s="107"/>
      <c r="D2199" s="107"/>
      <c r="E2199" s="107"/>
      <c r="F2199" s="107"/>
      <c r="G2199" s="108"/>
      <c r="H2199" s="107"/>
      <c r="I2199" s="108"/>
      <c r="J2199" s="108"/>
      <c r="K2199" s="108"/>
      <c r="L2199" s="108"/>
      <c r="M2199" s="108"/>
      <c r="N2199" s="108"/>
      <c r="O2199" s="108"/>
      <c r="P2199" s="108"/>
      <c r="Q2199" s="108"/>
      <c r="R2199" s="108"/>
      <c r="S2199" s="108"/>
      <c r="T2199" s="108"/>
      <c r="U2199" s="108"/>
      <c r="V2199" s="108"/>
      <c r="W2199" s="108"/>
      <c r="X2199" s="108"/>
    </row>
    <row r="2200" spans="1:24">
      <c r="A2200" s="107"/>
      <c r="B2200" s="107"/>
      <c r="C2200" s="107"/>
      <c r="D2200" s="107"/>
      <c r="E2200" s="107"/>
      <c r="F2200" s="107"/>
      <c r="G2200" s="108"/>
      <c r="H2200" s="107"/>
      <c r="I2200" s="108"/>
      <c r="J2200" s="108"/>
      <c r="K2200" s="108"/>
      <c r="L2200" s="108"/>
      <c r="M2200" s="108"/>
      <c r="N2200" s="108"/>
      <c r="O2200" s="108"/>
      <c r="P2200" s="108"/>
      <c r="Q2200" s="108"/>
      <c r="R2200" s="108"/>
      <c r="S2200" s="108"/>
      <c r="T2200" s="108"/>
      <c r="U2200" s="108"/>
      <c r="V2200" s="108"/>
      <c r="W2200" s="108"/>
      <c r="X2200" s="108"/>
    </row>
    <row r="2201" spans="1:24">
      <c r="A2201" s="107"/>
      <c r="B2201" s="107"/>
      <c r="C2201" s="107"/>
      <c r="D2201" s="107"/>
      <c r="E2201" s="107"/>
      <c r="F2201" s="107"/>
      <c r="G2201" s="108"/>
      <c r="H2201" s="107"/>
      <c r="I2201" s="108"/>
      <c r="J2201" s="108"/>
      <c r="K2201" s="108"/>
      <c r="L2201" s="108"/>
      <c r="M2201" s="108"/>
      <c r="N2201" s="108"/>
      <c r="O2201" s="108"/>
      <c r="P2201" s="108"/>
      <c r="Q2201" s="108"/>
      <c r="R2201" s="108"/>
      <c r="S2201" s="108"/>
      <c r="T2201" s="108"/>
      <c r="U2201" s="108"/>
      <c r="V2201" s="108"/>
      <c r="W2201" s="108"/>
      <c r="X2201" s="108"/>
    </row>
    <row r="2202" spans="1:24">
      <c r="A2202" s="107"/>
      <c r="B2202" s="107"/>
      <c r="C2202" s="107"/>
      <c r="D2202" s="107"/>
      <c r="E2202" s="107"/>
      <c r="F2202" s="107"/>
      <c r="G2202" s="108"/>
      <c r="H2202" s="107"/>
      <c r="I2202" s="108"/>
      <c r="J2202" s="108"/>
      <c r="K2202" s="108"/>
      <c r="L2202" s="108"/>
      <c r="M2202" s="108"/>
      <c r="N2202" s="108"/>
      <c r="O2202" s="108"/>
      <c r="P2202" s="108"/>
      <c r="Q2202" s="108"/>
      <c r="R2202" s="108"/>
      <c r="S2202" s="108"/>
      <c r="T2202" s="108"/>
      <c r="U2202" s="108"/>
      <c r="V2202" s="108"/>
      <c r="W2202" s="108"/>
      <c r="X2202" s="108"/>
    </row>
    <row r="2203" spans="1:24">
      <c r="A2203" s="107"/>
      <c r="B2203" s="107"/>
      <c r="C2203" s="107"/>
      <c r="D2203" s="107"/>
      <c r="E2203" s="107"/>
      <c r="F2203" s="107"/>
      <c r="G2203" s="108"/>
      <c r="H2203" s="107"/>
      <c r="I2203" s="108"/>
      <c r="J2203" s="108"/>
      <c r="K2203" s="108"/>
      <c r="L2203" s="108"/>
      <c r="M2203" s="108"/>
      <c r="N2203" s="108"/>
      <c r="O2203" s="108"/>
      <c r="P2203" s="108"/>
      <c r="Q2203" s="108"/>
      <c r="R2203" s="108"/>
      <c r="S2203" s="108"/>
      <c r="T2203" s="108"/>
      <c r="U2203" s="108"/>
      <c r="V2203" s="108"/>
      <c r="W2203" s="108"/>
      <c r="X2203" s="108"/>
    </row>
    <row r="2204" spans="1:24">
      <c r="A2204" s="107"/>
      <c r="B2204" s="107"/>
      <c r="C2204" s="107"/>
      <c r="D2204" s="107"/>
      <c r="E2204" s="107"/>
      <c r="F2204" s="107"/>
      <c r="G2204" s="108"/>
      <c r="H2204" s="107"/>
      <c r="I2204" s="108"/>
      <c r="J2204" s="108"/>
      <c r="K2204" s="108"/>
      <c r="L2204" s="108"/>
      <c r="M2204" s="108"/>
      <c r="N2204" s="108"/>
      <c r="O2204" s="108"/>
      <c r="P2204" s="108"/>
      <c r="Q2204" s="108"/>
      <c r="R2204" s="108"/>
      <c r="S2204" s="108"/>
      <c r="T2204" s="108"/>
      <c r="U2204" s="108"/>
      <c r="V2204" s="108"/>
      <c r="W2204" s="108"/>
      <c r="X2204" s="108"/>
    </row>
    <row r="2205" spans="1:24">
      <c r="A2205" s="107"/>
      <c r="B2205" s="107"/>
      <c r="C2205" s="107"/>
      <c r="D2205" s="107"/>
      <c r="E2205" s="107"/>
      <c r="F2205" s="107"/>
      <c r="G2205" s="108"/>
      <c r="H2205" s="107"/>
      <c r="I2205" s="108"/>
      <c r="J2205" s="108"/>
      <c r="K2205" s="108"/>
      <c r="L2205" s="108"/>
      <c r="M2205" s="108"/>
      <c r="N2205" s="108"/>
      <c r="O2205" s="108"/>
      <c r="P2205" s="108"/>
      <c r="Q2205" s="108"/>
      <c r="R2205" s="108"/>
      <c r="S2205" s="108"/>
      <c r="T2205" s="108"/>
      <c r="U2205" s="108"/>
      <c r="V2205" s="108"/>
      <c r="W2205" s="108"/>
      <c r="X2205" s="108"/>
    </row>
    <row r="2206" spans="1:24">
      <c r="A2206" s="107"/>
      <c r="B2206" s="107"/>
      <c r="C2206" s="107"/>
      <c r="D2206" s="107"/>
      <c r="E2206" s="107"/>
      <c r="F2206" s="107"/>
      <c r="G2206" s="108"/>
      <c r="H2206" s="107"/>
      <c r="I2206" s="108"/>
      <c r="J2206" s="108"/>
      <c r="K2206" s="108"/>
      <c r="L2206" s="108"/>
      <c r="M2206" s="108"/>
      <c r="N2206" s="108"/>
      <c r="O2206" s="108"/>
      <c r="P2206" s="108"/>
      <c r="Q2206" s="108"/>
      <c r="R2206" s="108"/>
      <c r="S2206" s="108"/>
      <c r="T2206" s="108"/>
      <c r="U2206" s="108"/>
      <c r="V2206" s="108"/>
      <c r="W2206" s="108"/>
      <c r="X2206" s="108"/>
    </row>
    <row r="2207" spans="1:24">
      <c r="A2207" s="107"/>
      <c r="B2207" s="107"/>
      <c r="C2207" s="107"/>
      <c r="D2207" s="107"/>
      <c r="E2207" s="107"/>
      <c r="F2207" s="107"/>
      <c r="G2207" s="108"/>
      <c r="H2207" s="107"/>
      <c r="I2207" s="108"/>
      <c r="J2207" s="108"/>
      <c r="K2207" s="108"/>
      <c r="L2207" s="108"/>
      <c r="M2207" s="108"/>
      <c r="N2207" s="108"/>
      <c r="O2207" s="108"/>
      <c r="P2207" s="108"/>
      <c r="Q2207" s="108"/>
      <c r="R2207" s="108"/>
      <c r="S2207" s="108"/>
      <c r="T2207" s="108"/>
      <c r="U2207" s="108"/>
      <c r="V2207" s="108"/>
      <c r="W2207" s="108"/>
      <c r="X2207" s="108"/>
    </row>
    <row r="2208" spans="1:24">
      <c r="A2208" s="107"/>
      <c r="B2208" s="107"/>
      <c r="C2208" s="107"/>
      <c r="D2208" s="107"/>
      <c r="E2208" s="107"/>
      <c r="F2208" s="107"/>
      <c r="G2208" s="108"/>
      <c r="H2208" s="107"/>
      <c r="I2208" s="108"/>
      <c r="J2208" s="108"/>
      <c r="K2208" s="108"/>
      <c r="L2208" s="108"/>
      <c r="M2208" s="108"/>
      <c r="N2208" s="108"/>
      <c r="O2208" s="108"/>
      <c r="P2208" s="108"/>
      <c r="Q2208" s="108"/>
      <c r="R2208" s="108"/>
      <c r="S2208" s="108"/>
      <c r="T2208" s="108"/>
      <c r="U2208" s="108"/>
      <c r="V2208" s="108"/>
      <c r="W2208" s="108"/>
      <c r="X2208" s="108"/>
    </row>
    <row r="2209" spans="1:24">
      <c r="A2209" s="107"/>
      <c r="B2209" s="107"/>
      <c r="C2209" s="107"/>
      <c r="D2209" s="107"/>
      <c r="E2209" s="107"/>
      <c r="F2209" s="107"/>
      <c r="G2209" s="108"/>
      <c r="H2209" s="107"/>
      <c r="I2209" s="108"/>
      <c r="J2209" s="108"/>
      <c r="K2209" s="108"/>
      <c r="L2209" s="108"/>
      <c r="M2209" s="108"/>
      <c r="N2209" s="108"/>
      <c r="O2209" s="108"/>
      <c r="P2209" s="108"/>
      <c r="Q2209" s="108"/>
      <c r="R2209" s="108"/>
      <c r="S2209" s="108"/>
      <c r="T2209" s="108"/>
      <c r="U2209" s="108"/>
      <c r="V2209" s="108"/>
      <c r="W2209" s="108"/>
      <c r="X2209" s="108"/>
    </row>
    <row r="2210" spans="1:24">
      <c r="A2210" s="107"/>
      <c r="B2210" s="107"/>
      <c r="C2210" s="107"/>
      <c r="D2210" s="107"/>
      <c r="E2210" s="107"/>
      <c r="F2210" s="107"/>
      <c r="G2210" s="108"/>
      <c r="H2210" s="107"/>
      <c r="I2210" s="108"/>
      <c r="J2210" s="108"/>
      <c r="K2210" s="108"/>
      <c r="L2210" s="108"/>
      <c r="M2210" s="108"/>
      <c r="N2210" s="108"/>
      <c r="O2210" s="108"/>
      <c r="P2210" s="108"/>
      <c r="Q2210" s="108"/>
      <c r="R2210" s="108"/>
      <c r="S2210" s="108"/>
      <c r="T2210" s="108"/>
      <c r="U2210" s="108"/>
      <c r="V2210" s="108"/>
      <c r="W2210" s="108"/>
      <c r="X2210" s="108"/>
    </row>
    <row r="2211" spans="1:24">
      <c r="A2211" s="107"/>
      <c r="B2211" s="107"/>
      <c r="C2211" s="107"/>
      <c r="D2211" s="107"/>
      <c r="E2211" s="107"/>
      <c r="F2211" s="107"/>
      <c r="G2211" s="108"/>
      <c r="H2211" s="107"/>
      <c r="I2211" s="108"/>
      <c r="J2211" s="108"/>
      <c r="K2211" s="108"/>
      <c r="L2211" s="108"/>
      <c r="M2211" s="108"/>
      <c r="N2211" s="108"/>
      <c r="O2211" s="108"/>
      <c r="P2211" s="108"/>
      <c r="Q2211" s="108"/>
      <c r="R2211" s="108"/>
      <c r="S2211" s="108"/>
      <c r="T2211" s="108"/>
      <c r="U2211" s="108"/>
      <c r="V2211" s="108"/>
      <c r="W2211" s="108"/>
      <c r="X2211" s="108"/>
    </row>
    <row r="2212" spans="1:24">
      <c r="A2212" s="107"/>
      <c r="B2212" s="107"/>
      <c r="C2212" s="107"/>
      <c r="D2212" s="107"/>
      <c r="E2212" s="107"/>
      <c r="F2212" s="107"/>
      <c r="G2212" s="108"/>
      <c r="H2212" s="107"/>
      <c r="I2212" s="108"/>
      <c r="J2212" s="108"/>
      <c r="K2212" s="108"/>
      <c r="L2212" s="108"/>
      <c r="M2212" s="108"/>
      <c r="N2212" s="108"/>
      <c r="O2212" s="108"/>
      <c r="P2212" s="108"/>
      <c r="Q2212" s="108"/>
      <c r="R2212" s="108"/>
      <c r="S2212" s="108"/>
      <c r="T2212" s="108"/>
      <c r="U2212" s="108"/>
      <c r="V2212" s="108"/>
      <c r="W2212" s="108"/>
      <c r="X2212" s="108"/>
    </row>
    <row r="2213" spans="1:24">
      <c r="A2213" s="107"/>
      <c r="B2213" s="107"/>
      <c r="C2213" s="107"/>
      <c r="D2213" s="107"/>
      <c r="E2213" s="107"/>
      <c r="F2213" s="107"/>
      <c r="G2213" s="108"/>
      <c r="H2213" s="107"/>
      <c r="I2213" s="108"/>
      <c r="J2213" s="108"/>
      <c r="K2213" s="108"/>
      <c r="L2213" s="108"/>
      <c r="M2213" s="108"/>
      <c r="N2213" s="108"/>
      <c r="O2213" s="108"/>
      <c r="P2213" s="108"/>
      <c r="Q2213" s="108"/>
      <c r="R2213" s="108"/>
      <c r="S2213" s="108"/>
      <c r="T2213" s="108"/>
      <c r="U2213" s="108"/>
      <c r="V2213" s="108"/>
      <c r="W2213" s="108"/>
      <c r="X2213" s="108"/>
    </row>
    <row r="2214" spans="1:24">
      <c r="A2214" s="107"/>
      <c r="B2214" s="107"/>
      <c r="C2214" s="107"/>
      <c r="D2214" s="107"/>
      <c r="E2214" s="107"/>
      <c r="F2214" s="107"/>
      <c r="G2214" s="108"/>
      <c r="H2214" s="107"/>
      <c r="I2214" s="108"/>
      <c r="J2214" s="108"/>
      <c r="K2214" s="108"/>
      <c r="L2214" s="108"/>
      <c r="M2214" s="108"/>
      <c r="N2214" s="108"/>
      <c r="O2214" s="108"/>
      <c r="P2214" s="108"/>
      <c r="Q2214" s="108"/>
      <c r="R2214" s="108"/>
      <c r="S2214" s="108"/>
      <c r="T2214" s="108"/>
      <c r="U2214" s="108"/>
      <c r="V2214" s="108"/>
      <c r="W2214" s="108"/>
      <c r="X2214" s="108"/>
    </row>
    <row r="2215" spans="1:24">
      <c r="A2215" s="107"/>
      <c r="B2215" s="107"/>
      <c r="C2215" s="107"/>
      <c r="D2215" s="107"/>
      <c r="E2215" s="107"/>
      <c r="F2215" s="107"/>
      <c r="G2215" s="108"/>
      <c r="H2215" s="107"/>
      <c r="I2215" s="108"/>
      <c r="J2215" s="108"/>
      <c r="K2215" s="108"/>
      <c r="L2215" s="108"/>
      <c r="M2215" s="108"/>
      <c r="N2215" s="108"/>
      <c r="O2215" s="108"/>
      <c r="P2215" s="108"/>
      <c r="Q2215" s="108"/>
      <c r="R2215" s="108"/>
      <c r="S2215" s="108"/>
      <c r="T2215" s="108"/>
      <c r="U2215" s="108"/>
      <c r="V2215" s="108"/>
      <c r="W2215" s="108"/>
      <c r="X2215" s="108"/>
    </row>
    <row r="2216" spans="1:24">
      <c r="A2216" s="107"/>
      <c r="B2216" s="107"/>
      <c r="C2216" s="107"/>
      <c r="D2216" s="107"/>
      <c r="E2216" s="107"/>
      <c r="F2216" s="107"/>
      <c r="G2216" s="108"/>
      <c r="H2216" s="107"/>
      <c r="I2216" s="108"/>
      <c r="J2216" s="108"/>
      <c r="K2216" s="108"/>
      <c r="L2216" s="108"/>
      <c r="M2216" s="108"/>
      <c r="N2216" s="108"/>
      <c r="O2216" s="108"/>
      <c r="P2216" s="108"/>
      <c r="Q2216" s="108"/>
      <c r="R2216" s="108"/>
      <c r="S2216" s="108"/>
      <c r="T2216" s="108"/>
      <c r="U2216" s="108"/>
      <c r="V2216" s="108"/>
      <c r="W2216" s="108"/>
      <c r="X2216" s="108"/>
    </row>
    <row r="2217" spans="1:24">
      <c r="A2217" s="107"/>
      <c r="B2217" s="107"/>
      <c r="C2217" s="107"/>
      <c r="D2217" s="107"/>
      <c r="E2217" s="107"/>
      <c r="F2217" s="107"/>
      <c r="G2217" s="108"/>
      <c r="H2217" s="107"/>
      <c r="I2217" s="108"/>
      <c r="J2217" s="108"/>
      <c r="K2217" s="108"/>
      <c r="L2217" s="108"/>
      <c r="M2217" s="108"/>
      <c r="N2217" s="108"/>
      <c r="O2217" s="108"/>
      <c r="P2217" s="108"/>
      <c r="Q2217" s="108"/>
      <c r="R2217" s="108"/>
      <c r="S2217" s="108"/>
      <c r="T2217" s="108"/>
      <c r="U2217" s="108"/>
      <c r="V2217" s="108"/>
      <c r="W2217" s="108"/>
      <c r="X2217" s="108"/>
    </row>
    <row r="2218" spans="1:24">
      <c r="A2218" s="107"/>
      <c r="B2218" s="107"/>
      <c r="C2218" s="107"/>
      <c r="D2218" s="107"/>
      <c r="E2218" s="107"/>
      <c r="F2218" s="107"/>
      <c r="G2218" s="108"/>
      <c r="H2218" s="107"/>
      <c r="I2218" s="108"/>
      <c r="J2218" s="108"/>
      <c r="K2218" s="108"/>
      <c r="L2218" s="108"/>
      <c r="M2218" s="108"/>
      <c r="N2218" s="108"/>
      <c r="O2218" s="108"/>
      <c r="P2218" s="108"/>
      <c r="Q2218" s="108"/>
      <c r="R2218" s="108"/>
      <c r="S2218" s="108"/>
      <c r="T2218" s="108"/>
      <c r="U2218" s="108"/>
      <c r="V2218" s="108"/>
      <c r="W2218" s="108"/>
      <c r="X2218" s="108"/>
    </row>
    <row r="2219" spans="1:24">
      <c r="A2219" s="107"/>
      <c r="B2219" s="107"/>
      <c r="C2219" s="107"/>
      <c r="D2219" s="107"/>
      <c r="E2219" s="107"/>
      <c r="F2219" s="107"/>
      <c r="G2219" s="108"/>
      <c r="H2219" s="107"/>
      <c r="I2219" s="108"/>
      <c r="J2219" s="108"/>
      <c r="K2219" s="108"/>
      <c r="L2219" s="108"/>
      <c r="M2219" s="108"/>
      <c r="N2219" s="108"/>
      <c r="O2219" s="108"/>
      <c r="P2219" s="108"/>
      <c r="Q2219" s="108"/>
      <c r="R2219" s="108"/>
      <c r="S2219" s="108"/>
      <c r="T2219" s="108"/>
      <c r="U2219" s="108"/>
      <c r="V2219" s="108"/>
      <c r="W2219" s="108"/>
      <c r="X2219" s="108"/>
    </row>
    <row r="2220" spans="1:24">
      <c r="A2220" s="107"/>
      <c r="B2220" s="107"/>
      <c r="C2220" s="107"/>
      <c r="D2220" s="107"/>
      <c r="E2220" s="107"/>
      <c r="F2220" s="107"/>
      <c r="G2220" s="108"/>
      <c r="H2220" s="107"/>
      <c r="I2220" s="108"/>
      <c r="J2220" s="108"/>
      <c r="K2220" s="108"/>
      <c r="L2220" s="108"/>
      <c r="M2220" s="108"/>
      <c r="N2220" s="108"/>
      <c r="O2220" s="108"/>
      <c r="P2220" s="108"/>
      <c r="Q2220" s="108"/>
      <c r="R2220" s="108"/>
      <c r="S2220" s="108"/>
      <c r="T2220" s="108"/>
      <c r="U2220" s="108"/>
      <c r="V2220" s="108"/>
      <c r="W2220" s="108"/>
      <c r="X2220" s="108"/>
    </row>
    <row r="2221" spans="1:24">
      <c r="A2221" s="107"/>
      <c r="B2221" s="107"/>
      <c r="C2221" s="107"/>
      <c r="D2221" s="107"/>
      <c r="E2221" s="107"/>
      <c r="F2221" s="107"/>
      <c r="G2221" s="108"/>
      <c r="H2221" s="107"/>
      <c r="I2221" s="108"/>
      <c r="J2221" s="108"/>
      <c r="K2221" s="108"/>
      <c r="L2221" s="108"/>
      <c r="M2221" s="108"/>
      <c r="N2221" s="108"/>
      <c r="O2221" s="108"/>
      <c r="P2221" s="108"/>
      <c r="Q2221" s="108"/>
      <c r="R2221" s="108"/>
      <c r="S2221" s="108"/>
      <c r="T2221" s="108"/>
      <c r="U2221" s="108"/>
      <c r="V2221" s="108"/>
      <c r="W2221" s="108"/>
      <c r="X2221" s="108"/>
    </row>
    <row r="2222" spans="1:24">
      <c r="A2222" s="107"/>
      <c r="B2222" s="107"/>
      <c r="C2222" s="107"/>
      <c r="D2222" s="107"/>
      <c r="E2222" s="107"/>
      <c r="F2222" s="107"/>
      <c r="G2222" s="108"/>
      <c r="H2222" s="107"/>
      <c r="I2222" s="108"/>
      <c r="J2222" s="108"/>
      <c r="K2222" s="108"/>
      <c r="L2222" s="108"/>
      <c r="M2222" s="108"/>
      <c r="N2222" s="108"/>
      <c r="O2222" s="108"/>
      <c r="P2222" s="108"/>
      <c r="Q2222" s="108"/>
      <c r="R2222" s="108"/>
      <c r="S2222" s="108"/>
      <c r="T2222" s="108"/>
      <c r="U2222" s="108"/>
      <c r="V2222" s="108"/>
      <c r="W2222" s="108"/>
      <c r="X2222" s="108"/>
    </row>
    <row r="2223" spans="1:24">
      <c r="A2223" s="107"/>
      <c r="B2223" s="107"/>
      <c r="C2223" s="107"/>
      <c r="D2223" s="107"/>
      <c r="E2223" s="107"/>
      <c r="F2223" s="107"/>
      <c r="G2223" s="108"/>
      <c r="H2223" s="107"/>
      <c r="I2223" s="108"/>
      <c r="J2223" s="108"/>
      <c r="K2223" s="108"/>
      <c r="L2223" s="108"/>
      <c r="M2223" s="108"/>
      <c r="N2223" s="108"/>
      <c r="O2223" s="108"/>
      <c r="P2223" s="108"/>
      <c r="Q2223" s="108"/>
      <c r="R2223" s="108"/>
      <c r="S2223" s="108"/>
      <c r="T2223" s="108"/>
      <c r="U2223" s="108"/>
      <c r="V2223" s="108"/>
      <c r="W2223" s="108"/>
      <c r="X2223" s="108"/>
    </row>
    <row r="2224" spans="1:24">
      <c r="A2224" s="107"/>
      <c r="B2224" s="107"/>
      <c r="C2224" s="107"/>
      <c r="D2224" s="107"/>
      <c r="E2224" s="107"/>
      <c r="F2224" s="107"/>
      <c r="G2224" s="108"/>
      <c r="H2224" s="107"/>
      <c r="I2224" s="108"/>
      <c r="J2224" s="108"/>
      <c r="K2224" s="108"/>
      <c r="L2224" s="108"/>
      <c r="M2224" s="108"/>
      <c r="N2224" s="108"/>
      <c r="O2224" s="108"/>
      <c r="P2224" s="108"/>
      <c r="Q2224" s="108"/>
      <c r="R2224" s="108"/>
      <c r="S2224" s="108"/>
      <c r="T2224" s="108"/>
      <c r="U2224" s="108"/>
      <c r="V2224" s="108"/>
      <c r="W2224" s="108"/>
      <c r="X2224" s="108"/>
    </row>
    <row r="2225" spans="1:24">
      <c r="A2225" s="107"/>
      <c r="B2225" s="107"/>
      <c r="C2225" s="107"/>
      <c r="D2225" s="107"/>
      <c r="E2225" s="107"/>
      <c r="F2225" s="107"/>
      <c r="G2225" s="108"/>
      <c r="H2225" s="107"/>
      <c r="I2225" s="108"/>
      <c r="J2225" s="108"/>
      <c r="K2225" s="108"/>
      <c r="L2225" s="108"/>
      <c r="M2225" s="108"/>
      <c r="N2225" s="108"/>
      <c r="O2225" s="108"/>
      <c r="P2225" s="108"/>
      <c r="Q2225" s="108"/>
      <c r="R2225" s="108"/>
      <c r="S2225" s="108"/>
      <c r="T2225" s="108"/>
      <c r="U2225" s="108"/>
      <c r="V2225" s="108"/>
      <c r="W2225" s="108"/>
      <c r="X2225" s="108"/>
    </row>
    <row r="2226" spans="1:24">
      <c r="A2226" s="107"/>
      <c r="B2226" s="107"/>
      <c r="C2226" s="107"/>
      <c r="D2226" s="107"/>
      <c r="E2226" s="107"/>
      <c r="F2226" s="107"/>
      <c r="G2226" s="108"/>
      <c r="H2226" s="107"/>
      <c r="I2226" s="108"/>
      <c r="J2226" s="108"/>
      <c r="K2226" s="108"/>
      <c r="L2226" s="108"/>
      <c r="M2226" s="108"/>
      <c r="N2226" s="108"/>
      <c r="O2226" s="108"/>
      <c r="P2226" s="108"/>
      <c r="Q2226" s="108"/>
      <c r="R2226" s="108"/>
      <c r="S2226" s="108"/>
      <c r="T2226" s="108"/>
      <c r="U2226" s="108"/>
      <c r="V2226" s="108"/>
      <c r="W2226" s="108"/>
      <c r="X2226" s="108"/>
    </row>
    <row r="2227" spans="1:24">
      <c r="A2227" s="107"/>
      <c r="B2227" s="107"/>
      <c r="C2227" s="107"/>
      <c r="D2227" s="107"/>
      <c r="E2227" s="107"/>
      <c r="F2227" s="107"/>
      <c r="G2227" s="108"/>
      <c r="H2227" s="107"/>
      <c r="I2227" s="108"/>
      <c r="J2227" s="108"/>
      <c r="K2227" s="108"/>
      <c r="L2227" s="108"/>
      <c r="M2227" s="108"/>
      <c r="N2227" s="108"/>
      <c r="O2227" s="108"/>
      <c r="P2227" s="108"/>
      <c r="Q2227" s="108"/>
      <c r="R2227" s="108"/>
      <c r="S2227" s="108"/>
      <c r="T2227" s="108"/>
      <c r="U2227" s="108"/>
      <c r="V2227" s="108"/>
      <c r="W2227" s="108"/>
      <c r="X2227" s="108"/>
    </row>
    <row r="2228" spans="1:24">
      <c r="A2228" s="107"/>
      <c r="B2228" s="107"/>
      <c r="C2228" s="107"/>
      <c r="D2228" s="107"/>
      <c r="E2228" s="107"/>
      <c r="F2228" s="107"/>
      <c r="G2228" s="108"/>
      <c r="H2228" s="107"/>
      <c r="I2228" s="108"/>
      <c r="J2228" s="108"/>
      <c r="K2228" s="108"/>
      <c r="L2228" s="108"/>
      <c r="M2228" s="108"/>
      <c r="N2228" s="108"/>
      <c r="O2228" s="108"/>
      <c r="P2228" s="108"/>
      <c r="Q2228" s="108"/>
      <c r="R2228" s="108"/>
      <c r="S2228" s="108"/>
      <c r="T2228" s="108"/>
      <c r="U2228" s="108"/>
      <c r="V2228" s="108"/>
      <c r="W2228" s="108"/>
      <c r="X2228" s="108"/>
    </row>
    <row r="2229" spans="1:24">
      <c r="A2229" s="107"/>
      <c r="B2229" s="107"/>
      <c r="C2229" s="107"/>
      <c r="D2229" s="107"/>
      <c r="E2229" s="107"/>
      <c r="F2229" s="107"/>
      <c r="G2229" s="108"/>
      <c r="H2229" s="107"/>
      <c r="I2229" s="108"/>
      <c r="J2229" s="108"/>
      <c r="K2229" s="108"/>
      <c r="L2229" s="108"/>
      <c r="M2229" s="108"/>
      <c r="N2229" s="108"/>
      <c r="O2229" s="108"/>
      <c r="P2229" s="108"/>
      <c r="Q2229" s="108"/>
      <c r="R2229" s="108"/>
      <c r="S2229" s="108"/>
      <c r="T2229" s="108"/>
      <c r="U2229" s="108"/>
      <c r="V2229" s="108"/>
      <c r="W2229" s="108"/>
      <c r="X2229" s="108"/>
    </row>
    <row r="2230" spans="1:24">
      <c r="A2230" s="107"/>
      <c r="B2230" s="107"/>
      <c r="C2230" s="107"/>
      <c r="D2230" s="107"/>
      <c r="E2230" s="107"/>
      <c r="F2230" s="107"/>
      <c r="G2230" s="108"/>
      <c r="H2230" s="107"/>
      <c r="I2230" s="108"/>
      <c r="J2230" s="108"/>
      <c r="K2230" s="108"/>
      <c r="L2230" s="108"/>
      <c r="M2230" s="108"/>
      <c r="N2230" s="108"/>
      <c r="O2230" s="108"/>
      <c r="P2230" s="108"/>
      <c r="Q2230" s="108"/>
      <c r="R2230" s="108"/>
      <c r="S2230" s="108"/>
      <c r="T2230" s="108"/>
      <c r="U2230" s="108"/>
      <c r="V2230" s="108"/>
      <c r="W2230" s="108"/>
      <c r="X2230" s="108"/>
    </row>
    <row r="2231" spans="1:24">
      <c r="A2231" s="107"/>
      <c r="B2231" s="107"/>
      <c r="C2231" s="107"/>
      <c r="D2231" s="107"/>
      <c r="E2231" s="107"/>
      <c r="F2231" s="107"/>
      <c r="G2231" s="108"/>
      <c r="H2231" s="107"/>
      <c r="I2231" s="108"/>
      <c r="J2231" s="108"/>
      <c r="K2231" s="108"/>
      <c r="L2231" s="108"/>
      <c r="M2231" s="108"/>
      <c r="N2231" s="108"/>
      <c r="O2231" s="108"/>
      <c r="P2231" s="108"/>
      <c r="Q2231" s="108"/>
      <c r="R2231" s="108"/>
      <c r="S2231" s="108"/>
      <c r="T2231" s="108"/>
      <c r="U2231" s="108"/>
      <c r="V2231" s="108"/>
      <c r="W2231" s="108"/>
      <c r="X2231" s="108"/>
    </row>
    <row r="2232" spans="1:24">
      <c r="A2232" s="107"/>
      <c r="B2232" s="107"/>
      <c r="C2232" s="107"/>
      <c r="D2232" s="107"/>
      <c r="E2232" s="107"/>
      <c r="F2232" s="107"/>
      <c r="G2232" s="108"/>
      <c r="H2232" s="107"/>
      <c r="I2232" s="108"/>
      <c r="J2232" s="108"/>
      <c r="K2232" s="108"/>
      <c r="L2232" s="108"/>
      <c r="M2232" s="108"/>
      <c r="N2232" s="108"/>
      <c r="O2232" s="108"/>
      <c r="P2232" s="108"/>
      <c r="Q2232" s="108"/>
      <c r="R2232" s="108"/>
      <c r="S2232" s="108"/>
      <c r="T2232" s="108"/>
      <c r="U2232" s="108"/>
      <c r="V2232" s="108"/>
      <c r="W2232" s="108"/>
      <c r="X2232" s="108"/>
    </row>
    <row r="2233" spans="1:24">
      <c r="A2233" s="107"/>
      <c r="B2233" s="107"/>
      <c r="C2233" s="107"/>
      <c r="D2233" s="107"/>
      <c r="E2233" s="107"/>
      <c r="F2233" s="107"/>
      <c r="G2233" s="108"/>
      <c r="H2233" s="107"/>
      <c r="I2233" s="108"/>
      <c r="J2233" s="108"/>
      <c r="K2233" s="108"/>
      <c r="L2233" s="108"/>
      <c r="M2233" s="108"/>
      <c r="N2233" s="108"/>
      <c r="O2233" s="108"/>
      <c r="P2233" s="108"/>
      <c r="Q2233" s="108"/>
      <c r="R2233" s="108"/>
      <c r="S2233" s="108"/>
      <c r="T2233" s="108"/>
      <c r="U2233" s="108"/>
      <c r="V2233" s="108"/>
      <c r="W2233" s="108"/>
      <c r="X2233" s="108"/>
    </row>
    <row r="2234" spans="1:24">
      <c r="A2234" s="107"/>
      <c r="B2234" s="107"/>
      <c r="C2234" s="107"/>
      <c r="D2234" s="107"/>
      <c r="E2234" s="107"/>
      <c r="F2234" s="107"/>
      <c r="G2234" s="108"/>
      <c r="H2234" s="107"/>
      <c r="I2234" s="108"/>
      <c r="J2234" s="108"/>
      <c r="K2234" s="108"/>
      <c r="L2234" s="108"/>
      <c r="M2234" s="108"/>
      <c r="N2234" s="108"/>
      <c r="O2234" s="108"/>
      <c r="P2234" s="108"/>
      <c r="Q2234" s="108"/>
      <c r="R2234" s="108"/>
      <c r="S2234" s="108"/>
      <c r="T2234" s="108"/>
      <c r="U2234" s="108"/>
      <c r="V2234" s="108"/>
      <c r="W2234" s="108"/>
      <c r="X2234" s="108"/>
    </row>
    <row r="2235" spans="1:24">
      <c r="A2235" s="107"/>
      <c r="B2235" s="107"/>
      <c r="C2235" s="107"/>
      <c r="D2235" s="107"/>
      <c r="E2235" s="107"/>
      <c r="F2235" s="107"/>
      <c r="G2235" s="108"/>
      <c r="H2235" s="107"/>
      <c r="I2235" s="108"/>
      <c r="J2235" s="108"/>
      <c r="K2235" s="108"/>
      <c r="L2235" s="108"/>
      <c r="M2235" s="108"/>
      <c r="N2235" s="108"/>
      <c r="O2235" s="108"/>
      <c r="P2235" s="108"/>
      <c r="Q2235" s="108"/>
      <c r="R2235" s="108"/>
      <c r="S2235" s="108"/>
      <c r="T2235" s="108"/>
      <c r="U2235" s="108"/>
      <c r="V2235" s="108"/>
      <c r="W2235" s="108"/>
      <c r="X2235" s="108"/>
    </row>
    <row r="2236" spans="1:24">
      <c r="A2236" s="107"/>
      <c r="B2236" s="107"/>
      <c r="C2236" s="107"/>
      <c r="D2236" s="107"/>
      <c r="E2236" s="107"/>
      <c r="F2236" s="107"/>
      <c r="G2236" s="108"/>
      <c r="H2236" s="107"/>
      <c r="I2236" s="108"/>
      <c r="J2236" s="108"/>
      <c r="K2236" s="108"/>
      <c r="L2236" s="108"/>
      <c r="M2236" s="108"/>
      <c r="N2236" s="108"/>
      <c r="O2236" s="108"/>
      <c r="P2236" s="108"/>
      <c r="Q2236" s="108"/>
      <c r="R2236" s="108"/>
      <c r="S2236" s="108"/>
      <c r="T2236" s="108"/>
      <c r="U2236" s="108"/>
      <c r="V2236" s="108"/>
      <c r="W2236" s="108"/>
      <c r="X2236" s="108"/>
    </row>
    <row r="2237" spans="1:24">
      <c r="A2237" s="107"/>
      <c r="B2237" s="107"/>
      <c r="C2237" s="107"/>
      <c r="D2237" s="107"/>
      <c r="E2237" s="107"/>
      <c r="F2237" s="107"/>
      <c r="G2237" s="108"/>
      <c r="H2237" s="107"/>
      <c r="I2237" s="108"/>
      <c r="J2237" s="108"/>
      <c r="K2237" s="108"/>
      <c r="L2237" s="108"/>
      <c r="M2237" s="108"/>
      <c r="N2237" s="108"/>
      <c r="O2237" s="108"/>
      <c r="P2237" s="108"/>
      <c r="Q2237" s="108"/>
      <c r="R2237" s="108"/>
      <c r="S2237" s="108"/>
      <c r="T2237" s="108"/>
      <c r="U2237" s="108"/>
      <c r="V2237" s="108"/>
      <c r="W2237" s="108"/>
      <c r="X2237" s="108"/>
    </row>
    <row r="2238" spans="1:24">
      <c r="A2238" s="107"/>
      <c r="B2238" s="107"/>
      <c r="C2238" s="107"/>
      <c r="D2238" s="107"/>
      <c r="E2238" s="107"/>
      <c r="F2238" s="107"/>
      <c r="G2238" s="108"/>
      <c r="H2238" s="107"/>
      <c r="I2238" s="108"/>
      <c r="J2238" s="108"/>
      <c r="K2238" s="108"/>
      <c r="L2238" s="108"/>
      <c r="M2238" s="108"/>
      <c r="N2238" s="108"/>
      <c r="O2238" s="108"/>
      <c r="P2238" s="108"/>
      <c r="Q2238" s="108"/>
      <c r="R2238" s="108"/>
      <c r="S2238" s="108"/>
      <c r="T2238" s="108"/>
      <c r="U2238" s="108"/>
      <c r="V2238" s="108"/>
      <c r="W2238" s="108"/>
      <c r="X2238" s="108"/>
    </row>
    <row r="2239" spans="1:24">
      <c r="A2239" s="107"/>
      <c r="B2239" s="107"/>
      <c r="C2239" s="107"/>
      <c r="D2239" s="107"/>
      <c r="E2239" s="107"/>
      <c r="F2239" s="107"/>
      <c r="G2239" s="108"/>
      <c r="H2239" s="107"/>
      <c r="I2239" s="108"/>
      <c r="J2239" s="108"/>
      <c r="K2239" s="108"/>
      <c r="L2239" s="108"/>
      <c r="M2239" s="108"/>
      <c r="N2239" s="108"/>
      <c r="O2239" s="108"/>
      <c r="P2239" s="108"/>
      <c r="Q2239" s="108"/>
      <c r="R2239" s="108"/>
      <c r="S2239" s="108"/>
      <c r="T2239" s="108"/>
      <c r="U2239" s="108"/>
      <c r="V2239" s="108"/>
      <c r="W2239" s="108"/>
      <c r="X2239" s="108"/>
    </row>
    <row r="2240" spans="1:24">
      <c r="A2240" s="107"/>
      <c r="B2240" s="107"/>
      <c r="C2240" s="107"/>
      <c r="D2240" s="107"/>
      <c r="E2240" s="107"/>
      <c r="F2240" s="107"/>
      <c r="G2240" s="108"/>
      <c r="H2240" s="107"/>
      <c r="I2240" s="108"/>
      <c r="J2240" s="108"/>
      <c r="K2240" s="108"/>
      <c r="L2240" s="108"/>
      <c r="M2240" s="108"/>
      <c r="N2240" s="108"/>
      <c r="O2240" s="108"/>
      <c r="P2240" s="108"/>
      <c r="Q2240" s="108"/>
      <c r="R2240" s="108"/>
      <c r="S2240" s="108"/>
      <c r="T2240" s="108"/>
      <c r="U2240" s="108"/>
      <c r="V2240" s="108"/>
      <c r="W2240" s="108"/>
      <c r="X2240" s="108"/>
    </row>
    <row r="2241" spans="1:24">
      <c r="A2241" s="107"/>
      <c r="B2241" s="107"/>
      <c r="C2241" s="107"/>
      <c r="D2241" s="107"/>
      <c r="E2241" s="107"/>
      <c r="F2241" s="107"/>
      <c r="G2241" s="108"/>
      <c r="H2241" s="107"/>
      <c r="I2241" s="108"/>
      <c r="J2241" s="108"/>
      <c r="K2241" s="108"/>
      <c r="L2241" s="108"/>
      <c r="M2241" s="108"/>
      <c r="N2241" s="108"/>
      <c r="O2241" s="108"/>
      <c r="P2241" s="108"/>
      <c r="Q2241" s="108"/>
      <c r="R2241" s="108"/>
      <c r="S2241" s="108"/>
      <c r="T2241" s="108"/>
      <c r="U2241" s="108"/>
      <c r="V2241" s="108"/>
      <c r="W2241" s="108"/>
      <c r="X2241" s="108"/>
    </row>
    <row r="2242" spans="1:24">
      <c r="A2242" s="107"/>
      <c r="B2242" s="107"/>
      <c r="C2242" s="107"/>
      <c r="D2242" s="107"/>
      <c r="E2242" s="107"/>
      <c r="F2242" s="107"/>
      <c r="G2242" s="108"/>
      <c r="H2242" s="107"/>
      <c r="I2242" s="108"/>
      <c r="J2242" s="108"/>
      <c r="K2242" s="108"/>
      <c r="L2242" s="108"/>
      <c r="M2242" s="108"/>
      <c r="N2242" s="108"/>
      <c r="O2242" s="108"/>
      <c r="P2242" s="108"/>
      <c r="Q2242" s="108"/>
      <c r="R2242" s="108"/>
      <c r="S2242" s="108"/>
      <c r="T2242" s="108"/>
      <c r="U2242" s="108"/>
      <c r="V2242" s="108"/>
      <c r="W2242" s="108"/>
      <c r="X2242" s="108"/>
    </row>
    <row r="2243" spans="1:24">
      <c r="A2243" s="107"/>
      <c r="B2243" s="107"/>
      <c r="C2243" s="107"/>
      <c r="D2243" s="107"/>
      <c r="E2243" s="107"/>
      <c r="F2243" s="107"/>
      <c r="G2243" s="108"/>
      <c r="H2243" s="107"/>
      <c r="I2243" s="108"/>
      <c r="J2243" s="108"/>
      <c r="K2243" s="108"/>
      <c r="L2243" s="108"/>
      <c r="M2243" s="108"/>
      <c r="N2243" s="108"/>
      <c r="O2243" s="108"/>
      <c r="P2243" s="108"/>
      <c r="Q2243" s="108"/>
      <c r="R2243" s="108"/>
      <c r="S2243" s="108"/>
      <c r="T2243" s="108"/>
      <c r="U2243" s="108"/>
      <c r="V2243" s="108"/>
      <c r="W2243" s="108"/>
      <c r="X2243" s="108"/>
    </row>
    <row r="2244" spans="1:24">
      <c r="A2244" s="107"/>
      <c r="B2244" s="107"/>
      <c r="C2244" s="107"/>
      <c r="D2244" s="107"/>
      <c r="E2244" s="107"/>
      <c r="F2244" s="107"/>
      <c r="G2244" s="108"/>
      <c r="H2244" s="107"/>
      <c r="I2244" s="108"/>
      <c r="J2244" s="108"/>
      <c r="K2244" s="108"/>
      <c r="L2244" s="108"/>
      <c r="M2244" s="108"/>
      <c r="N2244" s="108"/>
      <c r="O2244" s="108"/>
      <c r="P2244" s="108"/>
      <c r="Q2244" s="108"/>
      <c r="R2244" s="108"/>
      <c r="S2244" s="108"/>
      <c r="T2244" s="108"/>
      <c r="U2244" s="108"/>
      <c r="V2244" s="108"/>
      <c r="W2244" s="108"/>
      <c r="X2244" s="108"/>
    </row>
    <row r="2245" spans="1:24">
      <c r="A2245" s="107"/>
      <c r="B2245" s="107"/>
      <c r="C2245" s="107"/>
      <c r="D2245" s="107"/>
      <c r="E2245" s="107"/>
      <c r="F2245" s="107"/>
      <c r="G2245" s="108"/>
      <c r="H2245" s="107"/>
      <c r="I2245" s="108"/>
      <c r="J2245" s="108"/>
      <c r="K2245" s="108"/>
      <c r="L2245" s="108"/>
      <c r="M2245" s="108"/>
      <c r="N2245" s="108"/>
      <c r="O2245" s="108"/>
      <c r="P2245" s="108"/>
      <c r="Q2245" s="108"/>
      <c r="R2245" s="108"/>
      <c r="S2245" s="108"/>
      <c r="T2245" s="108"/>
      <c r="U2245" s="108"/>
      <c r="V2245" s="108"/>
      <c r="W2245" s="108"/>
      <c r="X2245" s="108"/>
    </row>
    <row r="2246" spans="1:24">
      <c r="A2246" s="107"/>
      <c r="B2246" s="107"/>
      <c r="C2246" s="107"/>
      <c r="D2246" s="107"/>
      <c r="E2246" s="107"/>
      <c r="F2246" s="107"/>
      <c r="G2246" s="108"/>
      <c r="H2246" s="107"/>
      <c r="I2246" s="108"/>
      <c r="J2246" s="108"/>
      <c r="K2246" s="108"/>
      <c r="L2246" s="108"/>
      <c r="M2246" s="108"/>
      <c r="N2246" s="108"/>
      <c r="O2246" s="108"/>
      <c r="P2246" s="108"/>
      <c r="Q2246" s="108"/>
      <c r="R2246" s="108"/>
      <c r="S2246" s="108"/>
      <c r="T2246" s="108"/>
      <c r="U2246" s="108"/>
      <c r="V2246" s="108"/>
      <c r="W2246" s="108"/>
      <c r="X2246" s="108"/>
    </row>
    <row r="2247" spans="1:24">
      <c r="A2247" s="107"/>
      <c r="B2247" s="107"/>
      <c r="C2247" s="107"/>
      <c r="D2247" s="107"/>
      <c r="E2247" s="107"/>
      <c r="F2247" s="107"/>
      <c r="G2247" s="108"/>
      <c r="H2247" s="107"/>
      <c r="I2247" s="108"/>
      <c r="J2247" s="108"/>
      <c r="K2247" s="108"/>
      <c r="L2247" s="108"/>
      <c r="M2247" s="108"/>
      <c r="N2247" s="108"/>
      <c r="O2247" s="108"/>
      <c r="P2247" s="108"/>
      <c r="Q2247" s="108"/>
      <c r="R2247" s="108"/>
      <c r="S2247" s="108"/>
      <c r="T2247" s="108"/>
      <c r="U2247" s="108"/>
      <c r="V2247" s="108"/>
      <c r="W2247" s="108"/>
      <c r="X2247" s="108"/>
    </row>
    <row r="2248" spans="1:24">
      <c r="A2248" s="107"/>
      <c r="B2248" s="107"/>
      <c r="C2248" s="107"/>
      <c r="D2248" s="107"/>
      <c r="E2248" s="107"/>
      <c r="F2248" s="107"/>
      <c r="G2248" s="108"/>
      <c r="H2248" s="107"/>
      <c r="I2248" s="108"/>
      <c r="J2248" s="108"/>
      <c r="K2248" s="108"/>
      <c r="L2248" s="108"/>
      <c r="M2248" s="108"/>
      <c r="N2248" s="108"/>
      <c r="O2248" s="108"/>
      <c r="P2248" s="108"/>
      <c r="Q2248" s="108"/>
      <c r="R2248" s="108"/>
      <c r="S2248" s="108"/>
      <c r="T2248" s="108"/>
      <c r="U2248" s="108"/>
      <c r="V2248" s="108"/>
      <c r="W2248" s="108"/>
      <c r="X2248" s="108"/>
    </row>
    <row r="2249" spans="1:24">
      <c r="A2249" s="107"/>
      <c r="B2249" s="107"/>
      <c r="C2249" s="107"/>
      <c r="D2249" s="107"/>
      <c r="E2249" s="107"/>
      <c r="F2249" s="107"/>
      <c r="G2249" s="108"/>
      <c r="H2249" s="107"/>
      <c r="I2249" s="108"/>
      <c r="J2249" s="108"/>
      <c r="K2249" s="108"/>
      <c r="L2249" s="108"/>
      <c r="M2249" s="108"/>
      <c r="N2249" s="108"/>
      <c r="O2249" s="108"/>
      <c r="P2249" s="108"/>
      <c r="Q2249" s="108"/>
      <c r="R2249" s="108"/>
      <c r="S2249" s="108"/>
      <c r="T2249" s="108"/>
      <c r="U2249" s="108"/>
      <c r="V2249" s="108"/>
      <c r="W2249" s="108"/>
      <c r="X2249" s="108"/>
    </row>
    <row r="2250" spans="1:24">
      <c r="A2250" s="107"/>
      <c r="B2250" s="107"/>
      <c r="C2250" s="107"/>
      <c r="D2250" s="107"/>
      <c r="E2250" s="107"/>
      <c r="F2250" s="107"/>
      <c r="G2250" s="108"/>
      <c r="H2250" s="107"/>
      <c r="I2250" s="108"/>
      <c r="J2250" s="108"/>
      <c r="K2250" s="108"/>
      <c r="L2250" s="108"/>
      <c r="M2250" s="108"/>
      <c r="N2250" s="108"/>
      <c r="O2250" s="108"/>
      <c r="P2250" s="108"/>
      <c r="Q2250" s="108"/>
      <c r="R2250" s="108"/>
      <c r="S2250" s="108"/>
      <c r="T2250" s="108"/>
      <c r="U2250" s="108"/>
      <c r="V2250" s="108"/>
      <c r="W2250" s="108"/>
      <c r="X2250" s="108"/>
    </row>
    <row r="2251" spans="1:24">
      <c r="A2251" s="107"/>
      <c r="B2251" s="107"/>
      <c r="C2251" s="107"/>
      <c r="D2251" s="107"/>
      <c r="E2251" s="107"/>
      <c r="F2251" s="107"/>
      <c r="G2251" s="108"/>
      <c r="H2251" s="107"/>
      <c r="I2251" s="108"/>
      <c r="J2251" s="108"/>
      <c r="K2251" s="108"/>
      <c r="L2251" s="108"/>
      <c r="M2251" s="108"/>
      <c r="N2251" s="108"/>
      <c r="O2251" s="108"/>
      <c r="P2251" s="108"/>
      <c r="Q2251" s="108"/>
      <c r="R2251" s="108"/>
      <c r="S2251" s="108"/>
      <c r="T2251" s="108"/>
      <c r="U2251" s="108"/>
      <c r="V2251" s="108"/>
      <c r="W2251" s="108"/>
      <c r="X2251" s="108"/>
    </row>
    <row r="2252" spans="1:24">
      <c r="A2252" s="107"/>
      <c r="B2252" s="107"/>
      <c r="C2252" s="107"/>
      <c r="D2252" s="107"/>
      <c r="E2252" s="107"/>
      <c r="F2252" s="107"/>
      <c r="G2252" s="108"/>
      <c r="H2252" s="107"/>
      <c r="I2252" s="108"/>
      <c r="J2252" s="108"/>
      <c r="K2252" s="108"/>
      <c r="L2252" s="108"/>
      <c r="M2252" s="108"/>
      <c r="N2252" s="108"/>
      <c r="O2252" s="108"/>
      <c r="P2252" s="108"/>
      <c r="Q2252" s="108"/>
      <c r="R2252" s="108"/>
      <c r="S2252" s="108"/>
      <c r="T2252" s="108"/>
      <c r="U2252" s="108"/>
      <c r="V2252" s="108"/>
      <c r="W2252" s="108"/>
      <c r="X2252" s="108"/>
    </row>
    <row r="2253" spans="1:24">
      <c r="A2253" s="107"/>
      <c r="B2253" s="107"/>
      <c r="C2253" s="107"/>
      <c r="D2253" s="107"/>
      <c r="E2253" s="107"/>
      <c r="F2253" s="107"/>
      <c r="G2253" s="108"/>
      <c r="H2253" s="107"/>
      <c r="I2253" s="108"/>
      <c r="J2253" s="108"/>
      <c r="K2253" s="108"/>
      <c r="L2253" s="108"/>
      <c r="M2253" s="108"/>
      <c r="N2253" s="108"/>
      <c r="O2253" s="108"/>
      <c r="P2253" s="108"/>
      <c r="Q2253" s="108"/>
      <c r="R2253" s="108"/>
      <c r="S2253" s="108"/>
      <c r="T2253" s="108"/>
      <c r="U2253" s="108"/>
      <c r="V2253" s="108"/>
      <c r="W2253" s="108"/>
      <c r="X2253" s="108"/>
    </row>
    <row r="2254" spans="1:24">
      <c r="A2254" s="107"/>
      <c r="B2254" s="107"/>
      <c r="C2254" s="107"/>
      <c r="D2254" s="107"/>
      <c r="E2254" s="107"/>
      <c r="F2254" s="107"/>
      <c r="G2254" s="108"/>
      <c r="H2254" s="107"/>
      <c r="I2254" s="108"/>
      <c r="J2254" s="108"/>
      <c r="K2254" s="108"/>
      <c r="L2254" s="108"/>
      <c r="M2254" s="108"/>
      <c r="N2254" s="108"/>
      <c r="O2254" s="108"/>
      <c r="P2254" s="108"/>
      <c r="Q2254" s="108"/>
      <c r="R2254" s="108"/>
      <c r="S2254" s="108"/>
      <c r="T2254" s="108"/>
      <c r="U2254" s="108"/>
      <c r="V2254" s="108"/>
      <c r="W2254" s="108"/>
      <c r="X2254" s="108"/>
    </row>
    <row r="2255" spans="1:24">
      <c r="A2255" s="107"/>
      <c r="B2255" s="107"/>
      <c r="C2255" s="107"/>
      <c r="D2255" s="107"/>
      <c r="E2255" s="107"/>
      <c r="F2255" s="107"/>
      <c r="G2255" s="108"/>
      <c r="H2255" s="107"/>
      <c r="I2255" s="108"/>
      <c r="J2255" s="108"/>
      <c r="K2255" s="108"/>
      <c r="L2255" s="108"/>
      <c r="M2255" s="108"/>
      <c r="N2255" s="108"/>
      <c r="O2255" s="108"/>
      <c r="P2255" s="108"/>
      <c r="Q2255" s="108"/>
      <c r="R2255" s="108"/>
      <c r="S2255" s="108"/>
      <c r="T2255" s="108"/>
      <c r="U2255" s="108"/>
      <c r="V2255" s="108"/>
      <c r="W2255" s="108"/>
      <c r="X2255" s="108"/>
    </row>
    <row r="2256" spans="1:24">
      <c r="A2256" s="107"/>
      <c r="B2256" s="107"/>
      <c r="C2256" s="107"/>
      <c r="D2256" s="107"/>
      <c r="E2256" s="107"/>
      <c r="F2256" s="107"/>
      <c r="G2256" s="108"/>
      <c r="H2256" s="107"/>
      <c r="I2256" s="108"/>
      <c r="J2256" s="108"/>
      <c r="K2256" s="108"/>
      <c r="L2256" s="108"/>
      <c r="M2256" s="108"/>
      <c r="N2256" s="108"/>
      <c r="O2256" s="108"/>
      <c r="P2256" s="108"/>
      <c r="Q2256" s="108"/>
      <c r="R2256" s="108"/>
      <c r="S2256" s="108"/>
      <c r="T2256" s="108"/>
      <c r="U2256" s="108"/>
      <c r="V2256" s="108"/>
      <c r="W2256" s="108"/>
      <c r="X2256" s="108"/>
    </row>
    <row r="2257" spans="1:24">
      <c r="A2257" s="107"/>
      <c r="B2257" s="107"/>
      <c r="C2257" s="107"/>
      <c r="D2257" s="107"/>
      <c r="E2257" s="107"/>
      <c r="F2257" s="107"/>
      <c r="G2257" s="108"/>
      <c r="H2257" s="107"/>
      <c r="I2257" s="108"/>
      <c r="J2257" s="108"/>
      <c r="K2257" s="108"/>
      <c r="L2257" s="108"/>
      <c r="M2257" s="108"/>
      <c r="N2257" s="108"/>
      <c r="O2257" s="108"/>
      <c r="P2257" s="108"/>
      <c r="Q2257" s="108"/>
      <c r="R2257" s="108"/>
      <c r="S2257" s="108"/>
      <c r="T2257" s="108"/>
      <c r="U2257" s="108"/>
      <c r="V2257" s="108"/>
      <c r="W2257" s="108"/>
      <c r="X2257" s="108"/>
    </row>
    <row r="2258" spans="1:24">
      <c r="A2258" s="107"/>
      <c r="B2258" s="107"/>
      <c r="C2258" s="107"/>
      <c r="D2258" s="107"/>
      <c r="E2258" s="107"/>
      <c r="F2258" s="107"/>
      <c r="G2258" s="108"/>
      <c r="H2258" s="107"/>
      <c r="I2258" s="108"/>
      <c r="J2258" s="108"/>
      <c r="K2258" s="108"/>
      <c r="L2258" s="108"/>
      <c r="M2258" s="108"/>
      <c r="N2258" s="108"/>
      <c r="O2258" s="108"/>
      <c r="P2258" s="108"/>
      <c r="Q2258" s="108"/>
      <c r="R2258" s="108"/>
      <c r="S2258" s="108"/>
      <c r="T2258" s="108"/>
      <c r="U2258" s="108"/>
      <c r="V2258" s="108"/>
      <c r="W2258" s="108"/>
      <c r="X2258" s="108"/>
    </row>
    <row r="2259" spans="1:24">
      <c r="A2259" s="107"/>
      <c r="B2259" s="107"/>
      <c r="C2259" s="107"/>
      <c r="D2259" s="107"/>
      <c r="E2259" s="107"/>
      <c r="F2259" s="107"/>
      <c r="G2259" s="108"/>
      <c r="H2259" s="107"/>
      <c r="I2259" s="108"/>
      <c r="J2259" s="108"/>
      <c r="K2259" s="108"/>
      <c r="L2259" s="108"/>
      <c r="M2259" s="108"/>
      <c r="N2259" s="108"/>
      <c r="O2259" s="108"/>
      <c r="P2259" s="108"/>
      <c r="Q2259" s="108"/>
      <c r="R2259" s="108"/>
      <c r="S2259" s="108"/>
      <c r="T2259" s="108"/>
      <c r="U2259" s="108"/>
      <c r="V2259" s="108"/>
      <c r="W2259" s="108"/>
      <c r="X2259" s="108"/>
    </row>
    <row r="2260" spans="1:24">
      <c r="A2260" s="107"/>
      <c r="B2260" s="107"/>
      <c r="C2260" s="107"/>
      <c r="D2260" s="107"/>
      <c r="E2260" s="107"/>
      <c r="F2260" s="107"/>
      <c r="G2260" s="108"/>
      <c r="H2260" s="107"/>
      <c r="I2260" s="108"/>
      <c r="J2260" s="108"/>
      <c r="K2260" s="108"/>
      <c r="L2260" s="108"/>
      <c r="M2260" s="108"/>
      <c r="N2260" s="108"/>
      <c r="O2260" s="108"/>
      <c r="P2260" s="108"/>
      <c r="Q2260" s="108"/>
      <c r="R2260" s="108"/>
      <c r="S2260" s="108"/>
      <c r="T2260" s="108"/>
      <c r="U2260" s="108"/>
      <c r="V2260" s="108"/>
      <c r="W2260" s="108"/>
      <c r="X2260" s="108"/>
    </row>
    <row r="2261" spans="1:24">
      <c r="A2261" s="107"/>
      <c r="B2261" s="107"/>
      <c r="C2261" s="107"/>
      <c r="D2261" s="107"/>
      <c r="E2261" s="107"/>
      <c r="F2261" s="107"/>
      <c r="G2261" s="108"/>
      <c r="H2261" s="107"/>
      <c r="I2261" s="108"/>
      <c r="J2261" s="108"/>
      <c r="K2261" s="108"/>
      <c r="L2261" s="108"/>
      <c r="M2261" s="108"/>
      <c r="N2261" s="108"/>
      <c r="O2261" s="108"/>
      <c r="P2261" s="108"/>
      <c r="Q2261" s="108"/>
      <c r="R2261" s="108"/>
      <c r="S2261" s="108"/>
      <c r="T2261" s="108"/>
      <c r="U2261" s="108"/>
      <c r="V2261" s="108"/>
      <c r="W2261" s="108"/>
      <c r="X2261" s="108"/>
    </row>
    <row r="2262" spans="1:24">
      <c r="A2262" s="107"/>
      <c r="B2262" s="107"/>
      <c r="C2262" s="107"/>
      <c r="D2262" s="107"/>
      <c r="E2262" s="107"/>
      <c r="F2262" s="107"/>
      <c r="G2262" s="108"/>
      <c r="H2262" s="107"/>
      <c r="I2262" s="108"/>
      <c r="J2262" s="108"/>
      <c r="K2262" s="108"/>
      <c r="L2262" s="108"/>
      <c r="M2262" s="108"/>
      <c r="N2262" s="108"/>
      <c r="O2262" s="108"/>
      <c r="P2262" s="108"/>
      <c r="Q2262" s="108"/>
      <c r="R2262" s="108"/>
      <c r="S2262" s="108"/>
      <c r="T2262" s="108"/>
      <c r="U2262" s="108"/>
      <c r="V2262" s="108"/>
      <c r="W2262" s="108"/>
      <c r="X2262" s="108"/>
    </row>
    <row r="2263" spans="1:24">
      <c r="A2263" s="107"/>
      <c r="B2263" s="107"/>
      <c r="C2263" s="107"/>
      <c r="D2263" s="107"/>
      <c r="E2263" s="107"/>
      <c r="F2263" s="107"/>
      <c r="G2263" s="108"/>
      <c r="H2263" s="107"/>
      <c r="I2263" s="108"/>
      <c r="J2263" s="108"/>
      <c r="K2263" s="108"/>
      <c r="L2263" s="108"/>
      <c r="M2263" s="108"/>
      <c r="N2263" s="108"/>
      <c r="O2263" s="108"/>
      <c r="P2263" s="108"/>
      <c r="Q2263" s="108"/>
      <c r="R2263" s="108"/>
      <c r="S2263" s="108"/>
      <c r="T2263" s="108"/>
      <c r="U2263" s="108"/>
      <c r="V2263" s="108"/>
      <c r="W2263" s="108"/>
      <c r="X2263" s="108"/>
    </row>
    <row r="2264" spans="1:24">
      <c r="A2264" s="107"/>
      <c r="B2264" s="107"/>
      <c r="C2264" s="107"/>
      <c r="D2264" s="107"/>
      <c r="E2264" s="107"/>
      <c r="F2264" s="107"/>
      <c r="G2264" s="108"/>
      <c r="H2264" s="107"/>
      <c r="I2264" s="108"/>
      <c r="J2264" s="108"/>
      <c r="K2264" s="108"/>
      <c r="L2264" s="108"/>
      <c r="M2264" s="108"/>
      <c r="N2264" s="108"/>
      <c r="O2264" s="108"/>
      <c r="P2264" s="108"/>
      <c r="Q2264" s="108"/>
      <c r="R2264" s="108"/>
      <c r="S2264" s="108"/>
      <c r="T2264" s="108"/>
      <c r="U2264" s="108"/>
      <c r="V2264" s="108"/>
      <c r="W2264" s="108"/>
      <c r="X2264" s="108"/>
    </row>
    <row r="2265" spans="1:24">
      <c r="A2265" s="107"/>
      <c r="B2265" s="107"/>
      <c r="C2265" s="107"/>
      <c r="D2265" s="107"/>
      <c r="E2265" s="107"/>
      <c r="F2265" s="107"/>
      <c r="G2265" s="108"/>
      <c r="H2265" s="107"/>
      <c r="I2265" s="108"/>
      <c r="J2265" s="108"/>
      <c r="K2265" s="108"/>
      <c r="L2265" s="108"/>
      <c r="M2265" s="108"/>
      <c r="N2265" s="108"/>
      <c r="O2265" s="108"/>
      <c r="P2265" s="108"/>
      <c r="Q2265" s="108"/>
      <c r="R2265" s="108"/>
      <c r="S2265" s="108"/>
      <c r="T2265" s="108"/>
      <c r="U2265" s="108"/>
      <c r="V2265" s="108"/>
      <c r="W2265" s="108"/>
      <c r="X2265" s="108"/>
    </row>
    <row r="2266" spans="1:24">
      <c r="A2266" s="107"/>
      <c r="B2266" s="107"/>
      <c r="C2266" s="107"/>
      <c r="D2266" s="107"/>
      <c r="E2266" s="107"/>
      <c r="F2266" s="107"/>
      <c r="G2266" s="108"/>
      <c r="H2266" s="107"/>
      <c r="I2266" s="108"/>
      <c r="J2266" s="108"/>
      <c r="K2266" s="108"/>
      <c r="L2266" s="108"/>
      <c r="M2266" s="108"/>
      <c r="N2266" s="108"/>
      <c r="O2266" s="108"/>
      <c r="P2266" s="108"/>
      <c r="Q2266" s="108"/>
      <c r="R2266" s="108"/>
      <c r="S2266" s="108"/>
      <c r="T2266" s="108"/>
      <c r="U2266" s="108"/>
      <c r="V2266" s="108"/>
      <c r="W2266" s="108"/>
      <c r="X2266" s="108"/>
    </row>
    <row r="2267" spans="1:24">
      <c r="A2267" s="107"/>
      <c r="B2267" s="107"/>
      <c r="C2267" s="107"/>
      <c r="D2267" s="107"/>
      <c r="E2267" s="107"/>
      <c r="F2267" s="107"/>
      <c r="G2267" s="108"/>
      <c r="H2267" s="107"/>
      <c r="I2267" s="108"/>
      <c r="J2267" s="108"/>
      <c r="K2267" s="108"/>
      <c r="L2267" s="108"/>
      <c r="M2267" s="108"/>
      <c r="N2267" s="108"/>
      <c r="O2267" s="108"/>
      <c r="P2267" s="108"/>
      <c r="Q2267" s="108"/>
      <c r="R2267" s="108"/>
      <c r="S2267" s="108"/>
      <c r="T2267" s="108"/>
      <c r="U2267" s="108"/>
      <c r="V2267" s="108"/>
      <c r="W2267" s="108"/>
      <c r="X2267" s="108"/>
    </row>
    <row r="2268" spans="1:24">
      <c r="A2268" s="107"/>
      <c r="B2268" s="107"/>
      <c r="C2268" s="107"/>
      <c r="D2268" s="107"/>
      <c r="E2268" s="107"/>
      <c r="F2268" s="107"/>
      <c r="G2268" s="108"/>
      <c r="H2268" s="107"/>
      <c r="I2268" s="108"/>
      <c r="J2268" s="108"/>
      <c r="K2268" s="108"/>
      <c r="L2268" s="108"/>
      <c r="M2268" s="108"/>
      <c r="N2268" s="108"/>
      <c r="O2268" s="108"/>
      <c r="P2268" s="108"/>
      <c r="Q2268" s="108"/>
      <c r="R2268" s="108"/>
      <c r="S2268" s="108"/>
      <c r="T2268" s="108"/>
      <c r="U2268" s="108"/>
      <c r="V2268" s="108"/>
      <c r="W2268" s="108"/>
      <c r="X2268" s="108"/>
    </row>
    <row r="2269" spans="1:24">
      <c r="A2269" s="107"/>
      <c r="B2269" s="107"/>
      <c r="C2269" s="107"/>
      <c r="D2269" s="107"/>
      <c r="E2269" s="107"/>
      <c r="F2269" s="107"/>
      <c r="G2269" s="108"/>
      <c r="H2269" s="107"/>
      <c r="I2269" s="108"/>
      <c r="J2269" s="108"/>
      <c r="K2269" s="108"/>
      <c r="L2269" s="108"/>
      <c r="M2269" s="108"/>
      <c r="N2269" s="108"/>
      <c r="O2269" s="108"/>
      <c r="P2269" s="108"/>
      <c r="Q2269" s="108"/>
      <c r="R2269" s="108"/>
      <c r="S2269" s="108"/>
      <c r="T2269" s="108"/>
      <c r="U2269" s="108"/>
      <c r="V2269" s="108"/>
      <c r="W2269" s="108"/>
      <c r="X2269" s="108"/>
    </row>
    <row r="2270" spans="1:24">
      <c r="A2270" s="107"/>
      <c r="B2270" s="107"/>
      <c r="C2270" s="107"/>
      <c r="D2270" s="107"/>
      <c r="E2270" s="107"/>
      <c r="F2270" s="107"/>
      <c r="G2270" s="108"/>
      <c r="H2270" s="107"/>
      <c r="I2270" s="108"/>
      <c r="J2270" s="108"/>
      <c r="K2270" s="108"/>
      <c r="L2270" s="108"/>
      <c r="M2270" s="108"/>
      <c r="N2270" s="108"/>
      <c r="O2270" s="108"/>
      <c r="P2270" s="108"/>
      <c r="Q2270" s="108"/>
      <c r="R2270" s="108"/>
      <c r="S2270" s="108"/>
      <c r="T2270" s="108"/>
      <c r="U2270" s="108"/>
      <c r="V2270" s="108"/>
      <c r="W2270" s="108"/>
      <c r="X2270" s="108"/>
    </row>
    <row r="2271" spans="1:24">
      <c r="A2271" s="107"/>
      <c r="B2271" s="107"/>
      <c r="C2271" s="107"/>
      <c r="D2271" s="107"/>
      <c r="E2271" s="107"/>
      <c r="F2271" s="107"/>
      <c r="G2271" s="108"/>
      <c r="H2271" s="107"/>
      <c r="I2271" s="108"/>
      <c r="J2271" s="108"/>
      <c r="K2271" s="108"/>
      <c r="L2271" s="108"/>
      <c r="M2271" s="108"/>
      <c r="N2271" s="108"/>
      <c r="O2271" s="108"/>
      <c r="P2271" s="108"/>
      <c r="Q2271" s="108"/>
      <c r="R2271" s="108"/>
      <c r="S2271" s="108"/>
      <c r="T2271" s="108"/>
      <c r="U2271" s="108"/>
      <c r="V2271" s="108"/>
      <c r="W2271" s="108"/>
      <c r="X2271" s="108"/>
    </row>
    <row r="2272" spans="1:24">
      <c r="A2272" s="107"/>
      <c r="B2272" s="107"/>
      <c r="C2272" s="107"/>
      <c r="D2272" s="107"/>
      <c r="E2272" s="107"/>
      <c r="F2272" s="107"/>
      <c r="G2272" s="108"/>
      <c r="H2272" s="107"/>
      <c r="I2272" s="108"/>
      <c r="J2272" s="108"/>
      <c r="K2272" s="108"/>
      <c r="L2272" s="108"/>
      <c r="M2272" s="108"/>
      <c r="N2272" s="108"/>
      <c r="O2272" s="108"/>
      <c r="P2272" s="108"/>
      <c r="Q2272" s="108"/>
      <c r="R2272" s="108"/>
      <c r="S2272" s="108"/>
      <c r="T2272" s="108"/>
      <c r="U2272" s="108"/>
      <c r="V2272" s="108"/>
      <c r="W2272" s="108"/>
      <c r="X2272" s="108"/>
    </row>
    <row r="2273" spans="1:24">
      <c r="A2273" s="107"/>
      <c r="B2273" s="107"/>
      <c r="C2273" s="107"/>
      <c r="D2273" s="107"/>
      <c r="E2273" s="107"/>
      <c r="F2273" s="107"/>
      <c r="G2273" s="108"/>
      <c r="H2273" s="107"/>
      <c r="I2273" s="108"/>
      <c r="J2273" s="108"/>
      <c r="K2273" s="108"/>
      <c r="L2273" s="108"/>
      <c r="M2273" s="108"/>
      <c r="N2273" s="108"/>
      <c r="O2273" s="108"/>
      <c r="P2273" s="108"/>
      <c r="Q2273" s="108"/>
      <c r="R2273" s="108"/>
      <c r="S2273" s="108"/>
      <c r="T2273" s="108"/>
      <c r="U2273" s="108"/>
      <c r="V2273" s="108"/>
      <c r="W2273" s="108"/>
      <c r="X2273" s="108"/>
    </row>
    <row r="2274" spans="1:24">
      <c r="A2274" s="107"/>
      <c r="B2274" s="107"/>
      <c r="C2274" s="107"/>
      <c r="D2274" s="107"/>
      <c r="E2274" s="107"/>
      <c r="F2274" s="107"/>
      <c r="G2274" s="108"/>
      <c r="H2274" s="107"/>
      <c r="I2274" s="108"/>
      <c r="J2274" s="108"/>
      <c r="K2274" s="108"/>
      <c r="L2274" s="108"/>
      <c r="M2274" s="108"/>
      <c r="N2274" s="108"/>
      <c r="O2274" s="108"/>
      <c r="P2274" s="108"/>
      <c r="Q2274" s="108"/>
      <c r="R2274" s="108"/>
      <c r="S2274" s="108"/>
      <c r="T2274" s="108"/>
      <c r="U2274" s="108"/>
      <c r="V2274" s="108"/>
      <c r="W2274" s="108"/>
      <c r="X2274" s="108"/>
    </row>
    <row r="2275" spans="1:24">
      <c r="A2275" s="107"/>
      <c r="B2275" s="107"/>
      <c r="C2275" s="107"/>
      <c r="D2275" s="107"/>
      <c r="E2275" s="107"/>
      <c r="F2275" s="107"/>
      <c r="G2275" s="108"/>
      <c r="H2275" s="107"/>
      <c r="I2275" s="108"/>
      <c r="J2275" s="108"/>
      <c r="K2275" s="108"/>
      <c r="L2275" s="108"/>
      <c r="M2275" s="108"/>
      <c r="N2275" s="108"/>
      <c r="O2275" s="108"/>
      <c r="P2275" s="108"/>
      <c r="Q2275" s="108"/>
      <c r="R2275" s="108"/>
      <c r="S2275" s="108"/>
      <c r="T2275" s="108"/>
      <c r="U2275" s="108"/>
      <c r="V2275" s="108"/>
      <c r="W2275" s="108"/>
      <c r="X2275" s="108"/>
    </row>
    <row r="2276" spans="1:24">
      <c r="A2276" s="107"/>
      <c r="B2276" s="107"/>
      <c r="C2276" s="107"/>
      <c r="D2276" s="107"/>
      <c r="E2276" s="107"/>
      <c r="F2276" s="107"/>
      <c r="G2276" s="108"/>
      <c r="H2276" s="107"/>
      <c r="I2276" s="108"/>
      <c r="J2276" s="108"/>
      <c r="K2276" s="108"/>
      <c r="L2276" s="108"/>
      <c r="M2276" s="108"/>
      <c r="N2276" s="108"/>
      <c r="O2276" s="108"/>
      <c r="P2276" s="108"/>
      <c r="Q2276" s="108"/>
      <c r="R2276" s="108"/>
      <c r="S2276" s="108"/>
      <c r="T2276" s="108"/>
      <c r="U2276" s="108"/>
      <c r="V2276" s="108"/>
      <c r="W2276" s="108"/>
      <c r="X2276" s="108"/>
    </row>
    <row r="2277" spans="1:24">
      <c r="A2277" s="107"/>
      <c r="B2277" s="107"/>
      <c r="C2277" s="107"/>
      <c r="D2277" s="107"/>
      <c r="E2277" s="107"/>
      <c r="F2277" s="107"/>
      <c r="G2277" s="108"/>
      <c r="H2277" s="107"/>
      <c r="I2277" s="108"/>
      <c r="J2277" s="108"/>
      <c r="K2277" s="108"/>
      <c r="L2277" s="108"/>
      <c r="M2277" s="108"/>
      <c r="N2277" s="108"/>
      <c r="O2277" s="108"/>
      <c r="P2277" s="108"/>
      <c r="Q2277" s="108"/>
      <c r="R2277" s="108"/>
      <c r="S2277" s="108"/>
      <c r="T2277" s="108"/>
      <c r="U2277" s="108"/>
      <c r="V2277" s="108"/>
      <c r="W2277" s="108"/>
      <c r="X2277" s="108"/>
    </row>
    <row r="2278" spans="1:24">
      <c r="A2278" s="107"/>
      <c r="B2278" s="107"/>
      <c r="C2278" s="107"/>
      <c r="D2278" s="107"/>
      <c r="E2278" s="107"/>
      <c r="F2278" s="107"/>
      <c r="G2278" s="108"/>
      <c r="H2278" s="107"/>
      <c r="I2278" s="108"/>
      <c r="J2278" s="108"/>
      <c r="K2278" s="108"/>
      <c r="L2278" s="108"/>
      <c r="M2278" s="108"/>
      <c r="N2278" s="108"/>
      <c r="O2278" s="108"/>
      <c r="P2278" s="108"/>
      <c r="Q2278" s="108"/>
      <c r="R2278" s="108"/>
      <c r="S2278" s="108"/>
      <c r="T2278" s="108"/>
      <c r="U2278" s="108"/>
      <c r="V2278" s="108"/>
      <c r="W2278" s="108"/>
      <c r="X2278" s="108"/>
    </row>
    <row r="2279" spans="1:24">
      <c r="A2279" s="107"/>
      <c r="B2279" s="107"/>
      <c r="C2279" s="107"/>
      <c r="D2279" s="107"/>
      <c r="E2279" s="107"/>
      <c r="F2279" s="107"/>
      <c r="G2279" s="108"/>
      <c r="H2279" s="107"/>
      <c r="I2279" s="108"/>
      <c r="J2279" s="108"/>
      <c r="K2279" s="108"/>
      <c r="L2279" s="108"/>
      <c r="M2279" s="108"/>
      <c r="N2279" s="108"/>
      <c r="O2279" s="108"/>
      <c r="P2279" s="108"/>
      <c r="Q2279" s="108"/>
      <c r="R2279" s="108"/>
      <c r="S2279" s="108"/>
      <c r="T2279" s="108"/>
      <c r="U2279" s="108"/>
      <c r="V2279" s="108"/>
      <c r="W2279" s="108"/>
      <c r="X2279" s="108"/>
    </row>
    <row r="2280" spans="1:24">
      <c r="A2280" s="107"/>
      <c r="B2280" s="107"/>
      <c r="C2280" s="107"/>
      <c r="D2280" s="107"/>
      <c r="E2280" s="107"/>
      <c r="F2280" s="107"/>
      <c r="G2280" s="108"/>
      <c r="H2280" s="107"/>
      <c r="I2280" s="108"/>
      <c r="J2280" s="108"/>
      <c r="K2280" s="108"/>
      <c r="L2280" s="108"/>
      <c r="M2280" s="108"/>
      <c r="N2280" s="108"/>
      <c r="O2280" s="108"/>
      <c r="P2280" s="108"/>
      <c r="Q2280" s="108"/>
      <c r="R2280" s="108"/>
      <c r="S2280" s="108"/>
      <c r="T2280" s="108"/>
      <c r="U2280" s="108"/>
      <c r="V2280" s="108"/>
      <c r="W2280" s="108"/>
      <c r="X2280" s="108"/>
    </row>
    <row r="2281" spans="1:24">
      <c r="A2281" s="107"/>
      <c r="B2281" s="107"/>
      <c r="C2281" s="107"/>
      <c r="D2281" s="107"/>
      <c r="E2281" s="107"/>
      <c r="F2281" s="107"/>
      <c r="G2281" s="108"/>
      <c r="H2281" s="107"/>
      <c r="I2281" s="108"/>
      <c r="J2281" s="108"/>
      <c r="K2281" s="108"/>
      <c r="L2281" s="108"/>
      <c r="M2281" s="108"/>
      <c r="N2281" s="108"/>
      <c r="O2281" s="108"/>
      <c r="P2281" s="108"/>
      <c r="Q2281" s="108"/>
      <c r="R2281" s="108"/>
      <c r="S2281" s="108"/>
      <c r="T2281" s="108"/>
      <c r="U2281" s="108"/>
      <c r="V2281" s="108"/>
      <c r="W2281" s="108"/>
      <c r="X2281" s="108"/>
    </row>
    <row r="2282" spans="1:24">
      <c r="A2282" s="107"/>
      <c r="B2282" s="107"/>
      <c r="C2282" s="107"/>
      <c r="D2282" s="107"/>
      <c r="E2282" s="107"/>
      <c r="F2282" s="107"/>
      <c r="G2282" s="108"/>
      <c r="H2282" s="107"/>
      <c r="I2282" s="108"/>
      <c r="J2282" s="108"/>
      <c r="K2282" s="108"/>
      <c r="L2282" s="108"/>
      <c r="M2282" s="108"/>
      <c r="N2282" s="108"/>
      <c r="O2282" s="108"/>
      <c r="P2282" s="108"/>
      <c r="Q2282" s="108"/>
      <c r="R2282" s="108"/>
      <c r="S2282" s="108"/>
      <c r="T2282" s="108"/>
      <c r="U2282" s="108"/>
      <c r="V2282" s="108"/>
      <c r="W2282" s="108"/>
      <c r="X2282" s="108"/>
    </row>
    <row r="2283" spans="1:24">
      <c r="A2283" s="107"/>
      <c r="B2283" s="107"/>
      <c r="C2283" s="107"/>
      <c r="D2283" s="107"/>
      <c r="E2283" s="107"/>
      <c r="F2283" s="107"/>
      <c r="G2283" s="108"/>
      <c r="H2283" s="107"/>
      <c r="I2283" s="108"/>
      <c r="J2283" s="108"/>
      <c r="K2283" s="108"/>
      <c r="L2283" s="108"/>
      <c r="M2283" s="108"/>
      <c r="N2283" s="108"/>
      <c r="O2283" s="108"/>
      <c r="P2283" s="108"/>
      <c r="Q2283" s="108"/>
      <c r="R2283" s="108"/>
      <c r="S2283" s="108"/>
      <c r="T2283" s="108"/>
      <c r="U2283" s="108"/>
      <c r="V2283" s="108"/>
      <c r="W2283" s="108"/>
      <c r="X2283" s="108"/>
    </row>
    <row r="2284" spans="1:24">
      <c r="A2284" s="107"/>
      <c r="B2284" s="107"/>
      <c r="C2284" s="107"/>
      <c r="D2284" s="107"/>
      <c r="E2284" s="107"/>
      <c r="F2284" s="107"/>
      <c r="G2284" s="108"/>
      <c r="H2284" s="107"/>
      <c r="I2284" s="108"/>
      <c r="J2284" s="108"/>
      <c r="K2284" s="108"/>
      <c r="L2284" s="108"/>
      <c r="M2284" s="108"/>
      <c r="N2284" s="108"/>
      <c r="O2284" s="108"/>
      <c r="P2284" s="108"/>
      <c r="Q2284" s="108"/>
      <c r="R2284" s="108"/>
      <c r="S2284" s="108"/>
      <c r="T2284" s="108"/>
      <c r="U2284" s="108"/>
      <c r="V2284" s="108"/>
      <c r="W2284" s="108"/>
      <c r="X2284" s="108"/>
    </row>
    <row r="2285" spans="1:24">
      <c r="A2285" s="107"/>
      <c r="B2285" s="107"/>
      <c r="C2285" s="107"/>
      <c r="D2285" s="107"/>
      <c r="E2285" s="107"/>
      <c r="F2285" s="107"/>
      <c r="G2285" s="108"/>
      <c r="H2285" s="107"/>
      <c r="I2285" s="108"/>
      <c r="J2285" s="108"/>
      <c r="K2285" s="108"/>
      <c r="L2285" s="108"/>
      <c r="M2285" s="108"/>
      <c r="N2285" s="108"/>
      <c r="O2285" s="108"/>
      <c r="P2285" s="108"/>
      <c r="Q2285" s="108"/>
      <c r="R2285" s="108"/>
      <c r="S2285" s="108"/>
      <c r="T2285" s="108"/>
      <c r="U2285" s="108"/>
      <c r="V2285" s="108"/>
      <c r="W2285" s="108"/>
      <c r="X2285" s="108"/>
    </row>
    <row r="2286" spans="1:24">
      <c r="A2286" s="107"/>
      <c r="B2286" s="107"/>
      <c r="C2286" s="107"/>
      <c r="D2286" s="107"/>
      <c r="E2286" s="107"/>
      <c r="F2286" s="107"/>
      <c r="G2286" s="108"/>
      <c r="H2286" s="107"/>
      <c r="I2286" s="108"/>
      <c r="J2286" s="108"/>
      <c r="K2286" s="108"/>
      <c r="L2286" s="108"/>
      <c r="M2286" s="108"/>
      <c r="N2286" s="108"/>
      <c r="O2286" s="108"/>
      <c r="P2286" s="108"/>
      <c r="Q2286" s="108"/>
      <c r="R2286" s="108"/>
      <c r="S2286" s="108"/>
      <c r="T2286" s="108"/>
      <c r="U2286" s="108"/>
      <c r="V2286" s="108"/>
      <c r="W2286" s="108"/>
      <c r="X2286" s="108"/>
    </row>
    <row r="2287" spans="1:24">
      <c r="A2287" s="107"/>
      <c r="B2287" s="107"/>
      <c r="C2287" s="107"/>
      <c r="D2287" s="107"/>
      <c r="E2287" s="107"/>
      <c r="F2287" s="107"/>
      <c r="G2287" s="108"/>
      <c r="H2287" s="107"/>
      <c r="I2287" s="108"/>
      <c r="J2287" s="108"/>
      <c r="K2287" s="108"/>
      <c r="L2287" s="108"/>
      <c r="M2287" s="108"/>
      <c r="N2287" s="108"/>
      <c r="O2287" s="108"/>
      <c r="P2287" s="108"/>
      <c r="Q2287" s="108"/>
      <c r="R2287" s="108"/>
      <c r="S2287" s="108"/>
      <c r="T2287" s="108"/>
      <c r="U2287" s="108"/>
      <c r="V2287" s="108"/>
      <c r="W2287" s="108"/>
      <c r="X2287" s="108"/>
    </row>
    <row r="2288" spans="1:24">
      <c r="A2288" s="107"/>
      <c r="B2288" s="107"/>
      <c r="C2288" s="107"/>
      <c r="D2288" s="107"/>
      <c r="E2288" s="107"/>
      <c r="F2288" s="107"/>
      <c r="G2288" s="108"/>
      <c r="H2288" s="107"/>
      <c r="I2288" s="108"/>
      <c r="J2288" s="108"/>
      <c r="K2288" s="108"/>
      <c r="L2288" s="108"/>
      <c r="M2288" s="108"/>
      <c r="N2288" s="108"/>
      <c r="O2288" s="108"/>
      <c r="P2288" s="108"/>
      <c r="Q2288" s="108"/>
      <c r="R2288" s="108"/>
      <c r="S2288" s="108"/>
      <c r="T2288" s="108"/>
      <c r="U2288" s="108"/>
      <c r="V2288" s="108"/>
      <c r="W2288" s="108"/>
      <c r="X2288" s="108"/>
    </row>
    <row r="2289" spans="1:24">
      <c r="A2289" s="107"/>
      <c r="B2289" s="107"/>
      <c r="C2289" s="107"/>
      <c r="D2289" s="107"/>
      <c r="E2289" s="107"/>
      <c r="F2289" s="107"/>
      <c r="G2289" s="108"/>
      <c r="H2289" s="107"/>
      <c r="I2289" s="108"/>
      <c r="J2289" s="108"/>
      <c r="K2289" s="108"/>
      <c r="L2289" s="108"/>
      <c r="M2289" s="108"/>
      <c r="N2289" s="108"/>
      <c r="O2289" s="108"/>
      <c r="P2289" s="108"/>
      <c r="Q2289" s="108"/>
      <c r="R2289" s="108"/>
      <c r="S2289" s="108"/>
      <c r="T2289" s="108"/>
      <c r="U2289" s="108"/>
      <c r="V2289" s="108"/>
      <c r="W2289" s="108"/>
      <c r="X2289" s="108"/>
    </row>
    <row r="2290" spans="1:24">
      <c r="A2290" s="107"/>
      <c r="B2290" s="107"/>
      <c r="C2290" s="107"/>
      <c r="D2290" s="107"/>
      <c r="E2290" s="107"/>
      <c r="F2290" s="107"/>
      <c r="G2290" s="108"/>
      <c r="H2290" s="107"/>
      <c r="I2290" s="108"/>
      <c r="J2290" s="108"/>
      <c r="K2290" s="108"/>
      <c r="L2290" s="108"/>
      <c r="M2290" s="108"/>
      <c r="N2290" s="108"/>
      <c r="O2290" s="108"/>
      <c r="P2290" s="108"/>
      <c r="Q2290" s="108"/>
      <c r="R2290" s="108"/>
      <c r="S2290" s="108"/>
      <c r="T2290" s="108"/>
      <c r="U2290" s="108"/>
      <c r="V2290" s="108"/>
      <c r="W2290" s="108"/>
      <c r="X2290" s="108"/>
    </row>
    <row r="2291" spans="1:24">
      <c r="A2291" s="107"/>
      <c r="B2291" s="107"/>
      <c r="C2291" s="107"/>
      <c r="D2291" s="107"/>
      <c r="E2291" s="107"/>
      <c r="F2291" s="107"/>
      <c r="G2291" s="108"/>
      <c r="H2291" s="107"/>
      <c r="I2291" s="108"/>
      <c r="J2291" s="108"/>
      <c r="K2291" s="108"/>
      <c r="L2291" s="108"/>
      <c r="M2291" s="108"/>
      <c r="N2291" s="108"/>
      <c r="O2291" s="108"/>
      <c r="P2291" s="108"/>
      <c r="Q2291" s="108"/>
      <c r="R2291" s="108"/>
      <c r="S2291" s="108"/>
      <c r="T2291" s="108"/>
      <c r="U2291" s="108"/>
      <c r="V2291" s="108"/>
      <c r="W2291" s="108"/>
      <c r="X2291" s="108"/>
    </row>
    <row r="2292" spans="1:24">
      <c r="A2292" s="107"/>
      <c r="B2292" s="107"/>
      <c r="C2292" s="107"/>
      <c r="D2292" s="107"/>
      <c r="E2292" s="107"/>
      <c r="F2292" s="107"/>
      <c r="G2292" s="108"/>
      <c r="H2292" s="107"/>
      <c r="I2292" s="108"/>
      <c r="J2292" s="108"/>
      <c r="K2292" s="108"/>
      <c r="L2292" s="108"/>
      <c r="M2292" s="108"/>
      <c r="N2292" s="108"/>
      <c r="O2292" s="108"/>
      <c r="P2292" s="108"/>
      <c r="Q2292" s="108"/>
      <c r="R2292" s="108"/>
      <c r="S2292" s="108"/>
      <c r="T2292" s="108"/>
      <c r="U2292" s="108"/>
      <c r="V2292" s="108"/>
      <c r="W2292" s="108"/>
      <c r="X2292" s="108"/>
    </row>
    <row r="2293" spans="1:24">
      <c r="A2293" s="107"/>
      <c r="B2293" s="107"/>
      <c r="C2293" s="107"/>
      <c r="D2293" s="107"/>
      <c r="E2293" s="107"/>
      <c r="F2293" s="107"/>
      <c r="G2293" s="108"/>
      <c r="H2293" s="107"/>
      <c r="I2293" s="108"/>
      <c r="J2293" s="108"/>
      <c r="K2293" s="108"/>
      <c r="L2293" s="108"/>
      <c r="M2293" s="108"/>
      <c r="N2293" s="108"/>
      <c r="O2293" s="108"/>
      <c r="P2293" s="108"/>
      <c r="Q2293" s="108"/>
      <c r="R2293" s="108"/>
      <c r="S2293" s="108"/>
      <c r="T2293" s="108"/>
      <c r="U2293" s="108"/>
      <c r="V2293" s="108"/>
      <c r="W2293" s="108"/>
      <c r="X2293" s="108"/>
    </row>
    <row r="2294" spans="1:24">
      <c r="A2294" s="107"/>
      <c r="B2294" s="107"/>
      <c r="C2294" s="107"/>
      <c r="D2294" s="107"/>
      <c r="E2294" s="107"/>
      <c r="F2294" s="107"/>
      <c r="G2294" s="108"/>
      <c r="H2294" s="107"/>
      <c r="I2294" s="108"/>
      <c r="J2294" s="108"/>
      <c r="K2294" s="108"/>
      <c r="L2294" s="108"/>
      <c r="M2294" s="108"/>
      <c r="N2294" s="108"/>
      <c r="O2294" s="108"/>
      <c r="P2294" s="108"/>
      <c r="Q2294" s="108"/>
      <c r="R2294" s="108"/>
      <c r="S2294" s="108"/>
      <c r="T2294" s="108"/>
      <c r="U2294" s="108"/>
      <c r="V2294" s="108"/>
      <c r="W2294" s="108"/>
      <c r="X2294" s="108"/>
    </row>
    <row r="2295" spans="1:24">
      <c r="A2295" s="107"/>
      <c r="B2295" s="107"/>
      <c r="C2295" s="107"/>
      <c r="D2295" s="107"/>
      <c r="E2295" s="107"/>
      <c r="F2295" s="107"/>
      <c r="G2295" s="108"/>
      <c r="H2295" s="107"/>
      <c r="I2295" s="108"/>
      <c r="J2295" s="108"/>
      <c r="K2295" s="108"/>
      <c r="L2295" s="108"/>
      <c r="M2295" s="108"/>
      <c r="N2295" s="108"/>
      <c r="O2295" s="108"/>
      <c r="P2295" s="108"/>
      <c r="Q2295" s="108"/>
      <c r="R2295" s="108"/>
      <c r="S2295" s="108"/>
      <c r="T2295" s="108"/>
      <c r="U2295" s="108"/>
      <c r="V2295" s="108"/>
      <c r="W2295" s="108"/>
      <c r="X2295" s="108"/>
    </row>
    <row r="2296" spans="1:24">
      <c r="A2296" s="107"/>
      <c r="B2296" s="107"/>
      <c r="C2296" s="107"/>
      <c r="D2296" s="107"/>
      <c r="E2296" s="107"/>
      <c r="F2296" s="107"/>
      <c r="G2296" s="108"/>
      <c r="H2296" s="107"/>
      <c r="I2296" s="108"/>
      <c r="J2296" s="108"/>
      <c r="K2296" s="108"/>
      <c r="L2296" s="108"/>
      <c r="M2296" s="108"/>
      <c r="N2296" s="108"/>
      <c r="O2296" s="108"/>
      <c r="P2296" s="108"/>
      <c r="Q2296" s="108"/>
      <c r="R2296" s="108"/>
      <c r="S2296" s="108"/>
      <c r="T2296" s="108"/>
      <c r="U2296" s="108"/>
      <c r="V2296" s="108"/>
      <c r="W2296" s="108"/>
      <c r="X2296" s="108"/>
    </row>
    <row r="2297" spans="1:24">
      <c r="A2297" s="107"/>
      <c r="B2297" s="107"/>
      <c r="C2297" s="107"/>
      <c r="D2297" s="107"/>
      <c r="E2297" s="107"/>
      <c r="F2297" s="107"/>
      <c r="G2297" s="108"/>
      <c r="H2297" s="107"/>
      <c r="I2297" s="108"/>
      <c r="J2297" s="108"/>
      <c r="K2297" s="108"/>
      <c r="L2297" s="108"/>
      <c r="M2297" s="108"/>
      <c r="N2297" s="108"/>
      <c r="O2297" s="108"/>
      <c r="P2297" s="108"/>
      <c r="Q2297" s="108"/>
      <c r="R2297" s="108"/>
      <c r="S2297" s="108"/>
      <c r="T2297" s="108"/>
      <c r="U2297" s="108"/>
      <c r="V2297" s="108"/>
      <c r="W2297" s="108"/>
      <c r="X2297" s="108"/>
    </row>
    <row r="2298" spans="1:24">
      <c r="A2298" s="107"/>
      <c r="B2298" s="107"/>
      <c r="C2298" s="107"/>
      <c r="D2298" s="107"/>
      <c r="E2298" s="107"/>
      <c r="F2298" s="107"/>
      <c r="G2298" s="108"/>
      <c r="H2298" s="107"/>
      <c r="I2298" s="108"/>
      <c r="J2298" s="108"/>
      <c r="K2298" s="108"/>
      <c r="L2298" s="108"/>
      <c r="M2298" s="108"/>
      <c r="N2298" s="108"/>
      <c r="O2298" s="108"/>
      <c r="P2298" s="108"/>
      <c r="Q2298" s="108"/>
      <c r="R2298" s="108"/>
      <c r="S2298" s="108"/>
      <c r="T2298" s="108"/>
      <c r="U2298" s="108"/>
      <c r="V2298" s="108"/>
      <c r="W2298" s="108"/>
      <c r="X2298" s="108"/>
    </row>
    <row r="2299" spans="1:24">
      <c r="A2299" s="107"/>
      <c r="B2299" s="107"/>
      <c r="C2299" s="107"/>
      <c r="D2299" s="107"/>
      <c r="E2299" s="107"/>
      <c r="F2299" s="107"/>
      <c r="G2299" s="108"/>
      <c r="H2299" s="107"/>
      <c r="I2299" s="108"/>
      <c r="J2299" s="108"/>
      <c r="K2299" s="108"/>
      <c r="L2299" s="108"/>
      <c r="M2299" s="108"/>
      <c r="N2299" s="108"/>
      <c r="O2299" s="108"/>
      <c r="P2299" s="108"/>
      <c r="Q2299" s="108"/>
      <c r="R2299" s="108"/>
      <c r="S2299" s="108"/>
      <c r="T2299" s="108"/>
      <c r="U2299" s="108"/>
      <c r="V2299" s="108"/>
      <c r="W2299" s="108"/>
      <c r="X2299" s="108"/>
    </row>
    <row r="2300" spans="1:24">
      <c r="A2300" s="107"/>
      <c r="B2300" s="107"/>
      <c r="C2300" s="107"/>
      <c r="D2300" s="107"/>
      <c r="E2300" s="107"/>
      <c r="F2300" s="107"/>
      <c r="G2300" s="108"/>
      <c r="H2300" s="107"/>
      <c r="I2300" s="108"/>
      <c r="J2300" s="108"/>
      <c r="K2300" s="108"/>
      <c r="L2300" s="108"/>
      <c r="M2300" s="108"/>
      <c r="N2300" s="108"/>
      <c r="O2300" s="108"/>
      <c r="P2300" s="108"/>
      <c r="Q2300" s="108"/>
      <c r="R2300" s="108"/>
      <c r="S2300" s="108"/>
      <c r="T2300" s="108"/>
      <c r="U2300" s="108"/>
      <c r="V2300" s="108"/>
      <c r="W2300" s="108"/>
      <c r="X2300" s="108"/>
    </row>
    <row r="2301" spans="1:24">
      <c r="A2301" s="107"/>
      <c r="B2301" s="107"/>
      <c r="C2301" s="107"/>
      <c r="D2301" s="107"/>
      <c r="E2301" s="107"/>
      <c r="F2301" s="107"/>
      <c r="G2301" s="108"/>
      <c r="H2301" s="107"/>
      <c r="I2301" s="108"/>
      <c r="J2301" s="108"/>
      <c r="K2301" s="108"/>
      <c r="L2301" s="108"/>
      <c r="M2301" s="108"/>
      <c r="N2301" s="108"/>
      <c r="O2301" s="108"/>
      <c r="P2301" s="108"/>
      <c r="Q2301" s="108"/>
      <c r="R2301" s="108"/>
      <c r="S2301" s="108"/>
      <c r="T2301" s="108"/>
      <c r="U2301" s="108"/>
      <c r="V2301" s="108"/>
      <c r="W2301" s="108"/>
      <c r="X2301" s="108"/>
    </row>
    <row r="2302" spans="1:24">
      <c r="A2302" s="107"/>
      <c r="B2302" s="107"/>
      <c r="C2302" s="107"/>
      <c r="D2302" s="107"/>
      <c r="E2302" s="107"/>
      <c r="F2302" s="107"/>
      <c r="G2302" s="108"/>
      <c r="H2302" s="107"/>
      <c r="I2302" s="108"/>
      <c r="J2302" s="108"/>
      <c r="K2302" s="108"/>
      <c r="L2302" s="108"/>
      <c r="M2302" s="108"/>
      <c r="N2302" s="108"/>
      <c r="O2302" s="108"/>
      <c r="P2302" s="108"/>
      <c r="Q2302" s="108"/>
      <c r="R2302" s="108"/>
      <c r="S2302" s="108"/>
      <c r="T2302" s="108"/>
      <c r="U2302" s="108"/>
      <c r="V2302" s="108"/>
      <c r="W2302" s="108"/>
      <c r="X2302" s="108"/>
    </row>
    <row r="2303" spans="1:24">
      <c r="A2303" s="107"/>
      <c r="B2303" s="107"/>
      <c r="C2303" s="107"/>
      <c r="D2303" s="107"/>
      <c r="E2303" s="107"/>
      <c r="F2303" s="107"/>
      <c r="G2303" s="108"/>
      <c r="H2303" s="107"/>
      <c r="I2303" s="108"/>
      <c r="J2303" s="108"/>
      <c r="K2303" s="108"/>
      <c r="L2303" s="108"/>
      <c r="M2303" s="108"/>
      <c r="N2303" s="108"/>
      <c r="O2303" s="108"/>
      <c r="P2303" s="108"/>
      <c r="Q2303" s="108"/>
      <c r="R2303" s="108"/>
      <c r="S2303" s="108"/>
      <c r="T2303" s="108"/>
      <c r="U2303" s="108"/>
      <c r="V2303" s="108"/>
      <c r="W2303" s="108"/>
      <c r="X2303" s="108"/>
    </row>
    <row r="2304" spans="1:24">
      <c r="A2304" s="107"/>
      <c r="B2304" s="107"/>
      <c r="C2304" s="107"/>
      <c r="D2304" s="107"/>
      <c r="E2304" s="107"/>
      <c r="F2304" s="107"/>
      <c r="G2304" s="108"/>
      <c r="H2304" s="107"/>
      <c r="I2304" s="108"/>
      <c r="J2304" s="108"/>
      <c r="K2304" s="108"/>
      <c r="L2304" s="108"/>
      <c r="M2304" s="108"/>
      <c r="N2304" s="108"/>
      <c r="O2304" s="108"/>
      <c r="P2304" s="108"/>
      <c r="Q2304" s="108"/>
      <c r="R2304" s="108"/>
      <c r="S2304" s="108"/>
      <c r="T2304" s="108"/>
      <c r="U2304" s="108"/>
      <c r="V2304" s="108"/>
      <c r="W2304" s="108"/>
      <c r="X2304" s="108"/>
    </row>
    <row r="2305" spans="1:24">
      <c r="A2305" s="107"/>
      <c r="B2305" s="107"/>
      <c r="C2305" s="107"/>
      <c r="D2305" s="107"/>
      <c r="E2305" s="107"/>
      <c r="F2305" s="107"/>
      <c r="G2305" s="108"/>
      <c r="H2305" s="107"/>
      <c r="I2305" s="108"/>
      <c r="J2305" s="108"/>
      <c r="K2305" s="108"/>
      <c r="L2305" s="108"/>
      <c r="M2305" s="108"/>
      <c r="N2305" s="108"/>
      <c r="O2305" s="108"/>
      <c r="P2305" s="108"/>
      <c r="Q2305" s="108"/>
      <c r="R2305" s="108"/>
      <c r="S2305" s="108"/>
      <c r="T2305" s="108"/>
      <c r="U2305" s="108"/>
      <c r="V2305" s="108"/>
      <c r="W2305" s="108"/>
      <c r="X2305" s="108"/>
    </row>
    <row r="2306" spans="1:24">
      <c r="A2306" s="107"/>
      <c r="B2306" s="107"/>
      <c r="C2306" s="107"/>
      <c r="D2306" s="107"/>
      <c r="E2306" s="107"/>
      <c r="F2306" s="107"/>
      <c r="G2306" s="108"/>
      <c r="H2306" s="107"/>
      <c r="I2306" s="108"/>
      <c r="J2306" s="108"/>
      <c r="K2306" s="108"/>
      <c r="L2306" s="108"/>
      <c r="M2306" s="108"/>
      <c r="N2306" s="108"/>
      <c r="O2306" s="108"/>
      <c r="P2306" s="108"/>
      <c r="Q2306" s="108"/>
      <c r="R2306" s="108"/>
      <c r="S2306" s="108"/>
      <c r="T2306" s="108"/>
      <c r="U2306" s="108"/>
      <c r="V2306" s="108"/>
      <c r="W2306" s="108"/>
      <c r="X2306" s="108"/>
    </row>
    <row r="2307" spans="1:24">
      <c r="A2307" s="107"/>
      <c r="B2307" s="107"/>
      <c r="C2307" s="107"/>
      <c r="D2307" s="107"/>
      <c r="E2307" s="107"/>
      <c r="F2307" s="107"/>
      <c r="G2307" s="108"/>
      <c r="H2307" s="107"/>
      <c r="I2307" s="108"/>
      <c r="J2307" s="108"/>
      <c r="K2307" s="108"/>
      <c r="L2307" s="108"/>
      <c r="M2307" s="108"/>
      <c r="N2307" s="108"/>
      <c r="O2307" s="108"/>
      <c r="P2307" s="108"/>
      <c r="Q2307" s="108"/>
      <c r="R2307" s="108"/>
      <c r="S2307" s="108"/>
      <c r="T2307" s="108"/>
      <c r="U2307" s="108"/>
      <c r="V2307" s="108"/>
      <c r="W2307" s="108"/>
      <c r="X2307" s="108"/>
    </row>
    <row r="2308" spans="1:24">
      <c r="A2308" s="107"/>
      <c r="B2308" s="107"/>
      <c r="C2308" s="107"/>
      <c r="D2308" s="107"/>
      <c r="E2308" s="107"/>
      <c r="F2308" s="107"/>
      <c r="G2308" s="108"/>
      <c r="H2308" s="107"/>
      <c r="I2308" s="108"/>
      <c r="J2308" s="108"/>
      <c r="K2308" s="108"/>
      <c r="L2308" s="108"/>
      <c r="M2308" s="108"/>
      <c r="N2308" s="108"/>
      <c r="O2308" s="108"/>
      <c r="P2308" s="108"/>
      <c r="Q2308" s="108"/>
      <c r="R2308" s="108"/>
      <c r="S2308" s="108"/>
      <c r="T2308" s="108"/>
      <c r="U2308" s="108"/>
      <c r="V2308" s="108"/>
      <c r="W2308" s="108"/>
      <c r="X2308" s="108"/>
    </row>
    <row r="2309" spans="1:24">
      <c r="A2309" s="107"/>
      <c r="B2309" s="107"/>
      <c r="C2309" s="107"/>
      <c r="D2309" s="107"/>
      <c r="E2309" s="107"/>
      <c r="F2309" s="107"/>
      <c r="G2309" s="108"/>
      <c r="H2309" s="107"/>
      <c r="I2309" s="108"/>
      <c r="J2309" s="108"/>
      <c r="K2309" s="108"/>
      <c r="L2309" s="108"/>
      <c r="M2309" s="108"/>
      <c r="N2309" s="108"/>
      <c r="O2309" s="108"/>
      <c r="P2309" s="108"/>
      <c r="Q2309" s="108"/>
      <c r="R2309" s="108"/>
      <c r="S2309" s="108"/>
      <c r="T2309" s="108"/>
      <c r="U2309" s="108"/>
      <c r="V2309" s="108"/>
      <c r="W2309" s="108"/>
      <c r="X2309" s="108"/>
    </row>
    <row r="2310" spans="1:24">
      <c r="A2310" s="107"/>
      <c r="B2310" s="107"/>
      <c r="C2310" s="107"/>
      <c r="D2310" s="107"/>
      <c r="E2310" s="107"/>
      <c r="F2310" s="107"/>
      <c r="G2310" s="108"/>
      <c r="H2310" s="107"/>
      <c r="I2310" s="108"/>
      <c r="J2310" s="108"/>
      <c r="K2310" s="108"/>
      <c r="L2310" s="108"/>
      <c r="M2310" s="108"/>
      <c r="N2310" s="108"/>
      <c r="O2310" s="108"/>
      <c r="P2310" s="108"/>
      <c r="Q2310" s="108"/>
      <c r="R2310" s="108"/>
      <c r="S2310" s="108"/>
      <c r="T2310" s="108"/>
      <c r="U2310" s="108"/>
      <c r="V2310" s="108"/>
      <c r="W2310" s="108"/>
      <c r="X2310" s="108"/>
    </row>
    <row r="2311" spans="1:24">
      <c r="A2311" s="107"/>
      <c r="B2311" s="107"/>
      <c r="C2311" s="107"/>
      <c r="D2311" s="107"/>
      <c r="E2311" s="107"/>
      <c r="F2311" s="107"/>
      <c r="G2311" s="108"/>
      <c r="H2311" s="107"/>
      <c r="I2311" s="108"/>
      <c r="J2311" s="108"/>
      <c r="K2311" s="108"/>
      <c r="L2311" s="108"/>
      <c r="M2311" s="108"/>
      <c r="N2311" s="108"/>
      <c r="O2311" s="108"/>
      <c r="P2311" s="108"/>
      <c r="Q2311" s="108"/>
      <c r="R2311" s="108"/>
      <c r="S2311" s="108"/>
      <c r="T2311" s="108"/>
      <c r="U2311" s="108"/>
      <c r="V2311" s="108"/>
      <c r="W2311" s="108"/>
      <c r="X2311" s="108"/>
    </row>
    <row r="2312" spans="1:24">
      <c r="A2312" s="107"/>
      <c r="B2312" s="107"/>
      <c r="C2312" s="107"/>
      <c r="D2312" s="107"/>
      <c r="E2312" s="107"/>
      <c r="F2312" s="107"/>
      <c r="G2312" s="108"/>
      <c r="H2312" s="107"/>
      <c r="I2312" s="108"/>
      <c r="J2312" s="108"/>
      <c r="K2312" s="108"/>
      <c r="L2312" s="108"/>
      <c r="M2312" s="108"/>
      <c r="N2312" s="108"/>
      <c r="O2312" s="108"/>
      <c r="P2312" s="108"/>
      <c r="Q2312" s="108"/>
      <c r="R2312" s="108"/>
      <c r="S2312" s="108"/>
      <c r="T2312" s="108"/>
      <c r="U2312" s="108"/>
      <c r="V2312" s="108"/>
      <c r="W2312" s="108"/>
      <c r="X2312" s="108"/>
    </row>
    <row r="2313" spans="1:24">
      <c r="A2313" s="107"/>
      <c r="B2313" s="107"/>
      <c r="C2313" s="107"/>
      <c r="D2313" s="107"/>
      <c r="E2313" s="107"/>
      <c r="F2313" s="107"/>
      <c r="G2313" s="108"/>
      <c r="H2313" s="107"/>
      <c r="I2313" s="108"/>
      <c r="J2313" s="108"/>
      <c r="K2313" s="108"/>
      <c r="L2313" s="108"/>
      <c r="M2313" s="108"/>
      <c r="N2313" s="108"/>
      <c r="O2313" s="108"/>
      <c r="P2313" s="108"/>
      <c r="Q2313" s="108"/>
      <c r="R2313" s="108"/>
      <c r="S2313" s="108"/>
      <c r="T2313" s="108"/>
      <c r="U2313" s="108"/>
      <c r="V2313" s="108"/>
      <c r="W2313" s="108"/>
      <c r="X2313" s="108"/>
    </row>
    <row r="2314" spans="1:24">
      <c r="A2314" s="107"/>
      <c r="B2314" s="107"/>
      <c r="C2314" s="107"/>
      <c r="D2314" s="107"/>
      <c r="E2314" s="107"/>
      <c r="F2314" s="107"/>
      <c r="G2314" s="108"/>
      <c r="H2314" s="107"/>
      <c r="I2314" s="108"/>
      <c r="J2314" s="108"/>
      <c r="K2314" s="108"/>
      <c r="L2314" s="108"/>
      <c r="M2314" s="108"/>
      <c r="N2314" s="108"/>
      <c r="O2314" s="108"/>
      <c r="P2314" s="108"/>
      <c r="Q2314" s="108"/>
      <c r="R2314" s="108"/>
      <c r="S2314" s="108"/>
      <c r="T2314" s="108"/>
      <c r="U2314" s="108"/>
      <c r="V2314" s="108"/>
      <c r="W2314" s="108"/>
      <c r="X2314" s="108"/>
    </row>
    <row r="2315" spans="1:24">
      <c r="A2315" s="107"/>
      <c r="B2315" s="107"/>
      <c r="C2315" s="107"/>
      <c r="D2315" s="107"/>
      <c r="E2315" s="107"/>
      <c r="F2315" s="107"/>
      <c r="G2315" s="108"/>
      <c r="H2315" s="107"/>
      <c r="I2315" s="108"/>
      <c r="J2315" s="108"/>
      <c r="K2315" s="108"/>
      <c r="L2315" s="108"/>
      <c r="M2315" s="108"/>
      <c r="N2315" s="108"/>
      <c r="O2315" s="108"/>
      <c r="P2315" s="108"/>
      <c r="Q2315" s="108"/>
      <c r="R2315" s="108"/>
      <c r="S2315" s="108"/>
      <c r="T2315" s="108"/>
      <c r="U2315" s="108"/>
      <c r="V2315" s="108"/>
      <c r="W2315" s="108"/>
      <c r="X2315" s="108"/>
    </row>
    <row r="2316" spans="1:24">
      <c r="A2316" s="107"/>
      <c r="B2316" s="107"/>
      <c r="C2316" s="107"/>
      <c r="D2316" s="107"/>
      <c r="E2316" s="107"/>
      <c r="F2316" s="107"/>
      <c r="G2316" s="108"/>
      <c r="H2316" s="107"/>
      <c r="I2316" s="108"/>
      <c r="J2316" s="108"/>
      <c r="K2316" s="108"/>
      <c r="L2316" s="108"/>
      <c r="M2316" s="108"/>
      <c r="N2316" s="108"/>
      <c r="O2316" s="108"/>
      <c r="P2316" s="108"/>
      <c r="Q2316" s="108"/>
      <c r="R2316" s="108"/>
      <c r="S2316" s="108"/>
      <c r="T2316" s="108"/>
      <c r="U2316" s="108"/>
      <c r="V2316" s="108"/>
      <c r="W2316" s="108"/>
      <c r="X2316" s="108"/>
    </row>
    <row r="2317" spans="1:24">
      <c r="A2317" s="107"/>
      <c r="B2317" s="107"/>
      <c r="C2317" s="107"/>
      <c r="D2317" s="107"/>
      <c r="E2317" s="107"/>
      <c r="F2317" s="107"/>
      <c r="G2317" s="108"/>
      <c r="H2317" s="107"/>
      <c r="I2317" s="108"/>
      <c r="J2317" s="108"/>
      <c r="K2317" s="108"/>
      <c r="L2317" s="108"/>
      <c r="M2317" s="108"/>
      <c r="N2317" s="108"/>
      <c r="O2317" s="108"/>
      <c r="P2317" s="108"/>
      <c r="Q2317" s="108"/>
      <c r="R2317" s="108"/>
      <c r="S2317" s="108"/>
      <c r="T2317" s="108"/>
      <c r="U2317" s="108"/>
      <c r="V2317" s="108"/>
      <c r="W2317" s="108"/>
      <c r="X2317" s="108"/>
    </row>
    <row r="2318" spans="1:24">
      <c r="A2318" s="107"/>
      <c r="B2318" s="107"/>
      <c r="C2318" s="107"/>
      <c r="D2318" s="107"/>
      <c r="E2318" s="107"/>
      <c r="F2318" s="107"/>
      <c r="G2318" s="108"/>
      <c r="H2318" s="107"/>
      <c r="I2318" s="108"/>
      <c r="J2318" s="108"/>
      <c r="K2318" s="108"/>
      <c r="L2318" s="108"/>
      <c r="M2318" s="108"/>
      <c r="N2318" s="108"/>
      <c r="O2318" s="108"/>
      <c r="P2318" s="108"/>
      <c r="Q2318" s="108"/>
      <c r="R2318" s="108"/>
      <c r="S2318" s="108"/>
      <c r="T2318" s="108"/>
      <c r="U2318" s="108"/>
      <c r="V2318" s="108"/>
      <c r="W2318" s="108"/>
      <c r="X2318" s="108"/>
    </row>
    <row r="2319" spans="1:24">
      <c r="A2319" s="107"/>
      <c r="B2319" s="107"/>
      <c r="C2319" s="107"/>
      <c r="D2319" s="107"/>
      <c r="E2319" s="107"/>
      <c r="F2319" s="107"/>
      <c r="G2319" s="108"/>
      <c r="H2319" s="107"/>
      <c r="I2319" s="108"/>
      <c r="J2319" s="108"/>
      <c r="K2319" s="108"/>
      <c r="L2319" s="108"/>
      <c r="M2319" s="108"/>
      <c r="N2319" s="108"/>
      <c r="O2319" s="108"/>
      <c r="P2319" s="108"/>
      <c r="Q2319" s="108"/>
      <c r="R2319" s="108"/>
      <c r="S2319" s="108"/>
      <c r="T2319" s="108"/>
      <c r="U2319" s="108"/>
      <c r="V2319" s="108"/>
      <c r="W2319" s="108"/>
      <c r="X2319" s="108"/>
    </row>
    <row r="2320" spans="1:24">
      <c r="A2320" s="107"/>
      <c r="B2320" s="107"/>
      <c r="C2320" s="107"/>
      <c r="D2320" s="107"/>
      <c r="E2320" s="107"/>
      <c r="F2320" s="107"/>
      <c r="G2320" s="108"/>
      <c r="H2320" s="107"/>
      <c r="I2320" s="108"/>
      <c r="J2320" s="108"/>
      <c r="K2320" s="108"/>
      <c r="L2320" s="108"/>
      <c r="M2320" s="108"/>
      <c r="N2320" s="108"/>
      <c r="O2320" s="108"/>
      <c r="P2320" s="108"/>
      <c r="Q2320" s="108"/>
      <c r="R2320" s="108"/>
      <c r="S2320" s="108"/>
      <c r="T2320" s="108"/>
      <c r="U2320" s="108"/>
      <c r="V2320" s="108"/>
      <c r="W2320" s="108"/>
      <c r="X2320" s="108"/>
    </row>
    <row r="2321" spans="1:24">
      <c r="A2321" s="107"/>
      <c r="B2321" s="107"/>
      <c r="C2321" s="107"/>
      <c r="D2321" s="107"/>
      <c r="E2321" s="107"/>
      <c r="F2321" s="107"/>
      <c r="G2321" s="108"/>
      <c r="H2321" s="107"/>
      <c r="I2321" s="108"/>
      <c r="J2321" s="108"/>
      <c r="K2321" s="108"/>
      <c r="L2321" s="108"/>
      <c r="M2321" s="108"/>
      <c r="N2321" s="108"/>
      <c r="O2321" s="108"/>
      <c r="P2321" s="108"/>
      <c r="Q2321" s="108"/>
      <c r="R2321" s="108"/>
      <c r="S2321" s="108"/>
      <c r="T2321" s="108"/>
      <c r="U2321" s="108"/>
      <c r="V2321" s="108"/>
      <c r="W2321" s="108"/>
      <c r="X2321" s="108"/>
    </row>
    <row r="2322" spans="1:24">
      <c r="A2322" s="107"/>
      <c r="B2322" s="107"/>
      <c r="C2322" s="107"/>
      <c r="D2322" s="107"/>
      <c r="E2322" s="107"/>
      <c r="F2322" s="107"/>
      <c r="G2322" s="108"/>
      <c r="H2322" s="107"/>
      <c r="I2322" s="108"/>
      <c r="J2322" s="108"/>
      <c r="K2322" s="108"/>
      <c r="L2322" s="108"/>
      <c r="M2322" s="108"/>
      <c r="N2322" s="108"/>
      <c r="O2322" s="108"/>
      <c r="P2322" s="108"/>
      <c r="Q2322" s="108"/>
      <c r="R2322" s="108"/>
      <c r="S2322" s="108"/>
      <c r="T2322" s="108"/>
      <c r="U2322" s="108"/>
      <c r="V2322" s="108"/>
      <c r="W2322" s="108"/>
      <c r="X2322" s="108"/>
    </row>
    <row r="2323" spans="1:24">
      <c r="A2323" s="107"/>
      <c r="B2323" s="107"/>
      <c r="C2323" s="107"/>
      <c r="D2323" s="107"/>
      <c r="E2323" s="107"/>
      <c r="F2323" s="107"/>
      <c r="G2323" s="108"/>
      <c r="H2323" s="107"/>
      <c r="I2323" s="108"/>
      <c r="J2323" s="108"/>
      <c r="K2323" s="108"/>
      <c r="L2323" s="108"/>
      <c r="M2323" s="108"/>
      <c r="N2323" s="108"/>
      <c r="O2323" s="108"/>
      <c r="P2323" s="108"/>
      <c r="Q2323" s="108"/>
      <c r="R2323" s="108"/>
      <c r="S2323" s="108"/>
      <c r="T2323" s="108"/>
      <c r="U2323" s="108"/>
      <c r="V2323" s="108"/>
      <c r="W2323" s="108"/>
      <c r="X2323" s="108"/>
    </row>
    <row r="2324" spans="1:24">
      <c r="A2324" s="107"/>
      <c r="B2324" s="107"/>
      <c r="C2324" s="107"/>
      <c r="D2324" s="107"/>
      <c r="E2324" s="107"/>
      <c r="F2324" s="107"/>
      <c r="G2324" s="108"/>
      <c r="H2324" s="107"/>
      <c r="I2324" s="108"/>
      <c r="J2324" s="108"/>
      <c r="K2324" s="108"/>
      <c r="L2324" s="108"/>
      <c r="M2324" s="108"/>
      <c r="N2324" s="108"/>
      <c r="O2324" s="108"/>
      <c r="P2324" s="108"/>
      <c r="Q2324" s="108"/>
      <c r="R2324" s="108"/>
      <c r="S2324" s="108"/>
      <c r="T2324" s="108"/>
      <c r="U2324" s="108"/>
      <c r="V2324" s="108"/>
      <c r="W2324" s="108"/>
      <c r="X2324" s="108"/>
    </row>
    <row r="2325" spans="1:24">
      <c r="A2325" s="107"/>
      <c r="B2325" s="107"/>
      <c r="C2325" s="107"/>
      <c r="D2325" s="107"/>
      <c r="E2325" s="107"/>
      <c r="F2325" s="107"/>
      <c r="G2325" s="108"/>
      <c r="H2325" s="107"/>
      <c r="I2325" s="108"/>
      <c r="J2325" s="108"/>
      <c r="K2325" s="108"/>
      <c r="L2325" s="108"/>
      <c r="M2325" s="108"/>
      <c r="N2325" s="108"/>
      <c r="O2325" s="108"/>
      <c r="P2325" s="108"/>
      <c r="Q2325" s="108"/>
      <c r="R2325" s="108"/>
      <c r="S2325" s="108"/>
      <c r="T2325" s="108"/>
      <c r="U2325" s="108"/>
      <c r="V2325" s="108"/>
      <c r="W2325" s="108"/>
      <c r="X2325" s="108"/>
    </row>
    <row r="2326" spans="1:24">
      <c r="A2326" s="107"/>
      <c r="B2326" s="107"/>
      <c r="C2326" s="107"/>
      <c r="D2326" s="107"/>
      <c r="E2326" s="107"/>
      <c r="F2326" s="107"/>
      <c r="G2326" s="108"/>
      <c r="H2326" s="107"/>
      <c r="I2326" s="108"/>
      <c r="J2326" s="108"/>
      <c r="K2326" s="108"/>
      <c r="L2326" s="108"/>
      <c r="M2326" s="108"/>
      <c r="N2326" s="108"/>
      <c r="O2326" s="108"/>
      <c r="P2326" s="108"/>
      <c r="Q2326" s="108"/>
      <c r="R2326" s="108"/>
      <c r="S2326" s="108"/>
      <c r="T2326" s="108"/>
      <c r="U2326" s="108"/>
      <c r="V2326" s="108"/>
      <c r="W2326" s="108"/>
      <c r="X2326" s="108"/>
    </row>
    <row r="2327" spans="1:24">
      <c r="A2327" s="107"/>
      <c r="B2327" s="107"/>
      <c r="C2327" s="107"/>
      <c r="D2327" s="107"/>
      <c r="E2327" s="107"/>
      <c r="F2327" s="107"/>
      <c r="G2327" s="108"/>
      <c r="H2327" s="107"/>
      <c r="I2327" s="108"/>
      <c r="J2327" s="108"/>
      <c r="K2327" s="108"/>
      <c r="L2327" s="108"/>
      <c r="M2327" s="108"/>
      <c r="N2327" s="108"/>
      <c r="O2327" s="108"/>
      <c r="P2327" s="108"/>
      <c r="Q2327" s="108"/>
      <c r="R2327" s="108"/>
      <c r="S2327" s="108"/>
      <c r="T2327" s="108"/>
      <c r="U2327" s="108"/>
      <c r="V2327" s="108"/>
      <c r="W2327" s="108"/>
      <c r="X2327" s="108"/>
    </row>
    <row r="2328" spans="1:24">
      <c r="A2328" s="107"/>
      <c r="B2328" s="107"/>
      <c r="C2328" s="107"/>
      <c r="D2328" s="107"/>
      <c r="E2328" s="107"/>
      <c r="F2328" s="107"/>
      <c r="G2328" s="108"/>
      <c r="H2328" s="107"/>
      <c r="I2328" s="108"/>
      <c r="J2328" s="108"/>
      <c r="K2328" s="108"/>
      <c r="L2328" s="108"/>
      <c r="M2328" s="108"/>
      <c r="N2328" s="108"/>
      <c r="O2328" s="108"/>
      <c r="P2328" s="108"/>
      <c r="Q2328" s="108"/>
      <c r="R2328" s="108"/>
      <c r="S2328" s="108"/>
      <c r="T2328" s="108"/>
      <c r="U2328" s="108"/>
      <c r="V2328" s="108"/>
      <c r="W2328" s="108"/>
      <c r="X2328" s="108"/>
    </row>
    <row r="2329" spans="1:24">
      <c r="A2329" s="107"/>
      <c r="B2329" s="107"/>
      <c r="C2329" s="107"/>
      <c r="D2329" s="107"/>
      <c r="E2329" s="107"/>
      <c r="F2329" s="107"/>
      <c r="G2329" s="108"/>
      <c r="H2329" s="107"/>
      <c r="I2329" s="108"/>
      <c r="J2329" s="108"/>
      <c r="K2329" s="108"/>
      <c r="L2329" s="108"/>
      <c r="M2329" s="108"/>
      <c r="N2329" s="108"/>
      <c r="O2329" s="108"/>
      <c r="P2329" s="108"/>
      <c r="Q2329" s="108"/>
      <c r="R2329" s="108"/>
      <c r="S2329" s="108"/>
      <c r="T2329" s="108"/>
      <c r="U2329" s="108"/>
      <c r="V2329" s="108"/>
      <c r="W2329" s="108"/>
      <c r="X2329" s="108"/>
    </row>
    <row r="2330" spans="1:24">
      <c r="A2330" s="107"/>
      <c r="B2330" s="107"/>
      <c r="C2330" s="107"/>
      <c r="D2330" s="107"/>
      <c r="E2330" s="107"/>
      <c r="F2330" s="107"/>
      <c r="G2330" s="108"/>
      <c r="H2330" s="107"/>
      <c r="I2330" s="108"/>
      <c r="J2330" s="108"/>
      <c r="K2330" s="108"/>
      <c r="L2330" s="108"/>
      <c r="M2330" s="108"/>
      <c r="N2330" s="108"/>
      <c r="O2330" s="108"/>
      <c r="P2330" s="108"/>
      <c r="Q2330" s="108"/>
      <c r="R2330" s="108"/>
      <c r="S2330" s="108"/>
      <c r="T2330" s="108"/>
      <c r="U2330" s="108"/>
      <c r="V2330" s="108"/>
      <c r="W2330" s="108"/>
      <c r="X2330" s="108"/>
    </row>
    <row r="2331" spans="1:24">
      <c r="A2331" s="107"/>
      <c r="B2331" s="107"/>
      <c r="C2331" s="107"/>
      <c r="D2331" s="107"/>
      <c r="E2331" s="107"/>
      <c r="F2331" s="107"/>
      <c r="G2331" s="108"/>
      <c r="H2331" s="107"/>
      <c r="I2331" s="108"/>
      <c r="J2331" s="108"/>
      <c r="K2331" s="108"/>
      <c r="L2331" s="108"/>
      <c r="M2331" s="108"/>
      <c r="N2331" s="108"/>
      <c r="O2331" s="108"/>
      <c r="P2331" s="108"/>
      <c r="Q2331" s="108"/>
      <c r="R2331" s="108"/>
      <c r="S2331" s="108"/>
      <c r="T2331" s="108"/>
      <c r="U2331" s="108"/>
      <c r="V2331" s="108"/>
      <c r="W2331" s="108"/>
      <c r="X2331" s="108"/>
    </row>
    <row r="2332" spans="1:24">
      <c r="A2332" s="107"/>
      <c r="B2332" s="107"/>
      <c r="C2332" s="107"/>
      <c r="D2332" s="107"/>
      <c r="E2332" s="107"/>
      <c r="F2332" s="107"/>
      <c r="G2332" s="108"/>
      <c r="H2332" s="107"/>
      <c r="I2332" s="108"/>
      <c r="J2332" s="108"/>
      <c r="K2332" s="108"/>
      <c r="L2332" s="108"/>
      <c r="M2332" s="108"/>
      <c r="N2332" s="108"/>
      <c r="O2332" s="108"/>
      <c r="P2332" s="108"/>
      <c r="Q2332" s="108"/>
      <c r="R2332" s="108"/>
      <c r="S2332" s="108"/>
      <c r="T2332" s="108"/>
      <c r="U2332" s="108"/>
      <c r="V2332" s="108"/>
      <c r="W2332" s="108"/>
      <c r="X2332" s="108"/>
    </row>
    <row r="2333" spans="1:24">
      <c r="A2333" s="107"/>
      <c r="B2333" s="107"/>
      <c r="C2333" s="107"/>
      <c r="D2333" s="107"/>
      <c r="E2333" s="107"/>
      <c r="F2333" s="107"/>
      <c r="G2333" s="108"/>
      <c r="H2333" s="107"/>
      <c r="I2333" s="108"/>
      <c r="J2333" s="108"/>
      <c r="K2333" s="108"/>
      <c r="L2333" s="108"/>
      <c r="M2333" s="108"/>
      <c r="N2333" s="108"/>
      <c r="O2333" s="108"/>
      <c r="P2333" s="108"/>
      <c r="Q2333" s="108"/>
      <c r="R2333" s="108"/>
      <c r="S2333" s="108"/>
      <c r="T2333" s="108"/>
      <c r="U2333" s="108"/>
      <c r="V2333" s="108"/>
      <c r="W2333" s="108"/>
      <c r="X2333" s="108"/>
    </row>
    <row r="2334" spans="1:24">
      <c r="A2334" s="107"/>
      <c r="B2334" s="107"/>
      <c r="C2334" s="107"/>
      <c r="D2334" s="107"/>
      <c r="E2334" s="107"/>
      <c r="F2334" s="107"/>
      <c r="G2334" s="108"/>
      <c r="H2334" s="107"/>
      <c r="I2334" s="108"/>
      <c r="J2334" s="108"/>
      <c r="K2334" s="108"/>
      <c r="L2334" s="108"/>
      <c r="M2334" s="108"/>
      <c r="N2334" s="108"/>
      <c r="O2334" s="108"/>
      <c r="P2334" s="108"/>
      <c r="Q2334" s="108"/>
      <c r="R2334" s="108"/>
      <c r="S2334" s="108"/>
      <c r="T2334" s="108"/>
      <c r="U2334" s="108"/>
      <c r="V2334" s="108"/>
      <c r="W2334" s="108"/>
      <c r="X2334" s="108"/>
    </row>
    <row r="2335" spans="1:24">
      <c r="A2335" s="107"/>
      <c r="B2335" s="107"/>
      <c r="C2335" s="107"/>
      <c r="D2335" s="107"/>
      <c r="E2335" s="107"/>
      <c r="F2335" s="107"/>
      <c r="G2335" s="108"/>
      <c r="H2335" s="107"/>
      <c r="I2335" s="108"/>
      <c r="J2335" s="108"/>
      <c r="K2335" s="108"/>
      <c r="L2335" s="108"/>
      <c r="M2335" s="108"/>
      <c r="N2335" s="108"/>
      <c r="O2335" s="108"/>
      <c r="P2335" s="108"/>
      <c r="Q2335" s="108"/>
      <c r="R2335" s="108"/>
      <c r="S2335" s="108"/>
      <c r="T2335" s="108"/>
      <c r="U2335" s="108"/>
      <c r="V2335" s="108"/>
      <c r="W2335" s="108"/>
      <c r="X2335" s="108"/>
    </row>
    <row r="2336" spans="1:24">
      <c r="A2336" s="107"/>
      <c r="B2336" s="107"/>
      <c r="C2336" s="107"/>
      <c r="D2336" s="107"/>
      <c r="E2336" s="107"/>
      <c r="F2336" s="107"/>
      <c r="G2336" s="108"/>
      <c r="H2336" s="107"/>
      <c r="I2336" s="108"/>
      <c r="J2336" s="108"/>
      <c r="K2336" s="108"/>
      <c r="L2336" s="108"/>
      <c r="M2336" s="108"/>
      <c r="N2336" s="108"/>
      <c r="O2336" s="108"/>
      <c r="P2336" s="108"/>
      <c r="Q2336" s="108"/>
      <c r="R2336" s="108"/>
      <c r="S2336" s="108"/>
      <c r="T2336" s="108"/>
      <c r="U2336" s="108"/>
      <c r="V2336" s="108"/>
      <c r="W2336" s="108"/>
      <c r="X2336" s="108"/>
    </row>
    <row r="2337" spans="1:24">
      <c r="A2337" s="107"/>
      <c r="B2337" s="107"/>
      <c r="C2337" s="107"/>
      <c r="D2337" s="107"/>
      <c r="E2337" s="107"/>
      <c r="F2337" s="107"/>
      <c r="G2337" s="108"/>
      <c r="H2337" s="107"/>
      <c r="I2337" s="108"/>
      <c r="J2337" s="108"/>
      <c r="K2337" s="108"/>
      <c r="L2337" s="108"/>
      <c r="M2337" s="108"/>
      <c r="N2337" s="108"/>
      <c r="O2337" s="108"/>
      <c r="P2337" s="108"/>
      <c r="Q2337" s="108"/>
      <c r="R2337" s="108"/>
      <c r="S2337" s="108"/>
      <c r="T2337" s="108"/>
      <c r="U2337" s="108"/>
      <c r="V2337" s="108"/>
      <c r="W2337" s="108"/>
      <c r="X2337" s="108"/>
    </row>
    <row r="2338" spans="1:24">
      <c r="A2338" s="107"/>
      <c r="B2338" s="107"/>
      <c r="C2338" s="107"/>
      <c r="D2338" s="107"/>
      <c r="E2338" s="107"/>
      <c r="F2338" s="107"/>
      <c r="G2338" s="108"/>
      <c r="H2338" s="107"/>
      <c r="I2338" s="108"/>
      <c r="J2338" s="108"/>
      <c r="K2338" s="108"/>
      <c r="L2338" s="108"/>
      <c r="M2338" s="108"/>
      <c r="N2338" s="108"/>
      <c r="O2338" s="108"/>
      <c r="P2338" s="108"/>
      <c r="Q2338" s="108"/>
      <c r="R2338" s="108"/>
      <c r="S2338" s="108"/>
      <c r="T2338" s="108"/>
      <c r="U2338" s="108"/>
      <c r="V2338" s="108"/>
      <c r="W2338" s="108"/>
      <c r="X2338" s="108"/>
    </row>
    <row r="2339" spans="1:24">
      <c r="A2339" s="107"/>
      <c r="B2339" s="107"/>
      <c r="C2339" s="107"/>
      <c r="D2339" s="107"/>
      <c r="E2339" s="107"/>
      <c r="F2339" s="107"/>
      <c r="G2339" s="108"/>
      <c r="H2339" s="107"/>
      <c r="I2339" s="108"/>
      <c r="J2339" s="108"/>
      <c r="K2339" s="108"/>
      <c r="L2339" s="108"/>
      <c r="M2339" s="108"/>
      <c r="N2339" s="108"/>
      <c r="O2339" s="108"/>
      <c r="P2339" s="108"/>
      <c r="Q2339" s="108"/>
      <c r="R2339" s="108"/>
      <c r="S2339" s="108"/>
      <c r="T2339" s="108"/>
      <c r="U2339" s="108"/>
      <c r="V2339" s="108"/>
      <c r="W2339" s="108"/>
      <c r="X2339" s="108"/>
    </row>
    <row r="2340" spans="1:24">
      <c r="A2340" s="107"/>
      <c r="B2340" s="107"/>
      <c r="C2340" s="107"/>
      <c r="D2340" s="107"/>
      <c r="E2340" s="107"/>
      <c r="F2340" s="107"/>
      <c r="G2340" s="108"/>
      <c r="H2340" s="107"/>
      <c r="I2340" s="108"/>
      <c r="J2340" s="108"/>
      <c r="K2340" s="108"/>
      <c r="L2340" s="108"/>
      <c r="M2340" s="108"/>
      <c r="N2340" s="108"/>
      <c r="O2340" s="108"/>
      <c r="P2340" s="108"/>
      <c r="Q2340" s="108"/>
      <c r="R2340" s="108"/>
      <c r="S2340" s="108"/>
      <c r="T2340" s="108"/>
      <c r="U2340" s="108"/>
      <c r="V2340" s="108"/>
      <c r="W2340" s="108"/>
      <c r="X2340" s="108"/>
    </row>
    <row r="2341" spans="1:24">
      <c r="A2341" s="107"/>
      <c r="B2341" s="107"/>
      <c r="C2341" s="107"/>
      <c r="D2341" s="107"/>
      <c r="E2341" s="107"/>
      <c r="F2341" s="107"/>
      <c r="G2341" s="108"/>
      <c r="H2341" s="107"/>
      <c r="I2341" s="108"/>
      <c r="J2341" s="108"/>
      <c r="K2341" s="108"/>
      <c r="L2341" s="108"/>
      <c r="M2341" s="108"/>
      <c r="N2341" s="108"/>
      <c r="O2341" s="108"/>
      <c r="P2341" s="108"/>
      <c r="Q2341" s="108"/>
      <c r="R2341" s="108"/>
      <c r="S2341" s="108"/>
      <c r="T2341" s="108"/>
      <c r="U2341" s="108"/>
      <c r="V2341" s="108"/>
      <c r="W2341" s="108"/>
      <c r="X2341" s="108"/>
    </row>
    <row r="2342" spans="1:24">
      <c r="A2342" s="107"/>
      <c r="B2342" s="107"/>
      <c r="C2342" s="107"/>
      <c r="D2342" s="107"/>
      <c r="E2342" s="107"/>
      <c r="F2342" s="107"/>
      <c r="G2342" s="108"/>
      <c r="H2342" s="107"/>
      <c r="I2342" s="108"/>
      <c r="J2342" s="108"/>
      <c r="K2342" s="108"/>
      <c r="L2342" s="108"/>
      <c r="M2342" s="108"/>
      <c r="N2342" s="108"/>
      <c r="O2342" s="108"/>
      <c r="P2342" s="108"/>
      <c r="Q2342" s="108"/>
      <c r="R2342" s="108"/>
      <c r="S2342" s="108"/>
      <c r="T2342" s="108"/>
      <c r="U2342" s="108"/>
      <c r="V2342" s="108"/>
      <c r="W2342" s="108"/>
      <c r="X2342" s="108"/>
    </row>
    <row r="2343" spans="1:24">
      <c r="A2343" s="107"/>
      <c r="B2343" s="107"/>
      <c r="C2343" s="107"/>
      <c r="D2343" s="107"/>
      <c r="E2343" s="107"/>
      <c r="F2343" s="107"/>
      <c r="G2343" s="108"/>
      <c r="H2343" s="107"/>
      <c r="I2343" s="108"/>
      <c r="J2343" s="108"/>
      <c r="K2343" s="108"/>
      <c r="L2343" s="108"/>
      <c r="M2343" s="108"/>
      <c r="N2343" s="108"/>
      <c r="O2343" s="108"/>
      <c r="P2343" s="108"/>
      <c r="Q2343" s="108"/>
      <c r="R2343" s="108"/>
      <c r="S2343" s="108"/>
      <c r="T2343" s="108"/>
      <c r="U2343" s="108"/>
      <c r="V2343" s="108"/>
      <c r="W2343" s="108"/>
      <c r="X2343" s="108"/>
    </row>
    <row r="2344" spans="1:24">
      <c r="A2344" s="107"/>
      <c r="B2344" s="107"/>
      <c r="C2344" s="107"/>
      <c r="D2344" s="107"/>
      <c r="E2344" s="107"/>
      <c r="F2344" s="107"/>
      <c r="G2344" s="108"/>
      <c r="H2344" s="107"/>
      <c r="I2344" s="108"/>
      <c r="J2344" s="108"/>
      <c r="K2344" s="108"/>
      <c r="L2344" s="108"/>
      <c r="M2344" s="108"/>
      <c r="N2344" s="108"/>
      <c r="O2344" s="108"/>
      <c r="P2344" s="108"/>
      <c r="Q2344" s="108"/>
      <c r="R2344" s="108"/>
      <c r="S2344" s="108"/>
      <c r="T2344" s="108"/>
      <c r="U2344" s="108"/>
      <c r="V2344" s="108"/>
      <c r="W2344" s="108"/>
      <c r="X2344" s="108"/>
    </row>
    <row r="2345" spans="1:24">
      <c r="A2345" s="107"/>
      <c r="B2345" s="107"/>
      <c r="C2345" s="107"/>
      <c r="D2345" s="107"/>
      <c r="E2345" s="107"/>
      <c r="F2345" s="107"/>
      <c r="G2345" s="108"/>
      <c r="H2345" s="107"/>
      <c r="I2345" s="108"/>
      <c r="J2345" s="108"/>
      <c r="K2345" s="108"/>
      <c r="L2345" s="108"/>
      <c r="M2345" s="108"/>
      <c r="N2345" s="108"/>
      <c r="O2345" s="108"/>
      <c r="P2345" s="108"/>
      <c r="Q2345" s="108"/>
      <c r="R2345" s="108"/>
      <c r="S2345" s="108"/>
      <c r="T2345" s="108"/>
      <c r="U2345" s="108"/>
      <c r="V2345" s="108"/>
      <c r="W2345" s="108"/>
      <c r="X2345" s="108"/>
    </row>
    <row r="2346" spans="1:24">
      <c r="A2346" s="107"/>
      <c r="B2346" s="107"/>
      <c r="C2346" s="107"/>
      <c r="D2346" s="107"/>
      <c r="E2346" s="107"/>
      <c r="F2346" s="107"/>
      <c r="G2346" s="108"/>
      <c r="H2346" s="107"/>
      <c r="I2346" s="108"/>
      <c r="J2346" s="108"/>
      <c r="K2346" s="108"/>
      <c r="L2346" s="108"/>
      <c r="M2346" s="108"/>
      <c r="N2346" s="108"/>
      <c r="O2346" s="108"/>
      <c r="P2346" s="108"/>
      <c r="Q2346" s="108"/>
      <c r="R2346" s="108"/>
      <c r="S2346" s="108"/>
      <c r="T2346" s="108"/>
      <c r="U2346" s="108"/>
      <c r="V2346" s="108"/>
      <c r="W2346" s="108"/>
      <c r="X2346" s="108"/>
    </row>
    <row r="2347" spans="1:24">
      <c r="A2347" s="107"/>
      <c r="B2347" s="107"/>
      <c r="C2347" s="107"/>
      <c r="D2347" s="107"/>
      <c r="E2347" s="107"/>
      <c r="F2347" s="107"/>
      <c r="G2347" s="108"/>
      <c r="H2347" s="107"/>
      <c r="I2347" s="108"/>
      <c r="J2347" s="108"/>
      <c r="K2347" s="108"/>
      <c r="L2347" s="108"/>
      <c r="M2347" s="108"/>
      <c r="N2347" s="108"/>
      <c r="O2347" s="108"/>
      <c r="P2347" s="108"/>
      <c r="Q2347" s="108"/>
      <c r="R2347" s="108"/>
      <c r="S2347" s="108"/>
      <c r="T2347" s="108"/>
      <c r="U2347" s="108"/>
      <c r="V2347" s="108"/>
      <c r="W2347" s="108"/>
      <c r="X2347" s="108"/>
    </row>
    <row r="2348" spans="1:24">
      <c r="A2348" s="107"/>
      <c r="B2348" s="107"/>
      <c r="C2348" s="107"/>
      <c r="D2348" s="107"/>
      <c r="E2348" s="107"/>
      <c r="F2348" s="107"/>
      <c r="G2348" s="108"/>
      <c r="H2348" s="107"/>
      <c r="I2348" s="108"/>
      <c r="J2348" s="108"/>
      <c r="K2348" s="108"/>
      <c r="L2348" s="108"/>
      <c r="M2348" s="108"/>
      <c r="N2348" s="108"/>
      <c r="O2348" s="108"/>
      <c r="P2348" s="108"/>
      <c r="Q2348" s="108"/>
      <c r="R2348" s="108"/>
      <c r="S2348" s="108"/>
      <c r="T2348" s="108"/>
      <c r="U2348" s="108"/>
      <c r="V2348" s="108"/>
      <c r="W2348" s="108"/>
      <c r="X2348" s="108"/>
    </row>
    <row r="2349" spans="1:24">
      <c r="A2349" s="107"/>
      <c r="B2349" s="107"/>
      <c r="C2349" s="107"/>
      <c r="D2349" s="107"/>
      <c r="E2349" s="107"/>
      <c r="F2349" s="107"/>
      <c r="G2349" s="108"/>
      <c r="H2349" s="107"/>
      <c r="I2349" s="108"/>
      <c r="J2349" s="108"/>
      <c r="K2349" s="108"/>
      <c r="L2349" s="108"/>
      <c r="M2349" s="108"/>
      <c r="N2349" s="108"/>
      <c r="O2349" s="108"/>
      <c r="P2349" s="108"/>
      <c r="Q2349" s="108"/>
      <c r="R2349" s="108"/>
      <c r="S2349" s="108"/>
      <c r="T2349" s="108"/>
      <c r="U2349" s="108"/>
      <c r="V2349" s="108"/>
      <c r="W2349" s="108"/>
      <c r="X2349" s="108"/>
    </row>
    <row r="2350" spans="1:24">
      <c r="A2350" s="107"/>
      <c r="B2350" s="107"/>
      <c r="C2350" s="107"/>
      <c r="D2350" s="107"/>
      <c r="E2350" s="107"/>
      <c r="F2350" s="107"/>
      <c r="G2350" s="108"/>
      <c r="H2350" s="107"/>
      <c r="I2350" s="108"/>
      <c r="J2350" s="108"/>
      <c r="K2350" s="108"/>
      <c r="L2350" s="108"/>
      <c r="M2350" s="108"/>
      <c r="N2350" s="108"/>
      <c r="O2350" s="108"/>
      <c r="P2350" s="108"/>
      <c r="Q2350" s="108"/>
      <c r="R2350" s="108"/>
      <c r="S2350" s="108"/>
      <c r="T2350" s="108"/>
      <c r="U2350" s="108"/>
      <c r="V2350" s="108"/>
      <c r="W2350" s="108"/>
      <c r="X2350" s="108"/>
    </row>
    <row r="2351" spans="1:24">
      <c r="A2351" s="107"/>
      <c r="B2351" s="107"/>
      <c r="C2351" s="107"/>
      <c r="D2351" s="107"/>
      <c r="E2351" s="107"/>
      <c r="F2351" s="107"/>
      <c r="G2351" s="108"/>
      <c r="H2351" s="107"/>
      <c r="I2351" s="108"/>
      <c r="J2351" s="108"/>
      <c r="K2351" s="108"/>
      <c r="L2351" s="108"/>
      <c r="M2351" s="108"/>
      <c r="N2351" s="108"/>
      <c r="O2351" s="108"/>
      <c r="P2351" s="108"/>
      <c r="Q2351" s="108"/>
      <c r="R2351" s="108"/>
      <c r="S2351" s="108"/>
      <c r="T2351" s="108"/>
      <c r="U2351" s="108"/>
      <c r="V2351" s="108"/>
      <c r="W2351" s="108"/>
      <c r="X2351" s="108"/>
    </row>
    <row r="2352" spans="1:24">
      <c r="A2352" s="107"/>
      <c r="B2352" s="107"/>
      <c r="C2352" s="107"/>
      <c r="D2352" s="107"/>
      <c r="E2352" s="107"/>
      <c r="F2352" s="107"/>
      <c r="G2352" s="108"/>
      <c r="H2352" s="107"/>
      <c r="I2352" s="108"/>
      <c r="J2352" s="108"/>
      <c r="K2352" s="108"/>
      <c r="L2352" s="108"/>
      <c r="M2352" s="108"/>
      <c r="N2352" s="108"/>
      <c r="O2352" s="108"/>
      <c r="P2352" s="108"/>
      <c r="Q2352" s="108"/>
      <c r="R2352" s="108"/>
      <c r="S2352" s="108"/>
      <c r="T2352" s="108"/>
      <c r="U2352" s="108"/>
      <c r="V2352" s="108"/>
      <c r="W2352" s="108"/>
      <c r="X2352" s="108"/>
    </row>
    <row r="2353" spans="1:24">
      <c r="A2353" s="107"/>
      <c r="B2353" s="107"/>
      <c r="C2353" s="107"/>
      <c r="D2353" s="107"/>
      <c r="E2353" s="107"/>
      <c r="F2353" s="107"/>
      <c r="G2353" s="108"/>
      <c r="H2353" s="107"/>
      <c r="I2353" s="108"/>
      <c r="J2353" s="108"/>
      <c r="K2353" s="108"/>
      <c r="L2353" s="108"/>
      <c r="M2353" s="108"/>
      <c r="N2353" s="108"/>
      <c r="O2353" s="108"/>
      <c r="P2353" s="108"/>
      <c r="Q2353" s="108"/>
      <c r="R2353" s="108"/>
      <c r="S2353" s="108"/>
      <c r="T2353" s="108"/>
      <c r="U2353" s="108"/>
      <c r="V2353" s="108"/>
      <c r="W2353" s="108"/>
      <c r="X2353" s="108"/>
    </row>
    <row r="2354" spans="1:24">
      <c r="A2354" s="107"/>
      <c r="B2354" s="107"/>
      <c r="C2354" s="107"/>
      <c r="D2354" s="107"/>
      <c r="E2354" s="107"/>
      <c r="F2354" s="107"/>
      <c r="G2354" s="108"/>
      <c r="H2354" s="107"/>
      <c r="I2354" s="108"/>
      <c r="J2354" s="108"/>
      <c r="K2354" s="108"/>
      <c r="L2354" s="108"/>
      <c r="M2354" s="108"/>
      <c r="N2354" s="108"/>
      <c r="O2354" s="108"/>
      <c r="P2354" s="108"/>
      <c r="Q2354" s="108"/>
      <c r="R2354" s="108"/>
      <c r="S2354" s="108"/>
      <c r="T2354" s="108"/>
      <c r="U2354" s="108"/>
      <c r="V2354" s="108"/>
      <c r="W2354" s="108"/>
      <c r="X2354" s="108"/>
    </row>
    <row r="2355" spans="1:24">
      <c r="A2355" s="107"/>
      <c r="B2355" s="107"/>
      <c r="C2355" s="107"/>
      <c r="D2355" s="107"/>
      <c r="E2355" s="107"/>
      <c r="F2355" s="107"/>
      <c r="G2355" s="108"/>
      <c r="H2355" s="107"/>
      <c r="I2355" s="108"/>
      <c r="J2355" s="108"/>
      <c r="K2355" s="108"/>
      <c r="L2355" s="108"/>
      <c r="M2355" s="108"/>
      <c r="N2355" s="108"/>
      <c r="O2355" s="108"/>
      <c r="P2355" s="108"/>
      <c r="Q2355" s="108"/>
      <c r="R2355" s="108"/>
      <c r="S2355" s="108"/>
      <c r="T2355" s="108"/>
      <c r="U2355" s="108"/>
      <c r="V2355" s="108"/>
      <c r="W2355" s="108"/>
      <c r="X2355" s="108"/>
    </row>
    <row r="2356" spans="1:24">
      <c r="A2356" s="107"/>
      <c r="B2356" s="107"/>
      <c r="C2356" s="107"/>
      <c r="D2356" s="107"/>
      <c r="E2356" s="107"/>
      <c r="F2356" s="107"/>
      <c r="G2356" s="108"/>
      <c r="H2356" s="107"/>
      <c r="I2356" s="108"/>
      <c r="J2356" s="108"/>
      <c r="K2356" s="108"/>
      <c r="L2356" s="108"/>
      <c r="M2356" s="108"/>
      <c r="N2356" s="108"/>
      <c r="O2356" s="108"/>
      <c r="P2356" s="108"/>
      <c r="Q2356" s="108"/>
      <c r="R2356" s="108"/>
      <c r="S2356" s="108"/>
      <c r="T2356" s="108"/>
      <c r="U2356" s="108"/>
      <c r="V2356" s="108"/>
      <c r="W2356" s="108"/>
      <c r="X2356" s="108"/>
    </row>
    <row r="2357" spans="1:24">
      <c r="A2357" s="107"/>
      <c r="B2357" s="107"/>
      <c r="C2357" s="107"/>
      <c r="D2357" s="107"/>
      <c r="E2357" s="107"/>
      <c r="F2357" s="107"/>
      <c r="G2357" s="108"/>
      <c r="H2357" s="107"/>
      <c r="I2357" s="108"/>
      <c r="J2357" s="108"/>
      <c r="K2357" s="108"/>
      <c r="L2357" s="108"/>
      <c r="M2357" s="108"/>
      <c r="N2357" s="108"/>
      <c r="O2357" s="108"/>
      <c r="P2357" s="108"/>
      <c r="Q2357" s="108"/>
      <c r="R2357" s="108"/>
      <c r="S2357" s="108"/>
      <c r="T2357" s="108"/>
      <c r="U2357" s="108"/>
      <c r="V2357" s="108"/>
      <c r="W2357" s="108"/>
      <c r="X2357" s="108"/>
    </row>
    <row r="2358" spans="1:24">
      <c r="A2358" s="107"/>
      <c r="B2358" s="107"/>
      <c r="C2358" s="107"/>
      <c r="D2358" s="107"/>
      <c r="E2358" s="107"/>
      <c r="F2358" s="107"/>
      <c r="G2358" s="108"/>
      <c r="H2358" s="107"/>
      <c r="I2358" s="108"/>
      <c r="J2358" s="108"/>
      <c r="K2358" s="108"/>
      <c r="L2358" s="108"/>
      <c r="M2358" s="108"/>
      <c r="N2358" s="108"/>
      <c r="O2358" s="108"/>
      <c r="P2358" s="108"/>
      <c r="Q2358" s="108"/>
      <c r="R2358" s="108"/>
      <c r="S2358" s="108"/>
      <c r="T2358" s="108"/>
      <c r="U2358" s="108"/>
      <c r="V2358" s="108"/>
      <c r="W2358" s="108"/>
      <c r="X2358" s="108"/>
    </row>
    <row r="2359" spans="1:24">
      <c r="A2359" s="107"/>
      <c r="B2359" s="107"/>
      <c r="C2359" s="107"/>
      <c r="D2359" s="107"/>
      <c r="E2359" s="107"/>
      <c r="F2359" s="107"/>
      <c r="G2359" s="108"/>
      <c r="H2359" s="107"/>
      <c r="I2359" s="108"/>
      <c r="J2359" s="108"/>
      <c r="K2359" s="108"/>
      <c r="L2359" s="108"/>
      <c r="M2359" s="108"/>
      <c r="N2359" s="108"/>
      <c r="O2359" s="108"/>
      <c r="P2359" s="108"/>
      <c r="Q2359" s="108"/>
      <c r="R2359" s="108"/>
      <c r="S2359" s="108"/>
      <c r="T2359" s="108"/>
      <c r="U2359" s="108"/>
      <c r="V2359" s="108"/>
      <c r="W2359" s="108"/>
      <c r="X2359" s="108"/>
    </row>
    <row r="2360" spans="1:24">
      <c r="A2360" s="107"/>
      <c r="B2360" s="107"/>
      <c r="C2360" s="107"/>
      <c r="D2360" s="107"/>
      <c r="E2360" s="107"/>
      <c r="F2360" s="107"/>
      <c r="G2360" s="108"/>
      <c r="H2360" s="107"/>
      <c r="I2360" s="108"/>
      <c r="J2360" s="108"/>
      <c r="K2360" s="108"/>
      <c r="L2360" s="108"/>
      <c r="M2360" s="108"/>
      <c r="N2360" s="108"/>
      <c r="O2360" s="108"/>
      <c r="P2360" s="108"/>
      <c r="Q2360" s="108"/>
      <c r="R2360" s="108"/>
      <c r="S2360" s="108"/>
      <c r="T2360" s="108"/>
      <c r="U2360" s="108"/>
      <c r="V2360" s="108"/>
      <c r="W2360" s="108"/>
      <c r="X2360" s="108"/>
    </row>
    <row r="2361" spans="1:24">
      <c r="A2361" s="107"/>
      <c r="B2361" s="107"/>
      <c r="C2361" s="107"/>
      <c r="D2361" s="107"/>
      <c r="E2361" s="107"/>
      <c r="F2361" s="107"/>
      <c r="G2361" s="108"/>
      <c r="H2361" s="107"/>
      <c r="I2361" s="108"/>
      <c r="J2361" s="108"/>
      <c r="K2361" s="108"/>
      <c r="L2361" s="108"/>
      <c r="M2361" s="108"/>
      <c r="N2361" s="108"/>
      <c r="O2361" s="108"/>
      <c r="P2361" s="108"/>
      <c r="Q2361" s="108"/>
      <c r="R2361" s="108"/>
      <c r="S2361" s="108"/>
      <c r="T2361" s="108"/>
      <c r="U2361" s="108"/>
      <c r="V2361" s="108"/>
      <c r="W2361" s="108"/>
      <c r="X2361" s="108"/>
    </row>
    <row r="2362" spans="1:24">
      <c r="A2362" s="107"/>
      <c r="B2362" s="107"/>
      <c r="C2362" s="107"/>
      <c r="D2362" s="107"/>
      <c r="E2362" s="107"/>
      <c r="F2362" s="107"/>
      <c r="G2362" s="108"/>
      <c r="H2362" s="107"/>
      <c r="I2362" s="108"/>
      <c r="J2362" s="108"/>
      <c r="K2362" s="108"/>
      <c r="L2362" s="108"/>
      <c r="M2362" s="108"/>
      <c r="N2362" s="108"/>
      <c r="O2362" s="108"/>
      <c r="P2362" s="108"/>
      <c r="Q2362" s="108"/>
      <c r="R2362" s="108"/>
      <c r="S2362" s="108"/>
      <c r="T2362" s="108"/>
      <c r="U2362" s="108"/>
      <c r="V2362" s="108"/>
      <c r="W2362" s="108"/>
      <c r="X2362" s="108"/>
    </row>
    <row r="2363" spans="1:24">
      <c r="A2363" s="107"/>
      <c r="B2363" s="107"/>
      <c r="C2363" s="107"/>
      <c r="D2363" s="107"/>
      <c r="E2363" s="107"/>
      <c r="F2363" s="107"/>
      <c r="G2363" s="108"/>
      <c r="H2363" s="107"/>
      <c r="I2363" s="108"/>
      <c r="J2363" s="108"/>
      <c r="K2363" s="108"/>
      <c r="L2363" s="108"/>
      <c r="M2363" s="108"/>
      <c r="N2363" s="108"/>
      <c r="O2363" s="108"/>
      <c r="P2363" s="108"/>
      <c r="Q2363" s="108"/>
      <c r="R2363" s="108"/>
      <c r="S2363" s="108"/>
      <c r="T2363" s="108"/>
      <c r="U2363" s="108"/>
      <c r="V2363" s="108"/>
      <c r="W2363" s="108"/>
      <c r="X2363" s="108"/>
    </row>
    <row r="2364" spans="1:24">
      <c r="A2364" s="107"/>
      <c r="B2364" s="107"/>
      <c r="C2364" s="107"/>
      <c r="D2364" s="107"/>
      <c r="E2364" s="107"/>
      <c r="F2364" s="107"/>
      <c r="G2364" s="108"/>
      <c r="H2364" s="107"/>
      <c r="I2364" s="108"/>
      <c r="J2364" s="108"/>
      <c r="K2364" s="108"/>
      <c r="L2364" s="108"/>
      <c r="M2364" s="108"/>
      <c r="N2364" s="108"/>
      <c r="O2364" s="108"/>
      <c r="P2364" s="108"/>
      <c r="Q2364" s="108"/>
      <c r="R2364" s="108"/>
      <c r="S2364" s="108"/>
      <c r="T2364" s="108"/>
      <c r="U2364" s="108"/>
      <c r="V2364" s="108"/>
      <c r="W2364" s="108"/>
      <c r="X2364" s="108"/>
    </row>
    <row r="2365" spans="1:24">
      <c r="A2365" s="107"/>
      <c r="B2365" s="107"/>
      <c r="C2365" s="107"/>
      <c r="D2365" s="107"/>
      <c r="E2365" s="107"/>
      <c r="F2365" s="107"/>
      <c r="G2365" s="108"/>
      <c r="H2365" s="107"/>
      <c r="I2365" s="108"/>
      <c r="J2365" s="108"/>
      <c r="K2365" s="108"/>
      <c r="L2365" s="108"/>
      <c r="M2365" s="108"/>
      <c r="N2365" s="108"/>
      <c r="O2365" s="108"/>
      <c r="P2365" s="108"/>
      <c r="Q2365" s="108"/>
      <c r="R2365" s="108"/>
      <c r="S2365" s="108"/>
      <c r="T2365" s="108"/>
      <c r="U2365" s="108"/>
      <c r="V2365" s="108"/>
      <c r="W2365" s="108"/>
      <c r="X2365" s="108"/>
    </row>
    <row r="2366" spans="1:24">
      <c r="A2366" s="107"/>
      <c r="B2366" s="107"/>
      <c r="C2366" s="107"/>
      <c r="D2366" s="107"/>
      <c r="E2366" s="107"/>
      <c r="F2366" s="107"/>
      <c r="G2366" s="108"/>
      <c r="H2366" s="107"/>
      <c r="I2366" s="108"/>
      <c r="J2366" s="108"/>
      <c r="K2366" s="108"/>
      <c r="L2366" s="108"/>
      <c r="M2366" s="108"/>
      <c r="N2366" s="108"/>
      <c r="O2366" s="108"/>
      <c r="P2366" s="108"/>
      <c r="Q2366" s="108"/>
      <c r="R2366" s="108"/>
      <c r="S2366" s="108"/>
      <c r="T2366" s="108"/>
      <c r="U2366" s="108"/>
      <c r="V2366" s="108"/>
      <c r="W2366" s="108"/>
      <c r="X2366" s="108"/>
    </row>
    <row r="2367" spans="1:24">
      <c r="A2367" s="107"/>
      <c r="B2367" s="107"/>
      <c r="C2367" s="107"/>
      <c r="D2367" s="107"/>
      <c r="E2367" s="107"/>
      <c r="F2367" s="107"/>
      <c r="G2367" s="108"/>
      <c r="H2367" s="107"/>
      <c r="I2367" s="108"/>
      <c r="J2367" s="108"/>
      <c r="K2367" s="108"/>
      <c r="L2367" s="108"/>
      <c r="M2367" s="108"/>
      <c r="N2367" s="108"/>
      <c r="O2367" s="108"/>
      <c r="P2367" s="108"/>
      <c r="Q2367" s="108"/>
      <c r="R2367" s="108"/>
      <c r="S2367" s="108"/>
      <c r="T2367" s="108"/>
      <c r="U2367" s="108"/>
      <c r="V2367" s="108"/>
      <c r="W2367" s="108"/>
      <c r="X2367" s="108"/>
    </row>
    <row r="2368" spans="1:24">
      <c r="A2368" s="107"/>
      <c r="B2368" s="107"/>
      <c r="C2368" s="107"/>
      <c r="D2368" s="107"/>
      <c r="E2368" s="107"/>
      <c r="F2368" s="107"/>
      <c r="G2368" s="108"/>
      <c r="H2368" s="107"/>
      <c r="I2368" s="108"/>
      <c r="J2368" s="108"/>
      <c r="K2368" s="108"/>
      <c r="L2368" s="108"/>
      <c r="M2368" s="108"/>
      <c r="N2368" s="108"/>
      <c r="O2368" s="108"/>
      <c r="P2368" s="108"/>
      <c r="Q2368" s="108"/>
      <c r="R2368" s="108"/>
      <c r="S2368" s="108"/>
      <c r="T2368" s="108"/>
      <c r="U2368" s="108"/>
      <c r="V2368" s="108"/>
      <c r="W2368" s="108"/>
      <c r="X2368" s="108"/>
    </row>
    <row r="2369" spans="1:24">
      <c r="A2369" s="107"/>
      <c r="B2369" s="107"/>
      <c r="C2369" s="107"/>
      <c r="D2369" s="107"/>
      <c r="E2369" s="107"/>
      <c r="F2369" s="107"/>
      <c r="G2369" s="108"/>
      <c r="H2369" s="107"/>
      <c r="I2369" s="108"/>
      <c r="J2369" s="108"/>
      <c r="K2369" s="108"/>
      <c r="L2369" s="108"/>
      <c r="M2369" s="108"/>
      <c r="N2369" s="108"/>
      <c r="O2369" s="108"/>
      <c r="P2369" s="108"/>
      <c r="Q2369" s="108"/>
      <c r="R2369" s="108"/>
      <c r="S2369" s="108"/>
      <c r="T2369" s="108"/>
      <c r="U2369" s="108"/>
      <c r="V2369" s="108"/>
      <c r="W2369" s="108"/>
      <c r="X2369" s="108"/>
    </row>
    <row r="2370" spans="1:24">
      <c r="A2370" s="107"/>
      <c r="B2370" s="107"/>
      <c r="C2370" s="107"/>
      <c r="D2370" s="107"/>
      <c r="E2370" s="107"/>
      <c r="F2370" s="107"/>
      <c r="G2370" s="108"/>
      <c r="H2370" s="107"/>
      <c r="I2370" s="108"/>
      <c r="J2370" s="108"/>
      <c r="K2370" s="108"/>
      <c r="L2370" s="108"/>
      <c r="M2370" s="108"/>
      <c r="N2370" s="108"/>
      <c r="O2370" s="108"/>
      <c r="P2370" s="108"/>
      <c r="Q2370" s="108"/>
      <c r="R2370" s="108"/>
      <c r="S2370" s="108"/>
      <c r="T2370" s="108"/>
      <c r="U2370" s="108"/>
      <c r="V2370" s="108"/>
      <c r="W2370" s="108"/>
      <c r="X2370" s="108"/>
    </row>
    <row r="2371" spans="1:24">
      <c r="A2371" s="107"/>
      <c r="B2371" s="107"/>
      <c r="C2371" s="107"/>
      <c r="D2371" s="107"/>
      <c r="E2371" s="107"/>
      <c r="F2371" s="107"/>
      <c r="G2371" s="108"/>
      <c r="H2371" s="107"/>
      <c r="I2371" s="108"/>
      <c r="J2371" s="108"/>
      <c r="K2371" s="108"/>
      <c r="L2371" s="108"/>
      <c r="M2371" s="108"/>
      <c r="N2371" s="108"/>
      <c r="O2371" s="108"/>
      <c r="P2371" s="108"/>
      <c r="Q2371" s="108"/>
      <c r="R2371" s="108"/>
      <c r="S2371" s="108"/>
      <c r="T2371" s="108"/>
      <c r="U2371" s="108"/>
      <c r="V2371" s="108"/>
      <c r="W2371" s="108"/>
      <c r="X2371" s="108"/>
    </row>
    <row r="2372" spans="1:24">
      <c r="A2372" s="107"/>
      <c r="B2372" s="107"/>
      <c r="C2372" s="107"/>
      <c r="D2372" s="107"/>
      <c r="E2372" s="107"/>
      <c r="F2372" s="107"/>
      <c r="G2372" s="108"/>
      <c r="H2372" s="107"/>
      <c r="I2372" s="108"/>
      <c r="J2372" s="108"/>
      <c r="K2372" s="108"/>
      <c r="L2372" s="108"/>
      <c r="M2372" s="108"/>
      <c r="N2372" s="108"/>
      <c r="O2372" s="108"/>
      <c r="P2372" s="108"/>
      <c r="Q2372" s="108"/>
      <c r="R2372" s="108"/>
      <c r="S2372" s="108"/>
      <c r="T2372" s="108"/>
      <c r="U2372" s="108"/>
      <c r="V2372" s="108"/>
      <c r="W2372" s="108"/>
      <c r="X2372" s="108"/>
    </row>
    <row r="2373" spans="1:24">
      <c r="A2373" s="107"/>
      <c r="B2373" s="107"/>
      <c r="C2373" s="107"/>
      <c r="D2373" s="107"/>
      <c r="E2373" s="107"/>
      <c r="F2373" s="107"/>
      <c r="G2373" s="108"/>
      <c r="H2373" s="107"/>
      <c r="I2373" s="108"/>
      <c r="J2373" s="108"/>
      <c r="K2373" s="108"/>
      <c r="L2373" s="108"/>
      <c r="M2373" s="108"/>
      <c r="N2373" s="108"/>
      <c r="O2373" s="108"/>
      <c r="P2373" s="108"/>
      <c r="Q2373" s="108"/>
      <c r="R2373" s="108"/>
      <c r="S2373" s="108"/>
      <c r="T2373" s="108"/>
      <c r="U2373" s="108"/>
      <c r="V2373" s="108"/>
      <c r="W2373" s="108"/>
      <c r="X2373" s="108"/>
    </row>
    <row r="2374" spans="1:24">
      <c r="A2374" s="107"/>
      <c r="B2374" s="107"/>
      <c r="C2374" s="107"/>
      <c r="D2374" s="107"/>
      <c r="E2374" s="107"/>
      <c r="F2374" s="107"/>
      <c r="G2374" s="108"/>
      <c r="H2374" s="107"/>
      <c r="I2374" s="108"/>
      <c r="J2374" s="108"/>
      <c r="K2374" s="108"/>
      <c r="L2374" s="108"/>
      <c r="M2374" s="108"/>
      <c r="N2374" s="108"/>
      <c r="O2374" s="108"/>
      <c r="P2374" s="108"/>
      <c r="Q2374" s="108"/>
      <c r="R2374" s="108"/>
      <c r="S2374" s="108"/>
      <c r="T2374" s="108"/>
      <c r="U2374" s="108"/>
      <c r="V2374" s="108"/>
      <c r="W2374" s="108"/>
      <c r="X2374" s="108"/>
    </row>
    <row r="2375" spans="1:24">
      <c r="A2375" s="107"/>
      <c r="B2375" s="107"/>
      <c r="C2375" s="107"/>
      <c r="D2375" s="107"/>
      <c r="E2375" s="107"/>
      <c r="F2375" s="107"/>
      <c r="G2375" s="108"/>
      <c r="H2375" s="107"/>
      <c r="I2375" s="108"/>
      <c r="J2375" s="108"/>
      <c r="K2375" s="108"/>
      <c r="L2375" s="108"/>
      <c r="M2375" s="108"/>
      <c r="N2375" s="108"/>
      <c r="O2375" s="108"/>
      <c r="P2375" s="108"/>
      <c r="Q2375" s="108"/>
      <c r="R2375" s="108"/>
      <c r="S2375" s="108"/>
      <c r="T2375" s="108"/>
      <c r="U2375" s="108"/>
      <c r="V2375" s="108"/>
      <c r="W2375" s="108"/>
      <c r="X2375" s="108"/>
    </row>
    <row r="2376" spans="1:24">
      <c r="A2376" s="107"/>
      <c r="B2376" s="107"/>
      <c r="C2376" s="107"/>
      <c r="D2376" s="107"/>
      <c r="E2376" s="107"/>
      <c r="F2376" s="107"/>
      <c r="G2376" s="108"/>
      <c r="H2376" s="107"/>
      <c r="I2376" s="108"/>
      <c r="J2376" s="108"/>
      <c r="K2376" s="108"/>
      <c r="L2376" s="108"/>
      <c r="M2376" s="108"/>
      <c r="N2376" s="108"/>
      <c r="O2376" s="108"/>
      <c r="P2376" s="108"/>
      <c r="Q2376" s="108"/>
      <c r="R2376" s="108"/>
      <c r="S2376" s="108"/>
      <c r="T2376" s="108"/>
      <c r="U2376" s="108"/>
      <c r="V2376" s="108"/>
      <c r="W2376" s="108"/>
      <c r="X2376" s="108"/>
    </row>
    <row r="2377" spans="1:24">
      <c r="A2377" s="107"/>
      <c r="B2377" s="107"/>
      <c r="C2377" s="107"/>
      <c r="D2377" s="107"/>
      <c r="E2377" s="107"/>
      <c r="F2377" s="107"/>
      <c r="G2377" s="108"/>
      <c r="H2377" s="107"/>
      <c r="I2377" s="108"/>
      <c r="J2377" s="108"/>
      <c r="K2377" s="108"/>
      <c r="L2377" s="108"/>
      <c r="M2377" s="108"/>
      <c r="N2377" s="108"/>
      <c r="O2377" s="108"/>
      <c r="P2377" s="108"/>
      <c r="Q2377" s="108"/>
      <c r="R2377" s="108"/>
      <c r="S2377" s="108"/>
      <c r="T2377" s="108"/>
      <c r="U2377" s="108"/>
      <c r="V2377" s="108"/>
      <c r="W2377" s="108"/>
      <c r="X2377" s="108"/>
    </row>
    <row r="2378" spans="1:24">
      <c r="A2378" s="107"/>
      <c r="B2378" s="107"/>
      <c r="C2378" s="107"/>
      <c r="D2378" s="107"/>
      <c r="E2378" s="107"/>
      <c r="F2378" s="107"/>
      <c r="G2378" s="108"/>
      <c r="H2378" s="107"/>
      <c r="I2378" s="108"/>
      <c r="J2378" s="108"/>
      <c r="K2378" s="108"/>
      <c r="L2378" s="108"/>
      <c r="M2378" s="108"/>
      <c r="N2378" s="108"/>
      <c r="O2378" s="108"/>
      <c r="P2378" s="108"/>
      <c r="Q2378" s="108"/>
      <c r="R2378" s="108"/>
      <c r="S2378" s="108"/>
      <c r="T2378" s="108"/>
      <c r="U2378" s="108"/>
      <c r="V2378" s="108"/>
      <c r="W2378" s="108"/>
      <c r="X2378" s="108"/>
    </row>
    <row r="2379" spans="1:24">
      <c r="A2379" s="107"/>
      <c r="B2379" s="107"/>
      <c r="C2379" s="107"/>
      <c r="D2379" s="107"/>
      <c r="E2379" s="107"/>
      <c r="F2379" s="107"/>
      <c r="G2379" s="108"/>
      <c r="H2379" s="107"/>
      <c r="I2379" s="108"/>
      <c r="J2379" s="108"/>
      <c r="K2379" s="108"/>
      <c r="L2379" s="108"/>
      <c r="M2379" s="108"/>
      <c r="N2379" s="108"/>
      <c r="O2379" s="108"/>
      <c r="P2379" s="108"/>
      <c r="Q2379" s="108"/>
      <c r="R2379" s="108"/>
      <c r="S2379" s="108"/>
      <c r="T2379" s="108"/>
      <c r="U2379" s="108"/>
      <c r="V2379" s="108"/>
      <c r="W2379" s="108"/>
      <c r="X2379" s="108"/>
    </row>
    <row r="2380" spans="1:24">
      <c r="A2380" s="107"/>
      <c r="B2380" s="107"/>
      <c r="C2380" s="107"/>
      <c r="D2380" s="107"/>
      <c r="E2380" s="107"/>
      <c r="F2380" s="107"/>
      <c r="G2380" s="108"/>
      <c r="H2380" s="107"/>
      <c r="I2380" s="108"/>
      <c r="J2380" s="108"/>
      <c r="K2380" s="108"/>
      <c r="L2380" s="108"/>
      <c r="M2380" s="108"/>
      <c r="N2380" s="108"/>
      <c r="O2380" s="108"/>
      <c r="P2380" s="108"/>
      <c r="Q2380" s="108"/>
      <c r="R2380" s="108"/>
      <c r="S2380" s="108"/>
      <c r="T2380" s="108"/>
      <c r="U2380" s="108"/>
      <c r="V2380" s="108"/>
      <c r="W2380" s="108"/>
      <c r="X2380" s="108"/>
    </row>
    <row r="2381" spans="1:24">
      <c r="A2381" s="107"/>
      <c r="B2381" s="107"/>
      <c r="C2381" s="107"/>
      <c r="D2381" s="107"/>
      <c r="E2381" s="107"/>
      <c r="F2381" s="107"/>
      <c r="G2381" s="108"/>
      <c r="H2381" s="107"/>
      <c r="I2381" s="108"/>
      <c r="J2381" s="108"/>
      <c r="K2381" s="108"/>
      <c r="L2381" s="108"/>
      <c r="M2381" s="108"/>
      <c r="N2381" s="108"/>
      <c r="O2381" s="108"/>
      <c r="P2381" s="108"/>
      <c r="Q2381" s="108"/>
      <c r="R2381" s="108"/>
      <c r="S2381" s="108"/>
      <c r="T2381" s="108"/>
      <c r="U2381" s="108"/>
      <c r="V2381" s="108"/>
      <c r="W2381" s="108"/>
      <c r="X2381" s="108"/>
    </row>
    <row r="2382" spans="1:24">
      <c r="A2382" s="107"/>
      <c r="B2382" s="107"/>
      <c r="C2382" s="107"/>
      <c r="D2382" s="107"/>
      <c r="E2382" s="107"/>
      <c r="F2382" s="107"/>
      <c r="G2382" s="108"/>
      <c r="H2382" s="107"/>
      <c r="I2382" s="108"/>
      <c r="J2382" s="108"/>
      <c r="K2382" s="108"/>
      <c r="L2382" s="108"/>
      <c r="M2382" s="108"/>
      <c r="N2382" s="108"/>
      <c r="O2382" s="108"/>
      <c r="P2382" s="108"/>
      <c r="Q2382" s="108"/>
      <c r="R2382" s="108"/>
      <c r="S2382" s="108"/>
      <c r="T2382" s="108"/>
      <c r="U2382" s="108"/>
      <c r="V2382" s="108"/>
      <c r="W2382" s="108"/>
      <c r="X2382" s="108"/>
    </row>
    <row r="2383" spans="1:24">
      <c r="A2383" s="107"/>
      <c r="B2383" s="107"/>
      <c r="C2383" s="107"/>
      <c r="D2383" s="107"/>
      <c r="E2383" s="107"/>
      <c r="F2383" s="107"/>
      <c r="G2383" s="108"/>
      <c r="H2383" s="107"/>
      <c r="I2383" s="108"/>
      <c r="J2383" s="108"/>
      <c r="K2383" s="108"/>
      <c r="L2383" s="108"/>
      <c r="M2383" s="108"/>
      <c r="N2383" s="108"/>
      <c r="O2383" s="108"/>
      <c r="P2383" s="108"/>
      <c r="Q2383" s="108"/>
      <c r="R2383" s="108"/>
      <c r="S2383" s="108"/>
      <c r="T2383" s="108"/>
      <c r="U2383" s="108"/>
      <c r="V2383" s="108"/>
      <c r="W2383" s="108"/>
      <c r="X2383" s="108"/>
    </row>
    <row r="2384" spans="1:24">
      <c r="A2384" s="107"/>
      <c r="B2384" s="107"/>
      <c r="C2384" s="107"/>
      <c r="D2384" s="107"/>
      <c r="E2384" s="107"/>
      <c r="F2384" s="107"/>
      <c r="G2384" s="108"/>
      <c r="H2384" s="107"/>
      <c r="I2384" s="108"/>
      <c r="J2384" s="108"/>
      <c r="K2384" s="108"/>
      <c r="L2384" s="108"/>
      <c r="M2384" s="108"/>
      <c r="N2384" s="108"/>
      <c r="O2384" s="108"/>
      <c r="P2384" s="108"/>
      <c r="Q2384" s="108"/>
      <c r="R2384" s="108"/>
      <c r="S2384" s="108"/>
      <c r="T2384" s="108"/>
      <c r="U2384" s="108"/>
      <c r="V2384" s="108"/>
      <c r="W2384" s="108"/>
      <c r="X2384" s="108"/>
    </row>
    <row r="2385" spans="1:24">
      <c r="A2385" s="107"/>
      <c r="B2385" s="107"/>
      <c r="C2385" s="107"/>
      <c r="D2385" s="107"/>
      <c r="E2385" s="107"/>
      <c r="F2385" s="107"/>
      <c r="G2385" s="108"/>
      <c r="H2385" s="107"/>
      <c r="I2385" s="108"/>
      <c r="J2385" s="108"/>
      <c r="K2385" s="108"/>
      <c r="L2385" s="108"/>
      <c r="M2385" s="108"/>
      <c r="N2385" s="108"/>
      <c r="O2385" s="108"/>
      <c r="P2385" s="108"/>
      <c r="Q2385" s="108"/>
      <c r="R2385" s="108"/>
      <c r="S2385" s="108"/>
      <c r="T2385" s="108"/>
      <c r="U2385" s="108"/>
      <c r="V2385" s="108"/>
      <c r="W2385" s="108"/>
      <c r="X2385" s="108"/>
    </row>
    <row r="2386" spans="1:24">
      <c r="A2386" s="107"/>
      <c r="B2386" s="107"/>
      <c r="C2386" s="107"/>
      <c r="D2386" s="107"/>
      <c r="E2386" s="107"/>
      <c r="F2386" s="107"/>
      <c r="G2386" s="108"/>
      <c r="H2386" s="107"/>
      <c r="I2386" s="108"/>
      <c r="J2386" s="108"/>
      <c r="K2386" s="108"/>
      <c r="L2386" s="108"/>
      <c r="M2386" s="108"/>
      <c r="N2386" s="108"/>
      <c r="O2386" s="108"/>
      <c r="P2386" s="108"/>
      <c r="Q2386" s="108"/>
      <c r="R2386" s="108"/>
      <c r="S2386" s="108"/>
      <c r="T2386" s="108"/>
      <c r="U2386" s="108"/>
      <c r="V2386" s="108"/>
      <c r="W2386" s="108"/>
      <c r="X2386" s="108"/>
    </row>
    <row r="2387" spans="1:24">
      <c r="A2387" s="107"/>
      <c r="B2387" s="107"/>
      <c r="C2387" s="107"/>
      <c r="D2387" s="107"/>
      <c r="E2387" s="107"/>
      <c r="F2387" s="107"/>
      <c r="G2387" s="108"/>
      <c r="H2387" s="107"/>
      <c r="I2387" s="108"/>
      <c r="J2387" s="108"/>
      <c r="K2387" s="108"/>
      <c r="L2387" s="108"/>
      <c r="M2387" s="108"/>
      <c r="N2387" s="108"/>
      <c r="O2387" s="108"/>
      <c r="P2387" s="108"/>
      <c r="Q2387" s="108"/>
      <c r="R2387" s="108"/>
      <c r="S2387" s="108"/>
      <c r="T2387" s="108"/>
      <c r="U2387" s="108"/>
      <c r="V2387" s="108"/>
      <c r="W2387" s="108"/>
      <c r="X2387" s="108"/>
    </row>
    <row r="2388" spans="1:24">
      <c r="A2388" s="107"/>
      <c r="B2388" s="107"/>
      <c r="C2388" s="107"/>
      <c r="D2388" s="107"/>
      <c r="E2388" s="107"/>
      <c r="F2388" s="107"/>
      <c r="G2388" s="108"/>
      <c r="H2388" s="107"/>
      <c r="I2388" s="108"/>
      <c r="J2388" s="108"/>
      <c r="K2388" s="108"/>
      <c r="L2388" s="108"/>
      <c r="M2388" s="108"/>
      <c r="N2388" s="108"/>
      <c r="O2388" s="108"/>
      <c r="P2388" s="108"/>
      <c r="Q2388" s="108"/>
      <c r="R2388" s="108"/>
      <c r="S2388" s="108"/>
      <c r="T2388" s="108"/>
      <c r="U2388" s="108"/>
      <c r="V2388" s="108"/>
      <c r="W2388" s="108"/>
      <c r="X2388" s="108"/>
    </row>
    <row r="2389" spans="1:24">
      <c r="A2389" s="107"/>
      <c r="B2389" s="107"/>
      <c r="C2389" s="107"/>
      <c r="D2389" s="107"/>
      <c r="E2389" s="107"/>
      <c r="F2389" s="107"/>
      <c r="G2389" s="108"/>
      <c r="H2389" s="107"/>
      <c r="I2389" s="108"/>
      <c r="J2389" s="108"/>
      <c r="K2389" s="108"/>
      <c r="L2389" s="108"/>
      <c r="M2389" s="108"/>
      <c r="N2389" s="108"/>
      <c r="O2389" s="108"/>
      <c r="P2389" s="108"/>
      <c r="Q2389" s="108"/>
      <c r="R2389" s="108"/>
      <c r="S2389" s="108"/>
      <c r="T2389" s="108"/>
      <c r="U2389" s="108"/>
      <c r="V2389" s="108"/>
      <c r="W2389" s="108"/>
      <c r="X2389" s="108"/>
    </row>
    <row r="2390" spans="1:24">
      <c r="A2390" s="107"/>
      <c r="B2390" s="107"/>
      <c r="C2390" s="107"/>
      <c r="D2390" s="107"/>
      <c r="E2390" s="107"/>
      <c r="F2390" s="107"/>
      <c r="G2390" s="108"/>
      <c r="H2390" s="107"/>
      <c r="I2390" s="108"/>
      <c r="J2390" s="108"/>
      <c r="K2390" s="108"/>
      <c r="L2390" s="108"/>
      <c r="M2390" s="108"/>
      <c r="N2390" s="108"/>
      <c r="O2390" s="108"/>
      <c r="P2390" s="108"/>
      <c r="Q2390" s="108"/>
      <c r="R2390" s="108"/>
      <c r="S2390" s="108"/>
      <c r="T2390" s="108"/>
      <c r="U2390" s="108"/>
      <c r="V2390" s="108"/>
      <c r="W2390" s="108"/>
      <c r="X2390" s="108"/>
    </row>
    <row r="2391" spans="1:24">
      <c r="A2391" s="107"/>
      <c r="B2391" s="107"/>
      <c r="C2391" s="107"/>
      <c r="D2391" s="107"/>
      <c r="E2391" s="107"/>
      <c r="F2391" s="107"/>
      <c r="G2391" s="108"/>
      <c r="H2391" s="107"/>
      <c r="I2391" s="108"/>
      <c r="J2391" s="108"/>
      <c r="K2391" s="108"/>
      <c r="L2391" s="108"/>
      <c r="M2391" s="108"/>
      <c r="N2391" s="108"/>
      <c r="O2391" s="108"/>
      <c r="P2391" s="108"/>
      <c r="Q2391" s="108"/>
      <c r="R2391" s="108"/>
      <c r="S2391" s="108"/>
      <c r="T2391" s="108"/>
      <c r="U2391" s="108"/>
      <c r="V2391" s="108"/>
      <c r="W2391" s="108"/>
      <c r="X2391" s="108"/>
    </row>
    <row r="2392" spans="1:24">
      <c r="A2392" s="107"/>
      <c r="B2392" s="107"/>
      <c r="C2392" s="107"/>
      <c r="D2392" s="107"/>
      <c r="E2392" s="107"/>
      <c r="F2392" s="107"/>
      <c r="G2392" s="108"/>
      <c r="H2392" s="107"/>
      <c r="I2392" s="108"/>
      <c r="J2392" s="108"/>
      <c r="K2392" s="108"/>
      <c r="L2392" s="108"/>
      <c r="M2392" s="108"/>
      <c r="N2392" s="108"/>
      <c r="O2392" s="108"/>
      <c r="P2392" s="108"/>
      <c r="Q2392" s="108"/>
      <c r="R2392" s="108"/>
      <c r="S2392" s="108"/>
      <c r="T2392" s="108"/>
      <c r="U2392" s="108"/>
      <c r="V2392" s="108"/>
      <c r="W2392" s="108"/>
      <c r="X2392" s="108"/>
    </row>
    <row r="2393" spans="1:24">
      <c r="A2393" s="107"/>
      <c r="B2393" s="107"/>
      <c r="C2393" s="107"/>
      <c r="D2393" s="107"/>
      <c r="E2393" s="107"/>
      <c r="F2393" s="107"/>
      <c r="G2393" s="108"/>
      <c r="H2393" s="107"/>
      <c r="I2393" s="108"/>
      <c r="J2393" s="108"/>
      <c r="K2393" s="108"/>
      <c r="L2393" s="108"/>
      <c r="M2393" s="108"/>
      <c r="N2393" s="108"/>
      <c r="O2393" s="108"/>
      <c r="P2393" s="108"/>
      <c r="Q2393" s="108"/>
      <c r="R2393" s="108"/>
      <c r="S2393" s="108"/>
      <c r="T2393" s="108"/>
      <c r="U2393" s="108"/>
      <c r="V2393" s="108"/>
      <c r="W2393" s="108"/>
      <c r="X2393" s="108"/>
    </row>
    <row r="2394" spans="1:24">
      <c r="A2394" s="107"/>
      <c r="B2394" s="107"/>
      <c r="C2394" s="107"/>
      <c r="D2394" s="107"/>
      <c r="E2394" s="107"/>
      <c r="F2394" s="107"/>
      <c r="G2394" s="108"/>
      <c r="H2394" s="107"/>
      <c r="I2394" s="108"/>
      <c r="J2394" s="108"/>
      <c r="K2394" s="108"/>
      <c r="L2394" s="108"/>
      <c r="M2394" s="108"/>
      <c r="N2394" s="108"/>
      <c r="O2394" s="108"/>
      <c r="P2394" s="108"/>
      <c r="Q2394" s="108"/>
      <c r="R2394" s="108"/>
      <c r="S2394" s="108"/>
      <c r="T2394" s="108"/>
      <c r="U2394" s="108"/>
      <c r="V2394" s="108"/>
      <c r="W2394" s="108"/>
      <c r="X2394" s="108"/>
    </row>
    <row r="2395" spans="1:24">
      <c r="A2395" s="107"/>
      <c r="B2395" s="107"/>
      <c r="C2395" s="107"/>
      <c r="D2395" s="107"/>
      <c r="E2395" s="107"/>
      <c r="F2395" s="107"/>
      <c r="G2395" s="108"/>
      <c r="H2395" s="107"/>
      <c r="I2395" s="108"/>
      <c r="J2395" s="108"/>
      <c r="K2395" s="108"/>
      <c r="L2395" s="108"/>
      <c r="M2395" s="108"/>
      <c r="N2395" s="108"/>
      <c r="O2395" s="108"/>
      <c r="P2395" s="108"/>
      <c r="Q2395" s="108"/>
      <c r="R2395" s="108"/>
      <c r="S2395" s="108"/>
      <c r="T2395" s="108"/>
      <c r="U2395" s="108"/>
      <c r="V2395" s="108"/>
      <c r="W2395" s="108"/>
      <c r="X2395" s="108"/>
    </row>
    <row r="2396" spans="1:24">
      <c r="A2396" s="107"/>
      <c r="B2396" s="107"/>
      <c r="C2396" s="107"/>
      <c r="D2396" s="107"/>
      <c r="E2396" s="107"/>
      <c r="F2396" s="107"/>
      <c r="G2396" s="108"/>
      <c r="H2396" s="107"/>
      <c r="I2396" s="108"/>
      <c r="J2396" s="108"/>
      <c r="K2396" s="108"/>
      <c r="L2396" s="108"/>
      <c r="M2396" s="108"/>
      <c r="N2396" s="108"/>
      <c r="O2396" s="108"/>
      <c r="P2396" s="108"/>
      <c r="Q2396" s="108"/>
      <c r="R2396" s="108"/>
      <c r="S2396" s="108"/>
      <c r="T2396" s="108"/>
      <c r="U2396" s="108"/>
      <c r="V2396" s="108"/>
      <c r="W2396" s="108"/>
      <c r="X2396" s="108"/>
    </row>
    <row r="2397" spans="1:24">
      <c r="A2397" s="107"/>
      <c r="B2397" s="107"/>
      <c r="C2397" s="107"/>
      <c r="D2397" s="107"/>
      <c r="E2397" s="107"/>
      <c r="F2397" s="107"/>
      <c r="G2397" s="108"/>
      <c r="H2397" s="107"/>
      <c r="I2397" s="108"/>
      <c r="J2397" s="108"/>
      <c r="K2397" s="108"/>
      <c r="L2397" s="108"/>
      <c r="M2397" s="108"/>
      <c r="N2397" s="108"/>
      <c r="O2397" s="108"/>
      <c r="P2397" s="108"/>
      <c r="Q2397" s="108"/>
      <c r="R2397" s="108"/>
      <c r="S2397" s="108"/>
      <c r="T2397" s="108"/>
      <c r="U2397" s="108"/>
      <c r="V2397" s="108"/>
      <c r="W2397" s="108"/>
      <c r="X2397" s="108"/>
    </row>
    <row r="2398" spans="1:24">
      <c r="A2398" s="107"/>
      <c r="B2398" s="107"/>
      <c r="C2398" s="107"/>
      <c r="D2398" s="107"/>
      <c r="E2398" s="107"/>
      <c r="F2398" s="107"/>
      <c r="G2398" s="108"/>
      <c r="H2398" s="107"/>
      <c r="I2398" s="108"/>
      <c r="J2398" s="108"/>
      <c r="K2398" s="108"/>
      <c r="L2398" s="108"/>
      <c r="M2398" s="108"/>
      <c r="N2398" s="108"/>
      <c r="O2398" s="108"/>
      <c r="P2398" s="108"/>
      <c r="Q2398" s="108"/>
      <c r="R2398" s="108"/>
      <c r="S2398" s="108"/>
      <c r="T2398" s="108"/>
      <c r="U2398" s="108"/>
      <c r="V2398" s="108"/>
      <c r="W2398" s="108"/>
      <c r="X2398" s="108"/>
    </row>
    <row r="2399" spans="1:24">
      <c r="A2399" s="107"/>
      <c r="B2399" s="107"/>
      <c r="C2399" s="107"/>
      <c r="D2399" s="107"/>
      <c r="E2399" s="107"/>
      <c r="F2399" s="107"/>
      <c r="G2399" s="108"/>
      <c r="H2399" s="107"/>
      <c r="I2399" s="108"/>
      <c r="J2399" s="108"/>
      <c r="K2399" s="108"/>
      <c r="L2399" s="108"/>
      <c r="M2399" s="108"/>
      <c r="N2399" s="108"/>
      <c r="O2399" s="108"/>
      <c r="P2399" s="108"/>
      <c r="Q2399" s="108"/>
      <c r="R2399" s="108"/>
      <c r="S2399" s="108"/>
      <c r="T2399" s="108"/>
      <c r="U2399" s="108"/>
      <c r="V2399" s="108"/>
      <c r="W2399" s="108"/>
      <c r="X2399" s="108"/>
    </row>
    <row r="2400" spans="1:24">
      <c r="A2400" s="107"/>
      <c r="B2400" s="107"/>
      <c r="C2400" s="107"/>
      <c r="D2400" s="107"/>
      <c r="E2400" s="107"/>
      <c r="F2400" s="107"/>
      <c r="G2400" s="108"/>
      <c r="H2400" s="107"/>
      <c r="I2400" s="108"/>
      <c r="J2400" s="108"/>
      <c r="K2400" s="108"/>
      <c r="L2400" s="108"/>
      <c r="M2400" s="108"/>
      <c r="N2400" s="108"/>
      <c r="O2400" s="108"/>
      <c r="P2400" s="108"/>
      <c r="Q2400" s="108"/>
      <c r="R2400" s="108"/>
      <c r="S2400" s="108"/>
      <c r="T2400" s="108"/>
      <c r="U2400" s="108"/>
      <c r="V2400" s="108"/>
      <c r="W2400" s="108"/>
      <c r="X2400" s="108"/>
    </row>
    <row r="2401" spans="1:24">
      <c r="A2401" s="107"/>
      <c r="B2401" s="107"/>
      <c r="C2401" s="107"/>
      <c r="D2401" s="107"/>
      <c r="E2401" s="107"/>
      <c r="F2401" s="107"/>
      <c r="G2401" s="108"/>
      <c r="H2401" s="107"/>
      <c r="I2401" s="108"/>
      <c r="J2401" s="108"/>
      <c r="K2401" s="108"/>
      <c r="L2401" s="108"/>
      <c r="M2401" s="108"/>
      <c r="N2401" s="108"/>
      <c r="O2401" s="108"/>
      <c r="P2401" s="108"/>
      <c r="Q2401" s="108"/>
      <c r="R2401" s="108"/>
      <c r="S2401" s="108"/>
      <c r="T2401" s="108"/>
      <c r="U2401" s="108"/>
      <c r="V2401" s="108"/>
      <c r="W2401" s="108"/>
      <c r="X2401" s="108"/>
    </row>
    <row r="2402" spans="1:24">
      <c r="A2402" s="107"/>
      <c r="B2402" s="107"/>
      <c r="C2402" s="107"/>
      <c r="D2402" s="107"/>
      <c r="E2402" s="107"/>
      <c r="F2402" s="107"/>
      <c r="G2402" s="108"/>
      <c r="H2402" s="107"/>
      <c r="I2402" s="108"/>
      <c r="J2402" s="108"/>
      <c r="K2402" s="108"/>
      <c r="L2402" s="108"/>
      <c r="M2402" s="108"/>
      <c r="N2402" s="108"/>
      <c r="O2402" s="108"/>
      <c r="P2402" s="108"/>
      <c r="Q2402" s="108"/>
      <c r="R2402" s="108"/>
      <c r="S2402" s="108"/>
      <c r="T2402" s="108"/>
      <c r="U2402" s="108"/>
      <c r="V2402" s="108"/>
      <c r="W2402" s="108"/>
      <c r="X2402" s="108"/>
    </row>
    <row r="2403" spans="1:24">
      <c r="A2403" s="107"/>
      <c r="B2403" s="107"/>
      <c r="C2403" s="107"/>
      <c r="D2403" s="107"/>
      <c r="E2403" s="107"/>
      <c r="F2403" s="107"/>
      <c r="G2403" s="108"/>
      <c r="H2403" s="107"/>
      <c r="I2403" s="108"/>
      <c r="J2403" s="108"/>
      <c r="K2403" s="108"/>
      <c r="L2403" s="108"/>
      <c r="M2403" s="108"/>
      <c r="N2403" s="108"/>
      <c r="O2403" s="108"/>
      <c r="P2403" s="108"/>
      <c r="Q2403" s="108"/>
      <c r="R2403" s="108"/>
      <c r="S2403" s="108"/>
      <c r="T2403" s="108"/>
      <c r="U2403" s="108"/>
      <c r="V2403" s="108"/>
      <c r="W2403" s="108"/>
      <c r="X2403" s="108"/>
    </row>
    <row r="2404" spans="1:24">
      <c r="A2404" s="107"/>
      <c r="B2404" s="107"/>
      <c r="C2404" s="107"/>
      <c r="D2404" s="107"/>
      <c r="E2404" s="107"/>
      <c r="F2404" s="107"/>
      <c r="G2404" s="108"/>
      <c r="H2404" s="107"/>
      <c r="I2404" s="108"/>
      <c r="J2404" s="108"/>
      <c r="K2404" s="108"/>
      <c r="L2404" s="108"/>
      <c r="M2404" s="108"/>
      <c r="N2404" s="108"/>
      <c r="O2404" s="108"/>
      <c r="P2404" s="108"/>
      <c r="Q2404" s="108"/>
      <c r="R2404" s="108"/>
      <c r="S2404" s="108"/>
      <c r="T2404" s="108"/>
      <c r="U2404" s="108"/>
      <c r="V2404" s="108"/>
      <c r="W2404" s="108"/>
      <c r="X2404" s="108"/>
    </row>
    <row r="2405" spans="1:24">
      <c r="A2405" s="107"/>
      <c r="B2405" s="107"/>
      <c r="C2405" s="107"/>
      <c r="D2405" s="107"/>
      <c r="E2405" s="107"/>
      <c r="F2405" s="107"/>
      <c r="G2405" s="108"/>
      <c r="H2405" s="107"/>
      <c r="I2405" s="108"/>
      <c r="J2405" s="108"/>
      <c r="K2405" s="108"/>
      <c r="L2405" s="108"/>
      <c r="M2405" s="108"/>
      <c r="N2405" s="108"/>
      <c r="O2405" s="108"/>
      <c r="P2405" s="108"/>
      <c r="Q2405" s="108"/>
      <c r="R2405" s="108"/>
      <c r="S2405" s="108"/>
      <c r="T2405" s="108"/>
      <c r="U2405" s="108"/>
      <c r="V2405" s="108"/>
      <c r="W2405" s="108"/>
      <c r="X2405" s="108"/>
    </row>
    <row r="2406" spans="1:24">
      <c r="A2406" s="107"/>
      <c r="B2406" s="107"/>
      <c r="C2406" s="107"/>
      <c r="D2406" s="107"/>
      <c r="E2406" s="107"/>
      <c r="F2406" s="107"/>
      <c r="G2406" s="108"/>
      <c r="H2406" s="107"/>
      <c r="I2406" s="108"/>
      <c r="J2406" s="108"/>
      <c r="K2406" s="108"/>
      <c r="L2406" s="108"/>
      <c r="M2406" s="108"/>
      <c r="N2406" s="108"/>
      <c r="O2406" s="108"/>
      <c r="P2406" s="108"/>
      <c r="Q2406" s="108"/>
      <c r="R2406" s="108"/>
      <c r="S2406" s="108"/>
      <c r="T2406" s="108"/>
      <c r="U2406" s="108"/>
      <c r="V2406" s="108"/>
      <c r="W2406" s="108"/>
      <c r="X2406" s="108"/>
    </row>
    <row r="2407" spans="1:24">
      <c r="A2407" s="107"/>
      <c r="B2407" s="107"/>
      <c r="C2407" s="107"/>
      <c r="D2407" s="107"/>
      <c r="E2407" s="107"/>
      <c r="F2407" s="107"/>
      <c r="G2407" s="108"/>
      <c r="H2407" s="107"/>
      <c r="I2407" s="108"/>
      <c r="J2407" s="108"/>
      <c r="K2407" s="108"/>
      <c r="L2407" s="108"/>
      <c r="M2407" s="108"/>
      <c r="N2407" s="108"/>
      <c r="O2407" s="108"/>
      <c r="P2407" s="108"/>
      <c r="Q2407" s="108"/>
      <c r="R2407" s="108"/>
      <c r="S2407" s="108"/>
      <c r="T2407" s="108"/>
      <c r="U2407" s="108"/>
      <c r="V2407" s="108"/>
      <c r="W2407" s="108"/>
      <c r="X2407" s="108"/>
    </row>
    <row r="2408" spans="1:24">
      <c r="A2408" s="107"/>
      <c r="B2408" s="107"/>
      <c r="C2408" s="107"/>
      <c r="D2408" s="107"/>
      <c r="E2408" s="107"/>
      <c r="F2408" s="107"/>
      <c r="G2408" s="108"/>
      <c r="H2408" s="107"/>
      <c r="I2408" s="108"/>
      <c r="J2408" s="108"/>
      <c r="K2408" s="108"/>
      <c r="L2408" s="108"/>
      <c r="M2408" s="108"/>
      <c r="N2408" s="108"/>
      <c r="O2408" s="108"/>
      <c r="P2408" s="108"/>
      <c r="Q2408" s="108"/>
      <c r="R2408" s="108"/>
      <c r="S2408" s="108"/>
      <c r="T2408" s="108"/>
      <c r="U2408" s="108"/>
      <c r="V2408" s="108"/>
      <c r="W2408" s="108"/>
      <c r="X2408" s="108"/>
    </row>
    <row r="2409" spans="1:24">
      <c r="A2409" s="107"/>
      <c r="B2409" s="107"/>
      <c r="C2409" s="107"/>
      <c r="D2409" s="107"/>
      <c r="E2409" s="107"/>
      <c r="F2409" s="107"/>
      <c r="G2409" s="108"/>
      <c r="H2409" s="107"/>
      <c r="I2409" s="108"/>
      <c r="J2409" s="108"/>
      <c r="K2409" s="108"/>
      <c r="L2409" s="108"/>
      <c r="M2409" s="108"/>
      <c r="N2409" s="108"/>
      <c r="O2409" s="108"/>
      <c r="P2409" s="108"/>
      <c r="Q2409" s="108"/>
      <c r="R2409" s="108"/>
      <c r="S2409" s="108"/>
      <c r="T2409" s="108"/>
      <c r="U2409" s="108"/>
      <c r="V2409" s="108"/>
      <c r="W2409" s="108"/>
      <c r="X2409" s="108"/>
    </row>
    <row r="2410" spans="1:24">
      <c r="A2410" s="107"/>
      <c r="B2410" s="107"/>
      <c r="C2410" s="107"/>
      <c r="D2410" s="107"/>
      <c r="E2410" s="107"/>
      <c r="F2410" s="107"/>
      <c r="G2410" s="108"/>
      <c r="H2410" s="107"/>
      <c r="I2410" s="108"/>
      <c r="J2410" s="108"/>
      <c r="K2410" s="108"/>
      <c r="L2410" s="108"/>
      <c r="M2410" s="108"/>
      <c r="N2410" s="108"/>
      <c r="O2410" s="108"/>
      <c r="P2410" s="108"/>
      <c r="Q2410" s="108"/>
      <c r="R2410" s="108"/>
      <c r="S2410" s="108"/>
      <c r="T2410" s="108"/>
      <c r="U2410" s="108"/>
      <c r="V2410" s="108"/>
      <c r="W2410" s="108"/>
      <c r="X2410" s="108"/>
    </row>
    <row r="2411" spans="1:24">
      <c r="A2411" s="107"/>
      <c r="B2411" s="107"/>
      <c r="C2411" s="107"/>
      <c r="D2411" s="107"/>
      <c r="E2411" s="107"/>
      <c r="F2411" s="107"/>
      <c r="G2411" s="108"/>
      <c r="H2411" s="107"/>
      <c r="I2411" s="108"/>
      <c r="J2411" s="108"/>
      <c r="K2411" s="108"/>
      <c r="L2411" s="108"/>
      <c r="M2411" s="108"/>
      <c r="N2411" s="108"/>
      <c r="O2411" s="108"/>
      <c r="P2411" s="108"/>
      <c r="Q2411" s="108"/>
      <c r="R2411" s="108"/>
      <c r="S2411" s="108"/>
      <c r="T2411" s="108"/>
      <c r="U2411" s="108"/>
      <c r="V2411" s="108"/>
      <c r="W2411" s="108"/>
      <c r="X2411" s="108"/>
    </row>
    <row r="2412" spans="1:24">
      <c r="A2412" s="107"/>
      <c r="B2412" s="107"/>
      <c r="C2412" s="107"/>
      <c r="D2412" s="107"/>
      <c r="E2412" s="107"/>
      <c r="F2412" s="107"/>
      <c r="G2412" s="108"/>
      <c r="H2412" s="107"/>
      <c r="I2412" s="108"/>
      <c r="J2412" s="108"/>
      <c r="K2412" s="108"/>
      <c r="L2412" s="108"/>
      <c r="M2412" s="108"/>
      <c r="N2412" s="108"/>
      <c r="O2412" s="108"/>
      <c r="P2412" s="108"/>
      <c r="Q2412" s="108"/>
      <c r="R2412" s="108"/>
      <c r="S2412" s="108"/>
      <c r="T2412" s="108"/>
      <c r="U2412" s="108"/>
      <c r="V2412" s="108"/>
      <c r="W2412" s="108"/>
      <c r="X2412" s="108"/>
    </row>
    <row r="2413" spans="1:24">
      <c r="A2413" s="107"/>
      <c r="B2413" s="107"/>
      <c r="C2413" s="107"/>
      <c r="D2413" s="107"/>
      <c r="E2413" s="107"/>
      <c r="F2413" s="107"/>
      <c r="G2413" s="108"/>
      <c r="H2413" s="107"/>
      <c r="I2413" s="108"/>
      <c r="J2413" s="108"/>
      <c r="K2413" s="108"/>
      <c r="L2413" s="108"/>
      <c r="M2413" s="108"/>
      <c r="N2413" s="108"/>
      <c r="O2413" s="108"/>
      <c r="P2413" s="108"/>
      <c r="Q2413" s="108"/>
      <c r="R2413" s="108"/>
      <c r="S2413" s="108"/>
      <c r="T2413" s="108"/>
      <c r="U2413" s="108"/>
      <c r="V2413" s="108"/>
      <c r="W2413" s="108"/>
      <c r="X2413" s="108"/>
    </row>
    <row r="2414" spans="1:24">
      <c r="A2414" s="107"/>
      <c r="B2414" s="107"/>
      <c r="C2414" s="107"/>
      <c r="D2414" s="107"/>
      <c r="E2414" s="107"/>
      <c r="F2414" s="107"/>
      <c r="G2414" s="108"/>
      <c r="H2414" s="107"/>
      <c r="I2414" s="108"/>
      <c r="J2414" s="108"/>
      <c r="K2414" s="108"/>
      <c r="L2414" s="108"/>
      <c r="M2414" s="108"/>
      <c r="N2414" s="108"/>
      <c r="O2414" s="108"/>
      <c r="P2414" s="108"/>
      <c r="Q2414" s="108"/>
      <c r="R2414" s="108"/>
      <c r="S2414" s="108"/>
      <c r="T2414" s="108"/>
      <c r="U2414" s="108"/>
      <c r="V2414" s="108"/>
      <c r="W2414" s="108"/>
      <c r="X2414" s="108"/>
    </row>
    <row r="2415" spans="1:24">
      <c r="A2415" s="107"/>
      <c r="B2415" s="107"/>
      <c r="C2415" s="107"/>
      <c r="D2415" s="107"/>
      <c r="E2415" s="107"/>
      <c r="F2415" s="107"/>
      <c r="G2415" s="108"/>
      <c r="H2415" s="107"/>
      <c r="I2415" s="108"/>
      <c r="J2415" s="108"/>
      <c r="K2415" s="108"/>
      <c r="L2415" s="108"/>
      <c r="M2415" s="108"/>
      <c r="N2415" s="108"/>
      <c r="O2415" s="108"/>
      <c r="P2415" s="108"/>
      <c r="Q2415" s="108"/>
      <c r="R2415" s="108"/>
      <c r="S2415" s="108"/>
      <c r="T2415" s="108"/>
      <c r="U2415" s="108"/>
      <c r="V2415" s="108"/>
      <c r="W2415" s="108"/>
      <c r="X2415" s="108"/>
    </row>
    <row r="2416" spans="1:24">
      <c r="A2416" s="107"/>
      <c r="B2416" s="107"/>
      <c r="C2416" s="107"/>
      <c r="D2416" s="107"/>
      <c r="E2416" s="107"/>
      <c r="F2416" s="107"/>
      <c r="G2416" s="108"/>
      <c r="H2416" s="107"/>
      <c r="I2416" s="108"/>
      <c r="J2416" s="108"/>
      <c r="K2416" s="108"/>
      <c r="L2416" s="108"/>
      <c r="M2416" s="108"/>
      <c r="N2416" s="108"/>
      <c r="O2416" s="108"/>
      <c r="P2416" s="108"/>
      <c r="Q2416" s="108"/>
      <c r="R2416" s="108"/>
      <c r="S2416" s="108"/>
      <c r="T2416" s="108"/>
      <c r="U2416" s="108"/>
      <c r="V2416" s="108"/>
      <c r="W2416" s="108"/>
      <c r="X2416" s="108"/>
    </row>
    <row r="2417" spans="1:24">
      <c r="A2417" s="107"/>
      <c r="B2417" s="107"/>
      <c r="C2417" s="107"/>
      <c r="D2417" s="107"/>
      <c r="E2417" s="107"/>
      <c r="F2417" s="107"/>
      <c r="G2417" s="108"/>
      <c r="H2417" s="107"/>
      <c r="I2417" s="108"/>
      <c r="J2417" s="108"/>
      <c r="K2417" s="108"/>
      <c r="L2417" s="108"/>
      <c r="M2417" s="108"/>
      <c r="N2417" s="108"/>
      <c r="O2417" s="108"/>
      <c r="P2417" s="108"/>
      <c r="Q2417" s="108"/>
      <c r="R2417" s="108"/>
      <c r="S2417" s="108"/>
      <c r="T2417" s="108"/>
      <c r="U2417" s="108"/>
      <c r="V2417" s="108"/>
      <c r="W2417" s="108"/>
      <c r="X2417" s="108"/>
    </row>
    <row r="2418" spans="1:24">
      <c r="A2418" s="107"/>
      <c r="B2418" s="107"/>
      <c r="C2418" s="107"/>
      <c r="D2418" s="107"/>
      <c r="E2418" s="107"/>
      <c r="F2418" s="107"/>
      <c r="G2418" s="108"/>
      <c r="H2418" s="107"/>
      <c r="I2418" s="108"/>
      <c r="J2418" s="108"/>
      <c r="K2418" s="108"/>
      <c r="L2418" s="108"/>
      <c r="M2418" s="108"/>
      <c r="N2418" s="108"/>
      <c r="O2418" s="108"/>
      <c r="P2418" s="108"/>
      <c r="Q2418" s="108"/>
      <c r="R2418" s="108"/>
      <c r="S2418" s="108"/>
      <c r="T2418" s="108"/>
      <c r="U2418" s="108"/>
      <c r="V2418" s="108"/>
      <c r="W2418" s="108"/>
      <c r="X2418" s="108"/>
    </row>
    <row r="2419" spans="1:24">
      <c r="A2419" s="107"/>
      <c r="B2419" s="107"/>
      <c r="C2419" s="107"/>
      <c r="D2419" s="107"/>
      <c r="E2419" s="107"/>
      <c r="F2419" s="107"/>
      <c r="G2419" s="108"/>
      <c r="H2419" s="107"/>
      <c r="I2419" s="108"/>
      <c r="J2419" s="108"/>
      <c r="K2419" s="108"/>
      <c r="L2419" s="108"/>
      <c r="M2419" s="108"/>
      <c r="N2419" s="108"/>
      <c r="O2419" s="108"/>
      <c r="P2419" s="108"/>
      <c r="Q2419" s="108"/>
      <c r="R2419" s="108"/>
      <c r="S2419" s="108"/>
      <c r="T2419" s="108"/>
      <c r="U2419" s="108"/>
      <c r="V2419" s="108"/>
      <c r="W2419" s="108"/>
      <c r="X2419" s="108"/>
    </row>
    <row r="2420" spans="1:24">
      <c r="A2420" s="107"/>
      <c r="B2420" s="107"/>
      <c r="C2420" s="107"/>
      <c r="D2420" s="107"/>
      <c r="E2420" s="107"/>
      <c r="F2420" s="107"/>
      <c r="G2420" s="108"/>
      <c r="H2420" s="107"/>
      <c r="I2420" s="108"/>
      <c r="J2420" s="108"/>
      <c r="K2420" s="108"/>
      <c r="L2420" s="108"/>
      <c r="M2420" s="108"/>
      <c r="N2420" s="108"/>
      <c r="O2420" s="108"/>
      <c r="P2420" s="108"/>
      <c r="Q2420" s="108"/>
      <c r="R2420" s="108"/>
      <c r="S2420" s="108"/>
      <c r="T2420" s="108"/>
      <c r="U2420" s="108"/>
      <c r="V2420" s="108"/>
      <c r="W2420" s="108"/>
      <c r="X2420" s="108"/>
    </row>
    <row r="2421" spans="1:24">
      <c r="A2421" s="107"/>
      <c r="B2421" s="107"/>
      <c r="C2421" s="107"/>
      <c r="D2421" s="107"/>
      <c r="E2421" s="107"/>
      <c r="F2421" s="107"/>
      <c r="G2421" s="108"/>
      <c r="H2421" s="107"/>
      <c r="I2421" s="108"/>
      <c r="J2421" s="108"/>
      <c r="K2421" s="108"/>
      <c r="L2421" s="108"/>
      <c r="M2421" s="108"/>
      <c r="N2421" s="108"/>
      <c r="O2421" s="108"/>
      <c r="P2421" s="108"/>
      <c r="Q2421" s="108"/>
      <c r="R2421" s="108"/>
      <c r="S2421" s="108"/>
      <c r="T2421" s="108"/>
      <c r="U2421" s="108"/>
      <c r="V2421" s="108"/>
      <c r="W2421" s="108"/>
      <c r="X2421" s="108"/>
    </row>
    <row r="2422" spans="1:24">
      <c r="A2422" s="107"/>
      <c r="B2422" s="107"/>
      <c r="C2422" s="107"/>
      <c r="D2422" s="107"/>
      <c r="E2422" s="107"/>
      <c r="F2422" s="107"/>
      <c r="G2422" s="108"/>
      <c r="H2422" s="107"/>
      <c r="I2422" s="108"/>
      <c r="J2422" s="108"/>
      <c r="K2422" s="108"/>
      <c r="L2422" s="108"/>
      <c r="M2422" s="108"/>
      <c r="N2422" s="108"/>
      <c r="O2422" s="108"/>
      <c r="P2422" s="108"/>
      <c r="Q2422" s="108"/>
      <c r="R2422" s="108"/>
      <c r="S2422" s="108"/>
      <c r="T2422" s="108"/>
      <c r="U2422" s="108"/>
      <c r="V2422" s="108"/>
      <c r="W2422" s="108"/>
      <c r="X2422" s="108"/>
    </row>
    <row r="2423" spans="1:24">
      <c r="A2423" s="107"/>
      <c r="B2423" s="107"/>
      <c r="C2423" s="107"/>
      <c r="D2423" s="107"/>
      <c r="E2423" s="107"/>
      <c r="F2423" s="107"/>
      <c r="G2423" s="108"/>
      <c r="H2423" s="107"/>
      <c r="I2423" s="108"/>
      <c r="J2423" s="108"/>
      <c r="K2423" s="108"/>
      <c r="L2423" s="108"/>
      <c r="M2423" s="108"/>
      <c r="N2423" s="108"/>
      <c r="O2423" s="108"/>
      <c r="P2423" s="108"/>
      <c r="Q2423" s="108"/>
      <c r="R2423" s="108"/>
      <c r="S2423" s="108"/>
      <c r="T2423" s="108"/>
      <c r="U2423" s="108"/>
      <c r="V2423" s="108"/>
      <c r="W2423" s="108"/>
      <c r="X2423" s="108"/>
    </row>
    <row r="2424" spans="1:24">
      <c r="A2424" s="107"/>
      <c r="B2424" s="107"/>
      <c r="C2424" s="107"/>
      <c r="D2424" s="107"/>
      <c r="E2424" s="107"/>
      <c r="F2424" s="107"/>
      <c r="G2424" s="108"/>
      <c r="H2424" s="107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</row>
    <row r="2425" spans="1:24">
      <c r="A2425" s="107"/>
      <c r="B2425" s="107"/>
      <c r="C2425" s="107"/>
      <c r="D2425" s="107"/>
      <c r="E2425" s="107"/>
      <c r="F2425" s="107"/>
      <c r="G2425" s="108"/>
      <c r="H2425" s="107"/>
      <c r="I2425" s="108"/>
      <c r="J2425" s="108"/>
      <c r="K2425" s="108"/>
      <c r="L2425" s="108"/>
      <c r="M2425" s="108"/>
      <c r="N2425" s="108"/>
      <c r="O2425" s="108"/>
      <c r="P2425" s="108"/>
      <c r="Q2425" s="108"/>
      <c r="R2425" s="108"/>
      <c r="S2425" s="108"/>
      <c r="T2425" s="108"/>
      <c r="U2425" s="108"/>
      <c r="V2425" s="108"/>
      <c r="W2425" s="108"/>
      <c r="X2425" s="108"/>
    </row>
    <row r="2426" spans="1:24">
      <c r="A2426" s="107"/>
      <c r="B2426" s="107"/>
      <c r="C2426" s="107"/>
      <c r="D2426" s="107"/>
      <c r="E2426" s="107"/>
      <c r="F2426" s="107"/>
      <c r="G2426" s="108"/>
      <c r="H2426" s="107"/>
      <c r="I2426" s="108"/>
      <c r="J2426" s="108"/>
      <c r="K2426" s="108"/>
      <c r="L2426" s="108"/>
      <c r="M2426" s="108"/>
      <c r="N2426" s="108"/>
      <c r="O2426" s="108"/>
      <c r="P2426" s="108"/>
      <c r="Q2426" s="108"/>
      <c r="R2426" s="108"/>
      <c r="S2426" s="108"/>
      <c r="T2426" s="108"/>
      <c r="U2426" s="108"/>
      <c r="V2426" s="108"/>
      <c r="W2426" s="108"/>
      <c r="X2426" s="108"/>
    </row>
    <row r="2427" spans="1:24">
      <c r="A2427" s="107"/>
      <c r="B2427" s="107"/>
      <c r="C2427" s="107"/>
      <c r="D2427" s="107"/>
      <c r="E2427" s="107"/>
      <c r="F2427" s="107"/>
      <c r="G2427" s="108"/>
      <c r="H2427" s="107"/>
      <c r="I2427" s="108"/>
      <c r="J2427" s="108"/>
      <c r="K2427" s="108"/>
      <c r="L2427" s="108"/>
      <c r="M2427" s="108"/>
      <c r="N2427" s="108"/>
      <c r="O2427" s="108"/>
      <c r="P2427" s="108"/>
      <c r="Q2427" s="108"/>
      <c r="R2427" s="108"/>
      <c r="S2427" s="108"/>
      <c r="T2427" s="108"/>
      <c r="U2427" s="108"/>
      <c r="V2427" s="108"/>
      <c r="W2427" s="108"/>
      <c r="X2427" s="108"/>
    </row>
    <row r="2428" spans="1:24">
      <c r="A2428" s="107"/>
      <c r="B2428" s="107"/>
      <c r="C2428" s="107"/>
      <c r="D2428" s="107"/>
      <c r="E2428" s="107"/>
      <c r="F2428" s="107"/>
      <c r="G2428" s="108"/>
      <c r="H2428" s="107"/>
      <c r="I2428" s="108"/>
      <c r="J2428" s="108"/>
      <c r="K2428" s="108"/>
      <c r="L2428" s="108"/>
      <c r="M2428" s="108"/>
      <c r="N2428" s="108"/>
      <c r="O2428" s="108"/>
      <c r="P2428" s="108"/>
      <c r="Q2428" s="108"/>
      <c r="R2428" s="108"/>
      <c r="S2428" s="108"/>
      <c r="T2428" s="108"/>
      <c r="U2428" s="108"/>
      <c r="V2428" s="108"/>
      <c r="W2428" s="108"/>
      <c r="X2428" s="108"/>
    </row>
    <row r="2429" spans="1:24">
      <c r="A2429" s="107"/>
      <c r="B2429" s="107"/>
      <c r="C2429" s="107"/>
      <c r="D2429" s="107"/>
      <c r="E2429" s="107"/>
      <c r="F2429" s="107"/>
      <c r="G2429" s="108"/>
      <c r="H2429" s="107"/>
      <c r="I2429" s="108"/>
      <c r="J2429" s="108"/>
      <c r="K2429" s="108"/>
      <c r="L2429" s="108"/>
      <c r="M2429" s="108"/>
      <c r="N2429" s="108"/>
      <c r="O2429" s="108"/>
      <c r="P2429" s="108"/>
      <c r="Q2429" s="108"/>
      <c r="R2429" s="108"/>
      <c r="S2429" s="108"/>
      <c r="T2429" s="108"/>
      <c r="U2429" s="108"/>
      <c r="V2429" s="108"/>
      <c r="W2429" s="108"/>
      <c r="X2429" s="108"/>
    </row>
    <row r="2430" spans="1:24">
      <c r="A2430" s="107"/>
      <c r="B2430" s="107"/>
      <c r="C2430" s="107"/>
      <c r="D2430" s="107"/>
      <c r="E2430" s="107"/>
      <c r="F2430" s="107"/>
      <c r="G2430" s="108"/>
      <c r="H2430" s="107"/>
      <c r="I2430" s="108"/>
      <c r="J2430" s="108"/>
      <c r="K2430" s="108"/>
      <c r="L2430" s="108"/>
      <c r="M2430" s="108"/>
      <c r="N2430" s="108"/>
      <c r="O2430" s="108"/>
      <c r="P2430" s="108"/>
      <c r="Q2430" s="108"/>
      <c r="R2430" s="108"/>
      <c r="S2430" s="108"/>
      <c r="T2430" s="108"/>
      <c r="U2430" s="108"/>
      <c r="V2430" s="108"/>
      <c r="W2430" s="108"/>
      <c r="X2430" s="108"/>
    </row>
    <row r="2431" spans="1:24">
      <c r="A2431" s="107"/>
      <c r="B2431" s="107"/>
      <c r="C2431" s="107"/>
      <c r="D2431" s="107"/>
      <c r="E2431" s="107"/>
      <c r="F2431" s="107"/>
      <c r="G2431" s="108"/>
      <c r="H2431" s="107"/>
      <c r="I2431" s="108"/>
      <c r="J2431" s="108"/>
      <c r="K2431" s="108"/>
      <c r="L2431" s="108"/>
      <c r="M2431" s="108"/>
      <c r="N2431" s="108"/>
      <c r="O2431" s="108"/>
      <c r="P2431" s="108"/>
      <c r="Q2431" s="108"/>
      <c r="R2431" s="108"/>
      <c r="S2431" s="108"/>
      <c r="T2431" s="108"/>
      <c r="U2431" s="108"/>
      <c r="V2431" s="108"/>
      <c r="W2431" s="108"/>
      <c r="X2431" s="108"/>
    </row>
    <row r="2432" spans="1:24">
      <c r="A2432" s="107"/>
      <c r="B2432" s="107"/>
      <c r="C2432" s="107"/>
      <c r="D2432" s="107"/>
      <c r="E2432" s="107"/>
      <c r="F2432" s="107"/>
      <c r="G2432" s="108"/>
      <c r="H2432" s="107"/>
      <c r="I2432" s="108"/>
      <c r="J2432" s="108"/>
      <c r="K2432" s="108"/>
      <c r="L2432" s="108"/>
      <c r="M2432" s="108"/>
      <c r="N2432" s="108"/>
      <c r="O2432" s="108"/>
      <c r="P2432" s="108"/>
      <c r="Q2432" s="108"/>
      <c r="R2432" s="108"/>
      <c r="S2432" s="108"/>
      <c r="T2432" s="108"/>
      <c r="U2432" s="108"/>
      <c r="V2432" s="108"/>
      <c r="W2432" s="108"/>
      <c r="X2432" s="108"/>
    </row>
    <row r="2433" spans="1:24">
      <c r="A2433" s="107"/>
      <c r="B2433" s="107"/>
      <c r="C2433" s="107"/>
      <c r="D2433" s="107"/>
      <c r="E2433" s="107"/>
      <c r="F2433" s="107"/>
      <c r="G2433" s="108"/>
      <c r="H2433" s="107"/>
      <c r="I2433" s="108"/>
      <c r="J2433" s="108"/>
      <c r="K2433" s="108"/>
      <c r="L2433" s="108"/>
      <c r="M2433" s="108"/>
      <c r="N2433" s="108"/>
      <c r="O2433" s="108"/>
      <c r="P2433" s="108"/>
      <c r="Q2433" s="108"/>
      <c r="R2433" s="108"/>
      <c r="S2433" s="108"/>
      <c r="T2433" s="108"/>
      <c r="U2433" s="108"/>
      <c r="V2433" s="108"/>
      <c r="W2433" s="108"/>
      <c r="X2433" s="108"/>
    </row>
    <row r="2434" spans="1:24">
      <c r="A2434" s="107"/>
      <c r="B2434" s="107"/>
      <c r="C2434" s="107"/>
      <c r="D2434" s="107"/>
      <c r="E2434" s="107"/>
      <c r="F2434" s="107"/>
      <c r="G2434" s="108"/>
      <c r="H2434" s="107"/>
      <c r="I2434" s="108"/>
      <c r="J2434" s="108"/>
      <c r="K2434" s="108"/>
      <c r="L2434" s="108"/>
      <c r="M2434" s="108"/>
      <c r="N2434" s="108"/>
      <c r="O2434" s="108"/>
      <c r="P2434" s="108"/>
      <c r="Q2434" s="108"/>
      <c r="R2434" s="108"/>
      <c r="S2434" s="108"/>
      <c r="T2434" s="108"/>
      <c r="U2434" s="108"/>
      <c r="V2434" s="108"/>
      <c r="W2434" s="108"/>
      <c r="X2434" s="108"/>
    </row>
    <row r="2435" spans="1:24">
      <c r="A2435" s="107"/>
      <c r="B2435" s="107"/>
      <c r="C2435" s="107"/>
      <c r="D2435" s="107"/>
      <c r="E2435" s="107"/>
      <c r="F2435" s="107"/>
      <c r="G2435" s="108"/>
      <c r="H2435" s="107"/>
      <c r="I2435" s="108"/>
      <c r="J2435" s="108"/>
      <c r="K2435" s="108"/>
      <c r="L2435" s="108"/>
      <c r="M2435" s="108"/>
      <c r="N2435" s="108"/>
      <c r="O2435" s="108"/>
      <c r="P2435" s="108"/>
      <c r="Q2435" s="108"/>
      <c r="R2435" s="108"/>
      <c r="S2435" s="108"/>
      <c r="T2435" s="108"/>
      <c r="U2435" s="108"/>
      <c r="V2435" s="108"/>
      <c r="W2435" s="108"/>
      <c r="X2435" s="108"/>
    </row>
    <row r="2436" spans="1:24">
      <c r="A2436" s="107"/>
      <c r="B2436" s="107"/>
      <c r="C2436" s="107"/>
      <c r="D2436" s="107"/>
      <c r="E2436" s="107"/>
      <c r="F2436" s="107"/>
      <c r="G2436" s="108"/>
      <c r="H2436" s="107"/>
      <c r="I2436" s="108"/>
      <c r="J2436" s="108"/>
      <c r="K2436" s="108"/>
      <c r="L2436" s="108"/>
      <c r="M2436" s="108"/>
      <c r="N2436" s="108"/>
      <c r="O2436" s="108"/>
      <c r="P2436" s="108"/>
      <c r="Q2436" s="108"/>
      <c r="R2436" s="108"/>
      <c r="S2436" s="108"/>
      <c r="T2436" s="108"/>
      <c r="U2436" s="108"/>
      <c r="V2436" s="108"/>
      <c r="W2436" s="108"/>
      <c r="X2436" s="108"/>
    </row>
    <row r="2437" spans="1:24">
      <c r="A2437" s="107"/>
      <c r="B2437" s="107"/>
      <c r="C2437" s="107"/>
      <c r="D2437" s="107"/>
      <c r="E2437" s="107"/>
      <c r="F2437" s="107"/>
      <c r="G2437" s="108"/>
      <c r="H2437" s="107"/>
      <c r="I2437" s="108"/>
      <c r="J2437" s="108"/>
      <c r="K2437" s="108"/>
      <c r="L2437" s="108"/>
      <c r="M2437" s="108"/>
      <c r="N2437" s="108"/>
      <c r="O2437" s="108"/>
      <c r="P2437" s="108"/>
      <c r="Q2437" s="108"/>
      <c r="R2437" s="108"/>
      <c r="S2437" s="108"/>
      <c r="T2437" s="108"/>
      <c r="U2437" s="108"/>
      <c r="V2437" s="108"/>
      <c r="W2437" s="108"/>
      <c r="X2437" s="108"/>
    </row>
    <row r="2438" spans="1:24">
      <c r="A2438" s="107"/>
      <c r="B2438" s="107"/>
      <c r="C2438" s="107"/>
      <c r="D2438" s="107"/>
      <c r="E2438" s="107"/>
      <c r="F2438" s="107"/>
      <c r="G2438" s="108"/>
      <c r="H2438" s="107"/>
      <c r="I2438" s="108"/>
      <c r="J2438" s="108"/>
      <c r="K2438" s="108"/>
      <c r="L2438" s="108"/>
      <c r="M2438" s="108"/>
      <c r="N2438" s="108"/>
      <c r="O2438" s="108"/>
      <c r="P2438" s="108"/>
      <c r="Q2438" s="108"/>
      <c r="R2438" s="108"/>
      <c r="S2438" s="108"/>
      <c r="T2438" s="108"/>
      <c r="U2438" s="108"/>
      <c r="V2438" s="108"/>
      <c r="W2438" s="108"/>
      <c r="X2438" s="108"/>
    </row>
    <row r="2439" spans="1:24">
      <c r="A2439" s="107"/>
      <c r="B2439" s="107"/>
      <c r="C2439" s="107"/>
      <c r="D2439" s="107"/>
      <c r="E2439" s="107"/>
      <c r="F2439" s="107"/>
      <c r="G2439" s="108"/>
      <c r="H2439" s="107"/>
      <c r="I2439" s="108"/>
      <c r="J2439" s="108"/>
      <c r="K2439" s="108"/>
      <c r="L2439" s="108"/>
      <c r="M2439" s="108"/>
      <c r="N2439" s="108"/>
      <c r="O2439" s="108"/>
      <c r="P2439" s="108"/>
      <c r="Q2439" s="108"/>
      <c r="R2439" s="108"/>
      <c r="S2439" s="108"/>
      <c r="T2439" s="108"/>
      <c r="U2439" s="108"/>
      <c r="V2439" s="108"/>
      <c r="W2439" s="108"/>
      <c r="X2439" s="108"/>
    </row>
    <row r="2440" spans="1:24">
      <c r="A2440" s="107"/>
      <c r="B2440" s="107"/>
      <c r="C2440" s="107"/>
      <c r="D2440" s="107"/>
      <c r="E2440" s="107"/>
      <c r="F2440" s="107"/>
      <c r="G2440" s="108"/>
      <c r="H2440" s="107"/>
      <c r="I2440" s="108"/>
      <c r="J2440" s="108"/>
      <c r="K2440" s="108"/>
      <c r="L2440" s="108"/>
      <c r="M2440" s="108"/>
      <c r="N2440" s="108"/>
      <c r="O2440" s="108"/>
      <c r="P2440" s="108"/>
      <c r="Q2440" s="108"/>
      <c r="R2440" s="108"/>
      <c r="S2440" s="108"/>
      <c r="T2440" s="108"/>
      <c r="U2440" s="108"/>
      <c r="V2440" s="108"/>
      <c r="W2440" s="108"/>
      <c r="X2440" s="108"/>
    </row>
    <row r="2441" spans="1:24">
      <c r="A2441" s="107"/>
      <c r="B2441" s="107"/>
      <c r="C2441" s="107"/>
      <c r="D2441" s="107"/>
      <c r="E2441" s="107"/>
      <c r="F2441" s="107"/>
      <c r="G2441" s="108"/>
      <c r="H2441" s="107"/>
      <c r="I2441" s="108"/>
      <c r="J2441" s="108"/>
      <c r="K2441" s="108"/>
      <c r="L2441" s="108"/>
      <c r="M2441" s="108"/>
      <c r="N2441" s="108"/>
      <c r="O2441" s="108"/>
      <c r="P2441" s="108"/>
      <c r="Q2441" s="108"/>
      <c r="R2441" s="108"/>
      <c r="S2441" s="108"/>
      <c r="T2441" s="108"/>
      <c r="U2441" s="108"/>
      <c r="V2441" s="108"/>
      <c r="W2441" s="108"/>
      <c r="X2441" s="108"/>
    </row>
    <row r="2442" spans="1:24">
      <c r="A2442" s="107"/>
      <c r="B2442" s="107"/>
      <c r="C2442" s="107"/>
      <c r="D2442" s="107"/>
      <c r="E2442" s="107"/>
      <c r="F2442" s="107"/>
      <c r="G2442" s="108"/>
      <c r="H2442" s="107"/>
      <c r="I2442" s="108"/>
      <c r="J2442" s="108"/>
      <c r="K2442" s="108"/>
      <c r="L2442" s="108"/>
      <c r="M2442" s="108"/>
      <c r="N2442" s="108"/>
      <c r="O2442" s="108"/>
      <c r="P2442" s="108"/>
      <c r="Q2442" s="108"/>
      <c r="R2442" s="108"/>
      <c r="S2442" s="108"/>
      <c r="T2442" s="108"/>
      <c r="U2442" s="108"/>
      <c r="V2442" s="108"/>
      <c r="W2442" s="108"/>
      <c r="X2442" s="108"/>
    </row>
    <row r="2443" spans="1:24">
      <c r="A2443" s="107"/>
      <c r="B2443" s="107"/>
      <c r="C2443" s="107"/>
      <c r="D2443" s="107"/>
      <c r="E2443" s="107"/>
      <c r="F2443" s="107"/>
      <c r="G2443" s="108"/>
      <c r="H2443" s="107"/>
      <c r="I2443" s="108"/>
      <c r="J2443" s="108"/>
      <c r="K2443" s="108"/>
      <c r="L2443" s="108"/>
      <c r="M2443" s="108"/>
      <c r="N2443" s="108"/>
      <c r="O2443" s="108"/>
      <c r="P2443" s="108"/>
      <c r="Q2443" s="108"/>
      <c r="R2443" s="108"/>
      <c r="S2443" s="108"/>
      <c r="T2443" s="108"/>
      <c r="U2443" s="108"/>
      <c r="V2443" s="108"/>
      <c r="W2443" s="108"/>
      <c r="X2443" s="108"/>
    </row>
    <row r="2444" spans="1:24">
      <c r="A2444" s="107"/>
      <c r="B2444" s="107"/>
      <c r="C2444" s="107"/>
      <c r="D2444" s="107"/>
      <c r="E2444" s="107"/>
      <c r="F2444" s="107"/>
      <c r="G2444" s="108"/>
      <c r="H2444" s="107"/>
      <c r="I2444" s="108"/>
      <c r="J2444" s="108"/>
      <c r="K2444" s="108"/>
      <c r="L2444" s="108"/>
      <c r="M2444" s="108"/>
      <c r="N2444" s="108"/>
      <c r="O2444" s="108"/>
      <c r="P2444" s="108"/>
      <c r="Q2444" s="108"/>
      <c r="R2444" s="108"/>
      <c r="S2444" s="108"/>
      <c r="T2444" s="108"/>
      <c r="U2444" s="108"/>
      <c r="V2444" s="108"/>
      <c r="W2444" s="108"/>
      <c r="X2444" s="108"/>
    </row>
    <row r="2445" spans="1:24">
      <c r="A2445" s="107"/>
      <c r="B2445" s="107"/>
      <c r="C2445" s="107"/>
      <c r="D2445" s="107"/>
      <c r="E2445" s="107"/>
      <c r="F2445" s="107"/>
      <c r="G2445" s="108"/>
      <c r="H2445" s="107"/>
      <c r="I2445" s="108"/>
      <c r="J2445" s="108"/>
      <c r="K2445" s="108"/>
      <c r="L2445" s="108"/>
      <c r="M2445" s="108"/>
      <c r="N2445" s="108"/>
      <c r="O2445" s="108"/>
      <c r="P2445" s="108"/>
      <c r="Q2445" s="108"/>
      <c r="R2445" s="108"/>
      <c r="S2445" s="108"/>
      <c r="T2445" s="108"/>
      <c r="U2445" s="108"/>
      <c r="V2445" s="108"/>
      <c r="W2445" s="108"/>
      <c r="X2445" s="108"/>
    </row>
    <row r="2446" spans="1:24">
      <c r="A2446" s="107"/>
      <c r="B2446" s="107"/>
      <c r="C2446" s="107"/>
      <c r="D2446" s="107"/>
      <c r="E2446" s="107"/>
      <c r="F2446" s="107"/>
      <c r="G2446" s="108"/>
      <c r="H2446" s="107"/>
      <c r="I2446" s="108"/>
      <c r="J2446" s="108"/>
      <c r="K2446" s="108"/>
      <c r="L2446" s="108"/>
      <c r="M2446" s="108"/>
      <c r="N2446" s="108"/>
      <c r="O2446" s="108"/>
      <c r="P2446" s="108"/>
      <c r="Q2446" s="108"/>
      <c r="R2446" s="108"/>
      <c r="S2446" s="108"/>
      <c r="T2446" s="108"/>
      <c r="U2446" s="108"/>
      <c r="V2446" s="108"/>
      <c r="W2446" s="108"/>
      <c r="X2446" s="108"/>
    </row>
    <row r="2447" spans="1:24">
      <c r="A2447" s="107"/>
      <c r="B2447" s="107"/>
      <c r="C2447" s="107"/>
      <c r="D2447" s="107"/>
      <c r="E2447" s="107"/>
      <c r="F2447" s="107"/>
      <c r="G2447" s="108"/>
      <c r="H2447" s="107"/>
      <c r="I2447" s="108"/>
      <c r="J2447" s="108"/>
      <c r="K2447" s="108"/>
      <c r="L2447" s="108"/>
      <c r="M2447" s="108"/>
      <c r="N2447" s="108"/>
      <c r="O2447" s="108"/>
      <c r="P2447" s="108"/>
      <c r="Q2447" s="108"/>
      <c r="R2447" s="108"/>
      <c r="S2447" s="108"/>
      <c r="T2447" s="108"/>
      <c r="U2447" s="108"/>
      <c r="V2447" s="108"/>
      <c r="W2447" s="108"/>
      <c r="X2447" s="108"/>
    </row>
    <row r="2448" spans="1:24">
      <c r="A2448" s="107"/>
      <c r="B2448" s="107"/>
      <c r="C2448" s="107"/>
      <c r="D2448" s="107"/>
      <c r="E2448" s="107"/>
      <c r="F2448" s="107"/>
      <c r="G2448" s="108"/>
      <c r="H2448" s="107"/>
      <c r="I2448" s="108"/>
      <c r="J2448" s="108"/>
      <c r="K2448" s="108"/>
      <c r="L2448" s="108"/>
      <c r="M2448" s="108"/>
      <c r="N2448" s="108"/>
      <c r="O2448" s="108"/>
      <c r="P2448" s="108"/>
      <c r="Q2448" s="108"/>
      <c r="R2448" s="108"/>
      <c r="S2448" s="108"/>
      <c r="T2448" s="108"/>
      <c r="U2448" s="108"/>
      <c r="V2448" s="108"/>
      <c r="W2448" s="108"/>
      <c r="X2448" s="108"/>
    </row>
    <row r="2449" spans="1:24">
      <c r="A2449" s="107"/>
      <c r="B2449" s="107"/>
      <c r="C2449" s="107"/>
      <c r="D2449" s="107"/>
      <c r="E2449" s="107"/>
      <c r="F2449" s="107"/>
      <c r="G2449" s="108"/>
      <c r="H2449" s="107"/>
      <c r="I2449" s="108"/>
      <c r="J2449" s="108"/>
      <c r="K2449" s="108"/>
      <c r="L2449" s="108"/>
      <c r="M2449" s="108"/>
      <c r="N2449" s="108"/>
      <c r="O2449" s="108"/>
      <c r="P2449" s="108"/>
      <c r="Q2449" s="108"/>
      <c r="R2449" s="108"/>
      <c r="S2449" s="108"/>
      <c r="T2449" s="108"/>
      <c r="U2449" s="108"/>
      <c r="V2449" s="108"/>
      <c r="W2449" s="108"/>
      <c r="X2449" s="108"/>
    </row>
    <row r="2450" spans="1:24">
      <c r="A2450" s="107"/>
      <c r="B2450" s="107"/>
      <c r="C2450" s="107"/>
      <c r="D2450" s="107"/>
      <c r="E2450" s="107"/>
      <c r="F2450" s="107"/>
      <c r="G2450" s="108"/>
      <c r="H2450" s="107"/>
      <c r="I2450" s="108"/>
      <c r="J2450" s="108"/>
      <c r="K2450" s="108"/>
      <c r="L2450" s="108"/>
      <c r="M2450" s="108"/>
      <c r="N2450" s="108"/>
      <c r="O2450" s="108"/>
      <c r="P2450" s="108"/>
      <c r="Q2450" s="108"/>
      <c r="R2450" s="108"/>
      <c r="S2450" s="108"/>
      <c r="T2450" s="108"/>
      <c r="U2450" s="108"/>
      <c r="V2450" s="108"/>
      <c r="W2450" s="108"/>
      <c r="X2450" s="108"/>
    </row>
    <row r="2451" spans="1:24">
      <c r="A2451" s="107"/>
      <c r="B2451" s="107"/>
      <c r="C2451" s="107"/>
      <c r="D2451" s="107"/>
      <c r="E2451" s="107"/>
      <c r="F2451" s="107"/>
      <c r="G2451" s="108"/>
      <c r="H2451" s="107"/>
      <c r="I2451" s="108"/>
      <c r="J2451" s="108"/>
      <c r="K2451" s="108"/>
      <c r="L2451" s="108"/>
      <c r="M2451" s="108"/>
      <c r="N2451" s="108"/>
      <c r="O2451" s="108"/>
      <c r="P2451" s="108"/>
      <c r="Q2451" s="108"/>
      <c r="R2451" s="108"/>
      <c r="S2451" s="108"/>
      <c r="T2451" s="108"/>
      <c r="U2451" s="108"/>
      <c r="V2451" s="108"/>
      <c r="W2451" s="108"/>
      <c r="X2451" s="108"/>
    </row>
    <row r="2452" spans="1:24">
      <c r="A2452" s="107"/>
      <c r="B2452" s="107"/>
      <c r="C2452" s="107"/>
      <c r="D2452" s="107"/>
      <c r="E2452" s="107"/>
      <c r="F2452" s="107"/>
      <c r="G2452" s="108"/>
      <c r="H2452" s="107"/>
      <c r="I2452" s="108"/>
      <c r="J2452" s="108"/>
      <c r="K2452" s="108"/>
      <c r="L2452" s="108"/>
      <c r="M2452" s="108"/>
      <c r="N2452" s="108"/>
      <c r="O2452" s="108"/>
      <c r="P2452" s="108"/>
      <c r="Q2452" s="108"/>
      <c r="R2452" s="108"/>
      <c r="S2452" s="108"/>
      <c r="T2452" s="108"/>
      <c r="U2452" s="108"/>
      <c r="V2452" s="108"/>
      <c r="W2452" s="108"/>
      <c r="X2452" s="108"/>
    </row>
    <row r="2453" spans="1:24">
      <c r="A2453" s="107"/>
      <c r="B2453" s="107"/>
      <c r="C2453" s="107"/>
      <c r="D2453" s="107"/>
      <c r="E2453" s="107"/>
      <c r="F2453" s="107"/>
      <c r="G2453" s="108"/>
      <c r="H2453" s="107"/>
      <c r="I2453" s="108"/>
      <c r="J2453" s="108"/>
      <c r="K2453" s="108"/>
      <c r="L2453" s="108"/>
      <c r="M2453" s="108"/>
      <c r="N2453" s="108"/>
      <c r="O2453" s="108"/>
      <c r="P2453" s="108"/>
      <c r="Q2453" s="108"/>
      <c r="R2453" s="108"/>
      <c r="S2453" s="108"/>
      <c r="T2453" s="108"/>
      <c r="U2453" s="108"/>
      <c r="V2453" s="108"/>
      <c r="W2453" s="108"/>
      <c r="X2453" s="108"/>
    </row>
    <row r="2454" spans="1:24">
      <c r="A2454" s="107"/>
      <c r="B2454" s="107"/>
      <c r="C2454" s="107"/>
      <c r="D2454" s="107"/>
      <c r="E2454" s="107"/>
      <c r="F2454" s="107"/>
      <c r="G2454" s="108"/>
      <c r="H2454" s="107"/>
      <c r="I2454" s="108"/>
      <c r="J2454" s="108"/>
      <c r="K2454" s="108"/>
      <c r="L2454" s="108"/>
      <c r="M2454" s="108"/>
      <c r="N2454" s="108"/>
      <c r="O2454" s="108"/>
      <c r="P2454" s="108"/>
      <c r="Q2454" s="108"/>
      <c r="R2454" s="108"/>
      <c r="S2454" s="108"/>
      <c r="T2454" s="108"/>
      <c r="U2454" s="108"/>
      <c r="V2454" s="108"/>
      <c r="W2454" s="108"/>
      <c r="X2454" s="108"/>
    </row>
    <row r="2455" spans="1:24">
      <c r="A2455" s="107"/>
      <c r="B2455" s="107"/>
      <c r="C2455" s="107"/>
      <c r="D2455" s="107"/>
      <c r="E2455" s="107"/>
      <c r="F2455" s="107"/>
      <c r="G2455" s="108"/>
      <c r="H2455" s="107"/>
      <c r="I2455" s="108"/>
      <c r="J2455" s="108"/>
      <c r="K2455" s="108"/>
      <c r="L2455" s="108"/>
      <c r="M2455" s="108"/>
      <c r="N2455" s="108"/>
      <c r="O2455" s="108"/>
      <c r="P2455" s="108"/>
      <c r="Q2455" s="108"/>
      <c r="R2455" s="108"/>
      <c r="S2455" s="108"/>
      <c r="T2455" s="108"/>
      <c r="U2455" s="108"/>
      <c r="V2455" s="108"/>
      <c r="W2455" s="108"/>
      <c r="X2455" s="108"/>
    </row>
    <row r="2456" spans="1:24">
      <c r="A2456" s="107"/>
      <c r="B2456" s="107"/>
      <c r="C2456" s="107"/>
      <c r="D2456" s="107"/>
      <c r="E2456" s="107"/>
      <c r="F2456" s="107"/>
      <c r="G2456" s="108"/>
      <c r="H2456" s="107"/>
      <c r="I2456" s="108"/>
      <c r="J2456" s="108"/>
      <c r="K2456" s="108"/>
      <c r="L2456" s="108"/>
      <c r="M2456" s="108"/>
      <c r="N2456" s="108"/>
      <c r="O2456" s="108"/>
      <c r="P2456" s="108"/>
      <c r="Q2456" s="108"/>
      <c r="R2456" s="108"/>
      <c r="S2456" s="108"/>
      <c r="T2456" s="108"/>
      <c r="U2456" s="108"/>
      <c r="V2456" s="108"/>
      <c r="W2456" s="108"/>
      <c r="X2456" s="108"/>
    </row>
    <row r="2457" spans="1:24">
      <c r="A2457" s="107"/>
      <c r="B2457" s="107"/>
      <c r="C2457" s="107"/>
      <c r="D2457" s="107"/>
      <c r="E2457" s="107"/>
      <c r="F2457" s="107"/>
      <c r="G2457" s="108"/>
      <c r="H2457" s="107"/>
      <c r="I2457" s="108"/>
      <c r="J2457" s="108"/>
      <c r="K2457" s="108"/>
      <c r="L2457" s="108"/>
      <c r="M2457" s="108"/>
      <c r="N2457" s="108"/>
      <c r="O2457" s="108"/>
      <c r="P2457" s="108"/>
      <c r="Q2457" s="108"/>
      <c r="R2457" s="108"/>
      <c r="S2457" s="108"/>
      <c r="T2457" s="108"/>
      <c r="U2457" s="108"/>
      <c r="V2457" s="108"/>
      <c r="W2457" s="108"/>
      <c r="X2457" s="108"/>
    </row>
    <row r="2458" spans="1:24">
      <c r="A2458" s="107"/>
      <c r="B2458" s="107"/>
      <c r="C2458" s="107"/>
      <c r="D2458" s="107"/>
      <c r="E2458" s="107"/>
      <c r="F2458" s="107"/>
      <c r="G2458" s="108"/>
      <c r="H2458" s="107"/>
      <c r="I2458" s="108"/>
      <c r="J2458" s="108"/>
      <c r="K2458" s="108"/>
      <c r="L2458" s="108"/>
      <c r="M2458" s="108"/>
      <c r="N2458" s="108"/>
      <c r="O2458" s="108"/>
      <c r="P2458" s="108"/>
      <c r="Q2458" s="108"/>
      <c r="R2458" s="108"/>
      <c r="S2458" s="108"/>
      <c r="T2458" s="108"/>
      <c r="U2458" s="108"/>
      <c r="V2458" s="108"/>
      <c r="W2458" s="108"/>
      <c r="X2458" s="108"/>
    </row>
    <row r="2459" spans="1:24">
      <c r="A2459" s="107"/>
      <c r="B2459" s="107"/>
      <c r="C2459" s="107"/>
      <c r="D2459" s="107"/>
      <c r="E2459" s="107"/>
      <c r="F2459" s="107"/>
      <c r="G2459" s="108"/>
      <c r="H2459" s="107"/>
      <c r="I2459" s="108"/>
      <c r="J2459" s="108"/>
      <c r="K2459" s="108"/>
      <c r="L2459" s="108"/>
      <c r="M2459" s="108"/>
      <c r="N2459" s="108"/>
      <c r="O2459" s="108"/>
      <c r="P2459" s="108"/>
      <c r="Q2459" s="108"/>
      <c r="R2459" s="108"/>
      <c r="S2459" s="108"/>
      <c r="T2459" s="108"/>
      <c r="U2459" s="108"/>
      <c r="V2459" s="108"/>
      <c r="W2459" s="108"/>
      <c r="X2459" s="108"/>
    </row>
    <row r="2460" spans="1:24">
      <c r="A2460" s="107"/>
      <c r="B2460" s="107"/>
      <c r="C2460" s="107"/>
      <c r="D2460" s="107"/>
      <c r="E2460" s="107"/>
      <c r="F2460" s="107"/>
      <c r="G2460" s="108"/>
      <c r="H2460" s="107"/>
      <c r="I2460" s="108"/>
      <c r="J2460" s="108"/>
      <c r="K2460" s="108"/>
      <c r="L2460" s="108"/>
      <c r="M2460" s="108"/>
      <c r="N2460" s="108"/>
      <c r="O2460" s="108"/>
      <c r="P2460" s="108"/>
      <c r="Q2460" s="108"/>
      <c r="R2460" s="108"/>
      <c r="S2460" s="108"/>
      <c r="T2460" s="108"/>
      <c r="U2460" s="108"/>
      <c r="V2460" s="108"/>
      <c r="W2460" s="108"/>
      <c r="X2460" s="108"/>
    </row>
    <row r="2461" spans="1:24">
      <c r="A2461" s="107"/>
      <c r="B2461" s="107"/>
      <c r="C2461" s="107"/>
      <c r="D2461" s="107"/>
      <c r="E2461" s="107"/>
      <c r="F2461" s="107"/>
      <c r="G2461" s="108"/>
      <c r="H2461" s="107"/>
      <c r="I2461" s="108"/>
      <c r="J2461" s="108"/>
      <c r="K2461" s="108"/>
      <c r="L2461" s="108"/>
      <c r="M2461" s="108"/>
      <c r="N2461" s="108"/>
      <c r="O2461" s="108"/>
      <c r="P2461" s="108"/>
      <c r="Q2461" s="108"/>
      <c r="R2461" s="108"/>
      <c r="S2461" s="108"/>
      <c r="T2461" s="108"/>
      <c r="U2461" s="108"/>
      <c r="V2461" s="108"/>
      <c r="W2461" s="108"/>
      <c r="X2461" s="108"/>
    </row>
    <row r="2462" spans="1:24">
      <c r="A2462" s="107"/>
      <c r="B2462" s="107"/>
      <c r="C2462" s="107"/>
      <c r="D2462" s="107"/>
      <c r="E2462" s="107"/>
      <c r="F2462" s="107"/>
      <c r="G2462" s="108"/>
      <c r="H2462" s="107"/>
      <c r="I2462" s="108"/>
      <c r="J2462" s="108"/>
      <c r="K2462" s="108"/>
      <c r="L2462" s="108"/>
      <c r="M2462" s="108"/>
      <c r="N2462" s="108"/>
      <c r="O2462" s="108"/>
      <c r="P2462" s="108"/>
      <c r="Q2462" s="108"/>
      <c r="R2462" s="108"/>
      <c r="S2462" s="108"/>
      <c r="T2462" s="108"/>
      <c r="U2462" s="108"/>
      <c r="V2462" s="108"/>
      <c r="W2462" s="108"/>
      <c r="X2462" s="108"/>
    </row>
    <row r="2463" spans="1:24">
      <c r="A2463" s="107"/>
      <c r="B2463" s="107"/>
      <c r="C2463" s="107"/>
      <c r="D2463" s="107"/>
      <c r="E2463" s="107"/>
      <c r="F2463" s="107"/>
      <c r="G2463" s="108"/>
      <c r="H2463" s="107"/>
      <c r="I2463" s="108"/>
      <c r="J2463" s="108"/>
      <c r="K2463" s="108"/>
      <c r="L2463" s="108"/>
      <c r="M2463" s="108"/>
      <c r="N2463" s="108"/>
      <c r="O2463" s="108"/>
      <c r="P2463" s="108"/>
      <c r="Q2463" s="108"/>
      <c r="R2463" s="108"/>
      <c r="S2463" s="108"/>
      <c r="T2463" s="108"/>
      <c r="U2463" s="108"/>
      <c r="V2463" s="108"/>
      <c r="W2463" s="108"/>
      <c r="X2463" s="108"/>
    </row>
    <row r="2464" spans="1:24">
      <c r="A2464" s="107"/>
      <c r="B2464" s="107"/>
      <c r="C2464" s="107"/>
      <c r="D2464" s="107"/>
      <c r="E2464" s="107"/>
      <c r="F2464" s="107"/>
      <c r="G2464" s="108"/>
      <c r="H2464" s="107"/>
      <c r="I2464" s="108"/>
      <c r="J2464" s="108"/>
      <c r="K2464" s="108"/>
      <c r="L2464" s="108"/>
      <c r="M2464" s="108"/>
      <c r="N2464" s="108"/>
      <c r="O2464" s="108"/>
      <c r="P2464" s="108"/>
      <c r="Q2464" s="108"/>
      <c r="R2464" s="108"/>
      <c r="S2464" s="108"/>
      <c r="T2464" s="108"/>
      <c r="U2464" s="108"/>
      <c r="V2464" s="108"/>
      <c r="W2464" s="108"/>
      <c r="X2464" s="108"/>
    </row>
    <row r="2465" spans="1:24">
      <c r="A2465" s="107"/>
      <c r="B2465" s="107"/>
      <c r="C2465" s="107"/>
      <c r="D2465" s="107"/>
      <c r="E2465" s="107"/>
      <c r="F2465" s="107"/>
      <c r="G2465" s="108"/>
      <c r="H2465" s="107"/>
      <c r="I2465" s="108"/>
      <c r="J2465" s="108"/>
      <c r="K2465" s="108"/>
      <c r="L2465" s="108"/>
      <c r="M2465" s="108"/>
      <c r="N2465" s="108"/>
      <c r="O2465" s="108"/>
      <c r="P2465" s="108"/>
      <c r="Q2465" s="108"/>
      <c r="R2465" s="108"/>
      <c r="S2465" s="108"/>
      <c r="T2465" s="108"/>
      <c r="U2465" s="108"/>
      <c r="V2465" s="108"/>
      <c r="W2465" s="108"/>
      <c r="X2465" s="108"/>
    </row>
    <row r="2466" spans="1:24">
      <c r="A2466" s="107"/>
      <c r="B2466" s="107"/>
      <c r="C2466" s="107"/>
      <c r="D2466" s="107"/>
      <c r="E2466" s="107"/>
      <c r="F2466" s="107"/>
      <c r="G2466" s="108"/>
      <c r="H2466" s="107"/>
      <c r="I2466" s="108"/>
      <c r="J2466" s="108"/>
      <c r="K2466" s="108"/>
      <c r="L2466" s="108"/>
      <c r="M2466" s="108"/>
      <c r="N2466" s="108"/>
      <c r="O2466" s="108"/>
      <c r="P2466" s="108"/>
      <c r="Q2466" s="108"/>
      <c r="R2466" s="108"/>
      <c r="S2466" s="108"/>
      <c r="T2466" s="108"/>
      <c r="U2466" s="108"/>
      <c r="V2466" s="108"/>
      <c r="W2466" s="108"/>
      <c r="X2466" s="108"/>
    </row>
    <row r="2467" spans="1:24">
      <c r="A2467" s="107"/>
      <c r="B2467" s="107"/>
      <c r="C2467" s="107"/>
      <c r="D2467" s="107"/>
      <c r="E2467" s="107"/>
      <c r="F2467" s="107"/>
      <c r="G2467" s="108"/>
      <c r="H2467" s="107"/>
      <c r="I2467" s="108"/>
      <c r="J2467" s="108"/>
      <c r="K2467" s="108"/>
      <c r="L2467" s="108"/>
      <c r="M2467" s="108"/>
      <c r="N2467" s="108"/>
      <c r="O2467" s="108"/>
      <c r="P2467" s="108"/>
      <c r="Q2467" s="108"/>
      <c r="R2467" s="108"/>
      <c r="S2467" s="108"/>
      <c r="T2467" s="108"/>
      <c r="U2467" s="108"/>
      <c r="V2467" s="108"/>
      <c r="W2467" s="108"/>
      <c r="X2467" s="108"/>
    </row>
    <row r="2468" spans="1:24">
      <c r="A2468" s="107"/>
      <c r="B2468" s="107"/>
      <c r="C2468" s="107"/>
      <c r="D2468" s="107"/>
      <c r="E2468" s="107"/>
      <c r="F2468" s="107"/>
      <c r="G2468" s="108"/>
      <c r="H2468" s="107"/>
      <c r="I2468" s="108"/>
      <c r="J2468" s="108"/>
      <c r="K2468" s="108"/>
      <c r="L2468" s="108"/>
      <c r="M2468" s="108"/>
      <c r="N2468" s="108"/>
      <c r="O2468" s="108"/>
      <c r="P2468" s="108"/>
      <c r="Q2468" s="108"/>
      <c r="R2468" s="108"/>
      <c r="S2468" s="108"/>
      <c r="T2468" s="108"/>
      <c r="U2468" s="108"/>
      <c r="V2468" s="108"/>
      <c r="W2468" s="108"/>
      <c r="X2468" s="108"/>
    </row>
    <row r="2469" spans="1:24">
      <c r="A2469" s="107"/>
      <c r="B2469" s="107"/>
      <c r="C2469" s="107"/>
      <c r="D2469" s="107"/>
      <c r="E2469" s="107"/>
      <c r="F2469" s="107"/>
      <c r="G2469" s="108"/>
      <c r="H2469" s="107"/>
      <c r="I2469" s="108"/>
      <c r="J2469" s="108"/>
      <c r="K2469" s="108"/>
      <c r="L2469" s="108"/>
      <c r="M2469" s="108"/>
      <c r="N2469" s="108"/>
      <c r="O2469" s="108"/>
      <c r="P2469" s="108"/>
      <c r="Q2469" s="108"/>
      <c r="R2469" s="108"/>
      <c r="S2469" s="108"/>
      <c r="T2469" s="108"/>
      <c r="U2469" s="108"/>
      <c r="V2469" s="108"/>
      <c r="W2469" s="108"/>
      <c r="X2469" s="108"/>
    </row>
    <row r="2470" spans="1:24">
      <c r="A2470" s="107"/>
      <c r="B2470" s="107"/>
      <c r="C2470" s="107"/>
      <c r="D2470" s="107"/>
      <c r="E2470" s="107"/>
      <c r="F2470" s="107"/>
      <c r="G2470" s="108"/>
      <c r="H2470" s="107"/>
      <c r="I2470" s="108"/>
      <c r="J2470" s="108"/>
      <c r="K2470" s="108"/>
      <c r="L2470" s="108"/>
      <c r="M2470" s="108"/>
      <c r="N2470" s="108"/>
      <c r="O2470" s="108"/>
      <c r="P2470" s="108"/>
      <c r="Q2470" s="108"/>
      <c r="R2470" s="108"/>
      <c r="S2470" s="108"/>
      <c r="T2470" s="108"/>
      <c r="U2470" s="108"/>
      <c r="V2470" s="108"/>
      <c r="W2470" s="108"/>
      <c r="X2470" s="108"/>
    </row>
    <row r="2471" spans="1:24">
      <c r="A2471" s="107"/>
      <c r="B2471" s="107"/>
      <c r="C2471" s="107"/>
      <c r="D2471" s="107"/>
      <c r="E2471" s="107"/>
      <c r="F2471" s="107"/>
      <c r="G2471" s="108"/>
      <c r="H2471" s="107"/>
      <c r="I2471" s="108"/>
      <c r="J2471" s="108"/>
      <c r="K2471" s="108"/>
      <c r="L2471" s="108"/>
      <c r="M2471" s="108"/>
      <c r="N2471" s="108"/>
      <c r="O2471" s="108"/>
      <c r="P2471" s="108"/>
      <c r="Q2471" s="108"/>
      <c r="R2471" s="108"/>
      <c r="S2471" s="108"/>
      <c r="T2471" s="108"/>
      <c r="U2471" s="108"/>
      <c r="V2471" s="108"/>
      <c r="W2471" s="108"/>
      <c r="X2471" s="108"/>
    </row>
    <row r="2472" spans="1:24">
      <c r="A2472" s="107"/>
      <c r="B2472" s="107"/>
      <c r="C2472" s="107"/>
      <c r="D2472" s="107"/>
      <c r="E2472" s="107"/>
      <c r="F2472" s="107"/>
      <c r="G2472" s="108"/>
      <c r="H2472" s="107"/>
      <c r="I2472" s="108"/>
      <c r="J2472" s="108"/>
      <c r="K2472" s="108"/>
      <c r="L2472" s="108"/>
      <c r="M2472" s="108"/>
      <c r="N2472" s="108"/>
      <c r="O2472" s="108"/>
      <c r="P2472" s="108"/>
      <c r="Q2472" s="108"/>
      <c r="R2472" s="108"/>
      <c r="S2472" s="108"/>
      <c r="T2472" s="108"/>
      <c r="U2472" s="108"/>
      <c r="V2472" s="108"/>
      <c r="W2472" s="108"/>
      <c r="X2472" s="108"/>
    </row>
    <row r="2473" spans="1:24">
      <c r="A2473" s="107"/>
      <c r="B2473" s="107"/>
      <c r="C2473" s="107"/>
      <c r="D2473" s="107"/>
      <c r="E2473" s="107"/>
      <c r="F2473" s="107"/>
      <c r="G2473" s="108"/>
      <c r="H2473" s="107"/>
      <c r="I2473" s="108"/>
      <c r="J2473" s="108"/>
      <c r="K2473" s="108"/>
      <c r="L2473" s="108"/>
      <c r="M2473" s="108"/>
      <c r="N2473" s="108"/>
      <c r="O2473" s="108"/>
      <c r="P2473" s="108"/>
      <c r="Q2473" s="108"/>
      <c r="R2473" s="108"/>
      <c r="S2473" s="108"/>
      <c r="T2473" s="108"/>
      <c r="U2473" s="108"/>
      <c r="V2473" s="108"/>
      <c r="W2473" s="108"/>
      <c r="X2473" s="108"/>
    </row>
    <row r="2474" spans="1:24">
      <c r="A2474" s="107"/>
      <c r="B2474" s="107"/>
      <c r="C2474" s="107"/>
      <c r="D2474" s="107"/>
      <c r="E2474" s="107"/>
      <c r="F2474" s="107"/>
      <c r="G2474" s="108"/>
      <c r="H2474" s="107"/>
      <c r="I2474" s="108"/>
      <c r="J2474" s="108"/>
      <c r="K2474" s="108"/>
      <c r="L2474" s="108"/>
      <c r="M2474" s="108"/>
      <c r="N2474" s="108"/>
      <c r="O2474" s="108"/>
      <c r="P2474" s="108"/>
      <c r="Q2474" s="108"/>
      <c r="R2474" s="108"/>
      <c r="S2474" s="108"/>
      <c r="T2474" s="108"/>
      <c r="U2474" s="108"/>
      <c r="V2474" s="108"/>
      <c r="W2474" s="108"/>
      <c r="X2474" s="108"/>
    </row>
    <row r="2475" spans="1:24">
      <c r="A2475" s="107"/>
      <c r="B2475" s="107"/>
      <c r="C2475" s="107"/>
      <c r="D2475" s="107"/>
      <c r="E2475" s="107"/>
      <c r="F2475" s="107"/>
      <c r="G2475" s="108"/>
      <c r="H2475" s="107"/>
      <c r="I2475" s="108"/>
      <c r="J2475" s="108"/>
      <c r="K2475" s="108"/>
      <c r="L2475" s="108"/>
      <c r="M2475" s="108"/>
      <c r="N2475" s="108"/>
      <c r="O2475" s="108"/>
      <c r="P2475" s="108"/>
      <c r="Q2475" s="108"/>
      <c r="R2475" s="108"/>
      <c r="S2475" s="108"/>
      <c r="T2475" s="108"/>
      <c r="U2475" s="108"/>
      <c r="V2475" s="108"/>
      <c r="W2475" s="108"/>
      <c r="X2475" s="108"/>
    </row>
    <row r="2476" spans="1:24">
      <c r="A2476" s="107"/>
      <c r="B2476" s="107"/>
      <c r="C2476" s="107"/>
      <c r="D2476" s="107"/>
      <c r="E2476" s="107"/>
      <c r="F2476" s="107"/>
      <c r="G2476" s="108"/>
      <c r="H2476" s="107"/>
      <c r="I2476" s="108"/>
      <c r="J2476" s="108"/>
      <c r="K2476" s="108"/>
      <c r="L2476" s="108"/>
      <c r="M2476" s="108"/>
      <c r="N2476" s="108"/>
      <c r="O2476" s="108"/>
      <c r="P2476" s="108"/>
      <c r="Q2476" s="108"/>
      <c r="R2476" s="108"/>
      <c r="S2476" s="108"/>
      <c r="T2476" s="108"/>
      <c r="U2476" s="108"/>
      <c r="V2476" s="108"/>
      <c r="W2476" s="108"/>
      <c r="X2476" s="108"/>
    </row>
    <row r="2477" spans="1:24">
      <c r="A2477" s="107"/>
      <c r="B2477" s="107"/>
      <c r="C2477" s="107"/>
      <c r="D2477" s="107"/>
      <c r="E2477" s="107"/>
      <c r="F2477" s="107"/>
      <c r="G2477" s="108"/>
      <c r="H2477" s="107"/>
      <c r="I2477" s="108"/>
      <c r="J2477" s="108"/>
      <c r="K2477" s="108"/>
      <c r="L2477" s="108"/>
      <c r="M2477" s="108"/>
      <c r="N2477" s="108"/>
      <c r="O2477" s="108"/>
      <c r="P2477" s="108"/>
      <c r="Q2477" s="108"/>
      <c r="R2477" s="108"/>
      <c r="S2477" s="108"/>
      <c r="T2477" s="108"/>
      <c r="U2477" s="108"/>
      <c r="V2477" s="108"/>
      <c r="W2477" s="108"/>
      <c r="X2477" s="108"/>
    </row>
    <row r="2478" spans="1:24">
      <c r="A2478" s="107"/>
      <c r="B2478" s="107"/>
      <c r="C2478" s="107"/>
      <c r="D2478" s="107"/>
      <c r="E2478" s="107"/>
      <c r="F2478" s="107"/>
      <c r="G2478" s="108"/>
      <c r="H2478" s="107"/>
      <c r="I2478" s="108"/>
      <c r="J2478" s="108"/>
      <c r="K2478" s="108"/>
      <c r="L2478" s="108"/>
      <c r="M2478" s="108"/>
      <c r="N2478" s="108"/>
      <c r="O2478" s="108"/>
      <c r="P2478" s="108"/>
      <c r="Q2478" s="108"/>
      <c r="R2478" s="108"/>
      <c r="S2478" s="108"/>
      <c r="T2478" s="108"/>
      <c r="U2478" s="108"/>
      <c r="V2478" s="108"/>
      <c r="W2478" s="108"/>
      <c r="X2478" s="108"/>
    </row>
    <row r="2479" spans="1:24">
      <c r="A2479" s="107"/>
      <c r="B2479" s="107"/>
      <c r="C2479" s="107"/>
      <c r="D2479" s="107"/>
      <c r="E2479" s="107"/>
      <c r="F2479" s="107"/>
      <c r="G2479" s="108"/>
      <c r="H2479" s="107"/>
      <c r="I2479" s="108"/>
      <c r="J2479" s="108"/>
      <c r="K2479" s="108"/>
      <c r="L2479" s="108"/>
      <c r="M2479" s="108"/>
      <c r="N2479" s="108"/>
      <c r="O2479" s="108"/>
      <c r="P2479" s="108"/>
      <c r="Q2479" s="108"/>
      <c r="R2479" s="108"/>
      <c r="S2479" s="108"/>
      <c r="T2479" s="108"/>
      <c r="U2479" s="108"/>
      <c r="V2479" s="108"/>
      <c r="W2479" s="108"/>
      <c r="X2479" s="108"/>
    </row>
    <row r="2480" spans="1:24">
      <c r="A2480" s="107"/>
      <c r="B2480" s="107"/>
      <c r="C2480" s="107"/>
      <c r="D2480" s="107"/>
      <c r="E2480" s="107"/>
      <c r="F2480" s="107"/>
      <c r="G2480" s="108"/>
      <c r="H2480" s="107"/>
      <c r="I2480" s="108"/>
      <c r="J2480" s="108"/>
      <c r="K2480" s="108"/>
      <c r="L2480" s="108"/>
      <c r="M2480" s="108"/>
      <c r="N2480" s="108"/>
      <c r="O2480" s="108"/>
      <c r="P2480" s="108"/>
      <c r="Q2480" s="108"/>
      <c r="R2480" s="108"/>
      <c r="S2480" s="108"/>
      <c r="T2480" s="108"/>
      <c r="U2480" s="108"/>
      <c r="V2480" s="108"/>
      <c r="W2480" s="108"/>
      <c r="X2480" s="108"/>
    </row>
    <row r="2481" spans="1:24">
      <c r="A2481" s="107"/>
      <c r="B2481" s="107"/>
      <c r="C2481" s="107"/>
      <c r="D2481" s="107"/>
      <c r="E2481" s="107"/>
      <c r="F2481" s="107"/>
      <c r="G2481" s="108"/>
      <c r="H2481" s="107"/>
      <c r="I2481" s="108"/>
      <c r="J2481" s="108"/>
      <c r="K2481" s="108"/>
      <c r="L2481" s="108"/>
      <c r="M2481" s="108"/>
      <c r="N2481" s="108"/>
      <c r="O2481" s="108"/>
      <c r="P2481" s="108"/>
      <c r="Q2481" s="108"/>
      <c r="R2481" s="108"/>
      <c r="S2481" s="108"/>
      <c r="T2481" s="108"/>
      <c r="U2481" s="108"/>
      <c r="V2481" s="108"/>
      <c r="W2481" s="108"/>
      <c r="X2481" s="108"/>
    </row>
    <row r="2482" spans="1:24">
      <c r="A2482" s="107"/>
      <c r="B2482" s="107"/>
      <c r="C2482" s="107"/>
      <c r="D2482" s="107"/>
      <c r="E2482" s="107"/>
      <c r="F2482" s="107"/>
      <c r="G2482" s="108"/>
      <c r="H2482" s="107"/>
      <c r="I2482" s="108"/>
      <c r="J2482" s="108"/>
      <c r="K2482" s="108"/>
      <c r="L2482" s="108"/>
      <c r="M2482" s="108"/>
      <c r="N2482" s="108"/>
      <c r="O2482" s="108"/>
      <c r="P2482" s="108"/>
      <c r="Q2482" s="108"/>
      <c r="R2482" s="108"/>
      <c r="S2482" s="108"/>
      <c r="T2482" s="108"/>
      <c r="U2482" s="108"/>
      <c r="V2482" s="108"/>
      <c r="W2482" s="108"/>
      <c r="X2482" s="108"/>
    </row>
    <row r="2483" spans="1:24">
      <c r="A2483" s="107"/>
      <c r="B2483" s="107"/>
      <c r="C2483" s="107"/>
      <c r="D2483" s="107"/>
      <c r="E2483" s="107"/>
      <c r="F2483" s="107"/>
      <c r="G2483" s="108"/>
      <c r="H2483" s="107"/>
      <c r="I2483" s="108"/>
      <c r="J2483" s="108"/>
      <c r="K2483" s="108"/>
      <c r="L2483" s="108"/>
      <c r="M2483" s="108"/>
      <c r="N2483" s="108"/>
      <c r="O2483" s="108"/>
      <c r="P2483" s="108"/>
      <c r="Q2483" s="108"/>
      <c r="R2483" s="108"/>
      <c r="S2483" s="108"/>
      <c r="T2483" s="108"/>
      <c r="U2483" s="108"/>
      <c r="V2483" s="108"/>
      <c r="W2483" s="108"/>
      <c r="X2483" s="108"/>
    </row>
    <row r="2484" spans="1:24">
      <c r="A2484" s="107"/>
      <c r="B2484" s="107"/>
      <c r="C2484" s="107"/>
      <c r="D2484" s="107"/>
      <c r="E2484" s="107"/>
      <c r="F2484" s="107"/>
      <c r="G2484" s="108"/>
      <c r="H2484" s="107"/>
      <c r="I2484" s="108"/>
      <c r="J2484" s="108"/>
      <c r="K2484" s="108"/>
      <c r="L2484" s="108"/>
      <c r="M2484" s="108"/>
      <c r="N2484" s="108"/>
      <c r="O2484" s="108"/>
      <c r="P2484" s="108"/>
      <c r="Q2484" s="108"/>
      <c r="R2484" s="108"/>
      <c r="S2484" s="108"/>
      <c r="T2484" s="108"/>
      <c r="U2484" s="108"/>
      <c r="V2484" s="108"/>
      <c r="W2484" s="108"/>
      <c r="X2484" s="108"/>
    </row>
    <row r="2485" spans="1:24">
      <c r="A2485" s="107"/>
      <c r="B2485" s="107"/>
      <c r="C2485" s="107"/>
      <c r="D2485" s="107"/>
      <c r="E2485" s="107"/>
      <c r="F2485" s="107"/>
      <c r="G2485" s="108"/>
      <c r="H2485" s="107"/>
      <c r="I2485" s="108"/>
      <c r="J2485" s="108"/>
      <c r="K2485" s="108"/>
      <c r="L2485" s="108"/>
      <c r="M2485" s="108"/>
      <c r="N2485" s="108"/>
      <c r="O2485" s="108"/>
      <c r="P2485" s="108"/>
      <c r="Q2485" s="108"/>
      <c r="R2485" s="108"/>
      <c r="S2485" s="108"/>
      <c r="T2485" s="108"/>
      <c r="U2485" s="108"/>
      <c r="V2485" s="108"/>
      <c r="W2485" s="108"/>
      <c r="X2485" s="108"/>
    </row>
    <row r="2486" spans="1:24">
      <c r="A2486" s="107"/>
      <c r="B2486" s="107"/>
      <c r="C2486" s="107"/>
      <c r="D2486" s="107"/>
      <c r="E2486" s="107"/>
      <c r="F2486" s="107"/>
      <c r="G2486" s="108"/>
      <c r="H2486" s="107"/>
      <c r="I2486" s="108"/>
      <c r="J2486" s="108"/>
      <c r="K2486" s="108"/>
      <c r="L2486" s="108"/>
      <c r="M2486" s="108"/>
      <c r="N2486" s="108"/>
      <c r="O2486" s="108"/>
      <c r="P2486" s="108"/>
      <c r="Q2486" s="108"/>
      <c r="R2486" s="108"/>
      <c r="S2486" s="108"/>
      <c r="T2486" s="108"/>
      <c r="U2486" s="108"/>
      <c r="V2486" s="108"/>
      <c r="W2486" s="108"/>
      <c r="X2486" s="108"/>
    </row>
    <row r="2487" spans="1:24">
      <c r="A2487" s="107"/>
      <c r="B2487" s="107"/>
      <c r="C2487" s="107"/>
      <c r="D2487" s="107"/>
      <c r="E2487" s="107"/>
      <c r="F2487" s="107"/>
      <c r="G2487" s="108"/>
      <c r="H2487" s="107"/>
      <c r="I2487" s="108"/>
      <c r="J2487" s="108"/>
      <c r="K2487" s="108"/>
      <c r="L2487" s="108"/>
      <c r="M2487" s="108"/>
      <c r="N2487" s="108"/>
      <c r="O2487" s="108"/>
      <c r="P2487" s="108"/>
      <c r="Q2487" s="108"/>
      <c r="R2487" s="108"/>
      <c r="S2487" s="108"/>
      <c r="T2487" s="108"/>
      <c r="U2487" s="108"/>
      <c r="V2487" s="108"/>
      <c r="W2487" s="108"/>
      <c r="X2487" s="108"/>
    </row>
    <row r="2488" spans="1:24">
      <c r="A2488" s="107"/>
      <c r="B2488" s="107"/>
      <c r="C2488" s="107"/>
      <c r="D2488" s="107"/>
      <c r="E2488" s="107"/>
      <c r="F2488" s="107"/>
      <c r="G2488" s="108"/>
      <c r="H2488" s="107"/>
      <c r="I2488" s="108"/>
      <c r="J2488" s="108"/>
      <c r="K2488" s="108"/>
      <c r="L2488" s="108"/>
      <c r="M2488" s="108"/>
      <c r="N2488" s="108"/>
      <c r="O2488" s="108"/>
      <c r="P2488" s="108"/>
      <c r="Q2488" s="108"/>
      <c r="R2488" s="108"/>
      <c r="S2488" s="108"/>
      <c r="T2488" s="108"/>
      <c r="U2488" s="108"/>
      <c r="V2488" s="108"/>
      <c r="W2488" s="108"/>
      <c r="X2488" s="108"/>
    </row>
    <row r="2489" spans="1:24">
      <c r="A2489" s="107"/>
      <c r="B2489" s="107"/>
      <c r="C2489" s="107"/>
      <c r="D2489" s="107"/>
      <c r="E2489" s="107"/>
      <c r="F2489" s="107"/>
      <c r="G2489" s="108"/>
      <c r="H2489" s="107"/>
      <c r="I2489" s="108"/>
      <c r="J2489" s="108"/>
      <c r="K2489" s="108"/>
      <c r="L2489" s="108"/>
      <c r="M2489" s="108"/>
      <c r="N2489" s="108"/>
      <c r="O2489" s="108"/>
      <c r="P2489" s="108"/>
      <c r="Q2489" s="108"/>
      <c r="R2489" s="108"/>
      <c r="S2489" s="108"/>
      <c r="T2489" s="108"/>
      <c r="U2489" s="108"/>
      <c r="V2489" s="108"/>
      <c r="W2489" s="108"/>
      <c r="X2489" s="108"/>
    </row>
    <row r="2490" spans="1:24">
      <c r="A2490" s="107"/>
      <c r="B2490" s="107"/>
      <c r="C2490" s="107"/>
      <c r="D2490" s="107"/>
      <c r="E2490" s="107"/>
      <c r="F2490" s="107"/>
      <c r="G2490" s="108"/>
      <c r="H2490" s="107"/>
      <c r="I2490" s="108"/>
      <c r="J2490" s="108"/>
      <c r="K2490" s="108"/>
      <c r="L2490" s="108"/>
      <c r="M2490" s="108"/>
      <c r="N2490" s="108"/>
      <c r="O2490" s="108"/>
      <c r="P2490" s="108"/>
      <c r="Q2490" s="108"/>
      <c r="R2490" s="108"/>
      <c r="S2490" s="108"/>
      <c r="T2490" s="108"/>
      <c r="U2490" s="108"/>
      <c r="V2490" s="108"/>
      <c r="W2490" s="108"/>
      <c r="X2490" s="108"/>
    </row>
    <row r="2491" spans="1:24">
      <c r="A2491" s="107"/>
      <c r="B2491" s="107"/>
      <c r="C2491" s="107"/>
      <c r="D2491" s="107"/>
      <c r="E2491" s="107"/>
      <c r="F2491" s="107"/>
      <c r="G2491" s="108"/>
      <c r="H2491" s="107"/>
      <c r="I2491" s="108"/>
      <c r="J2491" s="108"/>
      <c r="K2491" s="108"/>
      <c r="L2491" s="108"/>
      <c r="M2491" s="108"/>
      <c r="N2491" s="108"/>
      <c r="O2491" s="108"/>
      <c r="P2491" s="108"/>
      <c r="Q2491" s="108"/>
      <c r="R2491" s="108"/>
      <c r="S2491" s="108"/>
      <c r="T2491" s="108"/>
      <c r="U2491" s="108"/>
      <c r="V2491" s="108"/>
      <c r="W2491" s="108"/>
      <c r="X2491" s="108"/>
    </row>
    <row r="2492" spans="1:24">
      <c r="A2492" s="107"/>
      <c r="B2492" s="107"/>
      <c r="C2492" s="107"/>
      <c r="D2492" s="107"/>
      <c r="E2492" s="107"/>
      <c r="F2492" s="107"/>
      <c r="G2492" s="108"/>
      <c r="H2492" s="107"/>
      <c r="I2492" s="108"/>
      <c r="J2492" s="108"/>
      <c r="K2492" s="108"/>
      <c r="L2492" s="108"/>
      <c r="M2492" s="108"/>
      <c r="N2492" s="108"/>
      <c r="O2492" s="108"/>
      <c r="P2492" s="108"/>
      <c r="Q2492" s="108"/>
      <c r="R2492" s="108"/>
      <c r="S2492" s="108"/>
      <c r="T2492" s="108"/>
      <c r="U2492" s="108"/>
      <c r="V2492" s="108"/>
      <c r="W2492" s="108"/>
      <c r="X2492" s="108"/>
    </row>
    <row r="2493" spans="1:24">
      <c r="A2493" s="107"/>
      <c r="B2493" s="107"/>
      <c r="C2493" s="107"/>
      <c r="D2493" s="107"/>
      <c r="E2493" s="107"/>
      <c r="F2493" s="107"/>
      <c r="G2493" s="108"/>
      <c r="H2493" s="107"/>
      <c r="I2493" s="108"/>
      <c r="J2493" s="108"/>
      <c r="K2493" s="108"/>
      <c r="L2493" s="108"/>
      <c r="M2493" s="108"/>
      <c r="N2493" s="108"/>
      <c r="O2493" s="108"/>
      <c r="P2493" s="108"/>
      <c r="Q2493" s="108"/>
      <c r="R2493" s="108"/>
      <c r="S2493" s="108"/>
      <c r="T2493" s="108"/>
      <c r="U2493" s="108"/>
      <c r="V2493" s="108"/>
      <c r="W2493" s="108"/>
      <c r="X2493" s="108"/>
    </row>
    <row r="2494" spans="1:24">
      <c r="A2494" s="107"/>
      <c r="B2494" s="107"/>
      <c r="C2494" s="107"/>
      <c r="D2494" s="107"/>
      <c r="E2494" s="107"/>
      <c r="F2494" s="107"/>
      <c r="G2494" s="108"/>
      <c r="H2494" s="107"/>
      <c r="I2494" s="108"/>
      <c r="J2494" s="108"/>
      <c r="K2494" s="108"/>
      <c r="L2494" s="108"/>
      <c r="M2494" s="108"/>
      <c r="N2494" s="108"/>
      <c r="O2494" s="108"/>
      <c r="P2494" s="108"/>
      <c r="Q2494" s="108"/>
      <c r="R2494" s="108"/>
      <c r="S2494" s="108"/>
      <c r="T2494" s="108"/>
      <c r="U2494" s="108"/>
      <c r="V2494" s="108"/>
      <c r="W2494" s="108"/>
      <c r="X2494" s="108"/>
    </row>
    <row r="2495" spans="1:24">
      <c r="A2495" s="107"/>
      <c r="B2495" s="107"/>
      <c r="C2495" s="107"/>
      <c r="D2495" s="107"/>
      <c r="E2495" s="107"/>
      <c r="F2495" s="107"/>
      <c r="G2495" s="108"/>
      <c r="H2495" s="107"/>
      <c r="I2495" s="108"/>
      <c r="J2495" s="108"/>
      <c r="K2495" s="108"/>
      <c r="L2495" s="108"/>
      <c r="M2495" s="108"/>
      <c r="N2495" s="108"/>
      <c r="O2495" s="108"/>
      <c r="P2495" s="108"/>
      <c r="Q2495" s="108"/>
      <c r="R2495" s="108"/>
      <c r="S2495" s="108"/>
      <c r="T2495" s="108"/>
      <c r="U2495" s="108"/>
      <c r="V2495" s="108"/>
      <c r="W2495" s="108"/>
      <c r="X2495" s="108"/>
    </row>
    <row r="2496" spans="1:24">
      <c r="A2496" s="107"/>
      <c r="B2496" s="107"/>
      <c r="C2496" s="107"/>
      <c r="D2496" s="107"/>
      <c r="E2496" s="107"/>
      <c r="F2496" s="107"/>
      <c r="G2496" s="108"/>
      <c r="H2496" s="107"/>
      <c r="I2496" s="108"/>
      <c r="J2496" s="108"/>
      <c r="K2496" s="108"/>
      <c r="L2496" s="108"/>
      <c r="M2496" s="108"/>
      <c r="N2496" s="108"/>
      <c r="O2496" s="108"/>
      <c r="P2496" s="108"/>
      <c r="Q2496" s="108"/>
      <c r="R2496" s="108"/>
      <c r="S2496" s="108"/>
      <c r="T2496" s="108"/>
      <c r="U2496" s="108"/>
      <c r="V2496" s="108"/>
      <c r="W2496" s="108"/>
      <c r="X2496" s="108"/>
    </row>
    <row r="2497" spans="1:24">
      <c r="A2497" s="107"/>
      <c r="B2497" s="107"/>
      <c r="C2497" s="107"/>
      <c r="D2497" s="107"/>
      <c r="E2497" s="107"/>
      <c r="F2497" s="107"/>
      <c r="G2497" s="108"/>
      <c r="H2497" s="107"/>
      <c r="I2497" s="108"/>
      <c r="J2497" s="108"/>
      <c r="K2497" s="108"/>
      <c r="L2497" s="108"/>
      <c r="M2497" s="108"/>
      <c r="N2497" s="108"/>
      <c r="O2497" s="108"/>
      <c r="P2497" s="108"/>
      <c r="Q2497" s="108"/>
      <c r="R2497" s="108"/>
      <c r="S2497" s="108"/>
      <c r="T2497" s="108"/>
      <c r="U2497" s="108"/>
      <c r="V2497" s="108"/>
      <c r="W2497" s="108"/>
      <c r="X2497" s="108"/>
    </row>
    <row r="2498" spans="1:24">
      <c r="A2498" s="107"/>
      <c r="B2498" s="107"/>
      <c r="C2498" s="107"/>
      <c r="D2498" s="107"/>
      <c r="E2498" s="107"/>
      <c r="F2498" s="107"/>
      <c r="G2498" s="108"/>
      <c r="H2498" s="107"/>
      <c r="I2498" s="108"/>
      <c r="J2498" s="108"/>
      <c r="K2498" s="108"/>
      <c r="L2498" s="108"/>
      <c r="M2498" s="108"/>
      <c r="N2498" s="108"/>
      <c r="O2498" s="108"/>
      <c r="P2498" s="108"/>
      <c r="Q2498" s="108"/>
      <c r="R2498" s="108"/>
      <c r="S2498" s="108"/>
      <c r="T2498" s="108"/>
      <c r="U2498" s="108"/>
      <c r="V2498" s="108"/>
      <c r="W2498" s="108"/>
      <c r="X2498" s="108"/>
    </row>
    <row r="2499" spans="1:24">
      <c r="A2499" s="107"/>
      <c r="B2499" s="107"/>
      <c r="C2499" s="107"/>
      <c r="D2499" s="107"/>
      <c r="E2499" s="107"/>
      <c r="F2499" s="107"/>
      <c r="G2499" s="108"/>
      <c r="H2499" s="107"/>
      <c r="I2499" s="108"/>
      <c r="J2499" s="108"/>
      <c r="K2499" s="108"/>
      <c r="L2499" s="108"/>
      <c r="M2499" s="108"/>
      <c r="N2499" s="108"/>
      <c r="O2499" s="108"/>
      <c r="P2499" s="108"/>
      <c r="Q2499" s="108"/>
      <c r="R2499" s="108"/>
      <c r="S2499" s="108"/>
      <c r="T2499" s="108"/>
      <c r="U2499" s="108"/>
      <c r="V2499" s="108"/>
      <c r="W2499" s="108"/>
      <c r="X2499" s="108"/>
    </row>
    <row r="2500" spans="1:24">
      <c r="A2500" s="107"/>
      <c r="B2500" s="116" t="str">
        <f ca="1">IFERROR(__xludf.DUMMYFUNCTION("IMPORTRANGE(""https://docs.google.com/spreadsheets/d/1twE6-cpnyykguqtenQ2Owd-uI9WHiQFG1eK6m-cZxDM/edit#gid=1084832753"",""Tesouro Direto!A3:B100"")"),"#REF!")</f>
        <v>#REF!</v>
      </c>
      <c r="C2500" s="107"/>
      <c r="D2500" s="107"/>
      <c r="E2500" s="107"/>
      <c r="F2500" s="107"/>
      <c r="G2500" s="108"/>
      <c r="H2500" s="107"/>
      <c r="I2500" s="108"/>
      <c r="J2500" s="108"/>
      <c r="K2500" s="108"/>
      <c r="L2500" s="108"/>
      <c r="M2500" s="108"/>
      <c r="N2500" s="108"/>
      <c r="O2500" s="108"/>
      <c r="P2500" s="108"/>
      <c r="Q2500" s="108"/>
      <c r="R2500" s="108"/>
      <c r="S2500" s="108"/>
      <c r="T2500" s="108"/>
      <c r="U2500" s="108"/>
      <c r="V2500" s="108"/>
      <c r="W2500" s="108"/>
      <c r="X2500" s="108"/>
    </row>
    <row r="2501" spans="1:24">
      <c r="A2501" s="107"/>
      <c r="B2501" s="107"/>
      <c r="C2501" s="107"/>
      <c r="D2501" s="107"/>
      <c r="E2501" s="107"/>
      <c r="F2501" s="107"/>
      <c r="G2501" s="108"/>
      <c r="H2501" s="107"/>
      <c r="I2501" s="108"/>
      <c r="J2501" s="108"/>
      <c r="K2501" s="108"/>
      <c r="L2501" s="108"/>
      <c r="M2501" s="108"/>
      <c r="N2501" s="108"/>
      <c r="O2501" s="108"/>
      <c r="P2501" s="108"/>
      <c r="Q2501" s="108"/>
      <c r="R2501" s="108"/>
      <c r="S2501" s="108"/>
      <c r="T2501" s="108"/>
      <c r="U2501" s="108"/>
      <c r="V2501" s="108"/>
      <c r="W2501" s="108"/>
      <c r="X2501" s="108"/>
    </row>
    <row r="2502" spans="1:24">
      <c r="A2502" s="107"/>
      <c r="B2502" s="107"/>
      <c r="C2502" s="107"/>
      <c r="D2502" s="107"/>
      <c r="E2502" s="107"/>
      <c r="F2502" s="107"/>
      <c r="G2502" s="108"/>
      <c r="H2502" s="107"/>
      <c r="I2502" s="108"/>
      <c r="J2502" s="108"/>
      <c r="K2502" s="108"/>
      <c r="L2502" s="108"/>
      <c r="M2502" s="108"/>
      <c r="N2502" s="108"/>
      <c r="O2502" s="108"/>
      <c r="P2502" s="108"/>
      <c r="Q2502" s="108"/>
      <c r="R2502" s="108"/>
      <c r="S2502" s="108"/>
      <c r="T2502" s="108"/>
      <c r="U2502" s="108"/>
      <c r="V2502" s="108"/>
      <c r="W2502" s="108"/>
      <c r="X2502" s="108"/>
    </row>
    <row r="2503" spans="1:24">
      <c r="A2503" s="107"/>
      <c r="B2503" s="107"/>
      <c r="C2503" s="107"/>
      <c r="D2503" s="107"/>
      <c r="E2503" s="107"/>
      <c r="F2503" s="107"/>
      <c r="G2503" s="108"/>
      <c r="H2503" s="107"/>
      <c r="I2503" s="108"/>
      <c r="J2503" s="108"/>
      <c r="K2503" s="108"/>
      <c r="L2503" s="108"/>
      <c r="M2503" s="108"/>
      <c r="N2503" s="108"/>
      <c r="O2503" s="108"/>
      <c r="P2503" s="108"/>
      <c r="Q2503" s="108"/>
      <c r="R2503" s="108"/>
      <c r="S2503" s="108"/>
      <c r="T2503" s="108"/>
      <c r="U2503" s="108"/>
      <c r="V2503" s="108"/>
      <c r="W2503" s="108"/>
      <c r="X2503" s="108"/>
    </row>
    <row r="2504" spans="1:24">
      <c r="A2504" s="107"/>
      <c r="B2504" s="107"/>
      <c r="C2504" s="107"/>
      <c r="D2504" s="107"/>
      <c r="E2504" s="107"/>
      <c r="F2504" s="107"/>
      <c r="G2504" s="108"/>
      <c r="H2504" s="107"/>
      <c r="I2504" s="108"/>
      <c r="J2504" s="108"/>
      <c r="K2504" s="108"/>
      <c r="L2504" s="108"/>
      <c r="M2504" s="108"/>
      <c r="N2504" s="108"/>
      <c r="O2504" s="108"/>
      <c r="P2504" s="108"/>
      <c r="Q2504" s="108"/>
      <c r="R2504" s="108"/>
      <c r="S2504" s="108"/>
      <c r="T2504" s="108"/>
      <c r="U2504" s="108"/>
      <c r="V2504" s="108"/>
      <c r="W2504" s="108"/>
      <c r="X2504" s="108"/>
    </row>
    <row r="2505" spans="1:24">
      <c r="A2505" s="107"/>
      <c r="B2505" s="107"/>
      <c r="C2505" s="107"/>
      <c r="D2505" s="107"/>
      <c r="E2505" s="107"/>
      <c r="F2505" s="107"/>
      <c r="G2505" s="108"/>
      <c r="H2505" s="107"/>
      <c r="I2505" s="108"/>
      <c r="J2505" s="108"/>
      <c r="K2505" s="108"/>
      <c r="L2505" s="108"/>
      <c r="M2505" s="108"/>
      <c r="N2505" s="108"/>
      <c r="O2505" s="108"/>
      <c r="P2505" s="108"/>
      <c r="Q2505" s="108"/>
      <c r="R2505" s="108"/>
      <c r="S2505" s="108"/>
      <c r="T2505" s="108"/>
      <c r="U2505" s="108"/>
      <c r="V2505" s="108"/>
      <c r="W2505" s="108"/>
      <c r="X2505" s="108"/>
    </row>
    <row r="2506" spans="1:24">
      <c r="A2506" s="107"/>
      <c r="B2506" s="107"/>
      <c r="C2506" s="107"/>
      <c r="D2506" s="107"/>
      <c r="E2506" s="107"/>
      <c r="F2506" s="107"/>
      <c r="G2506" s="108"/>
      <c r="H2506" s="107"/>
      <c r="I2506" s="108"/>
      <c r="J2506" s="108"/>
      <c r="K2506" s="108"/>
      <c r="L2506" s="108"/>
      <c r="M2506" s="108"/>
      <c r="N2506" s="108"/>
      <c r="O2506" s="108"/>
      <c r="P2506" s="108"/>
      <c r="Q2506" s="108"/>
      <c r="R2506" s="108"/>
      <c r="S2506" s="108"/>
      <c r="T2506" s="108"/>
      <c r="U2506" s="108"/>
      <c r="V2506" s="108"/>
      <c r="W2506" s="108"/>
      <c r="X2506" s="108"/>
    </row>
    <row r="2507" spans="1:24">
      <c r="A2507" s="107"/>
      <c r="B2507" s="107"/>
      <c r="C2507" s="107"/>
      <c r="D2507" s="107"/>
      <c r="E2507" s="107"/>
      <c r="F2507" s="107"/>
      <c r="G2507" s="108"/>
      <c r="H2507" s="107"/>
      <c r="I2507" s="108"/>
      <c r="J2507" s="108"/>
      <c r="K2507" s="108"/>
      <c r="L2507" s="108"/>
      <c r="M2507" s="108"/>
      <c r="N2507" s="108"/>
      <c r="O2507" s="108"/>
      <c r="P2507" s="108"/>
      <c r="Q2507" s="108"/>
      <c r="R2507" s="108"/>
      <c r="S2507" s="108"/>
      <c r="T2507" s="108"/>
      <c r="U2507" s="108"/>
      <c r="V2507" s="108"/>
      <c r="W2507" s="108"/>
      <c r="X2507" s="108"/>
    </row>
    <row r="2508" spans="1:24">
      <c r="A2508" s="107"/>
      <c r="B2508" s="107"/>
      <c r="C2508" s="107"/>
      <c r="D2508" s="107"/>
      <c r="E2508" s="107"/>
      <c r="F2508" s="107"/>
      <c r="G2508" s="108"/>
      <c r="H2508" s="107"/>
      <c r="I2508" s="108"/>
      <c r="J2508" s="108"/>
      <c r="K2508" s="108"/>
      <c r="L2508" s="108"/>
      <c r="M2508" s="108"/>
      <c r="N2508" s="108"/>
      <c r="O2508" s="108"/>
      <c r="P2508" s="108"/>
      <c r="Q2508" s="108"/>
      <c r="R2508" s="108"/>
      <c r="S2508" s="108"/>
      <c r="T2508" s="108"/>
      <c r="U2508" s="108"/>
      <c r="V2508" s="108"/>
      <c r="W2508" s="108"/>
      <c r="X2508" s="108"/>
    </row>
    <row r="2509" spans="1:24">
      <c r="A2509" s="107"/>
      <c r="B2509" s="107"/>
      <c r="C2509" s="107"/>
      <c r="D2509" s="107"/>
      <c r="E2509" s="107"/>
      <c r="F2509" s="107"/>
      <c r="G2509" s="108"/>
      <c r="H2509" s="107"/>
      <c r="I2509" s="108"/>
      <c r="J2509" s="108"/>
      <c r="K2509" s="108"/>
      <c r="L2509" s="108"/>
      <c r="M2509" s="108"/>
      <c r="N2509" s="108"/>
      <c r="O2509" s="108"/>
      <c r="P2509" s="108"/>
      <c r="Q2509" s="108"/>
      <c r="R2509" s="108"/>
      <c r="S2509" s="108"/>
      <c r="T2509" s="108"/>
      <c r="U2509" s="108"/>
      <c r="V2509" s="108"/>
      <c r="W2509" s="108"/>
      <c r="X2509" s="108"/>
    </row>
    <row r="2510" spans="1:24">
      <c r="A2510" s="107"/>
      <c r="B2510" s="107"/>
      <c r="C2510" s="107"/>
      <c r="D2510" s="107"/>
      <c r="E2510" s="107"/>
      <c r="F2510" s="107"/>
      <c r="G2510" s="108"/>
      <c r="H2510" s="107"/>
      <c r="I2510" s="108"/>
      <c r="J2510" s="108"/>
      <c r="K2510" s="108"/>
      <c r="L2510" s="108"/>
      <c r="M2510" s="108"/>
      <c r="N2510" s="108"/>
      <c r="O2510" s="108"/>
      <c r="P2510" s="108"/>
      <c r="Q2510" s="108"/>
      <c r="R2510" s="108"/>
      <c r="S2510" s="108"/>
      <c r="T2510" s="108"/>
      <c r="U2510" s="108"/>
      <c r="V2510" s="108"/>
      <c r="W2510" s="108"/>
      <c r="X2510" s="108"/>
    </row>
    <row r="2511" spans="1:24">
      <c r="A2511" s="107"/>
      <c r="B2511" s="107"/>
      <c r="C2511" s="107"/>
      <c r="D2511" s="107"/>
      <c r="E2511" s="107"/>
      <c r="F2511" s="107"/>
      <c r="G2511" s="108"/>
      <c r="H2511" s="107"/>
      <c r="I2511" s="108"/>
      <c r="J2511" s="108"/>
      <c r="K2511" s="108"/>
      <c r="L2511" s="108"/>
      <c r="M2511" s="108"/>
      <c r="N2511" s="108"/>
      <c r="O2511" s="108"/>
      <c r="P2511" s="108"/>
      <c r="Q2511" s="108"/>
      <c r="R2511" s="108"/>
      <c r="S2511" s="108"/>
      <c r="T2511" s="108"/>
      <c r="U2511" s="108"/>
      <c r="V2511" s="108"/>
      <c r="W2511" s="108"/>
      <c r="X2511" s="108"/>
    </row>
    <row r="2512" spans="1:24">
      <c r="A2512" s="107"/>
      <c r="B2512" s="107"/>
      <c r="C2512" s="107"/>
      <c r="D2512" s="107"/>
      <c r="E2512" s="107"/>
      <c r="F2512" s="107"/>
      <c r="G2512" s="108"/>
      <c r="H2512" s="107"/>
      <c r="I2512" s="108"/>
      <c r="J2512" s="108"/>
      <c r="K2512" s="108"/>
      <c r="L2512" s="108"/>
      <c r="M2512" s="108"/>
      <c r="N2512" s="108"/>
      <c r="O2512" s="108"/>
      <c r="P2512" s="108"/>
      <c r="Q2512" s="108"/>
      <c r="R2512" s="108"/>
      <c r="S2512" s="108"/>
      <c r="T2512" s="108"/>
      <c r="U2512" s="108"/>
      <c r="V2512" s="108"/>
      <c r="W2512" s="108"/>
      <c r="X2512" s="108"/>
    </row>
    <row r="2513" spans="1:24">
      <c r="A2513" s="107"/>
      <c r="B2513" s="107"/>
      <c r="C2513" s="107"/>
      <c r="D2513" s="107"/>
      <c r="E2513" s="107"/>
      <c r="F2513" s="107"/>
      <c r="G2513" s="108"/>
      <c r="H2513" s="107"/>
      <c r="I2513" s="108"/>
      <c r="J2513" s="108"/>
      <c r="K2513" s="108"/>
      <c r="L2513" s="108"/>
      <c r="M2513" s="108"/>
      <c r="N2513" s="108"/>
      <c r="O2513" s="108"/>
      <c r="P2513" s="108"/>
      <c r="Q2513" s="108"/>
      <c r="R2513" s="108"/>
      <c r="S2513" s="108"/>
      <c r="T2513" s="108"/>
      <c r="U2513" s="108"/>
      <c r="V2513" s="108"/>
      <c r="W2513" s="108"/>
      <c r="X2513" s="108"/>
    </row>
    <row r="2514" spans="1:24">
      <c r="A2514" s="107"/>
      <c r="B2514" s="107"/>
      <c r="C2514" s="107"/>
      <c r="D2514" s="107"/>
      <c r="E2514" s="107"/>
      <c r="F2514" s="107"/>
      <c r="G2514" s="108"/>
      <c r="H2514" s="107"/>
      <c r="I2514" s="108"/>
      <c r="J2514" s="108"/>
      <c r="K2514" s="108"/>
      <c r="L2514" s="108"/>
      <c r="M2514" s="108"/>
      <c r="N2514" s="108"/>
      <c r="O2514" s="108"/>
      <c r="P2514" s="108"/>
      <c r="Q2514" s="108"/>
      <c r="R2514" s="108"/>
      <c r="S2514" s="108"/>
      <c r="T2514" s="108"/>
      <c r="U2514" s="108"/>
      <c r="V2514" s="108"/>
      <c r="W2514" s="108"/>
      <c r="X2514" s="108"/>
    </row>
    <row r="2515" spans="1:24">
      <c r="A2515" s="107"/>
      <c r="B2515" s="107"/>
      <c r="C2515" s="107"/>
      <c r="D2515" s="107"/>
      <c r="E2515" s="107"/>
      <c r="F2515" s="107"/>
      <c r="G2515" s="108"/>
      <c r="H2515" s="107"/>
      <c r="I2515" s="108"/>
      <c r="J2515" s="108"/>
      <c r="K2515" s="108"/>
      <c r="L2515" s="108"/>
      <c r="M2515" s="108"/>
      <c r="N2515" s="108"/>
      <c r="O2515" s="108"/>
      <c r="P2515" s="108"/>
      <c r="Q2515" s="108"/>
      <c r="R2515" s="108"/>
      <c r="S2515" s="108"/>
      <c r="T2515" s="108"/>
      <c r="U2515" s="108"/>
      <c r="V2515" s="108"/>
      <c r="W2515" s="108"/>
      <c r="X2515" s="108"/>
    </row>
    <row r="2516" spans="1:24">
      <c r="A2516" s="107"/>
      <c r="B2516" s="107"/>
      <c r="C2516" s="107"/>
      <c r="D2516" s="107"/>
      <c r="E2516" s="107"/>
      <c r="F2516" s="107"/>
      <c r="G2516" s="108"/>
      <c r="H2516" s="107"/>
      <c r="I2516" s="108"/>
      <c r="J2516" s="108"/>
      <c r="K2516" s="108"/>
      <c r="L2516" s="108"/>
      <c r="M2516" s="108"/>
      <c r="N2516" s="108"/>
      <c r="O2516" s="108"/>
      <c r="P2516" s="108"/>
      <c r="Q2516" s="108"/>
      <c r="R2516" s="108"/>
      <c r="S2516" s="108"/>
      <c r="T2516" s="108"/>
      <c r="U2516" s="108"/>
      <c r="V2516" s="108"/>
      <c r="W2516" s="108"/>
      <c r="X2516" s="108"/>
    </row>
    <row r="2517" spans="1:24">
      <c r="A2517" s="107"/>
      <c r="B2517" s="107"/>
      <c r="C2517" s="107"/>
      <c r="D2517" s="107"/>
      <c r="E2517" s="107"/>
      <c r="F2517" s="107"/>
      <c r="G2517" s="108"/>
      <c r="H2517" s="107"/>
      <c r="I2517" s="108"/>
      <c r="J2517" s="108"/>
      <c r="K2517" s="108"/>
      <c r="L2517" s="108"/>
      <c r="M2517" s="108"/>
      <c r="N2517" s="108"/>
      <c r="O2517" s="108"/>
      <c r="P2517" s="108"/>
      <c r="Q2517" s="108"/>
      <c r="R2517" s="108"/>
      <c r="S2517" s="108"/>
      <c r="T2517" s="108"/>
      <c r="U2517" s="108"/>
      <c r="V2517" s="108"/>
      <c r="W2517" s="108"/>
      <c r="X2517" s="108"/>
    </row>
    <row r="2518" spans="1:24">
      <c r="A2518" s="107"/>
      <c r="B2518" s="107"/>
      <c r="C2518" s="107"/>
      <c r="D2518" s="107"/>
      <c r="E2518" s="107"/>
      <c r="F2518" s="107"/>
      <c r="G2518" s="108"/>
      <c r="H2518" s="107"/>
      <c r="I2518" s="108"/>
      <c r="J2518" s="108"/>
      <c r="K2518" s="108"/>
      <c r="L2518" s="108"/>
      <c r="M2518" s="108"/>
      <c r="N2518" s="108"/>
      <c r="O2518" s="108"/>
      <c r="P2518" s="108"/>
      <c r="Q2518" s="108"/>
      <c r="R2518" s="108"/>
      <c r="S2518" s="108"/>
      <c r="T2518" s="108"/>
      <c r="U2518" s="108"/>
      <c r="V2518" s="108"/>
      <c r="W2518" s="108"/>
      <c r="X2518" s="108"/>
    </row>
    <row r="2519" spans="1:24">
      <c r="A2519" s="107"/>
      <c r="B2519" s="107"/>
      <c r="C2519" s="107"/>
      <c r="D2519" s="107"/>
      <c r="E2519" s="107"/>
      <c r="F2519" s="107"/>
      <c r="G2519" s="108"/>
      <c r="H2519" s="107"/>
      <c r="I2519" s="108"/>
      <c r="J2519" s="108"/>
      <c r="K2519" s="108"/>
      <c r="L2519" s="108"/>
      <c r="M2519" s="108"/>
      <c r="N2519" s="108"/>
      <c r="O2519" s="108"/>
      <c r="P2519" s="108"/>
      <c r="Q2519" s="108"/>
      <c r="R2519" s="108"/>
      <c r="S2519" s="108"/>
      <c r="T2519" s="108"/>
      <c r="U2519" s="108"/>
      <c r="V2519" s="108"/>
      <c r="W2519" s="108"/>
      <c r="X2519" s="108"/>
    </row>
    <row r="2520" spans="1:24">
      <c r="A2520" s="107"/>
      <c r="B2520" s="107"/>
      <c r="C2520" s="107"/>
      <c r="D2520" s="107"/>
      <c r="E2520" s="107"/>
      <c r="F2520" s="107"/>
      <c r="G2520" s="108"/>
      <c r="H2520" s="107"/>
      <c r="I2520" s="108"/>
      <c r="J2520" s="108"/>
      <c r="K2520" s="108"/>
      <c r="L2520" s="108"/>
      <c r="M2520" s="108"/>
      <c r="N2520" s="108"/>
      <c r="O2520" s="108"/>
      <c r="P2520" s="108"/>
      <c r="Q2520" s="108"/>
      <c r="R2520" s="108"/>
      <c r="S2520" s="108"/>
      <c r="T2520" s="108"/>
      <c r="U2520" s="108"/>
      <c r="V2520" s="108"/>
      <c r="W2520" s="108"/>
      <c r="X2520" s="108"/>
    </row>
    <row r="2521" spans="1:24">
      <c r="A2521" s="107"/>
      <c r="B2521" s="107"/>
      <c r="C2521" s="107"/>
      <c r="D2521" s="107"/>
      <c r="E2521" s="107"/>
      <c r="F2521" s="107"/>
      <c r="G2521" s="108"/>
      <c r="H2521" s="107"/>
      <c r="I2521" s="108"/>
      <c r="J2521" s="108"/>
      <c r="K2521" s="108"/>
      <c r="L2521" s="108"/>
      <c r="M2521" s="108"/>
      <c r="N2521" s="108"/>
      <c r="O2521" s="108"/>
      <c r="P2521" s="108"/>
      <c r="Q2521" s="108"/>
      <c r="R2521" s="108"/>
      <c r="S2521" s="108"/>
      <c r="T2521" s="108"/>
      <c r="U2521" s="108"/>
      <c r="V2521" s="108"/>
      <c r="W2521" s="108"/>
      <c r="X2521" s="108"/>
    </row>
    <row r="2522" spans="1:24">
      <c r="A2522" s="107"/>
      <c r="B2522" s="107"/>
      <c r="C2522" s="107"/>
      <c r="D2522" s="107"/>
      <c r="E2522" s="107"/>
      <c r="F2522" s="107"/>
      <c r="G2522" s="108"/>
      <c r="H2522" s="107"/>
      <c r="I2522" s="108"/>
      <c r="J2522" s="108"/>
      <c r="K2522" s="108"/>
      <c r="L2522" s="108"/>
      <c r="M2522" s="108"/>
      <c r="N2522" s="108"/>
      <c r="O2522" s="108"/>
      <c r="P2522" s="108"/>
      <c r="Q2522" s="108"/>
      <c r="R2522" s="108"/>
      <c r="S2522" s="108"/>
      <c r="T2522" s="108"/>
      <c r="U2522" s="108"/>
      <c r="V2522" s="108"/>
      <c r="W2522" s="108"/>
      <c r="X2522" s="108"/>
    </row>
    <row r="2523" spans="1:24">
      <c r="A2523" s="107"/>
      <c r="B2523" s="107"/>
      <c r="C2523" s="107"/>
      <c r="D2523" s="107"/>
      <c r="E2523" s="107"/>
      <c r="F2523" s="107"/>
      <c r="G2523" s="108"/>
      <c r="H2523" s="107"/>
      <c r="I2523" s="108"/>
      <c r="J2523" s="108"/>
      <c r="K2523" s="108"/>
      <c r="L2523" s="108"/>
      <c r="M2523" s="108"/>
      <c r="N2523" s="108"/>
      <c r="O2523" s="108"/>
      <c r="P2523" s="108"/>
      <c r="Q2523" s="108"/>
      <c r="R2523" s="108"/>
      <c r="S2523" s="108"/>
      <c r="T2523" s="108"/>
      <c r="U2523" s="108"/>
      <c r="V2523" s="108"/>
      <c r="W2523" s="108"/>
      <c r="X2523" s="108"/>
    </row>
    <row r="2524" spans="1:24">
      <c r="A2524" s="107"/>
      <c r="B2524" s="107"/>
      <c r="C2524" s="107"/>
      <c r="D2524" s="107"/>
      <c r="E2524" s="107"/>
      <c r="F2524" s="107"/>
      <c r="G2524" s="108"/>
      <c r="H2524" s="107"/>
      <c r="I2524" s="108"/>
      <c r="J2524" s="108"/>
      <c r="K2524" s="108"/>
      <c r="L2524" s="108"/>
      <c r="M2524" s="108"/>
      <c r="N2524" s="108"/>
      <c r="O2524" s="108"/>
      <c r="P2524" s="108"/>
      <c r="Q2524" s="108"/>
      <c r="R2524" s="108"/>
      <c r="S2524" s="108"/>
      <c r="T2524" s="108"/>
      <c r="U2524" s="108"/>
      <c r="V2524" s="108"/>
      <c r="W2524" s="108"/>
      <c r="X2524" s="108"/>
    </row>
    <row r="2525" spans="1:24">
      <c r="A2525" s="107"/>
      <c r="B2525" s="107"/>
      <c r="C2525" s="107"/>
      <c r="D2525" s="107"/>
      <c r="E2525" s="107"/>
      <c r="F2525" s="107"/>
      <c r="G2525" s="108"/>
      <c r="H2525" s="107"/>
      <c r="I2525" s="108"/>
      <c r="J2525" s="108"/>
      <c r="K2525" s="108"/>
      <c r="L2525" s="108"/>
      <c r="M2525" s="108"/>
      <c r="N2525" s="108"/>
      <c r="O2525" s="108"/>
      <c r="P2525" s="108"/>
      <c r="Q2525" s="108"/>
      <c r="R2525" s="108"/>
      <c r="S2525" s="108"/>
      <c r="T2525" s="108"/>
      <c r="U2525" s="108"/>
      <c r="V2525" s="108"/>
      <c r="W2525" s="108"/>
      <c r="X2525" s="108"/>
    </row>
    <row r="2526" spans="1:24">
      <c r="A2526" s="107"/>
      <c r="B2526" s="107"/>
      <c r="C2526" s="107"/>
      <c r="D2526" s="107"/>
      <c r="E2526" s="107"/>
      <c r="F2526" s="107"/>
      <c r="G2526" s="108"/>
      <c r="H2526" s="107"/>
      <c r="I2526" s="108"/>
      <c r="J2526" s="108"/>
      <c r="K2526" s="108"/>
      <c r="L2526" s="108"/>
      <c r="M2526" s="108"/>
      <c r="N2526" s="108"/>
      <c r="O2526" s="108"/>
      <c r="P2526" s="108"/>
      <c r="Q2526" s="108"/>
      <c r="R2526" s="108"/>
      <c r="S2526" s="108"/>
      <c r="T2526" s="108"/>
      <c r="U2526" s="108"/>
      <c r="V2526" s="108"/>
      <c r="W2526" s="108"/>
      <c r="X2526" s="108"/>
    </row>
    <row r="2527" spans="1:24">
      <c r="A2527" s="107"/>
      <c r="B2527" s="107"/>
      <c r="C2527" s="107"/>
      <c r="D2527" s="107"/>
      <c r="E2527" s="107"/>
      <c r="F2527" s="107"/>
      <c r="G2527" s="108"/>
      <c r="H2527" s="107"/>
      <c r="I2527" s="108"/>
      <c r="J2527" s="108"/>
      <c r="K2527" s="108"/>
      <c r="L2527" s="108"/>
      <c r="M2527" s="108"/>
      <c r="N2527" s="108"/>
      <c r="O2527" s="108"/>
      <c r="P2527" s="108"/>
      <c r="Q2527" s="108"/>
      <c r="R2527" s="108"/>
      <c r="S2527" s="108"/>
      <c r="T2527" s="108"/>
      <c r="U2527" s="108"/>
      <c r="V2527" s="108"/>
      <c r="W2527" s="108"/>
      <c r="X2527" s="108"/>
    </row>
    <row r="2528" spans="1:24">
      <c r="A2528" s="107"/>
      <c r="B2528" s="107"/>
      <c r="C2528" s="107"/>
      <c r="D2528" s="107"/>
      <c r="E2528" s="107"/>
      <c r="F2528" s="107"/>
      <c r="G2528" s="108"/>
      <c r="H2528" s="107"/>
      <c r="I2528" s="108"/>
      <c r="J2528" s="108"/>
      <c r="K2528" s="108"/>
      <c r="L2528" s="108"/>
      <c r="M2528" s="108"/>
      <c r="N2528" s="108"/>
      <c r="O2528" s="108"/>
      <c r="P2528" s="108"/>
      <c r="Q2528" s="108"/>
      <c r="R2528" s="108"/>
      <c r="S2528" s="108"/>
      <c r="T2528" s="108"/>
      <c r="U2528" s="108"/>
      <c r="V2528" s="108"/>
      <c r="W2528" s="108"/>
      <c r="X2528" s="108"/>
    </row>
    <row r="2529" spans="1:24">
      <c r="A2529" s="107"/>
      <c r="B2529" s="107"/>
      <c r="C2529" s="107"/>
      <c r="D2529" s="107"/>
      <c r="E2529" s="107"/>
      <c r="F2529" s="107"/>
      <c r="G2529" s="108"/>
      <c r="H2529" s="107"/>
      <c r="I2529" s="108"/>
      <c r="J2529" s="108"/>
      <c r="K2529" s="108"/>
      <c r="L2529" s="108"/>
      <c r="M2529" s="108"/>
      <c r="N2529" s="108"/>
      <c r="O2529" s="108"/>
      <c r="P2529" s="108"/>
      <c r="Q2529" s="108"/>
      <c r="R2529" s="108"/>
      <c r="S2529" s="108"/>
      <c r="T2529" s="108"/>
      <c r="U2529" s="108"/>
      <c r="V2529" s="108"/>
      <c r="W2529" s="108"/>
      <c r="X2529" s="108"/>
    </row>
    <row r="2530" spans="1:24">
      <c r="A2530" s="107"/>
      <c r="B2530" s="107"/>
      <c r="C2530" s="107"/>
      <c r="D2530" s="107"/>
      <c r="E2530" s="107"/>
      <c r="F2530" s="107"/>
      <c r="G2530" s="108"/>
      <c r="H2530" s="107"/>
      <c r="I2530" s="108"/>
      <c r="J2530" s="108"/>
      <c r="K2530" s="108"/>
      <c r="L2530" s="108"/>
      <c r="M2530" s="108"/>
      <c r="N2530" s="108"/>
      <c r="O2530" s="108"/>
      <c r="P2530" s="108"/>
      <c r="Q2530" s="108"/>
      <c r="R2530" s="108"/>
      <c r="S2530" s="108"/>
      <c r="T2530" s="108"/>
      <c r="U2530" s="108"/>
      <c r="V2530" s="108"/>
      <c r="W2530" s="108"/>
      <c r="X2530" s="108"/>
    </row>
    <row r="2531" spans="1:24">
      <c r="A2531" s="107"/>
      <c r="B2531" s="107"/>
      <c r="C2531" s="107"/>
      <c r="D2531" s="107"/>
      <c r="E2531" s="107"/>
      <c r="F2531" s="107"/>
      <c r="G2531" s="108"/>
      <c r="H2531" s="107"/>
      <c r="I2531" s="108"/>
      <c r="J2531" s="108"/>
      <c r="K2531" s="108"/>
      <c r="L2531" s="108"/>
      <c r="M2531" s="108"/>
      <c r="N2531" s="108"/>
      <c r="O2531" s="108"/>
      <c r="P2531" s="108"/>
      <c r="Q2531" s="108"/>
      <c r="R2531" s="108"/>
      <c r="S2531" s="108"/>
      <c r="T2531" s="108"/>
      <c r="U2531" s="108"/>
      <c r="V2531" s="108"/>
      <c r="W2531" s="108"/>
      <c r="X2531" s="108"/>
    </row>
    <row r="2532" spans="1:24">
      <c r="A2532" s="107"/>
      <c r="B2532" s="107"/>
      <c r="C2532" s="107"/>
      <c r="D2532" s="107"/>
      <c r="E2532" s="107"/>
      <c r="F2532" s="107"/>
      <c r="G2532" s="108"/>
      <c r="H2532" s="107"/>
      <c r="I2532" s="108"/>
      <c r="J2532" s="108"/>
      <c r="K2532" s="108"/>
      <c r="L2532" s="108"/>
      <c r="M2532" s="108"/>
      <c r="N2532" s="108"/>
      <c r="O2532" s="108"/>
      <c r="P2532" s="108"/>
      <c r="Q2532" s="108"/>
      <c r="R2532" s="108"/>
      <c r="S2532" s="108"/>
      <c r="T2532" s="108"/>
      <c r="U2532" s="108"/>
      <c r="V2532" s="108"/>
      <c r="W2532" s="108"/>
      <c r="X2532" s="108"/>
    </row>
    <row r="2533" spans="1:24">
      <c r="A2533" s="107"/>
      <c r="B2533" s="107"/>
      <c r="C2533" s="107"/>
      <c r="D2533" s="107"/>
      <c r="E2533" s="107"/>
      <c r="F2533" s="107"/>
      <c r="G2533" s="108"/>
      <c r="H2533" s="107"/>
      <c r="I2533" s="108"/>
      <c r="J2533" s="108"/>
      <c r="K2533" s="108"/>
      <c r="L2533" s="108"/>
      <c r="M2533" s="108"/>
      <c r="N2533" s="108"/>
      <c r="O2533" s="108"/>
      <c r="P2533" s="108"/>
      <c r="Q2533" s="108"/>
      <c r="R2533" s="108"/>
      <c r="S2533" s="108"/>
      <c r="T2533" s="108"/>
      <c r="U2533" s="108"/>
      <c r="V2533" s="108"/>
      <c r="W2533" s="108"/>
      <c r="X2533" s="108"/>
    </row>
    <row r="2534" spans="1:24">
      <c r="A2534" s="107"/>
      <c r="B2534" s="107"/>
      <c r="C2534" s="107"/>
      <c r="D2534" s="107"/>
      <c r="E2534" s="107"/>
      <c r="F2534" s="107"/>
      <c r="G2534" s="108"/>
      <c r="H2534" s="107"/>
      <c r="I2534" s="108"/>
      <c r="J2534" s="108"/>
      <c r="K2534" s="108"/>
      <c r="L2534" s="108"/>
      <c r="M2534" s="108"/>
      <c r="N2534" s="108"/>
      <c r="O2534" s="108"/>
      <c r="P2534" s="108"/>
      <c r="Q2534" s="108"/>
      <c r="R2534" s="108"/>
      <c r="S2534" s="108"/>
      <c r="T2534" s="108"/>
      <c r="U2534" s="108"/>
      <c r="V2534" s="108"/>
      <c r="W2534" s="108"/>
      <c r="X2534" s="108"/>
    </row>
    <row r="2535" spans="1:24">
      <c r="A2535" s="107"/>
      <c r="B2535" s="107"/>
      <c r="C2535" s="107"/>
      <c r="D2535" s="107"/>
      <c r="E2535" s="107"/>
      <c r="F2535" s="107"/>
      <c r="G2535" s="108"/>
      <c r="H2535" s="107"/>
      <c r="I2535" s="108"/>
      <c r="J2535" s="108"/>
      <c r="K2535" s="108"/>
      <c r="L2535" s="108"/>
      <c r="M2535" s="108"/>
      <c r="N2535" s="108"/>
      <c r="O2535" s="108"/>
      <c r="P2535" s="108"/>
      <c r="Q2535" s="108"/>
      <c r="R2535" s="108"/>
      <c r="S2535" s="108"/>
      <c r="T2535" s="108"/>
      <c r="U2535" s="108"/>
      <c r="V2535" s="108"/>
      <c r="W2535" s="108"/>
      <c r="X2535" s="108"/>
    </row>
    <row r="2536" spans="1:24">
      <c r="A2536" s="107"/>
      <c r="B2536" s="107"/>
      <c r="C2536" s="107"/>
      <c r="D2536" s="107"/>
      <c r="E2536" s="107"/>
      <c r="F2536" s="107"/>
      <c r="G2536" s="108"/>
      <c r="H2536" s="107"/>
      <c r="I2536" s="108"/>
      <c r="J2536" s="108"/>
      <c r="K2536" s="108"/>
      <c r="L2536" s="108"/>
      <c r="M2536" s="108"/>
      <c r="N2536" s="108"/>
      <c r="O2536" s="108"/>
      <c r="P2536" s="108"/>
      <c r="Q2536" s="108"/>
      <c r="R2536" s="108"/>
      <c r="S2536" s="108"/>
      <c r="T2536" s="108"/>
      <c r="U2536" s="108"/>
      <c r="V2536" s="108"/>
      <c r="W2536" s="108"/>
      <c r="X2536" s="108"/>
    </row>
    <row r="2537" spans="1:24">
      <c r="A2537" s="107"/>
      <c r="B2537" s="107"/>
      <c r="C2537" s="107"/>
      <c r="D2537" s="107"/>
      <c r="E2537" s="107"/>
      <c r="F2537" s="107"/>
      <c r="G2537" s="108"/>
      <c r="H2537" s="107"/>
      <c r="I2537" s="108"/>
      <c r="J2537" s="108"/>
      <c r="K2537" s="108"/>
      <c r="L2537" s="108"/>
      <c r="M2537" s="108"/>
      <c r="N2537" s="108"/>
      <c r="O2537" s="108"/>
      <c r="P2537" s="108"/>
      <c r="Q2537" s="108"/>
      <c r="R2537" s="108"/>
      <c r="S2537" s="108"/>
      <c r="T2537" s="108"/>
      <c r="U2537" s="108"/>
      <c r="V2537" s="108"/>
      <c r="W2537" s="108"/>
      <c r="X2537" s="108"/>
    </row>
    <row r="2538" spans="1:24">
      <c r="A2538" s="107"/>
      <c r="B2538" s="107"/>
      <c r="C2538" s="107"/>
      <c r="D2538" s="107"/>
      <c r="E2538" s="107"/>
      <c r="F2538" s="107"/>
      <c r="G2538" s="108"/>
      <c r="H2538" s="107"/>
      <c r="I2538" s="108"/>
      <c r="J2538" s="108"/>
      <c r="K2538" s="108"/>
      <c r="L2538" s="108"/>
      <c r="M2538" s="108"/>
      <c r="N2538" s="108"/>
      <c r="O2538" s="108"/>
      <c r="P2538" s="108"/>
      <c r="Q2538" s="108"/>
      <c r="R2538" s="108"/>
      <c r="S2538" s="108"/>
      <c r="T2538" s="108"/>
      <c r="U2538" s="108"/>
      <c r="V2538" s="108"/>
      <c r="W2538" s="108"/>
      <c r="X2538" s="108"/>
    </row>
    <row r="2539" spans="1:24">
      <c r="A2539" s="107"/>
      <c r="B2539" s="107"/>
      <c r="C2539" s="107"/>
      <c r="D2539" s="107"/>
      <c r="E2539" s="107"/>
      <c r="F2539" s="107"/>
      <c r="G2539" s="108"/>
      <c r="H2539" s="107"/>
      <c r="I2539" s="108"/>
      <c r="J2539" s="108"/>
      <c r="K2539" s="108"/>
      <c r="L2539" s="108"/>
      <c r="M2539" s="108"/>
      <c r="N2539" s="108"/>
      <c r="O2539" s="108"/>
      <c r="P2539" s="108"/>
      <c r="Q2539" s="108"/>
      <c r="R2539" s="108"/>
      <c r="S2539" s="108"/>
      <c r="T2539" s="108"/>
      <c r="U2539" s="108"/>
      <c r="V2539" s="108"/>
      <c r="W2539" s="108"/>
      <c r="X2539" s="108"/>
    </row>
    <row r="2540" spans="1:24">
      <c r="A2540" s="107"/>
      <c r="B2540" s="107"/>
      <c r="C2540" s="107"/>
      <c r="D2540" s="107"/>
      <c r="E2540" s="107"/>
      <c r="F2540" s="107"/>
      <c r="G2540" s="108"/>
      <c r="H2540" s="107"/>
      <c r="I2540" s="108"/>
      <c r="J2540" s="108"/>
      <c r="K2540" s="108"/>
      <c r="L2540" s="108"/>
      <c r="M2540" s="108"/>
      <c r="N2540" s="108"/>
      <c r="O2540" s="108"/>
      <c r="P2540" s="108"/>
      <c r="Q2540" s="108"/>
      <c r="R2540" s="108"/>
      <c r="S2540" s="108"/>
      <c r="T2540" s="108"/>
      <c r="U2540" s="108"/>
      <c r="V2540" s="108"/>
      <c r="W2540" s="108"/>
      <c r="X2540" s="108"/>
    </row>
    <row r="2541" spans="1:24">
      <c r="A2541" s="107"/>
      <c r="B2541" s="107"/>
      <c r="C2541" s="107"/>
      <c r="D2541" s="107"/>
      <c r="E2541" s="107"/>
      <c r="F2541" s="107"/>
      <c r="G2541" s="108"/>
      <c r="H2541" s="107"/>
      <c r="I2541" s="108"/>
      <c r="J2541" s="108"/>
      <c r="K2541" s="108"/>
      <c r="L2541" s="108"/>
      <c r="M2541" s="108"/>
      <c r="N2541" s="108"/>
      <c r="O2541" s="108"/>
      <c r="P2541" s="108"/>
      <c r="Q2541" s="108"/>
      <c r="R2541" s="108"/>
      <c r="S2541" s="108"/>
      <c r="T2541" s="108"/>
      <c r="U2541" s="108"/>
      <c r="V2541" s="108"/>
      <c r="W2541" s="108"/>
      <c r="X2541" s="108"/>
    </row>
    <row r="2542" spans="1:24">
      <c r="A2542" s="107"/>
      <c r="B2542" s="107"/>
      <c r="C2542" s="107"/>
      <c r="D2542" s="107"/>
      <c r="E2542" s="107"/>
      <c r="F2542" s="107"/>
      <c r="G2542" s="108"/>
      <c r="H2542" s="107"/>
      <c r="I2542" s="108"/>
      <c r="J2542" s="108"/>
      <c r="K2542" s="108"/>
      <c r="L2542" s="108"/>
      <c r="M2542" s="108"/>
      <c r="N2542" s="108"/>
      <c r="O2542" s="108"/>
      <c r="P2542" s="108"/>
      <c r="Q2542" s="108"/>
      <c r="R2542" s="108"/>
      <c r="S2542" s="108"/>
      <c r="T2542" s="108"/>
      <c r="U2542" s="108"/>
      <c r="V2542" s="108"/>
      <c r="W2542" s="108"/>
      <c r="X2542" s="108"/>
    </row>
    <row r="2543" spans="1:24">
      <c r="A2543" s="107"/>
      <c r="B2543" s="107"/>
      <c r="C2543" s="107"/>
      <c r="D2543" s="107"/>
      <c r="E2543" s="107"/>
      <c r="F2543" s="107"/>
      <c r="G2543" s="108"/>
      <c r="H2543" s="107"/>
      <c r="I2543" s="108"/>
      <c r="J2543" s="108"/>
      <c r="K2543" s="108"/>
      <c r="L2543" s="108"/>
      <c r="M2543" s="108"/>
      <c r="N2543" s="108"/>
      <c r="O2543" s="108"/>
      <c r="P2543" s="108"/>
      <c r="Q2543" s="108"/>
      <c r="R2543" s="108"/>
      <c r="S2543" s="108"/>
      <c r="T2543" s="108"/>
      <c r="U2543" s="108"/>
      <c r="V2543" s="108"/>
      <c r="W2543" s="108"/>
      <c r="X2543" s="108"/>
    </row>
    <row r="2544" spans="1:24">
      <c r="A2544" s="107"/>
      <c r="B2544" s="107"/>
      <c r="C2544" s="107"/>
      <c r="D2544" s="107"/>
      <c r="E2544" s="107"/>
      <c r="F2544" s="107"/>
      <c r="G2544" s="108"/>
      <c r="H2544" s="107"/>
      <c r="I2544" s="108"/>
      <c r="J2544" s="108"/>
      <c r="K2544" s="108"/>
      <c r="L2544" s="108"/>
      <c r="M2544" s="108"/>
      <c r="N2544" s="108"/>
      <c r="O2544" s="108"/>
      <c r="P2544" s="108"/>
      <c r="Q2544" s="108"/>
      <c r="R2544" s="108"/>
      <c r="S2544" s="108"/>
      <c r="T2544" s="108"/>
      <c r="U2544" s="108"/>
      <c r="V2544" s="108"/>
      <c r="W2544" s="108"/>
      <c r="X2544" s="108"/>
    </row>
    <row r="2545" spans="1:24">
      <c r="A2545" s="107"/>
      <c r="B2545" s="107"/>
      <c r="C2545" s="107"/>
      <c r="D2545" s="107"/>
      <c r="E2545" s="107"/>
      <c r="F2545" s="107"/>
      <c r="G2545" s="108"/>
      <c r="H2545" s="107"/>
      <c r="I2545" s="108"/>
      <c r="J2545" s="108"/>
      <c r="K2545" s="108"/>
      <c r="L2545" s="108"/>
      <c r="M2545" s="108"/>
      <c r="N2545" s="108"/>
      <c r="O2545" s="108"/>
      <c r="P2545" s="108"/>
      <c r="Q2545" s="108"/>
      <c r="R2545" s="108"/>
      <c r="S2545" s="108"/>
      <c r="T2545" s="108"/>
      <c r="U2545" s="108"/>
      <c r="V2545" s="108"/>
      <c r="W2545" s="108"/>
      <c r="X2545" s="108"/>
    </row>
    <row r="2546" spans="1:24">
      <c r="A2546" s="107"/>
      <c r="B2546" s="107"/>
      <c r="C2546" s="107"/>
      <c r="D2546" s="107"/>
      <c r="E2546" s="107"/>
      <c r="F2546" s="107"/>
      <c r="G2546" s="108"/>
      <c r="H2546" s="107"/>
      <c r="I2546" s="108"/>
      <c r="J2546" s="108"/>
      <c r="K2546" s="108"/>
      <c r="L2546" s="108"/>
      <c r="M2546" s="108"/>
      <c r="N2546" s="108"/>
      <c r="O2546" s="108"/>
      <c r="P2546" s="108"/>
      <c r="Q2546" s="108"/>
      <c r="R2546" s="108"/>
      <c r="S2546" s="108"/>
      <c r="T2546" s="108"/>
      <c r="U2546" s="108"/>
      <c r="V2546" s="108"/>
      <c r="W2546" s="108"/>
      <c r="X2546" s="108"/>
    </row>
    <row r="2547" spans="1:24">
      <c r="A2547" s="107"/>
      <c r="B2547" s="107"/>
      <c r="C2547" s="107"/>
      <c r="D2547" s="107"/>
      <c r="E2547" s="107"/>
      <c r="F2547" s="107"/>
      <c r="G2547" s="108"/>
      <c r="H2547" s="107"/>
      <c r="I2547" s="108"/>
      <c r="J2547" s="108"/>
      <c r="K2547" s="108"/>
      <c r="L2547" s="108"/>
      <c r="M2547" s="108"/>
      <c r="N2547" s="108"/>
      <c r="O2547" s="108"/>
      <c r="P2547" s="108"/>
      <c r="Q2547" s="108"/>
      <c r="R2547" s="108"/>
      <c r="S2547" s="108"/>
      <c r="T2547" s="108"/>
      <c r="U2547" s="108"/>
      <c r="V2547" s="108"/>
      <c r="W2547" s="108"/>
      <c r="X2547" s="108"/>
    </row>
    <row r="2548" spans="1:24">
      <c r="A2548" s="107"/>
      <c r="B2548" s="107"/>
      <c r="C2548" s="107"/>
      <c r="D2548" s="107"/>
      <c r="E2548" s="107"/>
      <c r="F2548" s="107"/>
      <c r="G2548" s="108"/>
      <c r="H2548" s="107"/>
      <c r="I2548" s="108"/>
      <c r="J2548" s="108"/>
      <c r="K2548" s="108"/>
      <c r="L2548" s="108"/>
      <c r="M2548" s="108"/>
      <c r="N2548" s="108"/>
      <c r="O2548" s="108"/>
      <c r="P2548" s="108"/>
      <c r="Q2548" s="108"/>
      <c r="R2548" s="108"/>
      <c r="S2548" s="108"/>
      <c r="T2548" s="108"/>
      <c r="U2548" s="108"/>
      <c r="V2548" s="108"/>
      <c r="W2548" s="108"/>
      <c r="X2548" s="108"/>
    </row>
    <row r="2549" spans="1:24">
      <c r="A2549" s="107"/>
      <c r="B2549" s="107"/>
      <c r="C2549" s="107"/>
      <c r="D2549" s="107"/>
      <c r="E2549" s="107"/>
      <c r="F2549" s="107"/>
      <c r="G2549" s="108"/>
      <c r="H2549" s="107"/>
      <c r="I2549" s="108"/>
      <c r="J2549" s="108"/>
      <c r="K2549" s="108"/>
      <c r="L2549" s="108"/>
      <c r="M2549" s="108"/>
      <c r="N2549" s="108"/>
      <c r="O2549" s="108"/>
      <c r="P2549" s="108"/>
      <c r="Q2549" s="108"/>
      <c r="R2549" s="108"/>
      <c r="S2549" s="108"/>
      <c r="T2549" s="108"/>
      <c r="U2549" s="108"/>
      <c r="V2549" s="108"/>
      <c r="W2549" s="108"/>
      <c r="X2549" s="108"/>
    </row>
    <row r="2550" spans="1:24">
      <c r="A2550" s="107"/>
      <c r="B2550" s="107"/>
      <c r="C2550" s="107"/>
      <c r="D2550" s="107"/>
      <c r="E2550" s="107"/>
      <c r="F2550" s="107"/>
      <c r="G2550" s="108"/>
      <c r="H2550" s="107"/>
      <c r="I2550" s="108"/>
      <c r="J2550" s="108"/>
      <c r="K2550" s="108"/>
      <c r="L2550" s="108"/>
      <c r="M2550" s="108"/>
      <c r="N2550" s="108"/>
      <c r="O2550" s="108"/>
      <c r="P2550" s="108"/>
      <c r="Q2550" s="108"/>
      <c r="R2550" s="108"/>
      <c r="S2550" s="108"/>
      <c r="T2550" s="108"/>
      <c r="U2550" s="108"/>
      <c r="V2550" s="108"/>
      <c r="W2550" s="108"/>
      <c r="X2550" s="108"/>
    </row>
    <row r="2551" spans="1:24">
      <c r="A2551" s="107"/>
      <c r="B2551" s="107"/>
      <c r="C2551" s="107"/>
      <c r="D2551" s="107"/>
      <c r="E2551" s="107"/>
      <c r="F2551" s="107"/>
      <c r="G2551" s="108"/>
      <c r="H2551" s="107"/>
      <c r="I2551" s="108"/>
      <c r="J2551" s="108"/>
      <c r="K2551" s="108"/>
      <c r="L2551" s="108"/>
      <c r="M2551" s="108"/>
      <c r="N2551" s="108"/>
      <c r="O2551" s="108"/>
      <c r="P2551" s="108"/>
      <c r="Q2551" s="108"/>
      <c r="R2551" s="108"/>
      <c r="S2551" s="108"/>
      <c r="T2551" s="108"/>
      <c r="U2551" s="108"/>
      <c r="V2551" s="108"/>
      <c r="W2551" s="108"/>
      <c r="X2551" s="108"/>
    </row>
    <row r="2552" spans="1:24">
      <c r="A2552" s="107"/>
      <c r="B2552" s="107"/>
      <c r="C2552" s="107"/>
      <c r="D2552" s="107"/>
      <c r="E2552" s="107"/>
      <c r="F2552" s="107"/>
      <c r="G2552" s="108"/>
      <c r="H2552" s="107"/>
      <c r="I2552" s="108"/>
      <c r="J2552" s="108"/>
      <c r="K2552" s="108"/>
      <c r="L2552" s="108"/>
      <c r="M2552" s="108"/>
      <c r="N2552" s="108"/>
      <c r="O2552" s="108"/>
      <c r="P2552" s="108"/>
      <c r="Q2552" s="108"/>
      <c r="R2552" s="108"/>
      <c r="S2552" s="108"/>
      <c r="T2552" s="108"/>
      <c r="U2552" s="108"/>
      <c r="V2552" s="108"/>
      <c r="W2552" s="108"/>
      <c r="X2552" s="108"/>
    </row>
    <row r="2553" spans="1:24">
      <c r="A2553" s="107"/>
      <c r="B2553" s="107"/>
      <c r="C2553" s="107"/>
      <c r="D2553" s="107"/>
      <c r="E2553" s="107"/>
      <c r="F2553" s="107"/>
      <c r="G2553" s="108"/>
      <c r="H2553" s="107"/>
      <c r="I2553" s="108"/>
      <c r="J2553" s="108"/>
      <c r="K2553" s="108"/>
      <c r="L2553" s="108"/>
      <c r="M2553" s="108"/>
      <c r="N2553" s="108"/>
      <c r="O2553" s="108"/>
      <c r="P2553" s="108"/>
      <c r="Q2553" s="108"/>
      <c r="R2553" s="108"/>
      <c r="S2553" s="108"/>
      <c r="T2553" s="108"/>
      <c r="U2553" s="108"/>
      <c r="V2553" s="108"/>
      <c r="W2553" s="108"/>
      <c r="X2553" s="108"/>
    </row>
    <row r="2554" spans="1:24">
      <c r="A2554" s="107"/>
      <c r="B2554" s="107"/>
      <c r="C2554" s="107"/>
      <c r="D2554" s="107"/>
      <c r="E2554" s="107"/>
      <c r="F2554" s="107"/>
      <c r="G2554" s="108"/>
      <c r="H2554" s="107"/>
      <c r="I2554" s="108"/>
      <c r="J2554" s="108"/>
      <c r="K2554" s="108"/>
      <c r="L2554" s="108"/>
      <c r="M2554" s="108"/>
      <c r="N2554" s="108"/>
      <c r="O2554" s="108"/>
      <c r="P2554" s="108"/>
      <c r="Q2554" s="108"/>
      <c r="R2554" s="108"/>
      <c r="S2554" s="108"/>
      <c r="T2554" s="108"/>
      <c r="U2554" s="108"/>
      <c r="V2554" s="108"/>
      <c r="W2554" s="108"/>
      <c r="X2554" s="108"/>
    </row>
    <row r="2555" spans="1:24">
      <c r="A2555" s="107"/>
      <c r="B2555" s="107"/>
      <c r="C2555" s="107"/>
      <c r="D2555" s="107"/>
      <c r="E2555" s="107"/>
      <c r="F2555" s="107"/>
      <c r="G2555" s="108"/>
      <c r="H2555" s="107"/>
      <c r="I2555" s="108"/>
      <c r="J2555" s="108"/>
      <c r="K2555" s="108"/>
      <c r="L2555" s="108"/>
      <c r="M2555" s="108"/>
      <c r="N2555" s="108"/>
      <c r="O2555" s="108"/>
      <c r="P2555" s="108"/>
      <c r="Q2555" s="108"/>
      <c r="R2555" s="108"/>
      <c r="S2555" s="108"/>
      <c r="T2555" s="108"/>
      <c r="U2555" s="108"/>
      <c r="V2555" s="108"/>
      <c r="W2555" s="108"/>
      <c r="X2555" s="108"/>
    </row>
    <row r="2556" spans="1:24">
      <c r="A2556" s="107"/>
      <c r="B2556" s="107"/>
      <c r="C2556" s="107"/>
      <c r="D2556" s="107"/>
      <c r="E2556" s="107"/>
      <c r="F2556" s="107"/>
      <c r="G2556" s="108"/>
      <c r="H2556" s="107"/>
      <c r="I2556" s="108"/>
      <c r="J2556" s="108"/>
      <c r="K2556" s="108"/>
      <c r="L2556" s="108"/>
      <c r="M2556" s="108"/>
      <c r="N2556" s="108"/>
      <c r="O2556" s="108"/>
      <c r="P2556" s="108"/>
      <c r="Q2556" s="108"/>
      <c r="R2556" s="108"/>
      <c r="S2556" s="108"/>
      <c r="T2556" s="108"/>
      <c r="U2556" s="108"/>
      <c r="V2556" s="108"/>
      <c r="W2556" s="108"/>
      <c r="X2556" s="108"/>
    </row>
    <row r="2557" spans="1:24">
      <c r="A2557" s="107"/>
      <c r="B2557" s="107"/>
      <c r="C2557" s="107"/>
      <c r="D2557" s="107"/>
      <c r="E2557" s="107"/>
      <c r="F2557" s="107"/>
      <c r="G2557" s="108"/>
      <c r="H2557" s="107"/>
      <c r="I2557" s="108"/>
      <c r="J2557" s="108"/>
      <c r="K2557" s="108"/>
      <c r="L2557" s="108"/>
      <c r="M2557" s="108"/>
      <c r="N2557" s="108"/>
      <c r="O2557" s="108"/>
      <c r="P2557" s="108"/>
      <c r="Q2557" s="108"/>
      <c r="R2557" s="108"/>
      <c r="S2557" s="108"/>
      <c r="T2557" s="108"/>
      <c r="U2557" s="108"/>
      <c r="V2557" s="108"/>
      <c r="W2557" s="108"/>
      <c r="X2557" s="108"/>
    </row>
    <row r="2558" spans="1:24">
      <c r="A2558" s="107"/>
      <c r="B2558" s="107"/>
      <c r="C2558" s="107"/>
      <c r="D2558" s="107"/>
      <c r="E2558" s="107"/>
      <c r="F2558" s="107"/>
      <c r="G2558" s="108"/>
      <c r="H2558" s="107"/>
      <c r="I2558" s="108"/>
      <c r="J2558" s="108"/>
      <c r="K2558" s="108"/>
      <c r="L2558" s="108"/>
      <c r="M2558" s="108"/>
      <c r="N2558" s="108"/>
      <c r="O2558" s="108"/>
      <c r="P2558" s="108"/>
      <c r="Q2558" s="108"/>
      <c r="R2558" s="108"/>
      <c r="S2558" s="108"/>
      <c r="T2558" s="108"/>
      <c r="U2558" s="108"/>
      <c r="V2558" s="108"/>
      <c r="W2558" s="108"/>
      <c r="X2558" s="108"/>
    </row>
    <row r="2559" spans="1:24">
      <c r="A2559" s="107"/>
      <c r="B2559" s="107"/>
      <c r="C2559" s="107"/>
      <c r="D2559" s="107"/>
      <c r="E2559" s="107"/>
      <c r="F2559" s="107"/>
      <c r="G2559" s="108"/>
      <c r="H2559" s="107"/>
      <c r="I2559" s="108"/>
      <c r="J2559" s="108"/>
      <c r="K2559" s="108"/>
      <c r="L2559" s="108"/>
      <c r="M2559" s="108"/>
      <c r="N2559" s="108"/>
      <c r="O2559" s="108"/>
      <c r="P2559" s="108"/>
      <c r="Q2559" s="108"/>
      <c r="R2559" s="108"/>
      <c r="S2559" s="108"/>
      <c r="T2559" s="108"/>
      <c r="U2559" s="108"/>
      <c r="V2559" s="108"/>
      <c r="W2559" s="108"/>
      <c r="X2559" s="108"/>
    </row>
    <row r="2560" spans="1:24">
      <c r="A2560" s="107"/>
      <c r="B2560" s="107"/>
      <c r="C2560" s="107"/>
      <c r="D2560" s="107"/>
      <c r="E2560" s="107"/>
      <c r="F2560" s="107"/>
      <c r="G2560" s="108"/>
      <c r="H2560" s="107"/>
      <c r="I2560" s="108"/>
      <c r="J2560" s="108"/>
      <c r="K2560" s="108"/>
      <c r="L2560" s="108"/>
      <c r="M2560" s="108"/>
      <c r="N2560" s="108"/>
      <c r="O2560" s="108"/>
      <c r="P2560" s="108"/>
      <c r="Q2560" s="108"/>
      <c r="R2560" s="108"/>
      <c r="S2560" s="108"/>
      <c r="T2560" s="108"/>
      <c r="U2560" s="108"/>
      <c r="V2560" s="108"/>
      <c r="W2560" s="108"/>
      <c r="X2560" s="108"/>
    </row>
    <row r="2561" spans="1:24">
      <c r="A2561" s="107"/>
      <c r="B2561" s="107"/>
      <c r="C2561" s="107"/>
      <c r="D2561" s="107"/>
      <c r="E2561" s="107"/>
      <c r="F2561" s="107"/>
      <c r="G2561" s="108"/>
      <c r="H2561" s="107"/>
      <c r="I2561" s="108"/>
      <c r="J2561" s="108"/>
      <c r="K2561" s="108"/>
      <c r="L2561" s="108"/>
      <c r="M2561" s="108"/>
      <c r="N2561" s="108"/>
      <c r="O2561" s="108"/>
      <c r="P2561" s="108"/>
      <c r="Q2561" s="108"/>
      <c r="R2561" s="108"/>
      <c r="S2561" s="108"/>
      <c r="T2561" s="108"/>
      <c r="U2561" s="108"/>
      <c r="V2561" s="108"/>
      <c r="W2561" s="108"/>
      <c r="X2561" s="108"/>
    </row>
    <row r="2562" spans="1:24">
      <c r="A2562" s="107"/>
      <c r="B2562" s="107"/>
      <c r="C2562" s="107"/>
      <c r="D2562" s="107"/>
      <c r="E2562" s="107"/>
      <c r="F2562" s="107"/>
      <c r="G2562" s="108"/>
      <c r="H2562" s="107"/>
      <c r="I2562" s="108"/>
      <c r="J2562" s="108"/>
      <c r="K2562" s="108"/>
      <c r="L2562" s="108"/>
      <c r="M2562" s="108"/>
      <c r="N2562" s="108"/>
      <c r="O2562" s="108"/>
      <c r="P2562" s="108"/>
      <c r="Q2562" s="108"/>
      <c r="R2562" s="108"/>
      <c r="S2562" s="108"/>
      <c r="T2562" s="108"/>
      <c r="U2562" s="108"/>
      <c r="V2562" s="108"/>
      <c r="W2562" s="108"/>
      <c r="X2562" s="108"/>
    </row>
    <row r="2563" spans="1:24">
      <c r="A2563" s="107"/>
      <c r="B2563" s="107"/>
      <c r="C2563" s="107"/>
      <c r="D2563" s="107"/>
      <c r="E2563" s="107"/>
      <c r="F2563" s="107"/>
      <c r="G2563" s="108"/>
      <c r="H2563" s="107"/>
      <c r="I2563" s="108"/>
      <c r="J2563" s="108"/>
      <c r="K2563" s="108"/>
      <c r="L2563" s="108"/>
      <c r="M2563" s="108"/>
      <c r="N2563" s="108"/>
      <c r="O2563" s="108"/>
      <c r="P2563" s="108"/>
      <c r="Q2563" s="108"/>
      <c r="R2563" s="108"/>
      <c r="S2563" s="108"/>
      <c r="T2563" s="108"/>
      <c r="U2563" s="108"/>
      <c r="V2563" s="108"/>
      <c r="W2563" s="108"/>
      <c r="X2563" s="108"/>
    </row>
    <row r="2564" spans="1:24">
      <c r="A2564" s="107"/>
      <c r="B2564" s="107"/>
      <c r="C2564" s="107"/>
      <c r="D2564" s="107"/>
      <c r="E2564" s="107"/>
      <c r="F2564" s="107"/>
      <c r="G2564" s="108"/>
      <c r="H2564" s="107"/>
      <c r="I2564" s="108"/>
      <c r="J2564" s="108"/>
      <c r="K2564" s="108"/>
      <c r="L2564" s="108"/>
      <c r="M2564" s="108"/>
      <c r="N2564" s="108"/>
      <c r="O2564" s="108"/>
      <c r="P2564" s="108"/>
      <c r="Q2564" s="108"/>
      <c r="R2564" s="108"/>
      <c r="S2564" s="108"/>
      <c r="T2564" s="108"/>
      <c r="U2564" s="108"/>
      <c r="V2564" s="108"/>
      <c r="W2564" s="108"/>
      <c r="X2564" s="108"/>
    </row>
    <row r="2565" spans="1:24">
      <c r="A2565" s="107"/>
      <c r="B2565" s="107"/>
      <c r="C2565" s="107"/>
      <c r="D2565" s="107"/>
      <c r="E2565" s="107"/>
      <c r="F2565" s="107"/>
      <c r="G2565" s="108"/>
      <c r="H2565" s="107"/>
      <c r="I2565" s="108"/>
      <c r="J2565" s="108"/>
      <c r="K2565" s="108"/>
      <c r="L2565" s="108"/>
      <c r="M2565" s="108"/>
      <c r="N2565" s="108"/>
      <c r="O2565" s="108"/>
      <c r="P2565" s="108"/>
      <c r="Q2565" s="108"/>
      <c r="R2565" s="108"/>
      <c r="S2565" s="108"/>
      <c r="T2565" s="108"/>
      <c r="U2565" s="108"/>
      <c r="V2565" s="108"/>
      <c r="W2565" s="108"/>
      <c r="X2565" s="108"/>
    </row>
    <row r="2566" spans="1:24">
      <c r="A2566" s="107"/>
      <c r="B2566" s="107"/>
      <c r="C2566" s="107"/>
      <c r="D2566" s="107"/>
      <c r="E2566" s="107"/>
      <c r="F2566" s="107"/>
      <c r="G2566" s="108"/>
      <c r="H2566" s="107"/>
      <c r="I2566" s="108"/>
      <c r="J2566" s="108"/>
      <c r="K2566" s="108"/>
      <c r="L2566" s="108"/>
      <c r="M2566" s="108"/>
      <c r="N2566" s="108"/>
      <c r="O2566" s="108"/>
      <c r="P2566" s="108"/>
      <c r="Q2566" s="108"/>
      <c r="R2566" s="108"/>
      <c r="S2566" s="108"/>
      <c r="T2566" s="108"/>
      <c r="U2566" s="108"/>
      <c r="V2566" s="108"/>
      <c r="W2566" s="108"/>
      <c r="X2566" s="108"/>
    </row>
    <row r="2567" spans="1:24">
      <c r="A2567" s="107"/>
      <c r="B2567" s="107"/>
      <c r="C2567" s="107"/>
      <c r="D2567" s="107"/>
      <c r="E2567" s="107"/>
      <c r="F2567" s="107"/>
      <c r="G2567" s="108"/>
      <c r="H2567" s="107"/>
      <c r="I2567" s="108"/>
      <c r="J2567" s="108"/>
      <c r="K2567" s="108"/>
      <c r="L2567" s="108"/>
      <c r="M2567" s="108"/>
      <c r="N2567" s="108"/>
      <c r="O2567" s="108"/>
      <c r="P2567" s="108"/>
      <c r="Q2567" s="108"/>
      <c r="R2567" s="108"/>
      <c r="S2567" s="108"/>
      <c r="T2567" s="108"/>
      <c r="U2567" s="108"/>
      <c r="V2567" s="108"/>
      <c r="W2567" s="108"/>
      <c r="X2567" s="108"/>
    </row>
    <row r="2568" spans="1:24">
      <c r="A2568" s="107"/>
      <c r="B2568" s="107"/>
      <c r="C2568" s="107"/>
      <c r="D2568" s="107"/>
      <c r="E2568" s="107"/>
      <c r="F2568" s="107"/>
      <c r="G2568" s="108"/>
      <c r="H2568" s="107"/>
      <c r="I2568" s="108"/>
      <c r="J2568" s="108"/>
      <c r="K2568" s="108"/>
      <c r="L2568" s="108"/>
      <c r="M2568" s="108"/>
      <c r="N2568" s="108"/>
      <c r="O2568" s="108"/>
      <c r="P2568" s="108"/>
      <c r="Q2568" s="108"/>
      <c r="R2568" s="108"/>
      <c r="S2568" s="108"/>
      <c r="T2568" s="108"/>
      <c r="U2568" s="108"/>
      <c r="V2568" s="108"/>
      <c r="W2568" s="108"/>
      <c r="X2568" s="108"/>
    </row>
    <row r="2569" spans="1:24">
      <c r="A2569" s="107"/>
      <c r="B2569" s="107"/>
      <c r="C2569" s="107"/>
      <c r="D2569" s="107"/>
      <c r="E2569" s="107"/>
      <c r="F2569" s="107"/>
      <c r="G2569" s="108"/>
      <c r="H2569" s="107"/>
      <c r="I2569" s="108"/>
      <c r="J2569" s="108"/>
      <c r="K2569" s="108"/>
      <c r="L2569" s="108"/>
      <c r="M2569" s="108"/>
      <c r="N2569" s="108"/>
      <c r="O2569" s="108"/>
      <c r="P2569" s="108"/>
      <c r="Q2569" s="108"/>
      <c r="R2569" s="108"/>
      <c r="S2569" s="108"/>
      <c r="T2569" s="108"/>
      <c r="U2569" s="108"/>
      <c r="V2569" s="108"/>
      <c r="W2569" s="108"/>
      <c r="X2569" s="108"/>
    </row>
    <row r="2570" spans="1:24">
      <c r="A2570" s="107"/>
      <c r="B2570" s="107"/>
      <c r="C2570" s="107"/>
      <c r="D2570" s="107"/>
      <c r="E2570" s="107"/>
      <c r="F2570" s="107"/>
      <c r="G2570" s="108"/>
      <c r="H2570" s="107"/>
      <c r="I2570" s="108"/>
      <c r="J2570" s="108"/>
      <c r="K2570" s="108"/>
      <c r="L2570" s="108"/>
      <c r="M2570" s="108"/>
      <c r="N2570" s="108"/>
      <c r="O2570" s="108"/>
      <c r="P2570" s="108"/>
      <c r="Q2570" s="108"/>
      <c r="R2570" s="108"/>
      <c r="S2570" s="108"/>
      <c r="T2570" s="108"/>
      <c r="U2570" s="108"/>
      <c r="V2570" s="108"/>
      <c r="W2570" s="108"/>
      <c r="X2570" s="108"/>
    </row>
    <row r="2571" spans="1:24">
      <c r="A2571" s="107"/>
      <c r="B2571" s="107"/>
      <c r="C2571" s="107"/>
      <c r="D2571" s="107"/>
      <c r="E2571" s="107"/>
      <c r="F2571" s="107"/>
      <c r="G2571" s="108"/>
      <c r="H2571" s="107"/>
      <c r="I2571" s="108"/>
      <c r="J2571" s="108"/>
      <c r="K2571" s="108"/>
      <c r="L2571" s="108"/>
      <c r="M2571" s="108"/>
      <c r="N2571" s="108"/>
      <c r="O2571" s="108"/>
      <c r="P2571" s="108"/>
      <c r="Q2571" s="108"/>
      <c r="R2571" s="108"/>
      <c r="S2571" s="108"/>
      <c r="T2571" s="108"/>
      <c r="U2571" s="108"/>
      <c r="V2571" s="108"/>
      <c r="W2571" s="108"/>
      <c r="X2571" s="108"/>
    </row>
    <row r="2572" spans="1:24">
      <c r="A2572" s="107"/>
      <c r="B2572" s="107"/>
      <c r="C2572" s="107"/>
      <c r="D2572" s="107"/>
      <c r="E2572" s="107"/>
      <c r="F2572" s="107"/>
      <c r="G2572" s="108"/>
      <c r="H2572" s="107"/>
      <c r="I2572" s="108"/>
      <c r="J2572" s="108"/>
      <c r="K2572" s="108"/>
      <c r="L2572" s="108"/>
      <c r="M2572" s="108"/>
      <c r="N2572" s="108"/>
      <c r="O2572" s="108"/>
      <c r="P2572" s="108"/>
      <c r="Q2572" s="108"/>
      <c r="R2572" s="108"/>
      <c r="S2572" s="108"/>
      <c r="T2572" s="108"/>
      <c r="U2572" s="108"/>
      <c r="V2572" s="108"/>
      <c r="W2572" s="108"/>
      <c r="X2572" s="108"/>
    </row>
    <row r="2573" spans="1:24">
      <c r="A2573" s="107"/>
      <c r="B2573" s="107"/>
      <c r="C2573" s="107"/>
      <c r="D2573" s="107"/>
      <c r="E2573" s="107"/>
      <c r="F2573" s="107"/>
      <c r="G2573" s="108"/>
      <c r="H2573" s="107"/>
      <c r="I2573" s="108"/>
      <c r="J2573" s="108"/>
      <c r="K2573" s="108"/>
      <c r="L2573" s="108"/>
      <c r="M2573" s="108"/>
      <c r="N2573" s="108"/>
      <c r="O2573" s="108"/>
      <c r="P2573" s="108"/>
      <c r="Q2573" s="108"/>
      <c r="R2573" s="108"/>
      <c r="S2573" s="108"/>
      <c r="T2573" s="108"/>
      <c r="U2573" s="108"/>
      <c r="V2573" s="108"/>
      <c r="W2573" s="108"/>
      <c r="X2573" s="108"/>
    </row>
    <row r="2574" spans="1:24">
      <c r="A2574" s="107"/>
      <c r="B2574" s="107"/>
      <c r="C2574" s="107"/>
      <c r="D2574" s="107"/>
      <c r="E2574" s="107"/>
      <c r="F2574" s="107"/>
      <c r="G2574" s="108"/>
      <c r="H2574" s="107"/>
      <c r="I2574" s="108"/>
      <c r="J2574" s="108"/>
      <c r="K2574" s="108"/>
      <c r="L2574" s="108"/>
      <c r="M2574" s="108"/>
      <c r="N2574" s="108"/>
      <c r="O2574" s="108"/>
      <c r="P2574" s="108"/>
      <c r="Q2574" s="108"/>
      <c r="R2574" s="108"/>
      <c r="S2574" s="108"/>
      <c r="T2574" s="108"/>
      <c r="U2574" s="108"/>
      <c r="V2574" s="108"/>
      <c r="W2574" s="108"/>
      <c r="X2574" s="108"/>
    </row>
    <row r="2575" spans="1:24">
      <c r="A2575" s="107"/>
      <c r="B2575" s="107"/>
      <c r="C2575" s="107"/>
      <c r="D2575" s="107"/>
      <c r="E2575" s="107"/>
      <c r="F2575" s="107"/>
      <c r="G2575" s="108"/>
      <c r="H2575" s="107"/>
      <c r="I2575" s="108"/>
      <c r="J2575" s="108"/>
      <c r="K2575" s="108"/>
      <c r="L2575" s="108"/>
      <c r="M2575" s="108"/>
      <c r="N2575" s="108"/>
      <c r="O2575" s="108"/>
      <c r="P2575" s="108"/>
      <c r="Q2575" s="108"/>
      <c r="R2575" s="108"/>
      <c r="S2575" s="108"/>
      <c r="T2575" s="108"/>
      <c r="U2575" s="108"/>
      <c r="V2575" s="108"/>
      <c r="W2575" s="108"/>
      <c r="X2575" s="108"/>
    </row>
    <row r="2576" spans="1:24">
      <c r="A2576" s="107"/>
      <c r="B2576" s="107"/>
      <c r="C2576" s="107"/>
      <c r="D2576" s="107"/>
      <c r="E2576" s="107"/>
      <c r="F2576" s="107"/>
      <c r="G2576" s="108"/>
      <c r="H2576" s="107"/>
      <c r="I2576" s="108"/>
      <c r="J2576" s="108"/>
      <c r="K2576" s="108"/>
      <c r="L2576" s="108"/>
      <c r="M2576" s="108"/>
      <c r="N2576" s="108"/>
      <c r="O2576" s="108"/>
      <c r="P2576" s="108"/>
      <c r="Q2576" s="108"/>
      <c r="R2576" s="108"/>
      <c r="S2576" s="108"/>
      <c r="T2576" s="108"/>
      <c r="U2576" s="108"/>
      <c r="V2576" s="108"/>
      <c r="W2576" s="108"/>
      <c r="X2576" s="108"/>
    </row>
    <row r="2577" spans="1:24">
      <c r="A2577" s="107"/>
      <c r="B2577" s="107"/>
      <c r="C2577" s="107"/>
      <c r="D2577" s="107"/>
      <c r="E2577" s="107"/>
      <c r="F2577" s="107"/>
      <c r="G2577" s="108"/>
      <c r="H2577" s="107"/>
      <c r="I2577" s="108"/>
      <c r="J2577" s="108"/>
      <c r="K2577" s="108"/>
      <c r="L2577" s="108"/>
      <c r="M2577" s="108"/>
      <c r="N2577" s="108"/>
      <c r="O2577" s="108"/>
      <c r="P2577" s="108"/>
      <c r="Q2577" s="108"/>
      <c r="R2577" s="108"/>
      <c r="S2577" s="108"/>
      <c r="T2577" s="108"/>
      <c r="U2577" s="108"/>
      <c r="V2577" s="108"/>
      <c r="W2577" s="108"/>
      <c r="X2577" s="108"/>
    </row>
    <row r="2578" spans="1:24">
      <c r="A2578" s="107"/>
      <c r="B2578" s="107"/>
      <c r="C2578" s="107"/>
      <c r="D2578" s="107"/>
      <c r="E2578" s="107"/>
      <c r="F2578" s="107"/>
      <c r="G2578" s="108"/>
      <c r="H2578" s="107"/>
      <c r="I2578" s="108"/>
      <c r="J2578" s="108"/>
      <c r="K2578" s="108"/>
      <c r="L2578" s="108"/>
      <c r="M2578" s="108"/>
      <c r="N2578" s="108"/>
      <c r="O2578" s="108"/>
      <c r="P2578" s="108"/>
      <c r="Q2578" s="108"/>
      <c r="R2578" s="108"/>
      <c r="S2578" s="108"/>
      <c r="T2578" s="108"/>
      <c r="U2578" s="108"/>
      <c r="V2578" s="108"/>
      <c r="W2578" s="108"/>
      <c r="X2578" s="108"/>
    </row>
    <row r="2579" spans="1:24">
      <c r="A2579" s="107"/>
      <c r="B2579" s="107"/>
      <c r="C2579" s="107"/>
      <c r="D2579" s="107"/>
      <c r="E2579" s="107"/>
      <c r="F2579" s="107"/>
      <c r="G2579" s="108"/>
      <c r="H2579" s="107"/>
      <c r="I2579" s="108"/>
      <c r="J2579" s="108"/>
      <c r="K2579" s="108"/>
      <c r="L2579" s="108"/>
      <c r="M2579" s="108"/>
      <c r="N2579" s="108"/>
      <c r="O2579" s="108"/>
      <c r="P2579" s="108"/>
      <c r="Q2579" s="108"/>
      <c r="R2579" s="108"/>
      <c r="S2579" s="108"/>
      <c r="T2579" s="108"/>
      <c r="U2579" s="108"/>
      <c r="V2579" s="108"/>
      <c r="W2579" s="108"/>
      <c r="X2579" s="108"/>
    </row>
    <row r="2580" spans="1:24">
      <c r="A2580" s="107"/>
      <c r="B2580" s="107"/>
      <c r="C2580" s="107"/>
      <c r="D2580" s="107"/>
      <c r="E2580" s="107"/>
      <c r="F2580" s="107"/>
      <c r="G2580" s="108"/>
      <c r="H2580" s="107"/>
      <c r="I2580" s="108"/>
      <c r="J2580" s="108"/>
      <c r="K2580" s="108"/>
      <c r="L2580" s="108"/>
      <c r="M2580" s="108"/>
      <c r="N2580" s="108"/>
      <c r="O2580" s="108"/>
      <c r="P2580" s="108"/>
      <c r="Q2580" s="108"/>
      <c r="R2580" s="108"/>
      <c r="S2580" s="108"/>
      <c r="T2580" s="108"/>
      <c r="U2580" s="108"/>
      <c r="V2580" s="108"/>
      <c r="W2580" s="108"/>
      <c r="X2580" s="108"/>
    </row>
    <row r="2581" spans="1:24">
      <c r="A2581" s="107"/>
      <c r="B2581" s="107"/>
      <c r="C2581" s="107"/>
      <c r="D2581" s="107"/>
      <c r="E2581" s="107"/>
      <c r="F2581" s="107"/>
      <c r="G2581" s="108"/>
      <c r="H2581" s="107"/>
      <c r="I2581" s="108"/>
      <c r="J2581" s="108"/>
      <c r="K2581" s="108"/>
      <c r="L2581" s="108"/>
      <c r="M2581" s="108"/>
      <c r="N2581" s="108"/>
      <c r="O2581" s="108"/>
      <c r="P2581" s="108"/>
      <c r="Q2581" s="108"/>
      <c r="R2581" s="108"/>
      <c r="S2581" s="108"/>
      <c r="T2581" s="108"/>
      <c r="U2581" s="108"/>
      <c r="V2581" s="108"/>
      <c r="W2581" s="108"/>
      <c r="X2581" s="108"/>
    </row>
    <row r="2582" spans="1:24">
      <c r="A2582" s="107"/>
      <c r="B2582" s="107"/>
      <c r="C2582" s="107"/>
      <c r="D2582" s="107"/>
      <c r="E2582" s="107"/>
      <c r="F2582" s="107"/>
      <c r="G2582" s="108"/>
      <c r="H2582" s="107"/>
      <c r="I2582" s="108"/>
      <c r="J2582" s="108"/>
      <c r="K2582" s="108"/>
      <c r="L2582" s="108"/>
      <c r="M2582" s="108"/>
      <c r="N2582" s="108"/>
      <c r="O2582" s="108"/>
      <c r="P2582" s="108"/>
      <c r="Q2582" s="108"/>
      <c r="R2582" s="108"/>
      <c r="S2582" s="108"/>
      <c r="T2582" s="108"/>
      <c r="U2582" s="108"/>
      <c r="V2582" s="108"/>
      <c r="W2582" s="108"/>
      <c r="X2582" s="108"/>
    </row>
    <row r="2583" spans="1:24">
      <c r="A2583" s="107"/>
      <c r="B2583" s="107"/>
      <c r="C2583" s="107"/>
      <c r="D2583" s="107"/>
      <c r="E2583" s="107"/>
      <c r="F2583" s="107"/>
      <c r="G2583" s="108"/>
      <c r="H2583" s="107"/>
      <c r="I2583" s="108"/>
      <c r="J2583" s="108"/>
      <c r="K2583" s="108"/>
      <c r="L2583" s="108"/>
      <c r="M2583" s="108"/>
      <c r="N2583" s="108"/>
      <c r="O2583" s="108"/>
      <c r="P2583" s="108"/>
      <c r="Q2583" s="108"/>
      <c r="R2583" s="108"/>
      <c r="S2583" s="108"/>
      <c r="T2583" s="108"/>
      <c r="U2583" s="108"/>
      <c r="V2583" s="108"/>
      <c r="W2583" s="108"/>
      <c r="X2583" s="108"/>
    </row>
    <row r="2584" spans="1:24">
      <c r="A2584" s="107"/>
      <c r="B2584" s="107"/>
      <c r="C2584" s="107"/>
      <c r="D2584" s="107"/>
      <c r="E2584" s="107"/>
      <c r="F2584" s="107"/>
      <c r="G2584" s="108"/>
      <c r="H2584" s="107"/>
      <c r="I2584" s="108"/>
      <c r="J2584" s="108"/>
      <c r="K2584" s="108"/>
      <c r="L2584" s="108"/>
      <c r="M2584" s="108"/>
      <c r="N2584" s="108"/>
      <c r="O2584" s="108"/>
      <c r="P2584" s="108"/>
      <c r="Q2584" s="108"/>
      <c r="R2584" s="108"/>
      <c r="S2584" s="108"/>
      <c r="T2584" s="108"/>
      <c r="U2584" s="108"/>
      <c r="V2584" s="108"/>
      <c r="W2584" s="108"/>
      <c r="X2584" s="108"/>
    </row>
    <row r="2585" spans="1:24">
      <c r="A2585" s="107"/>
      <c r="B2585" s="107"/>
      <c r="C2585" s="107"/>
      <c r="D2585" s="107"/>
      <c r="E2585" s="107"/>
      <c r="F2585" s="107"/>
      <c r="G2585" s="108"/>
      <c r="H2585" s="107"/>
      <c r="I2585" s="108"/>
      <c r="J2585" s="108"/>
      <c r="K2585" s="108"/>
      <c r="L2585" s="108"/>
      <c r="M2585" s="108"/>
      <c r="N2585" s="108"/>
      <c r="O2585" s="108"/>
      <c r="P2585" s="108"/>
      <c r="Q2585" s="108"/>
      <c r="R2585" s="108"/>
      <c r="S2585" s="108"/>
      <c r="T2585" s="108"/>
      <c r="U2585" s="108"/>
      <c r="V2585" s="108"/>
      <c r="W2585" s="108"/>
      <c r="X2585" s="108"/>
    </row>
    <row r="2586" spans="1:24">
      <c r="A2586" s="107"/>
      <c r="B2586" s="107"/>
      <c r="C2586" s="107"/>
      <c r="D2586" s="107"/>
      <c r="E2586" s="107"/>
      <c r="F2586" s="107"/>
      <c r="G2586" s="108"/>
      <c r="H2586" s="107"/>
      <c r="I2586" s="108"/>
      <c r="J2586" s="108"/>
      <c r="K2586" s="108"/>
      <c r="L2586" s="108"/>
      <c r="M2586" s="108"/>
      <c r="N2586" s="108"/>
      <c r="O2586" s="108"/>
      <c r="P2586" s="108"/>
      <c r="Q2586" s="108"/>
      <c r="R2586" s="108"/>
      <c r="S2586" s="108"/>
      <c r="T2586" s="108"/>
      <c r="U2586" s="108"/>
      <c r="V2586" s="108"/>
      <c r="W2586" s="108"/>
      <c r="X2586" s="108"/>
    </row>
    <row r="2587" spans="1:24">
      <c r="A2587" s="107"/>
      <c r="B2587" s="107"/>
      <c r="C2587" s="107"/>
      <c r="D2587" s="107"/>
      <c r="E2587" s="107"/>
      <c r="F2587" s="107"/>
      <c r="G2587" s="108"/>
      <c r="H2587" s="107"/>
      <c r="I2587" s="108"/>
      <c r="J2587" s="108"/>
      <c r="K2587" s="108"/>
      <c r="L2587" s="108"/>
      <c r="M2587" s="108"/>
      <c r="N2587" s="108"/>
      <c r="O2587" s="108"/>
      <c r="P2587" s="108"/>
      <c r="Q2587" s="108"/>
      <c r="R2587" s="108"/>
      <c r="S2587" s="108"/>
      <c r="T2587" s="108"/>
      <c r="U2587" s="108"/>
      <c r="V2587" s="108"/>
      <c r="W2587" s="108"/>
      <c r="X2587" s="108"/>
    </row>
    <row r="2588" spans="1:24">
      <c r="A2588" s="107"/>
      <c r="B2588" s="107"/>
      <c r="C2588" s="107"/>
      <c r="D2588" s="107"/>
      <c r="E2588" s="107"/>
      <c r="F2588" s="107"/>
      <c r="G2588" s="108"/>
      <c r="H2588" s="107"/>
      <c r="I2588" s="108"/>
      <c r="J2588" s="108"/>
      <c r="K2588" s="108"/>
      <c r="L2588" s="108"/>
      <c r="M2588" s="108"/>
      <c r="N2588" s="108"/>
      <c r="O2588" s="108"/>
      <c r="P2588" s="108"/>
      <c r="Q2588" s="108"/>
      <c r="R2588" s="108"/>
      <c r="S2588" s="108"/>
      <c r="T2588" s="108"/>
      <c r="U2588" s="108"/>
      <c r="V2588" s="108"/>
      <c r="W2588" s="108"/>
      <c r="X2588" s="108"/>
    </row>
    <row r="2589" spans="1:24">
      <c r="A2589" s="107"/>
      <c r="B2589" s="107"/>
      <c r="C2589" s="107"/>
      <c r="D2589" s="107"/>
      <c r="E2589" s="107"/>
      <c r="F2589" s="107"/>
      <c r="G2589" s="108"/>
      <c r="H2589" s="107"/>
      <c r="I2589" s="108"/>
      <c r="J2589" s="108"/>
      <c r="K2589" s="108"/>
      <c r="L2589" s="108"/>
      <c r="M2589" s="108"/>
      <c r="N2589" s="108"/>
      <c r="O2589" s="108"/>
      <c r="P2589" s="108"/>
      <c r="Q2589" s="108"/>
      <c r="R2589" s="108"/>
      <c r="S2589" s="108"/>
      <c r="T2589" s="108"/>
      <c r="U2589" s="108"/>
      <c r="V2589" s="108"/>
      <c r="W2589" s="108"/>
      <c r="X2589" s="108"/>
    </row>
    <row r="2590" spans="1:24">
      <c r="A2590" s="107"/>
      <c r="B2590" s="107"/>
      <c r="C2590" s="107"/>
      <c r="D2590" s="107"/>
      <c r="E2590" s="107"/>
      <c r="F2590" s="107"/>
      <c r="G2590" s="108"/>
      <c r="H2590" s="107"/>
      <c r="I2590" s="108"/>
      <c r="J2590" s="108"/>
      <c r="K2590" s="108"/>
      <c r="L2590" s="108"/>
      <c r="M2590" s="108"/>
      <c r="N2590" s="108"/>
      <c r="O2590" s="108"/>
      <c r="P2590" s="108"/>
      <c r="Q2590" s="108"/>
      <c r="R2590" s="108"/>
      <c r="S2590" s="108"/>
      <c r="T2590" s="108"/>
      <c r="U2590" s="108"/>
      <c r="V2590" s="108"/>
      <c r="W2590" s="108"/>
      <c r="X2590" s="108"/>
    </row>
    <row r="2591" spans="1:24">
      <c r="A2591" s="107"/>
      <c r="B2591" s="107"/>
      <c r="C2591" s="107"/>
      <c r="D2591" s="107"/>
      <c r="E2591" s="107"/>
      <c r="F2591" s="107"/>
      <c r="G2591" s="108"/>
      <c r="H2591" s="107"/>
      <c r="I2591" s="108"/>
      <c r="J2591" s="108"/>
      <c r="K2591" s="108"/>
      <c r="L2591" s="108"/>
      <c r="M2591" s="108"/>
      <c r="N2591" s="108"/>
      <c r="O2591" s="108"/>
      <c r="P2591" s="108"/>
      <c r="Q2591" s="108"/>
      <c r="R2591" s="108"/>
      <c r="S2591" s="108"/>
      <c r="T2591" s="108"/>
      <c r="U2591" s="108"/>
      <c r="V2591" s="108"/>
      <c r="W2591" s="108"/>
      <c r="X2591" s="108"/>
    </row>
    <row r="2592" spans="1:24">
      <c r="A2592" s="107"/>
      <c r="B2592" s="107"/>
      <c r="C2592" s="107"/>
      <c r="D2592" s="107"/>
      <c r="E2592" s="107"/>
      <c r="F2592" s="107"/>
      <c r="G2592" s="108"/>
      <c r="H2592" s="107"/>
      <c r="I2592" s="108"/>
      <c r="J2592" s="108"/>
      <c r="K2592" s="108"/>
      <c r="L2592" s="108"/>
      <c r="M2592" s="108"/>
      <c r="N2592" s="108"/>
      <c r="O2592" s="108"/>
      <c r="P2592" s="108"/>
      <c r="Q2592" s="108"/>
      <c r="R2592" s="108"/>
      <c r="S2592" s="108"/>
      <c r="T2592" s="108"/>
      <c r="U2592" s="108"/>
      <c r="V2592" s="108"/>
      <c r="W2592" s="108"/>
      <c r="X2592" s="108"/>
    </row>
    <row r="2593" spans="1:24">
      <c r="A2593" s="107"/>
      <c r="B2593" s="107"/>
      <c r="C2593" s="107"/>
      <c r="D2593" s="107"/>
      <c r="E2593" s="107"/>
      <c r="F2593" s="107"/>
      <c r="G2593" s="108"/>
      <c r="H2593" s="107"/>
      <c r="I2593" s="108"/>
      <c r="J2593" s="108"/>
      <c r="K2593" s="108"/>
      <c r="L2593" s="108"/>
      <c r="M2593" s="108"/>
      <c r="N2593" s="108"/>
      <c r="O2593" s="108"/>
      <c r="P2593" s="108"/>
      <c r="Q2593" s="108"/>
      <c r="R2593" s="108"/>
      <c r="S2593" s="108"/>
      <c r="T2593" s="108"/>
      <c r="U2593" s="108"/>
      <c r="V2593" s="108"/>
      <c r="W2593" s="108"/>
      <c r="X2593" s="108"/>
    </row>
    <row r="2594" spans="1:24">
      <c r="A2594" s="107"/>
      <c r="B2594" s="107"/>
      <c r="C2594" s="107"/>
      <c r="D2594" s="107"/>
      <c r="E2594" s="107"/>
      <c r="F2594" s="107"/>
      <c r="G2594" s="108"/>
      <c r="H2594" s="107"/>
      <c r="I2594" s="108"/>
      <c r="J2594" s="108"/>
      <c r="K2594" s="108"/>
      <c r="L2594" s="108"/>
      <c r="M2594" s="108"/>
      <c r="N2594" s="108"/>
      <c r="O2594" s="108"/>
      <c r="P2594" s="108"/>
      <c r="Q2594" s="108"/>
      <c r="R2594" s="108"/>
      <c r="S2594" s="108"/>
      <c r="T2594" s="108"/>
      <c r="U2594" s="108"/>
      <c r="V2594" s="108"/>
      <c r="W2594" s="108"/>
      <c r="X2594" s="108"/>
    </row>
    <row r="2595" spans="1:24">
      <c r="A2595" s="107"/>
      <c r="B2595" s="107"/>
      <c r="C2595" s="107"/>
      <c r="D2595" s="107"/>
      <c r="E2595" s="107"/>
      <c r="F2595" s="107"/>
      <c r="G2595" s="108"/>
      <c r="H2595" s="107"/>
      <c r="I2595" s="108"/>
      <c r="J2595" s="108"/>
      <c r="K2595" s="108"/>
      <c r="L2595" s="108"/>
      <c r="M2595" s="108"/>
      <c r="N2595" s="108"/>
      <c r="O2595" s="108"/>
      <c r="P2595" s="108"/>
      <c r="Q2595" s="108"/>
      <c r="R2595" s="108"/>
      <c r="S2595" s="108"/>
      <c r="T2595" s="108"/>
      <c r="U2595" s="108"/>
      <c r="V2595" s="108"/>
      <c r="W2595" s="108"/>
      <c r="X2595" s="108"/>
    </row>
    <row r="2596" spans="1:24">
      <c r="A2596" s="107"/>
      <c r="B2596" s="107"/>
      <c r="C2596" s="107"/>
      <c r="D2596" s="107"/>
      <c r="E2596" s="107"/>
      <c r="F2596" s="107"/>
      <c r="G2596" s="108"/>
      <c r="H2596" s="107"/>
      <c r="I2596" s="108"/>
      <c r="J2596" s="108"/>
      <c r="K2596" s="108"/>
      <c r="L2596" s="108"/>
      <c r="M2596" s="108"/>
      <c r="N2596" s="108"/>
      <c r="O2596" s="108"/>
      <c r="P2596" s="108"/>
      <c r="Q2596" s="108"/>
      <c r="R2596" s="108"/>
      <c r="S2596" s="108"/>
      <c r="T2596" s="108"/>
      <c r="U2596" s="108"/>
      <c r="V2596" s="108"/>
      <c r="W2596" s="108"/>
      <c r="X2596" s="108"/>
    </row>
    <row r="2597" spans="1:24">
      <c r="A2597" s="107"/>
      <c r="B2597" s="107"/>
      <c r="C2597" s="107"/>
      <c r="D2597" s="107"/>
      <c r="E2597" s="107"/>
      <c r="F2597" s="107"/>
      <c r="G2597" s="108"/>
      <c r="H2597" s="107"/>
      <c r="I2597" s="108"/>
      <c r="J2597" s="108"/>
      <c r="K2597" s="108"/>
      <c r="L2597" s="108"/>
      <c r="M2597" s="108"/>
      <c r="N2597" s="108"/>
      <c r="O2597" s="108"/>
      <c r="P2597" s="108"/>
      <c r="Q2597" s="108"/>
      <c r="R2597" s="108"/>
      <c r="S2597" s="108"/>
      <c r="T2597" s="108"/>
      <c r="U2597" s="108"/>
      <c r="V2597" s="108"/>
      <c r="W2597" s="108"/>
      <c r="X2597" s="108"/>
    </row>
    <row r="2598" spans="1:24">
      <c r="A2598" s="107"/>
      <c r="B2598" s="107"/>
      <c r="C2598" s="107"/>
      <c r="D2598" s="107"/>
      <c r="E2598" s="107"/>
      <c r="F2598" s="107"/>
      <c r="G2598" s="108"/>
      <c r="H2598" s="107"/>
      <c r="I2598" s="108"/>
      <c r="J2598" s="108"/>
      <c r="K2598" s="108"/>
      <c r="L2598" s="108"/>
      <c r="M2598" s="108"/>
      <c r="N2598" s="108"/>
      <c r="O2598" s="108"/>
      <c r="P2598" s="108"/>
      <c r="Q2598" s="108"/>
      <c r="R2598" s="108"/>
      <c r="S2598" s="108"/>
      <c r="T2598" s="108"/>
      <c r="U2598" s="108"/>
      <c r="V2598" s="108"/>
      <c r="W2598" s="108"/>
      <c r="X2598" s="108"/>
    </row>
    <row r="2599" spans="1:24">
      <c r="A2599" s="107"/>
      <c r="B2599" s="107"/>
      <c r="C2599" s="107"/>
      <c r="D2599" s="107"/>
      <c r="E2599" s="107"/>
      <c r="F2599" s="107"/>
      <c r="G2599" s="108"/>
      <c r="H2599" s="107"/>
      <c r="I2599" s="108"/>
      <c r="J2599" s="108"/>
      <c r="K2599" s="108"/>
      <c r="L2599" s="108"/>
      <c r="M2599" s="108"/>
      <c r="N2599" s="108"/>
      <c r="O2599" s="108"/>
      <c r="P2599" s="108"/>
      <c r="Q2599" s="108"/>
      <c r="R2599" s="108"/>
      <c r="S2599" s="108"/>
      <c r="T2599" s="108"/>
      <c r="U2599" s="108"/>
      <c r="V2599" s="108"/>
      <c r="W2599" s="108"/>
      <c r="X2599" s="108"/>
    </row>
    <row r="2600" spans="1:24">
      <c r="A2600" s="107"/>
      <c r="B2600" s="107"/>
      <c r="C2600" s="107"/>
      <c r="D2600" s="107"/>
      <c r="E2600" s="107"/>
      <c r="F2600" s="107"/>
      <c r="G2600" s="108"/>
      <c r="H2600" s="107"/>
      <c r="I2600" s="108"/>
      <c r="J2600" s="108"/>
      <c r="K2600" s="108"/>
      <c r="L2600" s="108"/>
      <c r="M2600" s="108"/>
      <c r="N2600" s="108"/>
      <c r="O2600" s="108"/>
      <c r="P2600" s="108"/>
      <c r="Q2600" s="108"/>
      <c r="R2600" s="108"/>
      <c r="S2600" s="108"/>
      <c r="T2600" s="108"/>
      <c r="U2600" s="108"/>
      <c r="V2600" s="108"/>
      <c r="W2600" s="108"/>
      <c r="X2600" s="108"/>
    </row>
    <row r="2601" spans="1:24">
      <c r="A2601" s="107"/>
      <c r="B2601" s="107"/>
      <c r="C2601" s="107"/>
      <c r="D2601" s="107"/>
      <c r="E2601" s="107"/>
      <c r="F2601" s="107"/>
      <c r="G2601" s="108"/>
      <c r="H2601" s="107"/>
      <c r="I2601" s="108"/>
      <c r="J2601" s="108"/>
      <c r="K2601" s="108"/>
      <c r="L2601" s="108"/>
      <c r="M2601" s="108"/>
      <c r="N2601" s="108"/>
      <c r="O2601" s="108"/>
      <c r="P2601" s="108"/>
      <c r="Q2601" s="108"/>
      <c r="R2601" s="108"/>
      <c r="S2601" s="108"/>
      <c r="T2601" s="108"/>
      <c r="U2601" s="108"/>
      <c r="V2601" s="108"/>
      <c r="W2601" s="108"/>
      <c r="X2601" s="108"/>
    </row>
    <row r="2602" spans="1:24">
      <c r="A2602" s="107"/>
      <c r="B2602" s="107"/>
      <c r="C2602" s="107"/>
      <c r="D2602" s="107"/>
      <c r="E2602" s="107"/>
      <c r="F2602" s="107"/>
      <c r="G2602" s="108"/>
      <c r="H2602" s="107"/>
      <c r="I2602" s="108"/>
      <c r="J2602" s="108"/>
      <c r="K2602" s="108"/>
      <c r="L2602" s="108"/>
      <c r="M2602" s="108"/>
      <c r="N2602" s="108"/>
      <c r="O2602" s="108"/>
      <c r="P2602" s="108"/>
      <c r="Q2602" s="108"/>
      <c r="R2602" s="108"/>
      <c r="S2602" s="108"/>
      <c r="T2602" s="108"/>
      <c r="U2602" s="108"/>
      <c r="V2602" s="108"/>
      <c r="W2602" s="108"/>
      <c r="X2602" s="108"/>
    </row>
    <row r="2603" spans="1:24">
      <c r="A2603" s="107"/>
      <c r="B2603" s="107"/>
      <c r="C2603" s="107"/>
      <c r="D2603" s="107"/>
      <c r="E2603" s="107"/>
      <c r="F2603" s="107"/>
      <c r="G2603" s="108"/>
      <c r="H2603" s="107"/>
      <c r="I2603" s="108"/>
      <c r="J2603" s="108"/>
      <c r="K2603" s="108"/>
      <c r="L2603" s="108"/>
      <c r="M2603" s="108"/>
      <c r="N2603" s="108"/>
      <c r="O2603" s="108"/>
      <c r="P2603" s="108"/>
      <c r="Q2603" s="108"/>
      <c r="R2603" s="108"/>
      <c r="S2603" s="108"/>
      <c r="T2603" s="108"/>
      <c r="U2603" s="108"/>
      <c r="V2603" s="108"/>
      <c r="W2603" s="108"/>
      <c r="X2603" s="108"/>
    </row>
    <row r="2604" spans="1:24">
      <c r="A2604" s="107"/>
      <c r="B2604" s="107"/>
      <c r="C2604" s="107"/>
      <c r="D2604" s="107"/>
      <c r="E2604" s="107"/>
      <c r="F2604" s="107"/>
      <c r="G2604" s="108"/>
      <c r="H2604" s="107"/>
      <c r="I2604" s="108"/>
      <c r="J2604" s="108"/>
      <c r="K2604" s="108"/>
      <c r="L2604" s="108"/>
      <c r="M2604" s="108"/>
      <c r="N2604" s="108"/>
      <c r="O2604" s="108"/>
      <c r="P2604" s="108"/>
      <c r="Q2604" s="108"/>
      <c r="R2604" s="108"/>
      <c r="S2604" s="108"/>
      <c r="T2604" s="108"/>
      <c r="U2604" s="108"/>
      <c r="V2604" s="108"/>
      <c r="W2604" s="108"/>
      <c r="X2604" s="108"/>
    </row>
    <row r="2605" spans="1:24">
      <c r="A2605" s="107"/>
      <c r="B2605" s="107"/>
      <c r="C2605" s="107"/>
      <c r="D2605" s="107"/>
      <c r="E2605" s="107"/>
      <c r="F2605" s="107"/>
      <c r="G2605" s="108"/>
      <c r="H2605" s="107"/>
      <c r="I2605" s="108"/>
      <c r="J2605" s="108"/>
      <c r="K2605" s="108"/>
      <c r="L2605" s="108"/>
      <c r="M2605" s="108"/>
      <c r="N2605" s="108"/>
      <c r="O2605" s="108"/>
      <c r="P2605" s="108"/>
      <c r="Q2605" s="108"/>
      <c r="R2605" s="108"/>
      <c r="S2605" s="108"/>
      <c r="T2605" s="108"/>
      <c r="U2605" s="108"/>
      <c r="V2605" s="108"/>
      <c r="W2605" s="108"/>
      <c r="X2605" s="108"/>
    </row>
    <row r="2606" spans="1:24">
      <c r="A2606" s="107"/>
      <c r="B2606" s="107"/>
      <c r="C2606" s="107"/>
      <c r="D2606" s="107"/>
      <c r="E2606" s="107"/>
      <c r="F2606" s="107"/>
      <c r="G2606" s="108"/>
      <c r="H2606" s="107"/>
      <c r="I2606" s="108"/>
      <c r="J2606" s="108"/>
      <c r="K2606" s="108"/>
      <c r="L2606" s="108"/>
      <c r="M2606" s="108"/>
      <c r="N2606" s="108"/>
      <c r="O2606" s="108"/>
      <c r="P2606" s="108"/>
      <c r="Q2606" s="108"/>
      <c r="R2606" s="108"/>
      <c r="S2606" s="108"/>
      <c r="T2606" s="108"/>
      <c r="U2606" s="108"/>
      <c r="V2606" s="108"/>
      <c r="W2606" s="108"/>
      <c r="X2606" s="108"/>
    </row>
    <row r="2607" spans="1:24">
      <c r="A2607" s="107"/>
      <c r="B2607" s="107"/>
      <c r="C2607" s="107"/>
      <c r="D2607" s="107"/>
      <c r="E2607" s="107"/>
      <c r="F2607" s="107"/>
      <c r="G2607" s="108"/>
      <c r="H2607" s="107"/>
      <c r="I2607" s="108"/>
      <c r="J2607" s="108"/>
      <c r="K2607" s="108"/>
      <c r="L2607" s="108"/>
      <c r="M2607" s="108"/>
      <c r="N2607" s="108"/>
      <c r="O2607" s="108"/>
      <c r="P2607" s="108"/>
      <c r="Q2607" s="108"/>
      <c r="R2607" s="108"/>
      <c r="S2607" s="108"/>
      <c r="T2607" s="108"/>
      <c r="U2607" s="108"/>
      <c r="V2607" s="108"/>
      <c r="W2607" s="108"/>
      <c r="X2607" s="108"/>
    </row>
    <row r="2608" spans="1:24">
      <c r="A2608" s="107"/>
      <c r="B2608" s="107"/>
      <c r="C2608" s="107"/>
      <c r="D2608" s="107"/>
      <c r="E2608" s="107"/>
      <c r="F2608" s="107"/>
      <c r="G2608" s="108"/>
      <c r="H2608" s="107"/>
      <c r="I2608" s="108"/>
      <c r="J2608" s="108"/>
      <c r="K2608" s="108"/>
      <c r="L2608" s="108"/>
      <c r="M2608" s="108"/>
      <c r="N2608" s="108"/>
      <c r="O2608" s="108"/>
      <c r="P2608" s="108"/>
      <c r="Q2608" s="108"/>
      <c r="R2608" s="108"/>
      <c r="S2608" s="108"/>
      <c r="T2608" s="108"/>
      <c r="U2608" s="108"/>
      <c r="V2608" s="108"/>
      <c r="W2608" s="108"/>
      <c r="X2608" s="108"/>
    </row>
    <row r="2609" spans="1:24">
      <c r="A2609" s="107"/>
      <c r="B2609" s="107"/>
      <c r="C2609" s="107"/>
      <c r="D2609" s="107"/>
      <c r="E2609" s="107"/>
      <c r="F2609" s="107"/>
      <c r="G2609" s="108"/>
      <c r="H2609" s="107"/>
      <c r="I2609" s="108"/>
      <c r="J2609" s="108"/>
      <c r="K2609" s="108"/>
      <c r="L2609" s="108"/>
      <c r="M2609" s="108"/>
      <c r="N2609" s="108"/>
      <c r="O2609" s="108"/>
      <c r="P2609" s="108"/>
      <c r="Q2609" s="108"/>
      <c r="R2609" s="108"/>
      <c r="S2609" s="108"/>
      <c r="T2609" s="108"/>
      <c r="U2609" s="108"/>
      <c r="V2609" s="108"/>
      <c r="W2609" s="108"/>
      <c r="X2609" s="108"/>
    </row>
    <row r="2610" spans="1:24">
      <c r="A2610" s="107"/>
      <c r="B2610" s="107"/>
      <c r="C2610" s="107"/>
      <c r="D2610" s="107"/>
      <c r="E2610" s="107"/>
      <c r="F2610" s="107"/>
      <c r="G2610" s="108"/>
      <c r="H2610" s="107"/>
      <c r="I2610" s="108"/>
      <c r="J2610" s="108"/>
      <c r="K2610" s="108"/>
      <c r="L2610" s="108"/>
      <c r="M2610" s="108"/>
      <c r="N2610" s="108"/>
      <c r="O2610" s="108"/>
      <c r="P2610" s="108"/>
      <c r="Q2610" s="108"/>
      <c r="R2610" s="108"/>
      <c r="S2610" s="108"/>
      <c r="T2610" s="108"/>
      <c r="U2610" s="108"/>
      <c r="V2610" s="108"/>
      <c r="W2610" s="108"/>
      <c r="X2610" s="108"/>
    </row>
    <row r="2611" spans="1:24">
      <c r="A2611" s="107"/>
      <c r="B2611" s="107"/>
      <c r="C2611" s="107"/>
      <c r="D2611" s="107"/>
      <c r="E2611" s="107"/>
      <c r="F2611" s="107"/>
      <c r="G2611" s="108"/>
      <c r="H2611" s="107"/>
      <c r="I2611" s="108"/>
      <c r="J2611" s="108"/>
      <c r="K2611" s="108"/>
      <c r="L2611" s="108"/>
      <c r="M2611" s="108"/>
      <c r="N2611" s="108"/>
      <c r="O2611" s="108"/>
      <c r="P2611" s="108"/>
      <c r="Q2611" s="108"/>
      <c r="R2611" s="108"/>
      <c r="S2611" s="108"/>
      <c r="T2611" s="108"/>
      <c r="U2611" s="108"/>
      <c r="V2611" s="108"/>
      <c r="W2611" s="108"/>
      <c r="X2611" s="108"/>
    </row>
    <row r="2612" spans="1:24">
      <c r="A2612" s="107"/>
      <c r="B2612" s="107"/>
      <c r="C2612" s="107"/>
      <c r="D2612" s="107"/>
      <c r="E2612" s="107"/>
      <c r="F2612" s="107"/>
      <c r="G2612" s="108"/>
      <c r="H2612" s="107"/>
      <c r="I2612" s="108"/>
      <c r="J2612" s="108"/>
      <c r="K2612" s="108"/>
      <c r="L2612" s="108"/>
      <c r="M2612" s="108"/>
      <c r="N2612" s="108"/>
      <c r="O2612" s="108"/>
      <c r="P2612" s="108"/>
      <c r="Q2612" s="108"/>
      <c r="R2612" s="108"/>
      <c r="S2612" s="108"/>
      <c r="T2612" s="108"/>
      <c r="U2612" s="108"/>
      <c r="V2612" s="108"/>
      <c r="W2612" s="108"/>
      <c r="X2612" s="108"/>
    </row>
    <row r="2613" spans="1:24">
      <c r="A2613" s="107"/>
      <c r="B2613" s="107"/>
      <c r="C2613" s="107"/>
      <c r="D2613" s="107"/>
      <c r="E2613" s="107"/>
      <c r="F2613" s="107"/>
      <c r="G2613" s="108"/>
      <c r="H2613" s="107"/>
      <c r="I2613" s="108"/>
      <c r="J2613" s="108"/>
      <c r="K2613" s="108"/>
      <c r="L2613" s="108"/>
      <c r="M2613" s="108"/>
      <c r="N2613" s="108"/>
      <c r="O2613" s="108"/>
      <c r="P2613" s="108"/>
      <c r="Q2613" s="108"/>
      <c r="R2613" s="108"/>
      <c r="S2613" s="108"/>
      <c r="T2613" s="108"/>
      <c r="U2613" s="108"/>
      <c r="V2613" s="108"/>
      <c r="W2613" s="108"/>
      <c r="X2613" s="108"/>
    </row>
    <row r="2614" spans="1:24">
      <c r="A2614" s="107"/>
      <c r="B2614" s="107"/>
      <c r="C2614" s="107"/>
      <c r="D2614" s="107"/>
      <c r="E2614" s="107"/>
      <c r="F2614" s="107"/>
      <c r="G2614" s="108"/>
      <c r="H2614" s="107"/>
      <c r="I2614" s="108"/>
      <c r="J2614" s="108"/>
      <c r="K2614" s="108"/>
      <c r="L2614" s="108"/>
      <c r="M2614" s="108"/>
      <c r="N2614" s="108"/>
      <c r="O2614" s="108"/>
      <c r="P2614" s="108"/>
      <c r="Q2614" s="108"/>
      <c r="R2614" s="108"/>
      <c r="S2614" s="108"/>
      <c r="T2614" s="108"/>
      <c r="U2614" s="108"/>
      <c r="V2614" s="108"/>
      <c r="W2614" s="108"/>
      <c r="X2614" s="108"/>
    </row>
    <row r="2615" spans="1:24">
      <c r="A2615" s="107"/>
      <c r="B2615" s="107"/>
      <c r="C2615" s="107"/>
      <c r="D2615" s="107"/>
      <c r="E2615" s="107"/>
      <c r="F2615" s="107"/>
      <c r="G2615" s="108"/>
      <c r="H2615" s="107"/>
      <c r="I2615" s="108"/>
      <c r="J2615" s="108"/>
      <c r="K2615" s="108"/>
      <c r="L2615" s="108"/>
      <c r="M2615" s="108"/>
      <c r="N2615" s="108"/>
      <c r="O2615" s="108"/>
      <c r="P2615" s="108"/>
      <c r="Q2615" s="108"/>
      <c r="R2615" s="108"/>
      <c r="S2615" s="108"/>
      <c r="T2615" s="108"/>
      <c r="U2615" s="108"/>
      <c r="V2615" s="108"/>
      <c r="W2615" s="108"/>
      <c r="X2615" s="108"/>
    </row>
    <row r="2616" spans="1:24">
      <c r="A2616" s="107"/>
      <c r="B2616" s="107"/>
      <c r="C2616" s="107"/>
      <c r="D2616" s="107"/>
      <c r="E2616" s="107"/>
      <c r="F2616" s="107"/>
      <c r="G2616" s="108"/>
      <c r="H2616" s="107"/>
      <c r="I2616" s="108"/>
      <c r="J2616" s="108"/>
      <c r="K2616" s="108"/>
      <c r="L2616" s="108"/>
      <c r="M2616" s="108"/>
      <c r="N2616" s="108"/>
      <c r="O2616" s="108"/>
      <c r="P2616" s="108"/>
      <c r="Q2616" s="108"/>
      <c r="R2616" s="108"/>
      <c r="S2616" s="108"/>
      <c r="T2616" s="108"/>
      <c r="U2616" s="108"/>
      <c r="V2616" s="108"/>
      <c r="W2616" s="108"/>
      <c r="X2616" s="108"/>
    </row>
    <row r="2617" spans="1:24">
      <c r="A2617" s="107"/>
      <c r="B2617" s="107"/>
      <c r="C2617" s="107"/>
      <c r="D2617" s="107"/>
      <c r="E2617" s="107"/>
      <c r="F2617" s="107"/>
      <c r="G2617" s="108"/>
      <c r="H2617" s="107"/>
      <c r="I2617" s="108"/>
      <c r="J2617" s="108"/>
      <c r="K2617" s="108"/>
      <c r="L2617" s="108"/>
      <c r="M2617" s="108"/>
      <c r="N2617" s="108"/>
      <c r="O2617" s="108"/>
      <c r="P2617" s="108"/>
      <c r="Q2617" s="108"/>
      <c r="R2617" s="108"/>
      <c r="S2617" s="108"/>
      <c r="T2617" s="108"/>
      <c r="U2617" s="108"/>
      <c r="V2617" s="108"/>
      <c r="W2617" s="108"/>
      <c r="X2617" s="108"/>
    </row>
    <row r="2618" spans="1:24">
      <c r="A2618" s="107"/>
      <c r="B2618" s="107"/>
      <c r="C2618" s="107"/>
      <c r="D2618" s="107"/>
      <c r="E2618" s="107"/>
      <c r="F2618" s="107"/>
      <c r="G2618" s="108"/>
      <c r="H2618" s="107"/>
      <c r="I2618" s="108"/>
      <c r="J2618" s="108"/>
      <c r="K2618" s="108"/>
      <c r="L2618" s="108"/>
      <c r="M2618" s="108"/>
      <c r="N2618" s="108"/>
      <c r="O2618" s="108"/>
      <c r="P2618" s="108"/>
      <c r="Q2618" s="108"/>
      <c r="R2618" s="108"/>
      <c r="S2618" s="108"/>
      <c r="T2618" s="108"/>
      <c r="U2618" s="108"/>
      <c r="V2618" s="108"/>
      <c r="W2618" s="108"/>
      <c r="X2618" s="108"/>
    </row>
    <row r="2619" spans="1:24">
      <c r="A2619" s="107"/>
      <c r="B2619" s="107"/>
      <c r="C2619" s="107"/>
      <c r="D2619" s="107"/>
      <c r="E2619" s="107"/>
      <c r="F2619" s="107"/>
      <c r="G2619" s="108"/>
      <c r="H2619" s="107"/>
      <c r="I2619" s="108"/>
      <c r="J2619" s="108"/>
      <c r="K2619" s="108"/>
      <c r="L2619" s="108"/>
      <c r="M2619" s="108"/>
      <c r="N2619" s="108"/>
      <c r="O2619" s="108"/>
      <c r="P2619" s="108"/>
      <c r="Q2619" s="108"/>
      <c r="R2619" s="108"/>
      <c r="S2619" s="108"/>
      <c r="T2619" s="108"/>
      <c r="U2619" s="108"/>
      <c r="V2619" s="108"/>
      <c r="W2619" s="108"/>
      <c r="X2619" s="108"/>
    </row>
    <row r="2620" spans="1:24">
      <c r="A2620" s="107"/>
      <c r="B2620" s="107"/>
      <c r="C2620" s="107"/>
      <c r="D2620" s="107"/>
      <c r="E2620" s="107"/>
      <c r="F2620" s="107"/>
      <c r="G2620" s="108"/>
      <c r="H2620" s="107"/>
      <c r="I2620" s="108"/>
      <c r="J2620" s="108"/>
      <c r="K2620" s="108"/>
      <c r="L2620" s="108"/>
      <c r="M2620" s="108"/>
      <c r="N2620" s="108"/>
      <c r="O2620" s="108"/>
      <c r="P2620" s="108"/>
      <c r="Q2620" s="108"/>
      <c r="R2620" s="108"/>
      <c r="S2620" s="108"/>
      <c r="T2620" s="108"/>
      <c r="U2620" s="108"/>
      <c r="V2620" s="108"/>
      <c r="W2620" s="108"/>
      <c r="X2620" s="108"/>
    </row>
    <row r="2621" spans="1:24">
      <c r="A2621" s="107"/>
      <c r="B2621" s="107"/>
      <c r="C2621" s="107"/>
      <c r="D2621" s="107"/>
      <c r="E2621" s="107"/>
      <c r="F2621" s="107"/>
      <c r="G2621" s="108"/>
      <c r="H2621" s="107"/>
      <c r="I2621" s="108"/>
      <c r="J2621" s="108"/>
      <c r="K2621" s="108"/>
      <c r="L2621" s="108"/>
      <c r="M2621" s="108"/>
      <c r="N2621" s="108"/>
      <c r="O2621" s="108"/>
      <c r="P2621" s="108"/>
      <c r="Q2621" s="108"/>
      <c r="R2621" s="108"/>
      <c r="S2621" s="108"/>
      <c r="T2621" s="108"/>
      <c r="U2621" s="108"/>
      <c r="V2621" s="108"/>
      <c r="W2621" s="108"/>
      <c r="X2621" s="108"/>
    </row>
    <row r="2622" spans="1:24">
      <c r="A2622" s="107"/>
      <c r="B2622" s="107"/>
      <c r="C2622" s="107"/>
      <c r="D2622" s="107"/>
      <c r="E2622" s="107"/>
      <c r="F2622" s="107"/>
      <c r="G2622" s="108"/>
      <c r="H2622" s="107"/>
      <c r="I2622" s="108"/>
      <c r="J2622" s="108"/>
      <c r="K2622" s="108"/>
      <c r="L2622" s="108"/>
      <c r="M2622" s="108"/>
      <c r="N2622" s="108"/>
      <c r="O2622" s="108"/>
      <c r="P2622" s="108"/>
      <c r="Q2622" s="108"/>
      <c r="R2622" s="108"/>
      <c r="S2622" s="108"/>
      <c r="T2622" s="108"/>
      <c r="U2622" s="108"/>
      <c r="V2622" s="108"/>
      <c r="W2622" s="108"/>
      <c r="X2622" s="108"/>
    </row>
    <row r="2623" spans="1:24">
      <c r="A2623" s="107"/>
      <c r="B2623" s="107"/>
      <c r="C2623" s="107"/>
      <c r="D2623" s="107"/>
      <c r="E2623" s="107"/>
      <c r="F2623" s="107"/>
      <c r="G2623" s="108"/>
      <c r="H2623" s="107"/>
      <c r="I2623" s="108"/>
      <c r="J2623" s="108"/>
      <c r="K2623" s="108"/>
      <c r="L2623" s="108"/>
      <c r="M2623" s="108"/>
      <c r="N2623" s="108"/>
      <c r="O2623" s="108"/>
      <c r="P2623" s="108"/>
      <c r="Q2623" s="108"/>
      <c r="R2623" s="108"/>
      <c r="S2623" s="108"/>
      <c r="T2623" s="108"/>
      <c r="U2623" s="108"/>
      <c r="V2623" s="108"/>
      <c r="W2623" s="108"/>
      <c r="X2623" s="108"/>
    </row>
    <row r="2624" spans="1:24">
      <c r="A2624" s="107"/>
      <c r="B2624" s="107"/>
      <c r="C2624" s="107"/>
      <c r="D2624" s="107"/>
      <c r="E2624" s="107"/>
      <c r="F2624" s="107"/>
      <c r="G2624" s="108"/>
      <c r="H2624" s="107"/>
      <c r="I2624" s="108"/>
      <c r="J2624" s="108"/>
      <c r="K2624" s="108"/>
      <c r="L2624" s="108"/>
      <c r="M2624" s="108"/>
      <c r="N2624" s="108"/>
      <c r="O2624" s="108"/>
      <c r="P2624" s="108"/>
      <c r="Q2624" s="108"/>
      <c r="R2624" s="108"/>
      <c r="S2624" s="108"/>
      <c r="T2624" s="108"/>
      <c r="U2624" s="108"/>
      <c r="V2624" s="108"/>
      <c r="W2624" s="108"/>
      <c r="X2624" s="108"/>
    </row>
    <row r="2625" spans="1:24">
      <c r="A2625" s="107"/>
      <c r="B2625" s="107"/>
      <c r="C2625" s="107"/>
      <c r="D2625" s="107"/>
      <c r="E2625" s="107"/>
      <c r="F2625" s="107"/>
      <c r="G2625" s="108"/>
      <c r="H2625" s="107"/>
      <c r="I2625" s="108"/>
      <c r="J2625" s="108"/>
      <c r="K2625" s="108"/>
      <c r="L2625" s="108"/>
      <c r="M2625" s="108"/>
      <c r="N2625" s="108"/>
      <c r="O2625" s="108"/>
      <c r="P2625" s="108"/>
      <c r="Q2625" s="108"/>
      <c r="R2625" s="108"/>
      <c r="S2625" s="108"/>
      <c r="T2625" s="108"/>
      <c r="U2625" s="108"/>
      <c r="V2625" s="108"/>
      <c r="W2625" s="108"/>
      <c r="X2625" s="108"/>
    </row>
    <row r="2626" spans="1:24">
      <c r="A2626" s="107"/>
      <c r="B2626" s="107"/>
      <c r="C2626" s="107"/>
      <c r="D2626" s="107"/>
      <c r="E2626" s="107"/>
      <c r="F2626" s="107"/>
      <c r="G2626" s="108"/>
      <c r="H2626" s="107"/>
      <c r="I2626" s="108"/>
      <c r="J2626" s="108"/>
      <c r="K2626" s="108"/>
      <c r="L2626" s="108"/>
      <c r="M2626" s="108"/>
      <c r="N2626" s="108"/>
      <c r="O2626" s="108"/>
      <c r="P2626" s="108"/>
      <c r="Q2626" s="108"/>
      <c r="R2626" s="108"/>
      <c r="S2626" s="108"/>
      <c r="T2626" s="108"/>
      <c r="U2626" s="108"/>
      <c r="V2626" s="108"/>
      <c r="W2626" s="108"/>
      <c r="X2626" s="108"/>
    </row>
    <row r="2627" spans="1:24">
      <c r="A2627" s="107"/>
      <c r="B2627" s="107"/>
      <c r="C2627" s="107"/>
      <c r="D2627" s="107"/>
      <c r="E2627" s="107"/>
      <c r="F2627" s="107"/>
      <c r="G2627" s="108"/>
      <c r="H2627" s="107"/>
      <c r="I2627" s="108"/>
      <c r="J2627" s="108"/>
      <c r="K2627" s="108"/>
      <c r="L2627" s="108"/>
      <c r="M2627" s="108"/>
      <c r="N2627" s="108"/>
      <c r="O2627" s="108"/>
      <c r="P2627" s="108"/>
      <c r="Q2627" s="108"/>
      <c r="R2627" s="108"/>
      <c r="S2627" s="108"/>
      <c r="T2627" s="108"/>
      <c r="U2627" s="108"/>
      <c r="V2627" s="108"/>
      <c r="W2627" s="108"/>
      <c r="X2627" s="108"/>
    </row>
    <row r="2628" spans="1:24">
      <c r="A2628" s="107"/>
      <c r="B2628" s="107"/>
      <c r="C2628" s="107"/>
      <c r="D2628" s="107"/>
      <c r="E2628" s="107"/>
      <c r="F2628" s="107"/>
      <c r="G2628" s="108"/>
      <c r="H2628" s="107"/>
      <c r="I2628" s="108"/>
      <c r="J2628" s="108"/>
      <c r="K2628" s="108"/>
      <c r="L2628" s="108"/>
      <c r="M2628" s="108"/>
      <c r="N2628" s="108"/>
      <c r="O2628" s="108"/>
      <c r="P2628" s="108"/>
      <c r="Q2628" s="108"/>
      <c r="R2628" s="108"/>
      <c r="S2628" s="108"/>
      <c r="T2628" s="108"/>
      <c r="U2628" s="108"/>
      <c r="V2628" s="108"/>
      <c r="W2628" s="108"/>
      <c r="X2628" s="108"/>
    </row>
    <row r="2629" spans="1:24">
      <c r="A2629" s="107"/>
      <c r="B2629" s="107"/>
      <c r="C2629" s="107"/>
      <c r="D2629" s="107"/>
      <c r="E2629" s="107"/>
      <c r="F2629" s="107"/>
      <c r="G2629" s="108"/>
      <c r="H2629" s="107"/>
      <c r="I2629" s="108"/>
      <c r="J2629" s="108"/>
      <c r="K2629" s="108"/>
      <c r="L2629" s="108"/>
      <c r="M2629" s="108"/>
      <c r="N2629" s="108"/>
      <c r="O2629" s="108"/>
      <c r="P2629" s="108"/>
      <c r="Q2629" s="108"/>
      <c r="R2629" s="108"/>
      <c r="S2629" s="108"/>
      <c r="T2629" s="108"/>
      <c r="U2629" s="108"/>
      <c r="V2629" s="108"/>
      <c r="W2629" s="108"/>
      <c r="X2629" s="108"/>
    </row>
    <row r="2630" spans="1:24">
      <c r="A2630" s="107"/>
      <c r="B2630" s="107"/>
      <c r="C2630" s="107"/>
      <c r="D2630" s="107"/>
      <c r="E2630" s="107"/>
      <c r="F2630" s="107"/>
      <c r="G2630" s="108"/>
      <c r="H2630" s="107"/>
      <c r="I2630" s="108"/>
      <c r="J2630" s="108"/>
      <c r="K2630" s="108"/>
      <c r="L2630" s="108"/>
      <c r="M2630" s="108"/>
      <c r="N2630" s="108"/>
      <c r="O2630" s="108"/>
      <c r="P2630" s="108"/>
      <c r="Q2630" s="108"/>
      <c r="R2630" s="108"/>
      <c r="S2630" s="108"/>
      <c r="T2630" s="108"/>
      <c r="U2630" s="108"/>
      <c r="V2630" s="108"/>
      <c r="W2630" s="108"/>
      <c r="X2630" s="108"/>
    </row>
    <row r="2631" spans="1:24">
      <c r="A2631" s="107"/>
      <c r="B2631" s="107"/>
      <c r="C2631" s="107"/>
      <c r="D2631" s="107"/>
      <c r="E2631" s="107"/>
      <c r="F2631" s="107"/>
      <c r="G2631" s="108"/>
      <c r="H2631" s="107"/>
      <c r="I2631" s="108"/>
      <c r="J2631" s="108"/>
      <c r="K2631" s="108"/>
      <c r="L2631" s="108"/>
      <c r="M2631" s="108"/>
      <c r="N2631" s="108"/>
      <c r="O2631" s="108"/>
      <c r="P2631" s="108"/>
      <c r="Q2631" s="108"/>
      <c r="R2631" s="108"/>
      <c r="S2631" s="108"/>
      <c r="T2631" s="108"/>
      <c r="U2631" s="108"/>
      <c r="V2631" s="108"/>
      <c r="W2631" s="108"/>
      <c r="X2631" s="108"/>
    </row>
    <row r="2632" spans="1:24">
      <c r="A2632" s="107"/>
      <c r="B2632" s="107"/>
      <c r="C2632" s="107"/>
      <c r="D2632" s="107"/>
      <c r="E2632" s="107"/>
      <c r="F2632" s="107"/>
      <c r="G2632" s="108"/>
      <c r="H2632" s="107"/>
      <c r="I2632" s="108"/>
      <c r="J2632" s="108"/>
      <c r="K2632" s="108"/>
      <c r="L2632" s="108"/>
      <c r="M2632" s="108"/>
      <c r="N2632" s="108"/>
      <c r="O2632" s="108"/>
      <c r="P2632" s="108"/>
      <c r="Q2632" s="108"/>
      <c r="R2632" s="108"/>
      <c r="S2632" s="108"/>
      <c r="T2632" s="108"/>
      <c r="U2632" s="108"/>
      <c r="V2632" s="108"/>
      <c r="W2632" s="108"/>
      <c r="X2632" s="108"/>
    </row>
    <row r="2633" spans="1:24">
      <c r="A2633" s="107"/>
      <c r="B2633" s="107"/>
      <c r="C2633" s="107"/>
      <c r="D2633" s="107"/>
      <c r="E2633" s="107"/>
      <c r="F2633" s="107"/>
      <c r="G2633" s="108"/>
      <c r="H2633" s="107"/>
      <c r="I2633" s="108"/>
      <c r="J2633" s="108"/>
      <c r="K2633" s="108"/>
      <c r="L2633" s="108"/>
      <c r="M2633" s="108"/>
      <c r="N2633" s="108"/>
      <c r="O2633" s="108"/>
      <c r="P2633" s="108"/>
      <c r="Q2633" s="108"/>
      <c r="R2633" s="108"/>
      <c r="S2633" s="108"/>
      <c r="T2633" s="108"/>
      <c r="U2633" s="108"/>
      <c r="V2633" s="108"/>
      <c r="W2633" s="108"/>
      <c r="X2633" s="108"/>
    </row>
    <row r="2634" spans="1:24">
      <c r="A2634" s="107"/>
      <c r="B2634" s="107"/>
      <c r="C2634" s="107"/>
      <c r="D2634" s="107"/>
      <c r="E2634" s="107"/>
      <c r="F2634" s="107"/>
      <c r="G2634" s="108"/>
      <c r="H2634" s="107"/>
      <c r="I2634" s="108"/>
      <c r="J2634" s="108"/>
      <c r="K2634" s="108"/>
      <c r="L2634" s="108"/>
      <c r="M2634" s="108"/>
      <c r="N2634" s="108"/>
      <c r="O2634" s="108"/>
      <c r="P2634" s="108"/>
      <c r="Q2634" s="108"/>
      <c r="R2634" s="108"/>
      <c r="S2634" s="108"/>
      <c r="T2634" s="108"/>
      <c r="U2634" s="108"/>
      <c r="V2634" s="108"/>
      <c r="W2634" s="108"/>
      <c r="X2634" s="108"/>
    </row>
    <row r="2635" spans="1:24">
      <c r="A2635" s="107"/>
      <c r="B2635" s="107"/>
      <c r="C2635" s="107"/>
      <c r="D2635" s="107"/>
      <c r="E2635" s="107"/>
      <c r="F2635" s="107"/>
      <c r="G2635" s="108"/>
      <c r="H2635" s="107"/>
      <c r="I2635" s="108"/>
      <c r="J2635" s="108"/>
      <c r="K2635" s="108"/>
      <c r="L2635" s="108"/>
      <c r="M2635" s="108"/>
      <c r="N2635" s="108"/>
      <c r="O2635" s="108"/>
      <c r="P2635" s="108"/>
      <c r="Q2635" s="108"/>
      <c r="R2635" s="108"/>
      <c r="S2635" s="108"/>
      <c r="T2635" s="108"/>
      <c r="U2635" s="108"/>
      <c r="V2635" s="108"/>
      <c r="W2635" s="108"/>
      <c r="X2635" s="108"/>
    </row>
    <row r="2636" spans="1:24">
      <c r="A2636" s="107"/>
      <c r="B2636" s="107"/>
      <c r="C2636" s="107"/>
      <c r="D2636" s="107"/>
      <c r="E2636" s="107"/>
      <c r="F2636" s="107"/>
      <c r="G2636" s="108"/>
      <c r="H2636" s="107"/>
      <c r="I2636" s="108"/>
      <c r="J2636" s="108"/>
      <c r="K2636" s="108"/>
      <c r="L2636" s="108"/>
      <c r="M2636" s="108"/>
      <c r="N2636" s="108"/>
      <c r="O2636" s="108"/>
      <c r="P2636" s="108"/>
      <c r="Q2636" s="108"/>
      <c r="R2636" s="108"/>
      <c r="S2636" s="108"/>
      <c r="T2636" s="108"/>
      <c r="U2636" s="108"/>
      <c r="V2636" s="108"/>
      <c r="W2636" s="108"/>
      <c r="X2636" s="108"/>
    </row>
    <row r="2637" spans="1:24">
      <c r="A2637" s="107"/>
      <c r="B2637" s="107"/>
      <c r="C2637" s="107"/>
      <c r="D2637" s="107"/>
      <c r="E2637" s="107"/>
      <c r="F2637" s="107"/>
      <c r="G2637" s="108"/>
      <c r="H2637" s="107"/>
      <c r="I2637" s="108"/>
      <c r="J2637" s="108"/>
      <c r="K2637" s="108"/>
      <c r="L2637" s="108"/>
      <c r="M2637" s="108"/>
      <c r="N2637" s="108"/>
      <c r="O2637" s="108"/>
      <c r="P2637" s="108"/>
      <c r="Q2637" s="108"/>
      <c r="R2637" s="108"/>
      <c r="S2637" s="108"/>
      <c r="T2637" s="108"/>
      <c r="U2637" s="108"/>
      <c r="V2637" s="108"/>
      <c r="W2637" s="108"/>
      <c r="X2637" s="108"/>
    </row>
    <row r="2638" spans="1:24">
      <c r="A2638" s="107"/>
      <c r="B2638" s="107"/>
      <c r="C2638" s="107"/>
      <c r="D2638" s="107"/>
      <c r="E2638" s="107"/>
      <c r="F2638" s="107"/>
      <c r="G2638" s="108"/>
      <c r="H2638" s="107"/>
      <c r="I2638" s="108"/>
      <c r="J2638" s="108"/>
      <c r="K2638" s="108"/>
      <c r="L2638" s="108"/>
      <c r="M2638" s="108"/>
      <c r="N2638" s="108"/>
      <c r="O2638" s="108"/>
      <c r="P2638" s="108"/>
      <c r="Q2638" s="108"/>
      <c r="R2638" s="108"/>
      <c r="S2638" s="108"/>
      <c r="T2638" s="108"/>
      <c r="U2638" s="108"/>
      <c r="V2638" s="108"/>
      <c r="W2638" s="108"/>
      <c r="X2638" s="108"/>
    </row>
    <row r="2639" spans="1:24">
      <c r="A2639" s="107"/>
      <c r="B2639" s="107"/>
      <c r="C2639" s="107"/>
      <c r="D2639" s="107"/>
      <c r="E2639" s="107"/>
      <c r="F2639" s="107"/>
      <c r="G2639" s="108"/>
      <c r="H2639" s="107"/>
      <c r="I2639" s="108"/>
      <c r="J2639" s="108"/>
      <c r="K2639" s="108"/>
      <c r="L2639" s="108"/>
      <c r="M2639" s="108"/>
      <c r="N2639" s="108"/>
      <c r="O2639" s="108"/>
      <c r="P2639" s="108"/>
      <c r="Q2639" s="108"/>
      <c r="R2639" s="108"/>
      <c r="S2639" s="108"/>
      <c r="T2639" s="108"/>
      <c r="U2639" s="108"/>
      <c r="V2639" s="108"/>
      <c r="W2639" s="108"/>
      <c r="X2639" s="108"/>
    </row>
    <row r="2640" spans="1:24">
      <c r="A2640" s="107"/>
      <c r="B2640" s="107"/>
      <c r="C2640" s="107"/>
      <c r="D2640" s="107"/>
      <c r="E2640" s="107"/>
      <c r="F2640" s="107"/>
      <c r="G2640" s="108"/>
      <c r="H2640" s="107"/>
      <c r="I2640" s="108"/>
      <c r="J2640" s="108"/>
      <c r="K2640" s="108"/>
      <c r="L2640" s="108"/>
      <c r="M2640" s="108"/>
      <c r="N2640" s="108"/>
      <c r="O2640" s="108"/>
      <c r="P2640" s="108"/>
      <c r="Q2640" s="108"/>
      <c r="R2640" s="108"/>
      <c r="S2640" s="108"/>
      <c r="T2640" s="108"/>
      <c r="U2640" s="108"/>
      <c r="V2640" s="108"/>
      <c r="W2640" s="108"/>
      <c r="X2640" s="108"/>
    </row>
    <row r="2641" spans="1:24">
      <c r="A2641" s="107"/>
      <c r="B2641" s="107"/>
      <c r="C2641" s="107"/>
      <c r="D2641" s="107"/>
      <c r="E2641" s="107"/>
      <c r="F2641" s="107"/>
      <c r="G2641" s="108"/>
      <c r="H2641" s="107"/>
      <c r="I2641" s="108"/>
      <c r="J2641" s="108"/>
      <c r="K2641" s="108"/>
      <c r="L2641" s="108"/>
      <c r="M2641" s="108"/>
      <c r="N2641" s="108"/>
      <c r="O2641" s="108"/>
      <c r="P2641" s="108"/>
      <c r="Q2641" s="108"/>
      <c r="R2641" s="108"/>
      <c r="S2641" s="108"/>
      <c r="T2641" s="108"/>
      <c r="U2641" s="108"/>
      <c r="V2641" s="108"/>
      <c r="W2641" s="108"/>
      <c r="X2641" s="108"/>
    </row>
    <row r="2642" spans="1:24">
      <c r="A2642" s="107"/>
      <c r="B2642" s="107"/>
      <c r="C2642" s="107"/>
      <c r="D2642" s="107"/>
      <c r="E2642" s="107"/>
      <c r="F2642" s="107"/>
      <c r="G2642" s="108"/>
      <c r="H2642" s="107"/>
      <c r="I2642" s="108"/>
      <c r="J2642" s="108"/>
      <c r="K2642" s="108"/>
      <c r="L2642" s="108"/>
      <c r="M2642" s="108"/>
      <c r="N2642" s="108"/>
      <c r="O2642" s="108"/>
      <c r="P2642" s="108"/>
      <c r="Q2642" s="108"/>
      <c r="R2642" s="108"/>
      <c r="S2642" s="108"/>
      <c r="T2642" s="108"/>
      <c r="U2642" s="108"/>
      <c r="V2642" s="108"/>
      <c r="W2642" s="108"/>
      <c r="X2642" s="108"/>
    </row>
    <row r="2643" spans="1:24">
      <c r="A2643" s="107"/>
      <c r="B2643" s="107"/>
      <c r="C2643" s="107"/>
      <c r="D2643" s="107"/>
      <c r="E2643" s="107"/>
      <c r="F2643" s="107"/>
      <c r="G2643" s="108"/>
      <c r="H2643" s="107"/>
      <c r="I2643" s="108"/>
      <c r="J2643" s="108"/>
      <c r="K2643" s="108"/>
      <c r="L2643" s="108"/>
      <c r="M2643" s="108"/>
      <c r="N2643" s="108"/>
      <c r="O2643" s="108"/>
      <c r="P2643" s="108"/>
      <c r="Q2643" s="108"/>
      <c r="R2643" s="108"/>
      <c r="S2643" s="108"/>
      <c r="T2643" s="108"/>
      <c r="U2643" s="108"/>
      <c r="V2643" s="108"/>
      <c r="W2643" s="108"/>
      <c r="X2643" s="108"/>
    </row>
    <row r="2644" spans="1:24">
      <c r="A2644" s="107"/>
      <c r="B2644" s="107"/>
      <c r="C2644" s="107"/>
      <c r="D2644" s="107"/>
      <c r="E2644" s="107"/>
      <c r="F2644" s="107"/>
      <c r="G2644" s="108"/>
      <c r="H2644" s="107"/>
      <c r="I2644" s="108"/>
      <c r="J2644" s="108"/>
      <c r="K2644" s="108"/>
      <c r="L2644" s="108"/>
      <c r="M2644" s="108"/>
      <c r="N2644" s="108"/>
      <c r="O2644" s="108"/>
      <c r="P2644" s="108"/>
      <c r="Q2644" s="108"/>
      <c r="R2644" s="108"/>
      <c r="S2644" s="108"/>
      <c r="T2644" s="108"/>
      <c r="U2644" s="108"/>
      <c r="V2644" s="108"/>
      <c r="W2644" s="108"/>
      <c r="X2644" s="108"/>
    </row>
    <row r="2645" spans="1:24">
      <c r="A2645" s="107"/>
      <c r="B2645" s="107"/>
      <c r="C2645" s="107"/>
      <c r="D2645" s="107"/>
      <c r="E2645" s="107"/>
      <c r="F2645" s="107"/>
      <c r="G2645" s="108"/>
      <c r="H2645" s="107"/>
      <c r="I2645" s="108"/>
      <c r="J2645" s="108"/>
      <c r="K2645" s="108"/>
      <c r="L2645" s="108"/>
      <c r="M2645" s="108"/>
      <c r="N2645" s="108"/>
      <c r="O2645" s="108"/>
      <c r="P2645" s="108"/>
      <c r="Q2645" s="108"/>
      <c r="R2645" s="108"/>
      <c r="S2645" s="108"/>
      <c r="T2645" s="108"/>
      <c r="U2645" s="108"/>
      <c r="V2645" s="108"/>
      <c r="W2645" s="108"/>
      <c r="X2645" s="108"/>
    </row>
    <row r="2646" spans="1:24">
      <c r="A2646" s="107"/>
      <c r="B2646" s="107"/>
      <c r="C2646" s="107"/>
      <c r="D2646" s="107"/>
      <c r="E2646" s="107"/>
      <c r="F2646" s="107"/>
      <c r="G2646" s="108"/>
      <c r="H2646" s="107"/>
      <c r="I2646" s="108"/>
      <c r="J2646" s="108"/>
      <c r="K2646" s="108"/>
      <c r="L2646" s="108"/>
      <c r="M2646" s="108"/>
      <c r="N2646" s="108"/>
      <c r="O2646" s="108"/>
      <c r="P2646" s="108"/>
      <c r="Q2646" s="108"/>
      <c r="R2646" s="108"/>
      <c r="S2646" s="108"/>
      <c r="T2646" s="108"/>
      <c r="U2646" s="108"/>
      <c r="V2646" s="108"/>
      <c r="W2646" s="108"/>
      <c r="X2646" s="108"/>
    </row>
    <row r="2647" spans="1:24">
      <c r="A2647" s="107"/>
      <c r="B2647" s="107"/>
      <c r="C2647" s="107"/>
      <c r="D2647" s="107"/>
      <c r="E2647" s="107"/>
      <c r="F2647" s="107"/>
      <c r="G2647" s="108"/>
      <c r="H2647" s="107"/>
      <c r="I2647" s="108"/>
      <c r="J2647" s="108"/>
      <c r="K2647" s="108"/>
      <c r="L2647" s="108"/>
      <c r="M2647" s="108"/>
      <c r="N2647" s="108"/>
      <c r="O2647" s="108"/>
      <c r="P2647" s="108"/>
      <c r="Q2647" s="108"/>
      <c r="R2647" s="108"/>
      <c r="S2647" s="108"/>
      <c r="T2647" s="108"/>
      <c r="U2647" s="108"/>
      <c r="V2647" s="108"/>
      <c r="W2647" s="108"/>
      <c r="X2647" s="108"/>
    </row>
    <row r="2648" spans="1:24">
      <c r="A2648" s="107"/>
      <c r="B2648" s="107"/>
      <c r="C2648" s="107"/>
      <c r="D2648" s="107"/>
      <c r="E2648" s="107"/>
      <c r="F2648" s="107"/>
      <c r="G2648" s="108"/>
      <c r="H2648" s="107"/>
      <c r="I2648" s="108"/>
      <c r="J2648" s="108"/>
      <c r="K2648" s="108"/>
      <c r="L2648" s="108"/>
      <c r="M2648" s="108"/>
      <c r="N2648" s="108"/>
      <c r="O2648" s="108"/>
      <c r="P2648" s="108"/>
      <c r="Q2648" s="108"/>
      <c r="R2648" s="108"/>
      <c r="S2648" s="108"/>
      <c r="T2648" s="108"/>
      <c r="U2648" s="108"/>
      <c r="V2648" s="108"/>
      <c r="W2648" s="108"/>
      <c r="X2648" s="108"/>
    </row>
    <row r="2649" spans="1:24">
      <c r="A2649" s="107"/>
      <c r="B2649" s="107"/>
      <c r="C2649" s="107"/>
      <c r="D2649" s="107"/>
      <c r="E2649" s="107"/>
      <c r="F2649" s="107"/>
      <c r="G2649" s="108"/>
      <c r="H2649" s="107"/>
      <c r="I2649" s="108"/>
      <c r="J2649" s="108"/>
      <c r="K2649" s="108"/>
      <c r="L2649" s="108"/>
      <c r="M2649" s="108"/>
      <c r="N2649" s="108"/>
      <c r="O2649" s="108"/>
      <c r="P2649" s="108"/>
      <c r="Q2649" s="108"/>
      <c r="R2649" s="108"/>
      <c r="S2649" s="108"/>
      <c r="T2649" s="108"/>
      <c r="U2649" s="108"/>
      <c r="V2649" s="108"/>
      <c r="W2649" s="108"/>
      <c r="X2649" s="108"/>
    </row>
    <row r="2650" spans="1:24">
      <c r="A2650" s="107"/>
      <c r="B2650" s="107"/>
      <c r="C2650" s="107"/>
      <c r="D2650" s="107"/>
      <c r="E2650" s="107"/>
      <c r="F2650" s="107"/>
      <c r="G2650" s="108"/>
      <c r="H2650" s="107"/>
      <c r="I2650" s="108"/>
      <c r="J2650" s="108"/>
      <c r="K2650" s="108"/>
      <c r="L2650" s="108"/>
      <c r="M2650" s="108"/>
      <c r="N2650" s="108"/>
      <c r="O2650" s="108"/>
      <c r="P2650" s="108"/>
      <c r="Q2650" s="108"/>
      <c r="R2650" s="108"/>
      <c r="S2650" s="108"/>
      <c r="T2650" s="108"/>
      <c r="U2650" s="108"/>
      <c r="V2650" s="108"/>
      <c r="W2650" s="108"/>
      <c r="X2650" s="108"/>
    </row>
    <row r="2651" spans="1:24">
      <c r="A2651" s="107"/>
      <c r="B2651" s="107"/>
      <c r="C2651" s="107"/>
      <c r="D2651" s="107"/>
      <c r="E2651" s="107"/>
      <c r="F2651" s="107"/>
      <c r="G2651" s="108"/>
      <c r="H2651" s="107"/>
      <c r="I2651" s="108"/>
      <c r="J2651" s="108"/>
      <c r="K2651" s="108"/>
      <c r="L2651" s="108"/>
      <c r="M2651" s="108"/>
      <c r="N2651" s="108"/>
      <c r="O2651" s="108"/>
      <c r="P2651" s="108"/>
      <c r="Q2651" s="108"/>
      <c r="R2651" s="108"/>
      <c r="S2651" s="108"/>
      <c r="T2651" s="108"/>
      <c r="U2651" s="108"/>
      <c r="V2651" s="108"/>
      <c r="W2651" s="108"/>
      <c r="X2651" s="108"/>
    </row>
    <row r="2652" spans="1:24">
      <c r="A2652" s="107"/>
      <c r="B2652" s="107"/>
      <c r="C2652" s="107"/>
      <c r="D2652" s="107"/>
      <c r="E2652" s="107"/>
      <c r="F2652" s="107"/>
      <c r="G2652" s="108"/>
      <c r="H2652" s="107"/>
      <c r="I2652" s="108"/>
      <c r="J2652" s="108"/>
      <c r="K2652" s="108"/>
      <c r="L2652" s="108"/>
      <c r="M2652" s="108"/>
      <c r="N2652" s="108"/>
      <c r="O2652" s="108"/>
      <c r="P2652" s="108"/>
      <c r="Q2652" s="108"/>
      <c r="R2652" s="108"/>
      <c r="S2652" s="108"/>
      <c r="T2652" s="108"/>
      <c r="U2652" s="108"/>
      <c r="V2652" s="108"/>
      <c r="W2652" s="108"/>
      <c r="X2652" s="108"/>
    </row>
    <row r="2653" spans="1:24">
      <c r="A2653" s="107"/>
      <c r="B2653" s="107"/>
      <c r="C2653" s="107"/>
      <c r="D2653" s="107"/>
      <c r="E2653" s="107"/>
      <c r="F2653" s="107"/>
      <c r="G2653" s="108"/>
      <c r="H2653" s="107"/>
      <c r="I2653" s="108"/>
      <c r="J2653" s="108"/>
      <c r="K2653" s="108"/>
      <c r="L2653" s="108"/>
      <c r="M2653" s="108"/>
      <c r="N2653" s="108"/>
      <c r="O2653" s="108"/>
      <c r="P2653" s="108"/>
      <c r="Q2653" s="108"/>
      <c r="R2653" s="108"/>
      <c r="S2653" s="108"/>
      <c r="T2653" s="108"/>
      <c r="U2653" s="108"/>
      <c r="V2653" s="108"/>
      <c r="W2653" s="108"/>
      <c r="X2653" s="108"/>
    </row>
    <row r="2654" spans="1:24">
      <c r="A2654" s="107"/>
      <c r="B2654" s="107"/>
      <c r="C2654" s="107"/>
      <c r="D2654" s="107"/>
      <c r="E2654" s="107"/>
      <c r="F2654" s="107"/>
      <c r="G2654" s="108"/>
      <c r="H2654" s="107"/>
      <c r="I2654" s="108"/>
      <c r="J2654" s="108"/>
      <c r="K2654" s="108"/>
      <c r="L2654" s="108"/>
      <c r="M2654" s="108"/>
      <c r="N2654" s="108"/>
      <c r="O2654" s="108"/>
      <c r="P2654" s="108"/>
      <c r="Q2654" s="108"/>
      <c r="R2654" s="108"/>
      <c r="S2654" s="108"/>
      <c r="T2654" s="108"/>
      <c r="U2654" s="108"/>
      <c r="V2654" s="108"/>
      <c r="W2654" s="108"/>
      <c r="X2654" s="108"/>
    </row>
    <row r="2655" spans="1:24">
      <c r="A2655" s="107"/>
      <c r="B2655" s="107"/>
      <c r="C2655" s="107"/>
      <c r="D2655" s="107"/>
      <c r="E2655" s="107"/>
      <c r="F2655" s="107"/>
      <c r="G2655" s="108"/>
      <c r="H2655" s="107"/>
      <c r="I2655" s="108"/>
      <c r="J2655" s="108"/>
      <c r="K2655" s="108"/>
      <c r="L2655" s="108"/>
      <c r="M2655" s="108"/>
      <c r="N2655" s="108"/>
      <c r="O2655" s="108"/>
      <c r="P2655" s="108"/>
      <c r="Q2655" s="108"/>
      <c r="R2655" s="108"/>
      <c r="S2655" s="108"/>
      <c r="T2655" s="108"/>
      <c r="U2655" s="108"/>
      <c r="V2655" s="108"/>
      <c r="W2655" s="108"/>
      <c r="X2655" s="108"/>
    </row>
    <row r="2656" spans="1:24">
      <c r="A2656" s="107"/>
      <c r="B2656" s="107"/>
      <c r="C2656" s="107"/>
      <c r="D2656" s="107"/>
      <c r="E2656" s="107"/>
      <c r="F2656" s="107"/>
      <c r="G2656" s="108"/>
      <c r="H2656" s="107"/>
      <c r="I2656" s="108"/>
      <c r="J2656" s="108"/>
      <c r="K2656" s="108"/>
      <c r="L2656" s="108"/>
      <c r="M2656" s="108"/>
      <c r="N2656" s="108"/>
      <c r="O2656" s="108"/>
      <c r="P2656" s="108"/>
      <c r="Q2656" s="108"/>
      <c r="R2656" s="108"/>
      <c r="S2656" s="108"/>
      <c r="T2656" s="108"/>
      <c r="U2656" s="108"/>
      <c r="V2656" s="108"/>
      <c r="W2656" s="108"/>
      <c r="X2656" s="108"/>
    </row>
    <row r="2657" spans="1:24">
      <c r="A2657" s="107"/>
      <c r="B2657" s="107"/>
      <c r="C2657" s="107"/>
      <c r="D2657" s="107"/>
      <c r="E2657" s="107"/>
      <c r="F2657" s="107"/>
      <c r="G2657" s="108"/>
      <c r="H2657" s="107"/>
      <c r="I2657" s="108"/>
      <c r="J2657" s="108"/>
      <c r="K2657" s="108"/>
      <c r="L2657" s="108"/>
      <c r="M2657" s="108"/>
      <c r="N2657" s="108"/>
      <c r="O2657" s="108"/>
      <c r="P2657" s="108"/>
      <c r="Q2657" s="108"/>
      <c r="R2657" s="108"/>
      <c r="S2657" s="108"/>
      <c r="T2657" s="108"/>
      <c r="U2657" s="108"/>
      <c r="V2657" s="108"/>
      <c r="W2657" s="108"/>
      <c r="X2657" s="108"/>
    </row>
    <row r="2658" spans="1:24">
      <c r="A2658" s="107"/>
      <c r="B2658" s="107"/>
      <c r="C2658" s="107"/>
      <c r="D2658" s="107"/>
      <c r="E2658" s="107"/>
      <c r="F2658" s="107"/>
      <c r="G2658" s="108"/>
      <c r="H2658" s="107"/>
      <c r="I2658" s="108"/>
      <c r="J2658" s="108"/>
      <c r="K2658" s="108"/>
      <c r="L2658" s="108"/>
      <c r="M2658" s="108"/>
      <c r="N2658" s="108"/>
      <c r="O2658" s="108"/>
      <c r="P2658" s="108"/>
      <c r="Q2658" s="108"/>
      <c r="R2658" s="108"/>
      <c r="S2658" s="108"/>
      <c r="T2658" s="108"/>
      <c r="U2658" s="108"/>
      <c r="V2658" s="108"/>
      <c r="W2658" s="108"/>
      <c r="X2658" s="108"/>
    </row>
    <row r="2659" spans="1:24">
      <c r="A2659" s="107"/>
      <c r="B2659" s="107"/>
      <c r="C2659" s="107"/>
      <c r="D2659" s="107"/>
      <c r="E2659" s="107"/>
      <c r="F2659" s="107"/>
      <c r="G2659" s="108"/>
      <c r="H2659" s="107"/>
      <c r="I2659" s="108"/>
      <c r="J2659" s="108"/>
      <c r="K2659" s="108"/>
      <c r="L2659" s="108"/>
      <c r="M2659" s="108"/>
      <c r="N2659" s="108"/>
      <c r="O2659" s="108"/>
      <c r="P2659" s="108"/>
      <c r="Q2659" s="108"/>
      <c r="R2659" s="108"/>
      <c r="S2659" s="108"/>
      <c r="T2659" s="108"/>
      <c r="U2659" s="108"/>
      <c r="V2659" s="108"/>
      <c r="W2659" s="108"/>
      <c r="X2659" s="108"/>
    </row>
    <row r="2660" spans="1:24">
      <c r="A2660" s="107"/>
      <c r="B2660" s="107"/>
      <c r="C2660" s="107"/>
      <c r="D2660" s="107"/>
      <c r="E2660" s="107"/>
      <c r="F2660" s="107"/>
      <c r="G2660" s="108"/>
      <c r="H2660" s="107"/>
      <c r="I2660" s="108"/>
      <c r="J2660" s="108"/>
      <c r="K2660" s="108"/>
      <c r="L2660" s="108"/>
      <c r="M2660" s="108"/>
      <c r="N2660" s="108"/>
      <c r="O2660" s="108"/>
      <c r="P2660" s="108"/>
      <c r="Q2660" s="108"/>
      <c r="R2660" s="108"/>
      <c r="S2660" s="108"/>
      <c r="T2660" s="108"/>
      <c r="U2660" s="108"/>
      <c r="V2660" s="108"/>
      <c r="W2660" s="108"/>
      <c r="X2660" s="108"/>
    </row>
    <row r="2661" spans="1:24">
      <c r="A2661" s="107"/>
      <c r="B2661" s="107"/>
      <c r="C2661" s="107"/>
      <c r="D2661" s="107"/>
      <c r="E2661" s="107"/>
      <c r="F2661" s="107"/>
      <c r="G2661" s="108"/>
      <c r="H2661" s="107"/>
      <c r="I2661" s="108"/>
      <c r="J2661" s="108"/>
      <c r="K2661" s="108"/>
      <c r="L2661" s="108"/>
      <c r="M2661" s="108"/>
      <c r="N2661" s="108"/>
      <c r="O2661" s="108"/>
      <c r="P2661" s="108"/>
      <c r="Q2661" s="108"/>
      <c r="R2661" s="108"/>
      <c r="S2661" s="108"/>
      <c r="T2661" s="108"/>
      <c r="U2661" s="108"/>
      <c r="V2661" s="108"/>
      <c r="W2661" s="108"/>
      <c r="X2661" s="108"/>
    </row>
    <row r="2662" spans="1:24">
      <c r="A2662" s="107"/>
      <c r="B2662" s="107"/>
      <c r="C2662" s="107"/>
      <c r="D2662" s="107"/>
      <c r="E2662" s="107"/>
      <c r="F2662" s="107"/>
      <c r="G2662" s="108"/>
      <c r="H2662" s="107"/>
      <c r="I2662" s="108"/>
      <c r="J2662" s="108"/>
      <c r="K2662" s="108"/>
      <c r="L2662" s="108"/>
      <c r="M2662" s="108"/>
      <c r="N2662" s="108"/>
      <c r="O2662" s="108"/>
      <c r="P2662" s="108"/>
      <c r="Q2662" s="108"/>
      <c r="R2662" s="108"/>
      <c r="S2662" s="108"/>
      <c r="T2662" s="108"/>
      <c r="U2662" s="108"/>
      <c r="V2662" s="108"/>
      <c r="W2662" s="108"/>
      <c r="X2662" s="108"/>
    </row>
    <row r="2663" spans="1:24">
      <c r="A2663" s="107"/>
      <c r="B2663" s="107"/>
      <c r="C2663" s="107"/>
      <c r="D2663" s="107"/>
      <c r="E2663" s="107"/>
      <c r="F2663" s="107"/>
      <c r="G2663" s="108"/>
      <c r="H2663" s="107"/>
      <c r="I2663" s="108"/>
      <c r="J2663" s="108"/>
      <c r="K2663" s="108"/>
      <c r="L2663" s="108"/>
      <c r="M2663" s="108"/>
      <c r="N2663" s="108"/>
      <c r="O2663" s="108"/>
      <c r="P2663" s="108"/>
      <c r="Q2663" s="108"/>
      <c r="R2663" s="108"/>
      <c r="S2663" s="108"/>
      <c r="T2663" s="108"/>
      <c r="U2663" s="108"/>
      <c r="V2663" s="108"/>
      <c r="W2663" s="108"/>
      <c r="X2663" s="108"/>
    </row>
    <row r="2664" spans="1:24">
      <c r="A2664" s="107"/>
      <c r="B2664" s="107"/>
      <c r="C2664" s="107"/>
      <c r="D2664" s="107"/>
      <c r="E2664" s="107"/>
      <c r="F2664" s="107"/>
      <c r="G2664" s="108"/>
      <c r="H2664" s="107"/>
      <c r="I2664" s="108"/>
      <c r="J2664" s="108"/>
      <c r="K2664" s="108"/>
      <c r="L2664" s="108"/>
      <c r="M2664" s="108"/>
      <c r="N2664" s="108"/>
      <c r="O2664" s="108"/>
      <c r="P2664" s="108"/>
      <c r="Q2664" s="108"/>
      <c r="R2664" s="108"/>
      <c r="S2664" s="108"/>
      <c r="T2664" s="108"/>
      <c r="U2664" s="108"/>
      <c r="V2664" s="108"/>
      <c r="W2664" s="108"/>
      <c r="X2664" s="108"/>
    </row>
    <row r="2665" spans="1:24">
      <c r="A2665" s="107"/>
      <c r="B2665" s="107"/>
      <c r="C2665" s="107"/>
      <c r="D2665" s="107"/>
      <c r="E2665" s="107"/>
      <c r="F2665" s="107"/>
      <c r="G2665" s="108"/>
      <c r="H2665" s="107"/>
      <c r="I2665" s="108"/>
      <c r="J2665" s="108"/>
      <c r="K2665" s="108"/>
      <c r="L2665" s="108"/>
      <c r="M2665" s="108"/>
      <c r="N2665" s="108"/>
      <c r="O2665" s="108"/>
      <c r="P2665" s="108"/>
      <c r="Q2665" s="108"/>
      <c r="R2665" s="108"/>
      <c r="S2665" s="108"/>
      <c r="T2665" s="108"/>
      <c r="U2665" s="108"/>
      <c r="V2665" s="108"/>
      <c r="W2665" s="108"/>
      <c r="X2665" s="108"/>
    </row>
    <row r="2666" spans="1:24">
      <c r="A2666" s="107"/>
      <c r="B2666" s="107"/>
      <c r="C2666" s="107"/>
      <c r="D2666" s="107"/>
      <c r="E2666" s="107"/>
      <c r="F2666" s="107"/>
      <c r="G2666" s="108"/>
      <c r="H2666" s="107"/>
      <c r="I2666" s="108"/>
      <c r="J2666" s="108"/>
      <c r="K2666" s="108"/>
      <c r="L2666" s="108"/>
      <c r="M2666" s="108"/>
      <c r="N2666" s="108"/>
      <c r="O2666" s="108"/>
      <c r="P2666" s="108"/>
      <c r="Q2666" s="108"/>
      <c r="R2666" s="108"/>
      <c r="S2666" s="108"/>
      <c r="T2666" s="108"/>
      <c r="U2666" s="108"/>
      <c r="V2666" s="108"/>
      <c r="W2666" s="108"/>
      <c r="X2666" s="108"/>
    </row>
    <row r="2667" spans="1:24">
      <c r="A2667" s="107"/>
      <c r="B2667" s="107"/>
      <c r="C2667" s="107"/>
      <c r="D2667" s="107"/>
      <c r="E2667" s="107"/>
      <c r="F2667" s="107"/>
      <c r="G2667" s="108"/>
      <c r="H2667" s="107"/>
      <c r="I2667" s="108"/>
      <c r="J2667" s="108"/>
      <c r="K2667" s="108"/>
      <c r="L2667" s="108"/>
      <c r="M2667" s="108"/>
      <c r="N2667" s="108"/>
      <c r="O2667" s="108"/>
      <c r="P2667" s="108"/>
      <c r="Q2667" s="108"/>
      <c r="R2667" s="108"/>
      <c r="S2667" s="108"/>
      <c r="T2667" s="108"/>
      <c r="U2667" s="108"/>
      <c r="V2667" s="108"/>
      <c r="W2667" s="108"/>
      <c r="X2667" s="108"/>
    </row>
    <row r="2668" spans="1:24">
      <c r="A2668" s="107"/>
      <c r="B2668" s="107"/>
      <c r="C2668" s="107"/>
      <c r="D2668" s="107"/>
      <c r="E2668" s="107"/>
      <c r="F2668" s="107"/>
      <c r="G2668" s="108"/>
      <c r="H2668" s="107"/>
      <c r="I2668" s="108"/>
      <c r="J2668" s="108"/>
      <c r="K2668" s="108"/>
      <c r="L2668" s="108"/>
      <c r="M2668" s="108"/>
      <c r="N2668" s="108"/>
      <c r="O2668" s="108"/>
      <c r="P2668" s="108"/>
      <c r="Q2668" s="108"/>
      <c r="R2668" s="108"/>
      <c r="S2668" s="108"/>
      <c r="T2668" s="108"/>
      <c r="U2668" s="108"/>
      <c r="V2668" s="108"/>
      <c r="W2668" s="108"/>
      <c r="X2668" s="108"/>
    </row>
    <row r="2669" spans="1:24">
      <c r="A2669" s="107"/>
      <c r="B2669" s="107"/>
      <c r="C2669" s="107"/>
      <c r="D2669" s="107"/>
      <c r="E2669" s="107"/>
      <c r="F2669" s="107"/>
      <c r="G2669" s="108"/>
      <c r="H2669" s="107"/>
      <c r="I2669" s="108"/>
      <c r="J2669" s="108"/>
      <c r="K2669" s="108"/>
      <c r="L2669" s="108"/>
      <c r="M2669" s="108"/>
      <c r="N2669" s="108"/>
      <c r="O2669" s="108"/>
      <c r="P2669" s="108"/>
      <c r="Q2669" s="108"/>
      <c r="R2669" s="108"/>
      <c r="S2669" s="108"/>
      <c r="T2669" s="108"/>
      <c r="U2669" s="108"/>
      <c r="V2669" s="108"/>
      <c r="W2669" s="108"/>
      <c r="X2669" s="108"/>
    </row>
    <row r="2670" spans="1:24">
      <c r="A2670" s="107"/>
      <c r="B2670" s="107"/>
      <c r="C2670" s="107"/>
      <c r="D2670" s="107"/>
      <c r="E2670" s="107"/>
      <c r="F2670" s="107"/>
      <c r="G2670" s="108"/>
      <c r="H2670" s="107"/>
      <c r="I2670" s="108"/>
      <c r="J2670" s="108"/>
      <c r="K2670" s="108"/>
      <c r="L2670" s="108"/>
      <c r="M2670" s="108"/>
      <c r="N2670" s="108"/>
      <c r="O2670" s="108"/>
      <c r="P2670" s="108"/>
      <c r="Q2670" s="108"/>
      <c r="R2670" s="108"/>
      <c r="S2670" s="108"/>
      <c r="T2670" s="108"/>
      <c r="U2670" s="108"/>
      <c r="V2670" s="108"/>
      <c r="W2670" s="108"/>
      <c r="X2670" s="108"/>
    </row>
    <row r="2671" spans="1:24">
      <c r="A2671" s="107"/>
      <c r="B2671" s="107"/>
      <c r="C2671" s="107"/>
      <c r="D2671" s="107"/>
      <c r="E2671" s="107"/>
      <c r="F2671" s="107"/>
      <c r="G2671" s="108"/>
      <c r="H2671" s="107"/>
      <c r="I2671" s="108"/>
      <c r="J2671" s="108"/>
      <c r="K2671" s="108"/>
      <c r="L2671" s="108"/>
      <c r="M2671" s="108"/>
      <c r="N2671" s="108"/>
      <c r="O2671" s="108"/>
      <c r="P2671" s="108"/>
      <c r="Q2671" s="108"/>
      <c r="R2671" s="108"/>
      <c r="S2671" s="108"/>
      <c r="T2671" s="108"/>
      <c r="U2671" s="108"/>
      <c r="V2671" s="108"/>
      <c r="W2671" s="108"/>
      <c r="X2671" s="108"/>
    </row>
    <row r="2672" spans="1:24">
      <c r="A2672" s="107"/>
      <c r="B2672" s="107"/>
      <c r="C2672" s="107"/>
      <c r="D2672" s="107"/>
      <c r="E2672" s="107"/>
      <c r="F2672" s="107"/>
      <c r="G2672" s="108"/>
      <c r="H2672" s="107"/>
      <c r="I2672" s="108"/>
      <c r="J2672" s="108"/>
      <c r="K2672" s="108"/>
      <c r="L2672" s="108"/>
      <c r="M2672" s="108"/>
      <c r="N2672" s="108"/>
      <c r="O2672" s="108"/>
      <c r="P2672" s="108"/>
      <c r="Q2672" s="108"/>
      <c r="R2672" s="108"/>
      <c r="S2672" s="108"/>
      <c r="T2672" s="108"/>
      <c r="U2672" s="108"/>
      <c r="V2672" s="108"/>
      <c r="W2672" s="108"/>
      <c r="X2672" s="108"/>
    </row>
    <row r="2673" spans="1:24">
      <c r="A2673" s="107"/>
      <c r="B2673" s="107"/>
      <c r="C2673" s="107"/>
      <c r="D2673" s="107"/>
      <c r="E2673" s="107"/>
      <c r="F2673" s="107"/>
      <c r="G2673" s="108"/>
      <c r="H2673" s="107"/>
      <c r="I2673" s="108"/>
      <c r="J2673" s="108"/>
      <c r="K2673" s="108"/>
      <c r="L2673" s="108"/>
      <c r="M2673" s="108"/>
      <c r="N2673" s="108"/>
      <c r="O2673" s="108"/>
      <c r="P2673" s="108"/>
      <c r="Q2673" s="108"/>
      <c r="R2673" s="108"/>
      <c r="S2673" s="108"/>
      <c r="T2673" s="108"/>
      <c r="U2673" s="108"/>
      <c r="V2673" s="108"/>
      <c r="W2673" s="108"/>
      <c r="X2673" s="108"/>
    </row>
    <row r="2674" spans="1:24">
      <c r="A2674" s="107"/>
      <c r="B2674" s="107"/>
      <c r="C2674" s="107"/>
      <c r="D2674" s="107"/>
      <c r="E2674" s="107"/>
      <c r="F2674" s="107"/>
      <c r="G2674" s="108"/>
      <c r="H2674" s="107"/>
      <c r="I2674" s="108"/>
      <c r="J2674" s="108"/>
      <c r="K2674" s="108"/>
      <c r="L2674" s="108"/>
      <c r="M2674" s="108"/>
      <c r="N2674" s="108"/>
      <c r="O2674" s="108"/>
      <c r="P2674" s="108"/>
      <c r="Q2674" s="108"/>
      <c r="R2674" s="108"/>
      <c r="S2674" s="108"/>
      <c r="T2674" s="108"/>
      <c r="U2674" s="108"/>
      <c r="V2674" s="108"/>
      <c r="W2674" s="108"/>
      <c r="X2674" s="108"/>
    </row>
    <row r="2675" spans="1:24">
      <c r="A2675" s="107"/>
      <c r="B2675" s="107"/>
      <c r="C2675" s="107"/>
      <c r="D2675" s="107"/>
      <c r="E2675" s="107"/>
      <c r="F2675" s="107"/>
      <c r="G2675" s="108"/>
      <c r="H2675" s="107"/>
      <c r="I2675" s="108"/>
      <c r="J2675" s="108"/>
      <c r="K2675" s="108"/>
      <c r="L2675" s="108"/>
      <c r="M2675" s="108"/>
      <c r="N2675" s="108"/>
      <c r="O2675" s="108"/>
      <c r="P2675" s="108"/>
      <c r="Q2675" s="108"/>
      <c r="R2675" s="108"/>
      <c r="S2675" s="108"/>
      <c r="T2675" s="108"/>
      <c r="U2675" s="108"/>
      <c r="V2675" s="108"/>
      <c r="W2675" s="108"/>
      <c r="X2675" s="108"/>
    </row>
    <row r="2676" spans="1:24">
      <c r="A2676" s="107"/>
      <c r="B2676" s="107"/>
      <c r="C2676" s="107"/>
      <c r="D2676" s="107"/>
      <c r="E2676" s="107"/>
      <c r="F2676" s="107"/>
      <c r="G2676" s="108"/>
      <c r="H2676" s="107"/>
      <c r="I2676" s="108"/>
      <c r="J2676" s="108"/>
      <c r="K2676" s="108"/>
      <c r="L2676" s="108"/>
      <c r="M2676" s="108"/>
      <c r="N2676" s="108"/>
      <c r="O2676" s="108"/>
      <c r="P2676" s="108"/>
      <c r="Q2676" s="108"/>
      <c r="R2676" s="108"/>
      <c r="S2676" s="108"/>
      <c r="T2676" s="108"/>
      <c r="U2676" s="108"/>
      <c r="V2676" s="108"/>
      <c r="W2676" s="108"/>
      <c r="X2676" s="108"/>
    </row>
    <row r="2677" spans="1:24">
      <c r="A2677" s="107"/>
      <c r="B2677" s="107"/>
      <c r="C2677" s="107"/>
      <c r="D2677" s="107"/>
      <c r="E2677" s="107"/>
      <c r="F2677" s="107"/>
      <c r="G2677" s="108"/>
      <c r="H2677" s="107"/>
      <c r="I2677" s="108"/>
      <c r="J2677" s="108"/>
      <c r="K2677" s="108"/>
      <c r="L2677" s="108"/>
      <c r="M2677" s="108"/>
      <c r="N2677" s="108"/>
      <c r="O2677" s="108"/>
      <c r="P2677" s="108"/>
      <c r="Q2677" s="108"/>
      <c r="R2677" s="108"/>
      <c r="S2677" s="108"/>
      <c r="T2677" s="108"/>
      <c r="U2677" s="108"/>
      <c r="V2677" s="108"/>
      <c r="W2677" s="108"/>
      <c r="X2677" s="108"/>
    </row>
    <row r="2678" spans="1:24">
      <c r="A2678" s="107"/>
      <c r="B2678" s="107"/>
      <c r="C2678" s="107"/>
      <c r="D2678" s="107"/>
      <c r="E2678" s="107"/>
      <c r="F2678" s="107"/>
      <c r="G2678" s="108"/>
      <c r="H2678" s="107"/>
      <c r="I2678" s="108"/>
      <c r="J2678" s="108"/>
      <c r="K2678" s="108"/>
      <c r="L2678" s="108"/>
      <c r="M2678" s="108"/>
      <c r="N2678" s="108"/>
      <c r="O2678" s="108"/>
      <c r="P2678" s="108"/>
      <c r="Q2678" s="108"/>
      <c r="R2678" s="108"/>
      <c r="S2678" s="108"/>
      <c r="T2678" s="108"/>
      <c r="U2678" s="108"/>
      <c r="V2678" s="108"/>
      <c r="W2678" s="108"/>
      <c r="X2678" s="108"/>
    </row>
    <row r="2679" spans="1:24">
      <c r="A2679" s="107"/>
      <c r="B2679" s="107"/>
      <c r="C2679" s="107"/>
      <c r="D2679" s="107"/>
      <c r="E2679" s="107"/>
      <c r="F2679" s="107"/>
      <c r="G2679" s="108"/>
      <c r="H2679" s="107"/>
      <c r="I2679" s="108"/>
      <c r="J2679" s="108"/>
      <c r="K2679" s="108"/>
      <c r="L2679" s="108"/>
      <c r="M2679" s="108"/>
      <c r="N2679" s="108"/>
      <c r="O2679" s="108"/>
      <c r="P2679" s="108"/>
      <c r="Q2679" s="108"/>
      <c r="R2679" s="108"/>
      <c r="S2679" s="108"/>
      <c r="T2679" s="108"/>
      <c r="U2679" s="108"/>
      <c r="V2679" s="108"/>
      <c r="W2679" s="108"/>
      <c r="X2679" s="108"/>
    </row>
    <row r="2680" spans="1:24">
      <c r="A2680" s="107"/>
      <c r="B2680" s="107"/>
      <c r="C2680" s="107"/>
      <c r="D2680" s="107"/>
      <c r="E2680" s="107"/>
      <c r="F2680" s="107"/>
      <c r="G2680" s="108"/>
      <c r="H2680" s="107"/>
      <c r="I2680" s="108"/>
      <c r="J2680" s="108"/>
      <c r="K2680" s="108"/>
      <c r="L2680" s="108"/>
      <c r="M2680" s="108"/>
      <c r="N2680" s="108"/>
      <c r="O2680" s="108"/>
      <c r="P2680" s="108"/>
      <c r="Q2680" s="108"/>
      <c r="R2680" s="108"/>
      <c r="S2680" s="108"/>
      <c r="T2680" s="108"/>
      <c r="U2680" s="108"/>
      <c r="V2680" s="108"/>
      <c r="W2680" s="108"/>
      <c r="X2680" s="108"/>
    </row>
    <row r="2681" spans="1:24">
      <c r="A2681" s="107"/>
      <c r="B2681" s="107"/>
      <c r="C2681" s="107"/>
      <c r="D2681" s="107"/>
      <c r="E2681" s="107"/>
      <c r="F2681" s="107"/>
      <c r="G2681" s="108"/>
      <c r="H2681" s="107"/>
      <c r="I2681" s="108"/>
      <c r="J2681" s="108"/>
      <c r="K2681" s="108"/>
      <c r="L2681" s="108"/>
      <c r="M2681" s="108"/>
      <c r="N2681" s="108"/>
      <c r="O2681" s="108"/>
      <c r="P2681" s="108"/>
      <c r="Q2681" s="108"/>
      <c r="R2681" s="108"/>
      <c r="S2681" s="108"/>
      <c r="T2681" s="108"/>
      <c r="U2681" s="108"/>
      <c r="V2681" s="108"/>
      <c r="W2681" s="108"/>
      <c r="X2681" s="108"/>
    </row>
    <row r="2682" spans="1:24">
      <c r="A2682" s="107"/>
      <c r="B2682" s="107"/>
      <c r="C2682" s="107"/>
      <c r="D2682" s="107"/>
      <c r="E2682" s="107"/>
      <c r="F2682" s="107"/>
      <c r="G2682" s="108"/>
      <c r="H2682" s="107"/>
      <c r="I2682" s="108"/>
      <c r="J2682" s="108"/>
      <c r="K2682" s="108"/>
      <c r="L2682" s="108"/>
      <c r="M2682" s="108"/>
      <c r="N2682" s="108"/>
      <c r="O2682" s="108"/>
      <c r="P2682" s="108"/>
      <c r="Q2682" s="108"/>
      <c r="R2682" s="108"/>
      <c r="S2682" s="108"/>
      <c r="T2682" s="108"/>
      <c r="U2682" s="108"/>
      <c r="V2682" s="108"/>
      <c r="W2682" s="108"/>
      <c r="X2682" s="108"/>
    </row>
    <row r="2683" spans="1:24">
      <c r="A2683" s="107"/>
      <c r="B2683" s="107"/>
      <c r="C2683" s="107"/>
      <c r="D2683" s="107"/>
      <c r="E2683" s="107"/>
      <c r="F2683" s="107"/>
      <c r="G2683" s="108"/>
      <c r="H2683" s="107"/>
      <c r="I2683" s="108"/>
      <c r="J2683" s="108"/>
      <c r="K2683" s="108"/>
      <c r="L2683" s="108"/>
      <c r="M2683" s="108"/>
      <c r="N2683" s="108"/>
      <c r="O2683" s="108"/>
      <c r="P2683" s="108"/>
      <c r="Q2683" s="108"/>
      <c r="R2683" s="108"/>
      <c r="S2683" s="108"/>
      <c r="T2683" s="108"/>
      <c r="U2683" s="108"/>
      <c r="V2683" s="108"/>
      <c r="W2683" s="108"/>
      <c r="X2683" s="108"/>
    </row>
    <row r="2684" spans="1:24">
      <c r="A2684" s="107"/>
      <c r="B2684" s="107"/>
      <c r="C2684" s="107"/>
      <c r="D2684" s="107"/>
      <c r="E2684" s="107"/>
      <c r="F2684" s="107"/>
      <c r="G2684" s="108"/>
      <c r="H2684" s="107"/>
      <c r="I2684" s="108"/>
      <c r="J2684" s="108"/>
      <c r="K2684" s="108"/>
      <c r="L2684" s="108"/>
      <c r="M2684" s="108"/>
      <c r="N2684" s="108"/>
      <c r="O2684" s="108"/>
      <c r="P2684" s="108"/>
      <c r="Q2684" s="108"/>
      <c r="R2684" s="108"/>
      <c r="S2684" s="108"/>
      <c r="T2684" s="108"/>
      <c r="U2684" s="108"/>
      <c r="V2684" s="108"/>
      <c r="W2684" s="108"/>
      <c r="X2684" s="108"/>
    </row>
    <row r="2685" spans="1:24">
      <c r="A2685" s="107"/>
      <c r="B2685" s="107"/>
      <c r="C2685" s="107"/>
      <c r="D2685" s="107"/>
      <c r="E2685" s="107"/>
      <c r="F2685" s="107"/>
      <c r="G2685" s="108"/>
      <c r="H2685" s="107"/>
      <c r="I2685" s="108"/>
      <c r="J2685" s="108"/>
      <c r="K2685" s="108"/>
      <c r="L2685" s="108"/>
      <c r="M2685" s="108"/>
      <c r="N2685" s="108"/>
      <c r="O2685" s="108"/>
      <c r="P2685" s="108"/>
      <c r="Q2685" s="108"/>
      <c r="R2685" s="108"/>
      <c r="S2685" s="108"/>
      <c r="T2685" s="108"/>
      <c r="U2685" s="108"/>
      <c r="V2685" s="108"/>
      <c r="W2685" s="108"/>
      <c r="X2685" s="108"/>
    </row>
    <row r="2686" spans="1:24">
      <c r="A2686" s="107"/>
      <c r="B2686" s="107"/>
      <c r="C2686" s="107"/>
      <c r="D2686" s="107"/>
      <c r="E2686" s="107"/>
      <c r="F2686" s="107"/>
      <c r="G2686" s="108"/>
      <c r="H2686" s="107"/>
      <c r="I2686" s="108"/>
      <c r="J2686" s="108"/>
      <c r="K2686" s="108"/>
      <c r="L2686" s="108"/>
      <c r="M2686" s="108"/>
      <c r="N2686" s="108"/>
      <c r="O2686" s="108"/>
      <c r="P2686" s="108"/>
      <c r="Q2686" s="108"/>
      <c r="R2686" s="108"/>
      <c r="S2686" s="108"/>
      <c r="T2686" s="108"/>
      <c r="U2686" s="108"/>
      <c r="V2686" s="108"/>
      <c r="W2686" s="108"/>
      <c r="X2686" s="108"/>
    </row>
    <row r="2687" spans="1:24">
      <c r="A2687" s="107"/>
      <c r="B2687" s="107"/>
      <c r="C2687" s="107"/>
      <c r="D2687" s="107"/>
      <c r="E2687" s="107"/>
      <c r="F2687" s="107"/>
      <c r="G2687" s="108"/>
      <c r="H2687" s="107"/>
      <c r="I2687" s="108"/>
      <c r="J2687" s="108"/>
      <c r="K2687" s="108"/>
      <c r="L2687" s="108"/>
      <c r="M2687" s="108"/>
      <c r="N2687" s="108"/>
      <c r="O2687" s="108"/>
      <c r="P2687" s="108"/>
      <c r="Q2687" s="108"/>
      <c r="R2687" s="108"/>
      <c r="S2687" s="108"/>
      <c r="T2687" s="108"/>
      <c r="U2687" s="108"/>
      <c r="V2687" s="108"/>
      <c r="W2687" s="108"/>
      <c r="X2687" s="108"/>
    </row>
    <row r="2688" spans="1:24">
      <c r="A2688" s="107"/>
      <c r="B2688" s="107"/>
      <c r="C2688" s="107"/>
      <c r="D2688" s="107"/>
      <c r="E2688" s="107"/>
      <c r="F2688" s="107"/>
      <c r="G2688" s="108"/>
      <c r="H2688" s="107"/>
      <c r="I2688" s="108"/>
      <c r="J2688" s="108"/>
      <c r="K2688" s="108"/>
      <c r="L2688" s="108"/>
      <c r="M2688" s="108"/>
      <c r="N2688" s="108"/>
      <c r="O2688" s="108"/>
      <c r="P2688" s="108"/>
      <c r="Q2688" s="108"/>
      <c r="R2688" s="108"/>
      <c r="S2688" s="108"/>
      <c r="T2688" s="108"/>
      <c r="U2688" s="108"/>
      <c r="V2688" s="108"/>
      <c r="W2688" s="108"/>
      <c r="X2688" s="108"/>
    </row>
    <row r="2689" spans="1:24">
      <c r="A2689" s="107"/>
      <c r="B2689" s="107"/>
      <c r="C2689" s="107"/>
      <c r="D2689" s="107"/>
      <c r="E2689" s="107"/>
      <c r="F2689" s="107"/>
      <c r="G2689" s="108"/>
      <c r="H2689" s="107"/>
      <c r="I2689" s="108"/>
      <c r="J2689" s="108"/>
      <c r="K2689" s="108"/>
      <c r="L2689" s="108"/>
      <c r="M2689" s="108"/>
      <c r="N2689" s="108"/>
      <c r="O2689" s="108"/>
      <c r="P2689" s="108"/>
      <c r="Q2689" s="108"/>
      <c r="R2689" s="108"/>
      <c r="S2689" s="108"/>
      <c r="T2689" s="108"/>
      <c r="U2689" s="108"/>
      <c r="V2689" s="108"/>
      <c r="W2689" s="108"/>
      <c r="X2689" s="108"/>
    </row>
    <row r="2690" spans="1:24">
      <c r="A2690" s="107"/>
      <c r="B2690" s="107"/>
      <c r="C2690" s="107"/>
      <c r="D2690" s="107"/>
      <c r="E2690" s="107"/>
      <c r="F2690" s="107"/>
      <c r="G2690" s="108"/>
      <c r="H2690" s="107"/>
      <c r="I2690" s="108"/>
      <c r="J2690" s="108"/>
      <c r="K2690" s="108"/>
      <c r="L2690" s="108"/>
      <c r="M2690" s="108"/>
      <c r="N2690" s="108"/>
      <c r="O2690" s="108"/>
      <c r="P2690" s="108"/>
      <c r="Q2690" s="108"/>
      <c r="R2690" s="108"/>
      <c r="S2690" s="108"/>
      <c r="T2690" s="108"/>
      <c r="U2690" s="108"/>
      <c r="V2690" s="108"/>
      <c r="W2690" s="108"/>
      <c r="X2690" s="108"/>
    </row>
    <row r="2691" spans="1:24">
      <c r="A2691" s="107"/>
      <c r="B2691" s="107"/>
      <c r="C2691" s="107"/>
      <c r="D2691" s="107"/>
      <c r="E2691" s="107"/>
      <c r="F2691" s="107"/>
      <c r="G2691" s="108"/>
      <c r="H2691" s="107"/>
      <c r="I2691" s="108"/>
      <c r="J2691" s="108"/>
      <c r="K2691" s="108"/>
      <c r="L2691" s="108"/>
      <c r="M2691" s="108"/>
      <c r="N2691" s="108"/>
      <c r="O2691" s="108"/>
      <c r="P2691" s="108"/>
      <c r="Q2691" s="108"/>
      <c r="R2691" s="108"/>
      <c r="S2691" s="108"/>
      <c r="T2691" s="108"/>
      <c r="U2691" s="108"/>
      <c r="V2691" s="108"/>
      <c r="W2691" s="108"/>
      <c r="X2691" s="108"/>
    </row>
    <row r="2692" spans="1:24">
      <c r="A2692" s="107"/>
      <c r="B2692" s="107"/>
      <c r="C2692" s="107"/>
      <c r="D2692" s="107"/>
      <c r="E2692" s="107"/>
      <c r="F2692" s="107"/>
      <c r="G2692" s="108"/>
      <c r="H2692" s="107"/>
      <c r="I2692" s="108"/>
      <c r="J2692" s="108"/>
      <c r="K2692" s="108"/>
      <c r="L2692" s="108"/>
      <c r="M2692" s="108"/>
      <c r="N2692" s="108"/>
      <c r="O2692" s="108"/>
      <c r="P2692" s="108"/>
      <c r="Q2692" s="108"/>
      <c r="R2692" s="108"/>
      <c r="S2692" s="108"/>
      <c r="T2692" s="108"/>
      <c r="U2692" s="108"/>
      <c r="V2692" s="108"/>
      <c r="W2692" s="108"/>
      <c r="X2692" s="108"/>
    </row>
    <row r="2693" spans="1:24">
      <c r="A2693" s="107"/>
      <c r="B2693" s="107"/>
      <c r="C2693" s="107"/>
      <c r="D2693" s="107"/>
      <c r="E2693" s="107"/>
      <c r="F2693" s="107"/>
      <c r="G2693" s="108"/>
      <c r="H2693" s="107"/>
      <c r="I2693" s="108"/>
      <c r="J2693" s="108"/>
      <c r="K2693" s="108"/>
      <c r="L2693" s="108"/>
      <c r="M2693" s="108"/>
      <c r="N2693" s="108"/>
      <c r="O2693" s="108"/>
      <c r="P2693" s="108"/>
      <c r="Q2693" s="108"/>
      <c r="R2693" s="108"/>
      <c r="S2693" s="108"/>
      <c r="T2693" s="108"/>
      <c r="U2693" s="108"/>
      <c r="V2693" s="108"/>
      <c r="W2693" s="108"/>
      <c r="X2693" s="108"/>
    </row>
    <row r="2694" spans="1:24">
      <c r="A2694" s="107"/>
      <c r="B2694" s="107"/>
      <c r="C2694" s="107"/>
      <c r="D2694" s="107"/>
      <c r="E2694" s="107"/>
      <c r="F2694" s="107"/>
      <c r="G2694" s="108"/>
      <c r="H2694" s="107"/>
      <c r="I2694" s="108"/>
      <c r="J2694" s="108"/>
      <c r="K2694" s="108"/>
      <c r="L2694" s="108"/>
      <c r="M2694" s="108"/>
      <c r="N2694" s="108"/>
      <c r="O2694" s="108"/>
      <c r="P2694" s="108"/>
      <c r="Q2694" s="108"/>
      <c r="R2694" s="108"/>
      <c r="S2694" s="108"/>
      <c r="T2694" s="108"/>
      <c r="U2694" s="108"/>
      <c r="V2694" s="108"/>
      <c r="W2694" s="108"/>
      <c r="X2694" s="108"/>
    </row>
    <row r="2695" spans="1:24">
      <c r="A2695" s="107"/>
      <c r="B2695" s="107"/>
      <c r="C2695" s="107"/>
      <c r="D2695" s="107"/>
      <c r="E2695" s="107"/>
      <c r="F2695" s="107"/>
      <c r="G2695" s="108"/>
      <c r="H2695" s="107"/>
      <c r="I2695" s="108"/>
      <c r="J2695" s="108"/>
      <c r="K2695" s="108"/>
      <c r="L2695" s="108"/>
      <c r="M2695" s="108"/>
      <c r="N2695" s="108"/>
      <c r="O2695" s="108"/>
      <c r="P2695" s="108"/>
      <c r="Q2695" s="108"/>
      <c r="R2695" s="108"/>
      <c r="S2695" s="108"/>
      <c r="T2695" s="108"/>
      <c r="U2695" s="108"/>
      <c r="V2695" s="108"/>
      <c r="W2695" s="108"/>
      <c r="X2695" s="108"/>
    </row>
    <row r="2696" spans="1:24">
      <c r="A2696" s="107"/>
      <c r="B2696" s="107"/>
      <c r="C2696" s="107"/>
      <c r="D2696" s="107"/>
      <c r="E2696" s="107"/>
      <c r="F2696" s="107"/>
      <c r="G2696" s="108"/>
      <c r="H2696" s="107"/>
      <c r="I2696" s="108"/>
      <c r="J2696" s="108"/>
      <c r="K2696" s="108"/>
      <c r="L2696" s="108"/>
      <c r="M2696" s="108"/>
      <c r="N2696" s="108"/>
      <c r="O2696" s="108"/>
      <c r="P2696" s="108"/>
      <c r="Q2696" s="108"/>
      <c r="R2696" s="108"/>
      <c r="S2696" s="108"/>
      <c r="T2696" s="108"/>
      <c r="U2696" s="108"/>
      <c r="V2696" s="108"/>
      <c r="W2696" s="108"/>
      <c r="X2696" s="108"/>
    </row>
    <row r="2697" spans="1:24">
      <c r="A2697" s="107"/>
      <c r="B2697" s="107"/>
      <c r="C2697" s="107"/>
      <c r="D2697" s="107"/>
      <c r="E2697" s="107"/>
      <c r="F2697" s="107"/>
      <c r="G2697" s="108"/>
      <c r="H2697" s="107"/>
      <c r="I2697" s="108"/>
      <c r="J2697" s="108"/>
      <c r="K2697" s="108"/>
      <c r="L2697" s="108"/>
      <c r="M2697" s="108"/>
      <c r="N2697" s="108"/>
      <c r="O2697" s="108"/>
      <c r="P2697" s="108"/>
      <c r="Q2697" s="108"/>
      <c r="R2697" s="108"/>
      <c r="S2697" s="108"/>
      <c r="T2697" s="108"/>
      <c r="U2697" s="108"/>
      <c r="V2697" s="108"/>
      <c r="W2697" s="108"/>
      <c r="X2697" s="108"/>
    </row>
    <row r="2698" spans="1:24">
      <c r="A2698" s="107"/>
      <c r="B2698" s="107"/>
      <c r="C2698" s="107"/>
      <c r="D2698" s="107"/>
      <c r="E2698" s="107"/>
      <c r="F2698" s="107"/>
      <c r="G2698" s="108"/>
      <c r="H2698" s="107"/>
      <c r="I2698" s="108"/>
      <c r="J2698" s="108"/>
      <c r="K2698" s="108"/>
      <c r="L2698" s="108"/>
      <c r="M2698" s="108"/>
      <c r="N2698" s="108"/>
      <c r="O2698" s="108"/>
      <c r="P2698" s="108"/>
      <c r="Q2698" s="108"/>
      <c r="R2698" s="108"/>
      <c r="S2698" s="108"/>
      <c r="T2698" s="108"/>
      <c r="U2698" s="108"/>
      <c r="V2698" s="108"/>
      <c r="W2698" s="108"/>
      <c r="X2698" s="108"/>
    </row>
    <row r="2699" spans="1:24">
      <c r="A2699" s="107"/>
      <c r="B2699" s="107"/>
      <c r="C2699" s="107"/>
      <c r="D2699" s="107"/>
      <c r="E2699" s="107"/>
      <c r="F2699" s="107"/>
      <c r="G2699" s="108"/>
      <c r="H2699" s="107"/>
      <c r="I2699" s="108"/>
      <c r="J2699" s="108"/>
      <c r="K2699" s="108"/>
      <c r="L2699" s="108"/>
      <c r="M2699" s="108"/>
      <c r="N2699" s="108"/>
      <c r="O2699" s="108"/>
      <c r="P2699" s="108"/>
      <c r="Q2699" s="108"/>
      <c r="R2699" s="108"/>
      <c r="S2699" s="108"/>
      <c r="T2699" s="108"/>
      <c r="U2699" s="108"/>
      <c r="V2699" s="108"/>
      <c r="W2699" s="108"/>
      <c r="X2699" s="108"/>
    </row>
    <row r="2700" spans="1:24">
      <c r="A2700" s="107"/>
      <c r="B2700" s="107"/>
      <c r="C2700" s="107"/>
      <c r="D2700" s="107"/>
      <c r="E2700" s="107"/>
      <c r="F2700" s="107"/>
      <c r="G2700" s="108"/>
      <c r="H2700" s="107"/>
      <c r="I2700" s="108"/>
      <c r="J2700" s="108"/>
      <c r="K2700" s="108"/>
      <c r="L2700" s="108"/>
      <c r="M2700" s="108"/>
      <c r="N2700" s="108"/>
      <c r="O2700" s="108"/>
      <c r="P2700" s="108"/>
      <c r="Q2700" s="108"/>
      <c r="R2700" s="108"/>
      <c r="S2700" s="108"/>
      <c r="T2700" s="108"/>
      <c r="U2700" s="108"/>
      <c r="V2700" s="108"/>
      <c r="W2700" s="108"/>
      <c r="X2700" s="108"/>
    </row>
    <row r="2701" spans="1:24">
      <c r="A2701" s="107"/>
      <c r="B2701" s="107"/>
      <c r="C2701" s="107"/>
      <c r="D2701" s="107"/>
      <c r="E2701" s="107"/>
      <c r="F2701" s="107"/>
      <c r="G2701" s="108"/>
      <c r="H2701" s="107"/>
      <c r="I2701" s="108"/>
      <c r="J2701" s="108"/>
      <c r="K2701" s="108"/>
      <c r="L2701" s="108"/>
      <c r="M2701" s="108"/>
      <c r="N2701" s="108"/>
      <c r="O2701" s="108"/>
      <c r="P2701" s="108"/>
      <c r="Q2701" s="108"/>
      <c r="R2701" s="108"/>
      <c r="S2701" s="108"/>
      <c r="T2701" s="108"/>
      <c r="U2701" s="108"/>
      <c r="V2701" s="108"/>
      <c r="W2701" s="108"/>
      <c r="X2701" s="108"/>
    </row>
    <row r="2702" spans="1:24">
      <c r="A2702" s="107"/>
      <c r="B2702" s="107"/>
      <c r="C2702" s="107"/>
      <c r="D2702" s="107"/>
      <c r="E2702" s="107"/>
      <c r="F2702" s="107"/>
      <c r="G2702" s="108"/>
      <c r="H2702" s="107"/>
      <c r="I2702" s="108"/>
      <c r="J2702" s="108"/>
      <c r="K2702" s="108"/>
      <c r="L2702" s="108"/>
      <c r="M2702" s="108"/>
      <c r="N2702" s="108"/>
      <c r="O2702" s="108"/>
      <c r="P2702" s="108"/>
      <c r="Q2702" s="108"/>
      <c r="R2702" s="108"/>
      <c r="S2702" s="108"/>
      <c r="T2702" s="108"/>
      <c r="U2702" s="108"/>
      <c r="V2702" s="108"/>
      <c r="W2702" s="108"/>
      <c r="X2702" s="108"/>
    </row>
    <row r="2703" spans="1:24">
      <c r="A2703" s="107"/>
      <c r="B2703" s="107"/>
      <c r="C2703" s="107"/>
      <c r="D2703" s="107"/>
      <c r="E2703" s="107"/>
      <c r="F2703" s="107"/>
      <c r="G2703" s="108"/>
      <c r="H2703" s="107"/>
      <c r="I2703" s="108"/>
      <c r="J2703" s="108"/>
      <c r="K2703" s="108"/>
      <c r="L2703" s="108"/>
      <c r="M2703" s="108"/>
      <c r="N2703" s="108"/>
      <c r="O2703" s="108"/>
      <c r="P2703" s="108"/>
      <c r="Q2703" s="108"/>
      <c r="R2703" s="108"/>
      <c r="S2703" s="108"/>
      <c r="T2703" s="108"/>
      <c r="U2703" s="108"/>
      <c r="V2703" s="108"/>
      <c r="W2703" s="108"/>
      <c r="X2703" s="108"/>
    </row>
    <row r="2704" spans="1:24">
      <c r="A2704" s="107"/>
      <c r="B2704" s="107"/>
      <c r="C2704" s="107"/>
      <c r="D2704" s="107"/>
      <c r="E2704" s="107"/>
      <c r="F2704" s="107"/>
      <c r="G2704" s="108"/>
      <c r="H2704" s="107"/>
      <c r="I2704" s="108"/>
      <c r="J2704" s="108"/>
      <c r="K2704" s="108"/>
      <c r="L2704" s="108"/>
      <c r="M2704" s="108"/>
      <c r="N2704" s="108"/>
      <c r="O2704" s="108"/>
      <c r="P2704" s="108"/>
      <c r="Q2704" s="108"/>
      <c r="R2704" s="108"/>
      <c r="S2704" s="108"/>
      <c r="T2704" s="108"/>
      <c r="U2704" s="108"/>
      <c r="V2704" s="108"/>
      <c r="W2704" s="108"/>
      <c r="X2704" s="108"/>
    </row>
    <row r="2705" spans="1:24">
      <c r="A2705" s="107"/>
      <c r="B2705" s="107"/>
      <c r="C2705" s="107"/>
      <c r="D2705" s="107"/>
      <c r="E2705" s="107"/>
      <c r="F2705" s="107"/>
      <c r="G2705" s="108"/>
      <c r="H2705" s="107"/>
      <c r="I2705" s="108"/>
      <c r="J2705" s="108"/>
      <c r="K2705" s="108"/>
      <c r="L2705" s="108"/>
      <c r="M2705" s="108"/>
      <c r="N2705" s="108"/>
      <c r="O2705" s="108"/>
      <c r="P2705" s="108"/>
      <c r="Q2705" s="108"/>
      <c r="R2705" s="108"/>
      <c r="S2705" s="108"/>
      <c r="T2705" s="108"/>
      <c r="U2705" s="108"/>
      <c r="V2705" s="108"/>
      <c r="W2705" s="108"/>
      <c r="X2705" s="108"/>
    </row>
    <row r="2706" spans="1:24">
      <c r="A2706" s="107"/>
      <c r="B2706" s="107"/>
      <c r="C2706" s="107"/>
      <c r="D2706" s="107"/>
      <c r="E2706" s="107"/>
      <c r="F2706" s="107"/>
      <c r="G2706" s="108"/>
      <c r="H2706" s="107"/>
      <c r="I2706" s="108"/>
      <c r="J2706" s="108"/>
      <c r="K2706" s="108"/>
      <c r="L2706" s="108"/>
      <c r="M2706" s="108"/>
      <c r="N2706" s="108"/>
      <c r="O2706" s="108"/>
      <c r="P2706" s="108"/>
      <c r="Q2706" s="108"/>
      <c r="R2706" s="108"/>
      <c r="S2706" s="108"/>
      <c r="T2706" s="108"/>
      <c r="U2706" s="108"/>
      <c r="V2706" s="108"/>
      <c r="W2706" s="108"/>
      <c r="X2706" s="108"/>
    </row>
    <row r="2707" spans="1:24">
      <c r="A2707" s="107"/>
      <c r="B2707" s="107"/>
      <c r="C2707" s="107"/>
      <c r="D2707" s="107"/>
      <c r="E2707" s="107"/>
      <c r="F2707" s="107"/>
      <c r="G2707" s="108"/>
      <c r="H2707" s="107"/>
      <c r="I2707" s="108"/>
      <c r="J2707" s="108"/>
      <c r="K2707" s="108"/>
      <c r="L2707" s="108"/>
      <c r="M2707" s="108"/>
      <c r="N2707" s="108"/>
      <c r="O2707" s="108"/>
      <c r="P2707" s="108"/>
      <c r="Q2707" s="108"/>
      <c r="R2707" s="108"/>
      <c r="S2707" s="108"/>
      <c r="T2707" s="108"/>
      <c r="U2707" s="108"/>
      <c r="V2707" s="108"/>
      <c r="W2707" s="108"/>
      <c r="X2707" s="108"/>
    </row>
    <row r="2708" spans="1:24">
      <c r="A2708" s="107"/>
      <c r="B2708" s="107"/>
      <c r="C2708" s="107"/>
      <c r="D2708" s="107"/>
      <c r="E2708" s="107"/>
      <c r="F2708" s="107"/>
      <c r="G2708" s="108"/>
      <c r="H2708" s="107"/>
      <c r="I2708" s="108"/>
      <c r="J2708" s="108"/>
      <c r="K2708" s="108"/>
      <c r="L2708" s="108"/>
      <c r="M2708" s="108"/>
      <c r="N2708" s="108"/>
      <c r="O2708" s="108"/>
      <c r="P2708" s="108"/>
      <c r="Q2708" s="108"/>
      <c r="R2708" s="108"/>
      <c r="S2708" s="108"/>
      <c r="T2708" s="108"/>
      <c r="U2708" s="108"/>
      <c r="V2708" s="108"/>
      <c r="W2708" s="108"/>
      <c r="X2708" s="108"/>
    </row>
    <row r="2709" spans="1:24">
      <c r="A2709" s="107"/>
      <c r="B2709" s="107"/>
      <c r="C2709" s="107"/>
      <c r="D2709" s="107"/>
      <c r="E2709" s="107"/>
      <c r="F2709" s="107"/>
      <c r="G2709" s="108"/>
      <c r="H2709" s="107"/>
      <c r="I2709" s="108"/>
      <c r="J2709" s="108"/>
      <c r="K2709" s="108"/>
      <c r="L2709" s="108"/>
      <c r="M2709" s="108"/>
      <c r="N2709" s="108"/>
      <c r="O2709" s="108"/>
      <c r="P2709" s="108"/>
      <c r="Q2709" s="108"/>
      <c r="R2709" s="108"/>
      <c r="S2709" s="108"/>
      <c r="T2709" s="108"/>
      <c r="U2709" s="108"/>
      <c r="V2709" s="108"/>
      <c r="W2709" s="108"/>
      <c r="X2709" s="108"/>
    </row>
    <row r="2710" spans="1:24">
      <c r="A2710" s="107"/>
      <c r="B2710" s="107"/>
      <c r="C2710" s="107"/>
      <c r="D2710" s="107"/>
      <c r="E2710" s="107"/>
      <c r="F2710" s="107"/>
      <c r="G2710" s="108"/>
      <c r="H2710" s="107"/>
      <c r="I2710" s="108"/>
      <c r="J2710" s="108"/>
      <c r="K2710" s="108"/>
      <c r="L2710" s="108"/>
      <c r="M2710" s="108"/>
      <c r="N2710" s="108"/>
      <c r="O2710" s="108"/>
      <c r="P2710" s="108"/>
      <c r="Q2710" s="108"/>
      <c r="R2710" s="108"/>
      <c r="S2710" s="108"/>
      <c r="T2710" s="108"/>
      <c r="U2710" s="108"/>
      <c r="V2710" s="108"/>
      <c r="W2710" s="108"/>
      <c r="X2710" s="108"/>
    </row>
    <row r="2711" spans="1:24">
      <c r="A2711" s="107"/>
      <c r="B2711" s="107"/>
      <c r="C2711" s="107"/>
      <c r="D2711" s="107"/>
      <c r="E2711" s="107"/>
      <c r="F2711" s="107"/>
      <c r="G2711" s="108"/>
      <c r="H2711" s="107"/>
      <c r="I2711" s="108"/>
      <c r="J2711" s="108"/>
      <c r="K2711" s="108"/>
      <c r="L2711" s="108"/>
      <c r="M2711" s="108"/>
      <c r="N2711" s="108"/>
      <c r="O2711" s="108"/>
      <c r="P2711" s="108"/>
      <c r="Q2711" s="108"/>
      <c r="R2711" s="108"/>
      <c r="S2711" s="108"/>
      <c r="T2711" s="108"/>
      <c r="U2711" s="108"/>
      <c r="V2711" s="108"/>
      <c r="W2711" s="108"/>
      <c r="X2711" s="108"/>
    </row>
    <row r="2712" spans="1:24">
      <c r="A2712" s="107"/>
      <c r="B2712" s="107"/>
      <c r="C2712" s="107"/>
      <c r="D2712" s="107"/>
      <c r="E2712" s="107"/>
      <c r="F2712" s="107"/>
      <c r="G2712" s="108"/>
      <c r="H2712" s="107"/>
      <c r="I2712" s="108"/>
      <c r="J2712" s="108"/>
      <c r="K2712" s="108"/>
      <c r="L2712" s="108"/>
      <c r="M2712" s="108"/>
      <c r="N2712" s="108"/>
      <c r="O2712" s="108"/>
      <c r="P2712" s="108"/>
      <c r="Q2712" s="108"/>
      <c r="R2712" s="108"/>
      <c r="S2712" s="108"/>
      <c r="T2712" s="108"/>
      <c r="U2712" s="108"/>
      <c r="V2712" s="108"/>
      <c r="W2712" s="108"/>
      <c r="X2712" s="108"/>
    </row>
    <row r="2713" spans="1:24">
      <c r="A2713" s="107"/>
      <c r="B2713" s="107"/>
      <c r="C2713" s="107"/>
      <c r="D2713" s="107"/>
      <c r="E2713" s="107"/>
      <c r="F2713" s="107"/>
      <c r="G2713" s="108"/>
      <c r="H2713" s="107"/>
      <c r="I2713" s="108"/>
      <c r="J2713" s="108"/>
      <c r="K2713" s="108"/>
      <c r="L2713" s="108"/>
      <c r="M2713" s="108"/>
      <c r="N2713" s="108"/>
      <c r="O2713" s="108"/>
      <c r="P2713" s="108"/>
      <c r="Q2713" s="108"/>
      <c r="R2713" s="108"/>
      <c r="S2713" s="108"/>
      <c r="T2713" s="108"/>
      <c r="U2713" s="108"/>
      <c r="V2713" s="108"/>
      <c r="W2713" s="108"/>
      <c r="X2713" s="108"/>
    </row>
    <row r="2714" spans="1:24">
      <c r="A2714" s="107"/>
      <c r="B2714" s="107"/>
      <c r="C2714" s="107"/>
      <c r="D2714" s="107"/>
      <c r="E2714" s="107"/>
      <c r="F2714" s="107"/>
      <c r="G2714" s="108"/>
      <c r="H2714" s="107"/>
      <c r="I2714" s="108"/>
      <c r="J2714" s="108"/>
      <c r="K2714" s="108"/>
      <c r="L2714" s="108"/>
      <c r="M2714" s="108"/>
      <c r="N2714" s="108"/>
      <c r="O2714" s="108"/>
      <c r="P2714" s="108"/>
      <c r="Q2714" s="108"/>
      <c r="R2714" s="108"/>
      <c r="S2714" s="108"/>
      <c r="T2714" s="108"/>
      <c r="U2714" s="108"/>
      <c r="V2714" s="108"/>
      <c r="W2714" s="108"/>
      <c r="X2714" s="108"/>
    </row>
    <row r="2715" spans="1:24">
      <c r="A2715" s="107"/>
      <c r="B2715" s="107"/>
      <c r="C2715" s="107"/>
      <c r="D2715" s="107"/>
      <c r="E2715" s="107"/>
      <c r="F2715" s="107"/>
      <c r="G2715" s="108"/>
      <c r="H2715" s="107"/>
      <c r="I2715" s="108"/>
      <c r="J2715" s="108"/>
      <c r="K2715" s="108"/>
      <c r="L2715" s="108"/>
      <c r="M2715" s="108"/>
      <c r="N2715" s="108"/>
      <c r="O2715" s="108"/>
      <c r="P2715" s="108"/>
      <c r="Q2715" s="108"/>
      <c r="R2715" s="108"/>
      <c r="S2715" s="108"/>
      <c r="T2715" s="108"/>
      <c r="U2715" s="108"/>
      <c r="V2715" s="108"/>
      <c r="W2715" s="108"/>
      <c r="X2715" s="108"/>
    </row>
    <row r="2716" spans="1:24">
      <c r="A2716" s="107"/>
      <c r="B2716" s="107"/>
      <c r="C2716" s="107"/>
      <c r="D2716" s="107"/>
      <c r="E2716" s="107"/>
      <c r="F2716" s="107"/>
      <c r="G2716" s="108"/>
      <c r="H2716" s="107"/>
      <c r="I2716" s="108"/>
      <c r="J2716" s="108"/>
      <c r="K2716" s="108"/>
      <c r="L2716" s="108"/>
      <c r="M2716" s="108"/>
      <c r="N2716" s="108"/>
      <c r="O2716" s="108"/>
      <c r="P2716" s="108"/>
      <c r="Q2716" s="108"/>
      <c r="R2716" s="108"/>
      <c r="S2716" s="108"/>
      <c r="T2716" s="108"/>
      <c r="U2716" s="108"/>
      <c r="V2716" s="108"/>
      <c r="W2716" s="108"/>
      <c r="X2716" s="108"/>
    </row>
    <row r="2717" spans="1:24">
      <c r="A2717" s="107"/>
      <c r="B2717" s="107"/>
      <c r="C2717" s="107"/>
      <c r="D2717" s="107"/>
      <c r="E2717" s="107"/>
      <c r="F2717" s="107"/>
      <c r="G2717" s="108"/>
      <c r="H2717" s="107"/>
      <c r="I2717" s="108"/>
      <c r="J2717" s="108"/>
      <c r="K2717" s="108"/>
      <c r="L2717" s="108"/>
      <c r="M2717" s="108"/>
      <c r="N2717" s="108"/>
      <c r="O2717" s="108"/>
      <c r="P2717" s="108"/>
      <c r="Q2717" s="108"/>
      <c r="R2717" s="108"/>
      <c r="S2717" s="108"/>
      <c r="T2717" s="108"/>
      <c r="U2717" s="108"/>
      <c r="V2717" s="108"/>
      <c r="W2717" s="108"/>
      <c r="X2717" s="108"/>
    </row>
    <row r="2718" spans="1:24">
      <c r="A2718" s="107"/>
      <c r="B2718" s="107"/>
      <c r="C2718" s="107"/>
      <c r="D2718" s="107"/>
      <c r="E2718" s="107"/>
      <c r="F2718" s="107"/>
      <c r="G2718" s="108"/>
      <c r="H2718" s="107"/>
      <c r="I2718" s="108"/>
      <c r="J2718" s="108"/>
      <c r="K2718" s="108"/>
      <c r="L2718" s="108"/>
      <c r="M2718" s="108"/>
      <c r="N2718" s="108"/>
      <c r="O2718" s="108"/>
      <c r="P2718" s="108"/>
      <c r="Q2718" s="108"/>
      <c r="R2718" s="108"/>
      <c r="S2718" s="108"/>
      <c r="T2718" s="108"/>
      <c r="U2718" s="108"/>
      <c r="V2718" s="108"/>
      <c r="W2718" s="108"/>
      <c r="X2718" s="108"/>
    </row>
    <row r="2719" spans="1:24">
      <c r="A2719" s="107"/>
      <c r="B2719" s="107"/>
      <c r="C2719" s="107"/>
      <c r="D2719" s="107"/>
      <c r="E2719" s="107"/>
      <c r="F2719" s="107"/>
      <c r="G2719" s="108"/>
      <c r="H2719" s="107"/>
      <c r="I2719" s="108"/>
      <c r="J2719" s="108"/>
      <c r="K2719" s="108"/>
      <c r="L2719" s="108"/>
      <c r="M2719" s="108"/>
      <c r="N2719" s="108"/>
      <c r="O2719" s="108"/>
      <c r="P2719" s="108"/>
      <c r="Q2719" s="108"/>
      <c r="R2719" s="108"/>
      <c r="S2719" s="108"/>
      <c r="T2719" s="108"/>
      <c r="U2719" s="108"/>
      <c r="V2719" s="108"/>
      <c r="W2719" s="108"/>
      <c r="X2719" s="108"/>
    </row>
    <row r="2720" spans="1:24">
      <c r="A2720" s="107"/>
      <c r="B2720" s="107"/>
      <c r="C2720" s="107"/>
      <c r="D2720" s="107"/>
      <c r="E2720" s="107"/>
      <c r="F2720" s="107"/>
      <c r="G2720" s="108"/>
      <c r="H2720" s="107"/>
      <c r="I2720" s="108"/>
      <c r="J2720" s="108"/>
      <c r="K2720" s="108"/>
      <c r="L2720" s="108"/>
      <c r="M2720" s="108"/>
      <c r="N2720" s="108"/>
      <c r="O2720" s="108"/>
      <c r="P2720" s="108"/>
      <c r="Q2720" s="108"/>
      <c r="R2720" s="108"/>
      <c r="S2720" s="108"/>
      <c r="T2720" s="108"/>
      <c r="U2720" s="108"/>
      <c r="V2720" s="108"/>
      <c r="W2720" s="108"/>
      <c r="X2720" s="108"/>
    </row>
    <row r="2721" spans="1:24">
      <c r="A2721" s="107"/>
      <c r="B2721" s="107"/>
      <c r="C2721" s="107"/>
      <c r="D2721" s="107"/>
      <c r="E2721" s="107"/>
      <c r="F2721" s="107"/>
      <c r="G2721" s="108"/>
      <c r="H2721" s="107"/>
      <c r="I2721" s="108"/>
      <c r="J2721" s="108"/>
      <c r="K2721" s="108"/>
      <c r="L2721" s="108"/>
      <c r="M2721" s="108"/>
      <c r="N2721" s="108"/>
      <c r="O2721" s="108"/>
      <c r="P2721" s="108"/>
      <c r="Q2721" s="108"/>
      <c r="R2721" s="108"/>
      <c r="S2721" s="108"/>
      <c r="T2721" s="108"/>
      <c r="U2721" s="108"/>
      <c r="V2721" s="108"/>
      <c r="W2721" s="108"/>
      <c r="X2721" s="108"/>
    </row>
    <row r="2722" spans="1:24">
      <c r="A2722" s="107"/>
      <c r="B2722" s="107"/>
      <c r="C2722" s="107"/>
      <c r="D2722" s="107"/>
      <c r="E2722" s="107"/>
      <c r="F2722" s="107"/>
      <c r="G2722" s="108"/>
      <c r="H2722" s="107"/>
      <c r="I2722" s="108"/>
      <c r="J2722" s="108"/>
      <c r="K2722" s="108"/>
      <c r="L2722" s="108"/>
      <c r="M2722" s="108"/>
      <c r="N2722" s="108"/>
      <c r="O2722" s="108"/>
      <c r="P2722" s="108"/>
      <c r="Q2722" s="108"/>
      <c r="R2722" s="108"/>
      <c r="S2722" s="108"/>
      <c r="T2722" s="108"/>
      <c r="U2722" s="108"/>
      <c r="V2722" s="108"/>
      <c r="W2722" s="108"/>
      <c r="X2722" s="108"/>
    </row>
    <row r="2723" spans="1:24">
      <c r="A2723" s="107"/>
      <c r="B2723" s="107"/>
      <c r="C2723" s="107"/>
      <c r="D2723" s="107"/>
      <c r="E2723" s="107"/>
      <c r="F2723" s="107"/>
      <c r="G2723" s="108"/>
      <c r="H2723" s="107"/>
      <c r="I2723" s="108"/>
      <c r="J2723" s="108"/>
      <c r="K2723" s="108"/>
      <c r="L2723" s="108"/>
      <c r="M2723" s="108"/>
      <c r="N2723" s="108"/>
      <c r="O2723" s="108"/>
      <c r="P2723" s="108"/>
      <c r="Q2723" s="108"/>
      <c r="R2723" s="108"/>
      <c r="S2723" s="108"/>
      <c r="T2723" s="108"/>
      <c r="U2723" s="108"/>
      <c r="V2723" s="108"/>
      <c r="W2723" s="108"/>
      <c r="X2723" s="108"/>
    </row>
    <row r="2724" spans="1:24">
      <c r="A2724" s="107"/>
      <c r="B2724" s="107"/>
      <c r="C2724" s="107"/>
      <c r="D2724" s="107"/>
      <c r="E2724" s="107"/>
      <c r="F2724" s="107"/>
      <c r="G2724" s="108"/>
      <c r="H2724" s="107"/>
      <c r="I2724" s="108"/>
      <c r="J2724" s="108"/>
      <c r="K2724" s="108"/>
      <c r="L2724" s="108"/>
      <c r="M2724" s="108"/>
      <c r="N2724" s="108"/>
      <c r="O2724" s="108"/>
      <c r="P2724" s="108"/>
      <c r="Q2724" s="108"/>
      <c r="R2724" s="108"/>
      <c r="S2724" s="108"/>
      <c r="T2724" s="108"/>
      <c r="U2724" s="108"/>
      <c r="V2724" s="108"/>
      <c r="W2724" s="108"/>
      <c r="X2724" s="108"/>
    </row>
    <row r="2725" spans="1:24">
      <c r="A2725" s="107"/>
      <c r="B2725" s="107"/>
      <c r="C2725" s="107"/>
      <c r="D2725" s="107"/>
      <c r="E2725" s="107"/>
      <c r="F2725" s="107"/>
      <c r="G2725" s="108"/>
      <c r="H2725" s="107"/>
      <c r="I2725" s="108"/>
      <c r="J2725" s="108"/>
      <c r="K2725" s="108"/>
      <c r="L2725" s="108"/>
      <c r="M2725" s="108"/>
      <c r="N2725" s="108"/>
      <c r="O2725" s="108"/>
      <c r="P2725" s="108"/>
      <c r="Q2725" s="108"/>
      <c r="R2725" s="108"/>
      <c r="S2725" s="108"/>
      <c r="T2725" s="108"/>
      <c r="U2725" s="108"/>
      <c r="V2725" s="108"/>
      <c r="W2725" s="108"/>
      <c r="X2725" s="108"/>
    </row>
    <row r="2726" spans="1:24">
      <c r="A2726" s="107"/>
      <c r="B2726" s="107"/>
      <c r="C2726" s="107"/>
      <c r="D2726" s="107"/>
      <c r="E2726" s="107"/>
      <c r="F2726" s="107"/>
      <c r="G2726" s="108"/>
      <c r="H2726" s="107"/>
      <c r="I2726" s="108"/>
      <c r="J2726" s="108"/>
      <c r="K2726" s="108"/>
      <c r="L2726" s="108"/>
      <c r="M2726" s="108"/>
      <c r="N2726" s="108"/>
      <c r="O2726" s="108"/>
      <c r="P2726" s="108"/>
      <c r="Q2726" s="108"/>
      <c r="R2726" s="108"/>
      <c r="S2726" s="108"/>
      <c r="T2726" s="108"/>
      <c r="U2726" s="108"/>
      <c r="V2726" s="108"/>
      <c r="W2726" s="108"/>
      <c r="X2726" s="108"/>
    </row>
    <row r="2727" spans="1:24">
      <c r="A2727" s="107"/>
      <c r="B2727" s="107"/>
      <c r="C2727" s="107"/>
      <c r="D2727" s="107"/>
      <c r="E2727" s="107"/>
      <c r="F2727" s="107"/>
      <c r="G2727" s="108"/>
      <c r="H2727" s="107"/>
      <c r="I2727" s="108"/>
      <c r="J2727" s="108"/>
      <c r="K2727" s="108"/>
      <c r="L2727" s="108"/>
      <c r="M2727" s="108"/>
      <c r="N2727" s="108"/>
      <c r="O2727" s="108"/>
      <c r="P2727" s="108"/>
      <c r="Q2727" s="108"/>
      <c r="R2727" s="108"/>
      <c r="S2727" s="108"/>
      <c r="T2727" s="108"/>
      <c r="U2727" s="108"/>
      <c r="V2727" s="108"/>
      <c r="W2727" s="108"/>
      <c r="X2727" s="108"/>
    </row>
    <row r="2728" spans="1:24">
      <c r="A2728" s="107"/>
      <c r="B2728" s="107"/>
      <c r="C2728" s="107"/>
      <c r="D2728" s="107"/>
      <c r="E2728" s="107"/>
      <c r="F2728" s="107"/>
      <c r="G2728" s="108"/>
      <c r="H2728" s="107"/>
      <c r="I2728" s="108"/>
      <c r="J2728" s="108"/>
      <c r="K2728" s="108"/>
      <c r="L2728" s="108"/>
      <c r="M2728" s="108"/>
      <c r="N2728" s="108"/>
      <c r="O2728" s="108"/>
      <c r="P2728" s="108"/>
      <c r="Q2728" s="108"/>
      <c r="R2728" s="108"/>
      <c r="S2728" s="108"/>
      <c r="T2728" s="108"/>
      <c r="U2728" s="108"/>
      <c r="V2728" s="108"/>
      <c r="W2728" s="108"/>
      <c r="X2728" s="108"/>
    </row>
    <row r="2729" spans="1:24">
      <c r="A2729" s="107"/>
      <c r="B2729" s="107"/>
      <c r="C2729" s="107"/>
      <c r="D2729" s="107"/>
      <c r="E2729" s="107"/>
      <c r="F2729" s="107"/>
      <c r="G2729" s="108"/>
      <c r="H2729" s="107"/>
      <c r="I2729" s="108"/>
      <c r="J2729" s="108"/>
      <c r="K2729" s="108"/>
      <c r="L2729" s="108"/>
      <c r="M2729" s="108"/>
      <c r="N2729" s="108"/>
      <c r="O2729" s="108"/>
      <c r="P2729" s="108"/>
      <c r="Q2729" s="108"/>
      <c r="R2729" s="108"/>
      <c r="S2729" s="108"/>
      <c r="T2729" s="108"/>
      <c r="U2729" s="108"/>
      <c r="V2729" s="108"/>
      <c r="W2729" s="108"/>
      <c r="X2729" s="108"/>
    </row>
    <row r="2730" spans="1:24">
      <c r="A2730" s="107"/>
      <c r="B2730" s="107"/>
      <c r="C2730" s="107"/>
      <c r="D2730" s="107"/>
      <c r="E2730" s="107"/>
      <c r="F2730" s="107"/>
      <c r="G2730" s="108"/>
      <c r="H2730" s="107"/>
      <c r="I2730" s="108"/>
      <c r="J2730" s="108"/>
      <c r="K2730" s="108"/>
      <c r="L2730" s="108"/>
      <c r="M2730" s="108"/>
      <c r="N2730" s="108"/>
      <c r="O2730" s="108"/>
      <c r="P2730" s="108"/>
      <c r="Q2730" s="108"/>
      <c r="R2730" s="108"/>
      <c r="S2730" s="108"/>
      <c r="T2730" s="108"/>
      <c r="U2730" s="108"/>
      <c r="V2730" s="108"/>
      <c r="W2730" s="108"/>
      <c r="X2730" s="108"/>
    </row>
    <row r="2731" spans="1:24">
      <c r="A2731" s="107"/>
      <c r="B2731" s="107"/>
      <c r="C2731" s="107"/>
      <c r="D2731" s="107"/>
      <c r="E2731" s="107"/>
      <c r="F2731" s="107"/>
      <c r="G2731" s="108"/>
      <c r="H2731" s="107"/>
      <c r="I2731" s="108"/>
      <c r="J2731" s="108"/>
      <c r="K2731" s="108"/>
      <c r="L2731" s="108"/>
      <c r="M2731" s="108"/>
      <c r="N2731" s="108"/>
      <c r="O2731" s="108"/>
      <c r="P2731" s="108"/>
      <c r="Q2731" s="108"/>
      <c r="R2731" s="108"/>
      <c r="S2731" s="108"/>
      <c r="T2731" s="108"/>
      <c r="U2731" s="108"/>
      <c r="V2731" s="108"/>
      <c r="W2731" s="108"/>
      <c r="X2731" s="108"/>
    </row>
    <row r="2732" spans="1:24">
      <c r="A2732" s="107"/>
      <c r="B2732" s="107"/>
      <c r="C2732" s="107"/>
      <c r="D2732" s="107"/>
      <c r="E2732" s="107"/>
      <c r="F2732" s="107"/>
      <c r="G2732" s="108"/>
      <c r="H2732" s="107"/>
      <c r="I2732" s="108"/>
      <c r="J2732" s="108"/>
      <c r="K2732" s="108"/>
      <c r="L2732" s="108"/>
      <c r="M2732" s="108"/>
      <c r="N2732" s="108"/>
      <c r="O2732" s="108"/>
      <c r="P2732" s="108"/>
      <c r="Q2732" s="108"/>
      <c r="R2732" s="108"/>
      <c r="S2732" s="108"/>
      <c r="T2732" s="108"/>
      <c r="U2732" s="108"/>
      <c r="V2732" s="108"/>
      <c r="W2732" s="108"/>
      <c r="X2732" s="108"/>
    </row>
    <row r="2733" spans="1:24">
      <c r="A2733" s="107"/>
      <c r="B2733" s="107"/>
      <c r="C2733" s="107"/>
      <c r="D2733" s="107"/>
      <c r="E2733" s="107"/>
      <c r="F2733" s="107"/>
      <c r="G2733" s="108"/>
      <c r="H2733" s="107"/>
      <c r="I2733" s="108"/>
      <c r="J2733" s="108"/>
      <c r="K2733" s="108"/>
      <c r="L2733" s="108"/>
      <c r="M2733" s="108"/>
      <c r="N2733" s="108"/>
      <c r="O2733" s="108"/>
      <c r="P2733" s="108"/>
      <c r="Q2733" s="108"/>
      <c r="R2733" s="108"/>
      <c r="S2733" s="108"/>
      <c r="T2733" s="108"/>
      <c r="U2733" s="108"/>
      <c r="V2733" s="108"/>
      <c r="W2733" s="108"/>
      <c r="X2733" s="108"/>
    </row>
    <row r="2734" spans="1:24">
      <c r="A2734" s="107"/>
      <c r="B2734" s="107"/>
      <c r="C2734" s="107"/>
      <c r="D2734" s="107"/>
      <c r="E2734" s="107"/>
      <c r="F2734" s="107"/>
      <c r="G2734" s="108"/>
      <c r="H2734" s="107"/>
      <c r="I2734" s="108"/>
      <c r="J2734" s="108"/>
      <c r="K2734" s="108"/>
      <c r="L2734" s="108"/>
      <c r="M2734" s="108"/>
      <c r="N2734" s="108"/>
      <c r="O2734" s="108"/>
      <c r="P2734" s="108"/>
      <c r="Q2734" s="108"/>
      <c r="R2734" s="108"/>
      <c r="S2734" s="108"/>
      <c r="T2734" s="108"/>
      <c r="U2734" s="108"/>
      <c r="V2734" s="108"/>
      <c r="W2734" s="108"/>
      <c r="X2734" s="108"/>
    </row>
    <row r="2735" spans="1:24">
      <c r="A2735" s="107"/>
      <c r="B2735" s="107"/>
      <c r="C2735" s="107"/>
      <c r="D2735" s="107"/>
      <c r="E2735" s="107"/>
      <c r="F2735" s="107"/>
      <c r="G2735" s="108"/>
      <c r="H2735" s="107"/>
      <c r="I2735" s="108"/>
      <c r="J2735" s="108"/>
      <c r="K2735" s="108"/>
      <c r="L2735" s="108"/>
      <c r="M2735" s="108"/>
      <c r="N2735" s="108"/>
      <c r="O2735" s="108"/>
      <c r="P2735" s="108"/>
      <c r="Q2735" s="108"/>
      <c r="R2735" s="108"/>
      <c r="S2735" s="108"/>
      <c r="T2735" s="108"/>
      <c r="U2735" s="108"/>
      <c r="V2735" s="108"/>
      <c r="W2735" s="108"/>
      <c r="X2735" s="108"/>
    </row>
    <row r="2736" spans="1:24">
      <c r="A2736" s="107"/>
      <c r="B2736" s="107"/>
      <c r="C2736" s="107"/>
      <c r="D2736" s="107"/>
      <c r="E2736" s="107"/>
      <c r="F2736" s="107"/>
      <c r="G2736" s="108"/>
      <c r="H2736" s="107"/>
      <c r="I2736" s="108"/>
      <c r="J2736" s="108"/>
      <c r="K2736" s="108"/>
      <c r="L2736" s="108"/>
      <c r="M2736" s="108"/>
      <c r="N2736" s="108"/>
      <c r="O2736" s="108"/>
      <c r="P2736" s="108"/>
      <c r="Q2736" s="108"/>
      <c r="R2736" s="108"/>
      <c r="S2736" s="108"/>
      <c r="T2736" s="108"/>
      <c r="U2736" s="108"/>
      <c r="V2736" s="108"/>
      <c r="W2736" s="108"/>
      <c r="X2736" s="108"/>
    </row>
    <row r="2737" spans="1:24">
      <c r="A2737" s="107"/>
      <c r="B2737" s="107"/>
      <c r="C2737" s="107"/>
      <c r="D2737" s="107"/>
      <c r="E2737" s="107"/>
      <c r="F2737" s="107"/>
      <c r="G2737" s="108"/>
      <c r="H2737" s="107"/>
      <c r="I2737" s="108"/>
      <c r="J2737" s="108"/>
      <c r="K2737" s="108"/>
      <c r="L2737" s="108"/>
      <c r="M2737" s="108"/>
      <c r="N2737" s="108"/>
      <c r="O2737" s="108"/>
      <c r="P2737" s="108"/>
      <c r="Q2737" s="108"/>
      <c r="R2737" s="108"/>
      <c r="S2737" s="108"/>
      <c r="T2737" s="108"/>
      <c r="U2737" s="108"/>
      <c r="V2737" s="108"/>
      <c r="W2737" s="108"/>
      <c r="X2737" s="108"/>
    </row>
    <row r="2738" spans="1:24">
      <c r="A2738" s="107"/>
      <c r="B2738" s="107"/>
      <c r="C2738" s="107"/>
      <c r="D2738" s="107"/>
      <c r="E2738" s="107"/>
      <c r="F2738" s="107"/>
      <c r="G2738" s="108"/>
      <c r="H2738" s="107"/>
      <c r="I2738" s="108"/>
      <c r="J2738" s="108"/>
      <c r="K2738" s="108"/>
      <c r="L2738" s="108"/>
      <c r="M2738" s="108"/>
      <c r="N2738" s="108"/>
      <c r="O2738" s="108"/>
      <c r="P2738" s="108"/>
      <c r="Q2738" s="108"/>
      <c r="R2738" s="108"/>
      <c r="S2738" s="108"/>
      <c r="T2738" s="108"/>
      <c r="U2738" s="108"/>
      <c r="V2738" s="108"/>
      <c r="W2738" s="108"/>
      <c r="X2738" s="108"/>
    </row>
    <row r="2739" spans="1:24">
      <c r="A2739" s="107"/>
      <c r="B2739" s="107"/>
      <c r="C2739" s="107"/>
      <c r="D2739" s="107"/>
      <c r="E2739" s="107"/>
      <c r="F2739" s="107"/>
      <c r="G2739" s="108"/>
      <c r="H2739" s="107"/>
      <c r="I2739" s="108"/>
      <c r="J2739" s="108"/>
      <c r="K2739" s="108"/>
      <c r="L2739" s="108"/>
      <c r="M2739" s="108"/>
      <c r="N2739" s="108"/>
      <c r="O2739" s="108"/>
      <c r="P2739" s="108"/>
      <c r="Q2739" s="108"/>
      <c r="R2739" s="108"/>
      <c r="S2739" s="108"/>
      <c r="T2739" s="108"/>
      <c r="U2739" s="108"/>
      <c r="V2739" s="108"/>
      <c r="W2739" s="108"/>
      <c r="X2739" s="108"/>
    </row>
    <row r="2740" spans="1:24">
      <c r="A2740" s="107"/>
      <c r="B2740" s="107"/>
      <c r="C2740" s="107"/>
      <c r="D2740" s="107"/>
      <c r="E2740" s="107"/>
      <c r="F2740" s="107"/>
      <c r="G2740" s="108"/>
      <c r="H2740" s="107"/>
      <c r="I2740" s="108"/>
      <c r="J2740" s="108"/>
      <c r="K2740" s="108"/>
      <c r="L2740" s="108"/>
      <c r="M2740" s="108"/>
      <c r="N2740" s="108"/>
      <c r="O2740" s="108"/>
      <c r="P2740" s="108"/>
      <c r="Q2740" s="108"/>
      <c r="R2740" s="108"/>
      <c r="S2740" s="108"/>
      <c r="T2740" s="108"/>
      <c r="U2740" s="108"/>
      <c r="V2740" s="108"/>
      <c r="W2740" s="108"/>
      <c r="X2740" s="108"/>
    </row>
    <row r="2741" spans="1:24">
      <c r="A2741" s="107"/>
      <c r="B2741" s="107"/>
      <c r="C2741" s="107"/>
      <c r="D2741" s="107"/>
      <c r="E2741" s="107"/>
      <c r="F2741" s="107"/>
      <c r="G2741" s="108"/>
      <c r="H2741" s="107"/>
      <c r="I2741" s="108"/>
      <c r="J2741" s="108"/>
      <c r="K2741" s="108"/>
      <c r="L2741" s="108"/>
      <c r="M2741" s="108"/>
      <c r="N2741" s="108"/>
      <c r="O2741" s="108"/>
      <c r="P2741" s="108"/>
      <c r="Q2741" s="108"/>
      <c r="R2741" s="108"/>
      <c r="S2741" s="108"/>
      <c r="T2741" s="108"/>
      <c r="U2741" s="108"/>
      <c r="V2741" s="108"/>
      <c r="W2741" s="108"/>
      <c r="X2741" s="108"/>
    </row>
    <row r="2742" spans="1:24">
      <c r="A2742" s="107"/>
      <c r="B2742" s="107"/>
      <c r="C2742" s="107"/>
      <c r="D2742" s="107"/>
      <c r="E2742" s="107"/>
      <c r="F2742" s="107"/>
      <c r="G2742" s="108"/>
      <c r="H2742" s="107"/>
      <c r="I2742" s="108"/>
      <c r="J2742" s="108"/>
      <c r="K2742" s="108"/>
      <c r="L2742" s="108"/>
      <c r="M2742" s="108"/>
      <c r="N2742" s="108"/>
      <c r="O2742" s="108"/>
      <c r="P2742" s="108"/>
      <c r="Q2742" s="108"/>
      <c r="R2742" s="108"/>
      <c r="S2742" s="108"/>
      <c r="T2742" s="108"/>
      <c r="U2742" s="108"/>
      <c r="V2742" s="108"/>
      <c r="W2742" s="108"/>
      <c r="X2742" s="108"/>
    </row>
    <row r="2743" spans="1:24">
      <c r="A2743" s="107"/>
      <c r="B2743" s="107"/>
      <c r="C2743" s="107"/>
      <c r="D2743" s="107"/>
      <c r="E2743" s="107"/>
      <c r="F2743" s="107"/>
      <c r="G2743" s="108"/>
      <c r="H2743" s="107"/>
      <c r="I2743" s="108"/>
      <c r="J2743" s="108"/>
      <c r="K2743" s="108"/>
      <c r="L2743" s="108"/>
      <c r="M2743" s="108"/>
      <c r="N2743" s="108"/>
      <c r="O2743" s="108"/>
      <c r="P2743" s="108"/>
      <c r="Q2743" s="108"/>
      <c r="R2743" s="108"/>
      <c r="S2743" s="108"/>
      <c r="T2743" s="108"/>
      <c r="U2743" s="108"/>
      <c r="V2743" s="108"/>
      <c r="W2743" s="108"/>
      <c r="X2743" s="108"/>
    </row>
    <row r="2744" spans="1:24">
      <c r="A2744" s="107"/>
      <c r="B2744" s="107"/>
      <c r="C2744" s="107"/>
      <c r="D2744" s="107"/>
      <c r="E2744" s="107"/>
      <c r="F2744" s="107"/>
      <c r="G2744" s="108"/>
      <c r="H2744" s="107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</row>
    <row r="2745" spans="1:24">
      <c r="A2745" s="107"/>
      <c r="B2745" s="107"/>
      <c r="C2745" s="107"/>
      <c r="D2745" s="107"/>
      <c r="E2745" s="107"/>
      <c r="F2745" s="107"/>
      <c r="G2745" s="108"/>
      <c r="H2745" s="107"/>
      <c r="I2745" s="108"/>
      <c r="J2745" s="108"/>
      <c r="K2745" s="108"/>
      <c r="L2745" s="108"/>
      <c r="M2745" s="108"/>
      <c r="N2745" s="108"/>
      <c r="O2745" s="108"/>
      <c r="P2745" s="108"/>
      <c r="Q2745" s="108"/>
      <c r="R2745" s="108"/>
      <c r="S2745" s="108"/>
      <c r="T2745" s="108"/>
      <c r="U2745" s="108"/>
      <c r="V2745" s="108"/>
      <c r="W2745" s="108"/>
      <c r="X2745" s="108"/>
    </row>
    <row r="2746" spans="1:24">
      <c r="A2746" s="107"/>
      <c r="B2746" s="107"/>
      <c r="C2746" s="107"/>
      <c r="D2746" s="107"/>
      <c r="E2746" s="107"/>
      <c r="F2746" s="107"/>
      <c r="G2746" s="108"/>
      <c r="H2746" s="107"/>
      <c r="I2746" s="108"/>
      <c r="J2746" s="108"/>
      <c r="K2746" s="108"/>
      <c r="L2746" s="108"/>
      <c r="M2746" s="108"/>
      <c r="N2746" s="108"/>
      <c r="O2746" s="108"/>
      <c r="P2746" s="108"/>
      <c r="Q2746" s="108"/>
      <c r="R2746" s="108"/>
      <c r="S2746" s="108"/>
      <c r="T2746" s="108"/>
      <c r="U2746" s="108"/>
      <c r="V2746" s="108"/>
      <c r="W2746" s="108"/>
      <c r="X2746" s="108"/>
    </row>
    <row r="2747" spans="1:24">
      <c r="A2747" s="107"/>
      <c r="B2747" s="107"/>
      <c r="C2747" s="107"/>
      <c r="D2747" s="107"/>
      <c r="E2747" s="107"/>
      <c r="F2747" s="107"/>
      <c r="G2747" s="108"/>
      <c r="H2747" s="107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</row>
    <row r="2748" spans="1:24">
      <c r="A2748" s="107"/>
      <c r="B2748" s="107"/>
      <c r="C2748" s="107"/>
      <c r="D2748" s="107"/>
      <c r="E2748" s="107"/>
      <c r="F2748" s="107"/>
      <c r="G2748" s="108"/>
      <c r="H2748" s="107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</row>
    <row r="2749" spans="1:24">
      <c r="A2749" s="107"/>
      <c r="B2749" s="107"/>
      <c r="C2749" s="107"/>
      <c r="D2749" s="107"/>
      <c r="E2749" s="107"/>
      <c r="F2749" s="107"/>
      <c r="G2749" s="108"/>
      <c r="H2749" s="107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</row>
    <row r="2750" spans="1:24">
      <c r="A2750" s="107"/>
      <c r="B2750" s="107"/>
      <c r="C2750" s="107"/>
      <c r="D2750" s="107"/>
      <c r="E2750" s="107"/>
      <c r="F2750" s="107"/>
      <c r="G2750" s="108"/>
      <c r="H2750" s="107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</row>
    <row r="2751" spans="1:24">
      <c r="A2751" s="107"/>
      <c r="B2751" s="107"/>
      <c r="C2751" s="107"/>
      <c r="D2751" s="107"/>
      <c r="E2751" s="107"/>
      <c r="F2751" s="107"/>
      <c r="G2751" s="108"/>
      <c r="H2751" s="107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</row>
    <row r="2752" spans="1:24">
      <c r="A2752" s="107"/>
      <c r="B2752" s="107"/>
      <c r="C2752" s="107"/>
      <c r="D2752" s="107"/>
      <c r="E2752" s="107"/>
      <c r="F2752" s="107"/>
      <c r="G2752" s="108"/>
      <c r="H2752" s="107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</row>
    <row r="2753" spans="1:24">
      <c r="A2753" s="107"/>
      <c r="B2753" s="107"/>
      <c r="C2753" s="107"/>
      <c r="D2753" s="107"/>
      <c r="E2753" s="107"/>
      <c r="F2753" s="107"/>
      <c r="G2753" s="108"/>
      <c r="H2753" s="107"/>
      <c r="I2753" s="108"/>
      <c r="J2753" s="108"/>
      <c r="K2753" s="108"/>
      <c r="L2753" s="108"/>
      <c r="M2753" s="108"/>
      <c r="N2753" s="108"/>
      <c r="O2753" s="108"/>
      <c r="P2753" s="108"/>
      <c r="Q2753" s="108"/>
      <c r="R2753" s="108"/>
      <c r="S2753" s="108"/>
      <c r="T2753" s="108"/>
      <c r="U2753" s="108"/>
      <c r="V2753" s="108"/>
      <c r="W2753" s="108"/>
      <c r="X2753" s="108"/>
    </row>
    <row r="2754" spans="1:24">
      <c r="A2754" s="107"/>
      <c r="B2754" s="107"/>
      <c r="C2754" s="107"/>
      <c r="D2754" s="107"/>
      <c r="E2754" s="107"/>
      <c r="F2754" s="107"/>
      <c r="G2754" s="108"/>
      <c r="H2754" s="107"/>
      <c r="I2754" s="108"/>
      <c r="J2754" s="108"/>
      <c r="K2754" s="108"/>
      <c r="L2754" s="108"/>
      <c r="M2754" s="108"/>
      <c r="N2754" s="108"/>
      <c r="O2754" s="108"/>
      <c r="P2754" s="108"/>
      <c r="Q2754" s="108"/>
      <c r="R2754" s="108"/>
      <c r="S2754" s="108"/>
      <c r="T2754" s="108"/>
      <c r="U2754" s="108"/>
      <c r="V2754" s="108"/>
      <c r="W2754" s="108"/>
      <c r="X2754" s="108"/>
    </row>
    <row r="2755" spans="1:24">
      <c r="A2755" s="107"/>
      <c r="B2755" s="107"/>
      <c r="C2755" s="107"/>
      <c r="D2755" s="107"/>
      <c r="E2755" s="107"/>
      <c r="F2755" s="107"/>
      <c r="G2755" s="108"/>
      <c r="H2755" s="107"/>
      <c r="I2755" s="108"/>
      <c r="J2755" s="108"/>
      <c r="K2755" s="108"/>
      <c r="L2755" s="108"/>
      <c r="M2755" s="108"/>
      <c r="N2755" s="108"/>
      <c r="O2755" s="108"/>
      <c r="P2755" s="108"/>
      <c r="Q2755" s="108"/>
      <c r="R2755" s="108"/>
      <c r="S2755" s="108"/>
      <c r="T2755" s="108"/>
      <c r="U2755" s="108"/>
      <c r="V2755" s="108"/>
      <c r="W2755" s="108"/>
      <c r="X2755" s="108"/>
    </row>
    <row r="2756" spans="1:24">
      <c r="A2756" s="107"/>
      <c r="B2756" s="107"/>
      <c r="C2756" s="107"/>
      <c r="D2756" s="107"/>
      <c r="E2756" s="107"/>
      <c r="F2756" s="107"/>
      <c r="G2756" s="108"/>
      <c r="H2756" s="107"/>
      <c r="I2756" s="108"/>
      <c r="J2756" s="108"/>
      <c r="K2756" s="108"/>
      <c r="L2756" s="108"/>
      <c r="M2756" s="108"/>
      <c r="N2756" s="108"/>
      <c r="O2756" s="108"/>
      <c r="P2756" s="108"/>
      <c r="Q2756" s="108"/>
      <c r="R2756" s="108"/>
      <c r="S2756" s="108"/>
      <c r="T2756" s="108"/>
      <c r="U2756" s="108"/>
      <c r="V2756" s="108"/>
      <c r="W2756" s="108"/>
      <c r="X2756" s="108"/>
    </row>
    <row r="2757" spans="1:24">
      <c r="A2757" s="107"/>
      <c r="B2757" s="107"/>
      <c r="C2757" s="107"/>
      <c r="D2757" s="107"/>
      <c r="E2757" s="107"/>
      <c r="F2757" s="107"/>
      <c r="G2757" s="108"/>
      <c r="H2757" s="107"/>
      <c r="I2757" s="108"/>
      <c r="J2757" s="108"/>
      <c r="K2757" s="108"/>
      <c r="L2757" s="108"/>
      <c r="M2757" s="108"/>
      <c r="N2757" s="108"/>
      <c r="O2757" s="108"/>
      <c r="P2757" s="108"/>
      <c r="Q2757" s="108"/>
      <c r="R2757" s="108"/>
      <c r="S2757" s="108"/>
      <c r="T2757" s="108"/>
      <c r="U2757" s="108"/>
      <c r="V2757" s="108"/>
      <c r="W2757" s="108"/>
      <c r="X2757" s="108"/>
    </row>
    <row r="2758" spans="1:24">
      <c r="A2758" s="107"/>
      <c r="B2758" s="107"/>
      <c r="C2758" s="107"/>
      <c r="D2758" s="107"/>
      <c r="E2758" s="107"/>
      <c r="F2758" s="107"/>
      <c r="G2758" s="108"/>
      <c r="H2758" s="107"/>
      <c r="I2758" s="108"/>
      <c r="J2758" s="108"/>
      <c r="K2758" s="108"/>
      <c r="L2758" s="108"/>
      <c r="M2758" s="108"/>
      <c r="N2758" s="108"/>
      <c r="O2758" s="108"/>
      <c r="P2758" s="108"/>
      <c r="Q2758" s="108"/>
      <c r="R2758" s="108"/>
      <c r="S2758" s="108"/>
      <c r="T2758" s="108"/>
      <c r="U2758" s="108"/>
      <c r="V2758" s="108"/>
      <c r="W2758" s="108"/>
      <c r="X2758" s="108"/>
    </row>
    <row r="2759" spans="1:24">
      <c r="A2759" s="107"/>
      <c r="B2759" s="107"/>
      <c r="C2759" s="107"/>
      <c r="D2759" s="107"/>
      <c r="E2759" s="107"/>
      <c r="F2759" s="107"/>
      <c r="G2759" s="108"/>
      <c r="H2759" s="107"/>
      <c r="I2759" s="108"/>
      <c r="J2759" s="108"/>
      <c r="K2759" s="108"/>
      <c r="L2759" s="108"/>
      <c r="M2759" s="108"/>
      <c r="N2759" s="108"/>
      <c r="O2759" s="108"/>
      <c r="P2759" s="108"/>
      <c r="Q2759" s="108"/>
      <c r="R2759" s="108"/>
      <c r="S2759" s="108"/>
      <c r="T2759" s="108"/>
      <c r="U2759" s="108"/>
      <c r="V2759" s="108"/>
      <c r="W2759" s="108"/>
      <c r="X2759" s="108"/>
    </row>
    <row r="2760" spans="1:24">
      <c r="A2760" s="107"/>
      <c r="B2760" s="107"/>
      <c r="C2760" s="107"/>
      <c r="D2760" s="107"/>
      <c r="E2760" s="107"/>
      <c r="F2760" s="107"/>
      <c r="G2760" s="108"/>
      <c r="H2760" s="107"/>
      <c r="I2760" s="108"/>
      <c r="J2760" s="108"/>
      <c r="K2760" s="108"/>
      <c r="L2760" s="108"/>
      <c r="M2760" s="108"/>
      <c r="N2760" s="108"/>
      <c r="O2760" s="108"/>
      <c r="P2760" s="108"/>
      <c r="Q2760" s="108"/>
      <c r="R2760" s="108"/>
      <c r="S2760" s="108"/>
      <c r="T2760" s="108"/>
      <c r="U2760" s="108"/>
      <c r="V2760" s="108"/>
      <c r="W2760" s="108"/>
      <c r="X2760" s="108"/>
    </row>
    <row r="2761" spans="1:24">
      <c r="A2761" s="107"/>
      <c r="B2761" s="107"/>
      <c r="C2761" s="107"/>
      <c r="D2761" s="107"/>
      <c r="E2761" s="107"/>
      <c r="F2761" s="107"/>
      <c r="G2761" s="108"/>
      <c r="H2761" s="107"/>
      <c r="I2761" s="108"/>
      <c r="J2761" s="108"/>
      <c r="K2761" s="108"/>
      <c r="L2761" s="108"/>
      <c r="M2761" s="108"/>
      <c r="N2761" s="108"/>
      <c r="O2761" s="108"/>
      <c r="P2761" s="108"/>
      <c r="Q2761" s="108"/>
      <c r="R2761" s="108"/>
      <c r="S2761" s="108"/>
      <c r="T2761" s="108"/>
      <c r="U2761" s="108"/>
      <c r="V2761" s="108"/>
      <c r="W2761" s="108"/>
      <c r="X2761" s="108"/>
    </row>
    <row r="2762" spans="1:24">
      <c r="A2762" s="107"/>
      <c r="B2762" s="107"/>
      <c r="C2762" s="107"/>
      <c r="D2762" s="107"/>
      <c r="E2762" s="107"/>
      <c r="F2762" s="107"/>
      <c r="G2762" s="108"/>
      <c r="H2762" s="107"/>
      <c r="I2762" s="108"/>
      <c r="J2762" s="108"/>
      <c r="K2762" s="108"/>
      <c r="L2762" s="108"/>
      <c r="M2762" s="108"/>
      <c r="N2762" s="108"/>
      <c r="O2762" s="108"/>
      <c r="P2762" s="108"/>
      <c r="Q2762" s="108"/>
      <c r="R2762" s="108"/>
      <c r="S2762" s="108"/>
      <c r="T2762" s="108"/>
      <c r="U2762" s="108"/>
      <c r="V2762" s="108"/>
      <c r="W2762" s="108"/>
      <c r="X2762" s="108"/>
    </row>
    <row r="2763" spans="1:24">
      <c r="A2763" s="107"/>
      <c r="B2763" s="107"/>
      <c r="C2763" s="107"/>
      <c r="D2763" s="107"/>
      <c r="E2763" s="107"/>
      <c r="F2763" s="107"/>
      <c r="G2763" s="108"/>
      <c r="H2763" s="107"/>
      <c r="I2763" s="108"/>
      <c r="J2763" s="108"/>
      <c r="K2763" s="108"/>
      <c r="L2763" s="108"/>
      <c r="M2763" s="108"/>
      <c r="N2763" s="108"/>
      <c r="O2763" s="108"/>
      <c r="P2763" s="108"/>
      <c r="Q2763" s="108"/>
      <c r="R2763" s="108"/>
      <c r="S2763" s="108"/>
      <c r="T2763" s="108"/>
      <c r="U2763" s="108"/>
      <c r="V2763" s="108"/>
      <c r="W2763" s="108"/>
      <c r="X2763" s="108"/>
    </row>
    <row r="2764" spans="1:24">
      <c r="A2764" s="107"/>
      <c r="B2764" s="107"/>
      <c r="C2764" s="107"/>
      <c r="D2764" s="107"/>
      <c r="E2764" s="107"/>
      <c r="F2764" s="107"/>
      <c r="G2764" s="108"/>
      <c r="H2764" s="107"/>
      <c r="I2764" s="108"/>
      <c r="J2764" s="108"/>
      <c r="K2764" s="108"/>
      <c r="L2764" s="108"/>
      <c r="M2764" s="108"/>
      <c r="N2764" s="108"/>
      <c r="O2764" s="108"/>
      <c r="P2764" s="108"/>
      <c r="Q2764" s="108"/>
      <c r="R2764" s="108"/>
      <c r="S2764" s="108"/>
      <c r="T2764" s="108"/>
      <c r="U2764" s="108"/>
      <c r="V2764" s="108"/>
      <c r="W2764" s="108"/>
      <c r="X2764" s="108"/>
    </row>
    <row r="2765" spans="1:24">
      <c r="A2765" s="107"/>
      <c r="B2765" s="107"/>
      <c r="C2765" s="107"/>
      <c r="D2765" s="107"/>
      <c r="E2765" s="107"/>
      <c r="F2765" s="107"/>
      <c r="G2765" s="108"/>
      <c r="H2765" s="107"/>
      <c r="I2765" s="108"/>
      <c r="J2765" s="108"/>
      <c r="K2765" s="108"/>
      <c r="L2765" s="108"/>
      <c r="M2765" s="108"/>
      <c r="N2765" s="108"/>
      <c r="O2765" s="108"/>
      <c r="P2765" s="108"/>
      <c r="Q2765" s="108"/>
      <c r="R2765" s="108"/>
      <c r="S2765" s="108"/>
      <c r="T2765" s="108"/>
      <c r="U2765" s="108"/>
      <c r="V2765" s="108"/>
      <c r="W2765" s="108"/>
      <c r="X2765" s="108"/>
    </row>
    <row r="2766" spans="1:24">
      <c r="A2766" s="107"/>
      <c r="B2766" s="107"/>
      <c r="C2766" s="107"/>
      <c r="D2766" s="107"/>
      <c r="E2766" s="107"/>
      <c r="F2766" s="107"/>
      <c r="G2766" s="108"/>
      <c r="H2766" s="107"/>
      <c r="I2766" s="108"/>
      <c r="J2766" s="108"/>
      <c r="K2766" s="108"/>
      <c r="L2766" s="108"/>
      <c r="M2766" s="108"/>
      <c r="N2766" s="108"/>
      <c r="O2766" s="108"/>
      <c r="P2766" s="108"/>
      <c r="Q2766" s="108"/>
      <c r="R2766" s="108"/>
      <c r="S2766" s="108"/>
      <c r="T2766" s="108"/>
      <c r="U2766" s="108"/>
      <c r="V2766" s="108"/>
      <c r="W2766" s="108"/>
      <c r="X2766" s="108"/>
    </row>
    <row r="2767" spans="1:24">
      <c r="A2767" s="107"/>
      <c r="B2767" s="107"/>
      <c r="C2767" s="107"/>
      <c r="D2767" s="107"/>
      <c r="E2767" s="107"/>
      <c r="F2767" s="107"/>
      <c r="G2767" s="108"/>
      <c r="H2767" s="107"/>
      <c r="I2767" s="108"/>
      <c r="J2767" s="108"/>
      <c r="K2767" s="108"/>
      <c r="L2767" s="108"/>
      <c r="M2767" s="108"/>
      <c r="N2767" s="108"/>
      <c r="O2767" s="108"/>
      <c r="P2767" s="108"/>
      <c r="Q2767" s="108"/>
      <c r="R2767" s="108"/>
      <c r="S2767" s="108"/>
      <c r="T2767" s="108"/>
      <c r="U2767" s="108"/>
      <c r="V2767" s="108"/>
      <c r="W2767" s="108"/>
      <c r="X2767" s="108"/>
    </row>
    <row r="2768" spans="1:24">
      <c r="A2768" s="107"/>
      <c r="B2768" s="107"/>
      <c r="C2768" s="107"/>
      <c r="D2768" s="107"/>
      <c r="E2768" s="107"/>
      <c r="F2768" s="107"/>
      <c r="G2768" s="108"/>
      <c r="H2768" s="107"/>
      <c r="I2768" s="108"/>
      <c r="J2768" s="108"/>
      <c r="K2768" s="108"/>
      <c r="L2768" s="108"/>
      <c r="M2768" s="108"/>
      <c r="N2768" s="108"/>
      <c r="O2768" s="108"/>
      <c r="P2768" s="108"/>
      <c r="Q2768" s="108"/>
      <c r="R2768" s="108"/>
      <c r="S2768" s="108"/>
      <c r="T2768" s="108"/>
      <c r="U2768" s="108"/>
      <c r="V2768" s="108"/>
      <c r="W2768" s="108"/>
      <c r="X2768" s="108"/>
    </row>
    <row r="2769" spans="1:24">
      <c r="A2769" s="107"/>
      <c r="B2769" s="107"/>
      <c r="C2769" s="107"/>
      <c r="D2769" s="107"/>
      <c r="E2769" s="107"/>
      <c r="F2769" s="107"/>
      <c r="G2769" s="108"/>
      <c r="H2769" s="107"/>
      <c r="I2769" s="108"/>
      <c r="J2769" s="108"/>
      <c r="K2769" s="108"/>
      <c r="L2769" s="108"/>
      <c r="M2769" s="108"/>
      <c r="N2769" s="108"/>
      <c r="O2769" s="108"/>
      <c r="P2769" s="108"/>
      <c r="Q2769" s="108"/>
      <c r="R2769" s="108"/>
      <c r="S2769" s="108"/>
      <c r="T2769" s="108"/>
      <c r="U2769" s="108"/>
      <c r="V2769" s="108"/>
      <c r="W2769" s="108"/>
      <c r="X2769" s="108"/>
    </row>
    <row r="2770" spans="1:24">
      <c r="A2770" s="107"/>
      <c r="B2770" s="107"/>
      <c r="C2770" s="107"/>
      <c r="D2770" s="107"/>
      <c r="E2770" s="107"/>
      <c r="F2770" s="107"/>
      <c r="G2770" s="108"/>
      <c r="H2770" s="107"/>
      <c r="I2770" s="108"/>
      <c r="J2770" s="108"/>
      <c r="K2770" s="108"/>
      <c r="L2770" s="108"/>
      <c r="M2770" s="108"/>
      <c r="N2770" s="108"/>
      <c r="O2770" s="108"/>
      <c r="P2770" s="108"/>
      <c r="Q2770" s="108"/>
      <c r="R2770" s="108"/>
      <c r="S2770" s="108"/>
      <c r="T2770" s="108"/>
      <c r="U2770" s="108"/>
      <c r="V2770" s="108"/>
      <c r="W2770" s="108"/>
      <c r="X2770" s="108"/>
    </row>
    <row r="2771" spans="1:24">
      <c r="A2771" s="107"/>
      <c r="B2771" s="107"/>
      <c r="C2771" s="107"/>
      <c r="D2771" s="107"/>
      <c r="E2771" s="107"/>
      <c r="F2771" s="107"/>
      <c r="G2771" s="108"/>
      <c r="H2771" s="107"/>
      <c r="I2771" s="108"/>
      <c r="J2771" s="108"/>
      <c r="K2771" s="108"/>
      <c r="L2771" s="108"/>
      <c r="M2771" s="108"/>
      <c r="N2771" s="108"/>
      <c r="O2771" s="108"/>
      <c r="P2771" s="108"/>
      <c r="Q2771" s="108"/>
      <c r="R2771" s="108"/>
      <c r="S2771" s="108"/>
      <c r="T2771" s="108"/>
      <c r="U2771" s="108"/>
      <c r="V2771" s="108"/>
      <c r="W2771" s="108"/>
      <c r="X2771" s="108"/>
    </row>
    <row r="2772" spans="1:24">
      <c r="A2772" s="107"/>
      <c r="B2772" s="107"/>
      <c r="C2772" s="107"/>
      <c r="D2772" s="107"/>
      <c r="E2772" s="107"/>
      <c r="F2772" s="107"/>
      <c r="G2772" s="108"/>
      <c r="H2772" s="107"/>
      <c r="I2772" s="108"/>
      <c r="J2772" s="108"/>
      <c r="K2772" s="108"/>
      <c r="L2772" s="108"/>
      <c r="M2772" s="108"/>
      <c r="N2772" s="108"/>
      <c r="O2772" s="108"/>
      <c r="P2772" s="108"/>
      <c r="Q2772" s="108"/>
      <c r="R2772" s="108"/>
      <c r="S2772" s="108"/>
      <c r="T2772" s="108"/>
      <c r="U2772" s="108"/>
      <c r="V2772" s="108"/>
      <c r="W2772" s="108"/>
      <c r="X2772" s="108"/>
    </row>
    <row r="2773" spans="1:24">
      <c r="A2773" s="107"/>
      <c r="B2773" s="107"/>
      <c r="C2773" s="107"/>
      <c r="D2773" s="107"/>
      <c r="E2773" s="107"/>
      <c r="F2773" s="107"/>
      <c r="G2773" s="108"/>
      <c r="H2773" s="107"/>
      <c r="I2773" s="108"/>
      <c r="J2773" s="108"/>
      <c r="K2773" s="108"/>
      <c r="L2773" s="108"/>
      <c r="M2773" s="108"/>
      <c r="N2773" s="108"/>
      <c r="O2773" s="108"/>
      <c r="P2773" s="108"/>
      <c r="Q2773" s="108"/>
      <c r="R2773" s="108"/>
      <c r="S2773" s="108"/>
      <c r="T2773" s="108"/>
      <c r="U2773" s="108"/>
      <c r="V2773" s="108"/>
      <c r="W2773" s="108"/>
      <c r="X2773" s="108"/>
    </row>
    <row r="2774" spans="1:24">
      <c r="A2774" s="107"/>
      <c r="B2774" s="107"/>
      <c r="C2774" s="107"/>
      <c r="D2774" s="107"/>
      <c r="E2774" s="107"/>
      <c r="F2774" s="107"/>
      <c r="G2774" s="108"/>
      <c r="H2774" s="107"/>
      <c r="I2774" s="108"/>
      <c r="J2774" s="108"/>
      <c r="K2774" s="108"/>
      <c r="L2774" s="108"/>
      <c r="M2774" s="108"/>
      <c r="N2774" s="108"/>
      <c r="O2774" s="108"/>
      <c r="P2774" s="108"/>
      <c r="Q2774" s="108"/>
      <c r="R2774" s="108"/>
      <c r="S2774" s="108"/>
      <c r="T2774" s="108"/>
      <c r="U2774" s="108"/>
      <c r="V2774" s="108"/>
      <c r="W2774" s="108"/>
      <c r="X2774" s="108"/>
    </row>
    <row r="2775" spans="1:24">
      <c r="A2775" s="107"/>
      <c r="B2775" s="107"/>
      <c r="C2775" s="107"/>
      <c r="D2775" s="107"/>
      <c r="E2775" s="107"/>
      <c r="F2775" s="107"/>
      <c r="G2775" s="108"/>
      <c r="H2775" s="107"/>
      <c r="I2775" s="108"/>
      <c r="J2775" s="108"/>
      <c r="K2775" s="108"/>
      <c r="L2775" s="108"/>
      <c r="M2775" s="108"/>
      <c r="N2775" s="108"/>
      <c r="O2775" s="108"/>
      <c r="P2775" s="108"/>
      <c r="Q2775" s="108"/>
      <c r="R2775" s="108"/>
      <c r="S2775" s="108"/>
      <c r="T2775" s="108"/>
      <c r="U2775" s="108"/>
      <c r="V2775" s="108"/>
      <c r="W2775" s="108"/>
      <c r="X2775" s="108"/>
    </row>
    <row r="2776" spans="1:24">
      <c r="A2776" s="107"/>
      <c r="B2776" s="107"/>
      <c r="C2776" s="107"/>
      <c r="D2776" s="107"/>
      <c r="E2776" s="107"/>
      <c r="F2776" s="107"/>
      <c r="G2776" s="108"/>
      <c r="H2776" s="107"/>
      <c r="I2776" s="108"/>
      <c r="J2776" s="108"/>
      <c r="K2776" s="108"/>
      <c r="L2776" s="108"/>
      <c r="M2776" s="108"/>
      <c r="N2776" s="108"/>
      <c r="O2776" s="108"/>
      <c r="P2776" s="108"/>
      <c r="Q2776" s="108"/>
      <c r="R2776" s="108"/>
      <c r="S2776" s="108"/>
      <c r="T2776" s="108"/>
      <c r="U2776" s="108"/>
      <c r="V2776" s="108"/>
      <c r="W2776" s="108"/>
      <c r="X2776" s="108"/>
    </row>
    <row r="2777" spans="1:24">
      <c r="A2777" s="107"/>
      <c r="B2777" s="107"/>
      <c r="C2777" s="107"/>
      <c r="D2777" s="107"/>
      <c r="E2777" s="107"/>
      <c r="F2777" s="107"/>
      <c r="G2777" s="108"/>
      <c r="H2777" s="107"/>
      <c r="I2777" s="108"/>
      <c r="J2777" s="108"/>
      <c r="K2777" s="108"/>
      <c r="L2777" s="108"/>
      <c r="M2777" s="108"/>
      <c r="N2777" s="108"/>
      <c r="O2777" s="108"/>
      <c r="P2777" s="108"/>
      <c r="Q2777" s="108"/>
      <c r="R2777" s="108"/>
      <c r="S2777" s="108"/>
      <c r="T2777" s="108"/>
      <c r="U2777" s="108"/>
      <c r="V2777" s="108"/>
      <c r="W2777" s="108"/>
      <c r="X2777" s="108"/>
    </row>
    <row r="2778" spans="1:24">
      <c r="A2778" s="107"/>
      <c r="B2778" s="107"/>
      <c r="C2778" s="107"/>
      <c r="D2778" s="107"/>
      <c r="E2778" s="107"/>
      <c r="F2778" s="107"/>
      <c r="G2778" s="108"/>
      <c r="H2778" s="107"/>
      <c r="I2778" s="108"/>
      <c r="J2778" s="108"/>
      <c r="K2778" s="108"/>
      <c r="L2778" s="108"/>
      <c r="M2778" s="108"/>
      <c r="N2778" s="108"/>
      <c r="O2778" s="108"/>
      <c r="P2778" s="108"/>
      <c r="Q2778" s="108"/>
      <c r="R2778" s="108"/>
      <c r="S2778" s="108"/>
      <c r="T2778" s="108"/>
      <c r="U2778" s="108"/>
      <c r="V2778" s="108"/>
      <c r="W2778" s="108"/>
      <c r="X2778" s="108"/>
    </row>
    <row r="2779" spans="1:24">
      <c r="A2779" s="107"/>
      <c r="B2779" s="107"/>
      <c r="C2779" s="107"/>
      <c r="D2779" s="107"/>
      <c r="E2779" s="107"/>
      <c r="F2779" s="107"/>
      <c r="G2779" s="108"/>
      <c r="H2779" s="107"/>
      <c r="I2779" s="108"/>
      <c r="J2779" s="108"/>
      <c r="K2779" s="108"/>
      <c r="L2779" s="108"/>
      <c r="M2779" s="108"/>
      <c r="N2779" s="108"/>
      <c r="O2779" s="108"/>
      <c r="P2779" s="108"/>
      <c r="Q2779" s="108"/>
      <c r="R2779" s="108"/>
      <c r="S2779" s="108"/>
      <c r="T2779" s="108"/>
      <c r="U2779" s="108"/>
      <c r="V2779" s="108"/>
      <c r="W2779" s="108"/>
      <c r="X2779" s="108"/>
    </row>
    <row r="2780" spans="1:24">
      <c r="A2780" s="107"/>
      <c r="B2780" s="107"/>
      <c r="C2780" s="107"/>
      <c r="D2780" s="107"/>
      <c r="E2780" s="107"/>
      <c r="F2780" s="107"/>
      <c r="G2780" s="108"/>
      <c r="H2780" s="107"/>
      <c r="I2780" s="108"/>
      <c r="J2780" s="108"/>
      <c r="K2780" s="108"/>
      <c r="L2780" s="108"/>
      <c r="M2780" s="108"/>
      <c r="N2780" s="108"/>
      <c r="O2780" s="108"/>
      <c r="P2780" s="108"/>
      <c r="Q2780" s="108"/>
      <c r="R2780" s="108"/>
      <c r="S2780" s="108"/>
      <c r="T2780" s="108"/>
      <c r="U2780" s="108"/>
      <c r="V2780" s="108"/>
      <c r="W2780" s="108"/>
      <c r="X2780" s="108"/>
    </row>
    <row r="2781" spans="1:24">
      <c r="A2781" s="107"/>
      <c r="B2781" s="107"/>
      <c r="C2781" s="107"/>
      <c r="D2781" s="107"/>
      <c r="E2781" s="107"/>
      <c r="F2781" s="107"/>
      <c r="G2781" s="108"/>
      <c r="H2781" s="107"/>
      <c r="I2781" s="108"/>
      <c r="J2781" s="108"/>
      <c r="K2781" s="108"/>
      <c r="L2781" s="108"/>
      <c r="M2781" s="108"/>
      <c r="N2781" s="108"/>
      <c r="O2781" s="108"/>
      <c r="P2781" s="108"/>
      <c r="Q2781" s="108"/>
      <c r="R2781" s="108"/>
      <c r="S2781" s="108"/>
      <c r="T2781" s="108"/>
      <c r="U2781" s="108"/>
      <c r="V2781" s="108"/>
      <c r="W2781" s="108"/>
      <c r="X2781" s="108"/>
    </row>
    <row r="2782" spans="1:24">
      <c r="A2782" s="107"/>
      <c r="B2782" s="107"/>
      <c r="C2782" s="107"/>
      <c r="D2782" s="107"/>
      <c r="E2782" s="107"/>
      <c r="F2782" s="107"/>
      <c r="G2782" s="108"/>
      <c r="H2782" s="107"/>
      <c r="I2782" s="108"/>
      <c r="J2782" s="108"/>
      <c r="K2782" s="108"/>
      <c r="L2782" s="108"/>
      <c r="M2782" s="108"/>
      <c r="N2782" s="108"/>
      <c r="O2782" s="108"/>
      <c r="P2782" s="108"/>
      <c r="Q2782" s="108"/>
      <c r="R2782" s="108"/>
      <c r="S2782" s="108"/>
      <c r="T2782" s="108"/>
      <c r="U2782" s="108"/>
      <c r="V2782" s="108"/>
      <c r="W2782" s="108"/>
      <c r="X2782" s="108"/>
    </row>
    <row r="2783" spans="1:24">
      <c r="A2783" s="107"/>
      <c r="B2783" s="107"/>
      <c r="C2783" s="107"/>
      <c r="D2783" s="107"/>
      <c r="E2783" s="107"/>
      <c r="F2783" s="107"/>
      <c r="G2783" s="108"/>
      <c r="H2783" s="107"/>
      <c r="I2783" s="108"/>
      <c r="J2783" s="108"/>
      <c r="K2783" s="108"/>
      <c r="L2783" s="108"/>
      <c r="M2783" s="108"/>
      <c r="N2783" s="108"/>
      <c r="O2783" s="108"/>
      <c r="P2783" s="108"/>
      <c r="Q2783" s="108"/>
      <c r="R2783" s="108"/>
      <c r="S2783" s="108"/>
      <c r="T2783" s="108"/>
      <c r="U2783" s="108"/>
      <c r="V2783" s="108"/>
      <c r="W2783" s="108"/>
      <c r="X2783" s="108"/>
    </row>
    <row r="2784" spans="1:24">
      <c r="A2784" s="107"/>
      <c r="B2784" s="107"/>
      <c r="C2784" s="107"/>
      <c r="D2784" s="107"/>
      <c r="E2784" s="107"/>
      <c r="F2784" s="107"/>
      <c r="G2784" s="108"/>
      <c r="H2784" s="107"/>
      <c r="I2784" s="108"/>
      <c r="J2784" s="108"/>
      <c r="K2784" s="108"/>
      <c r="L2784" s="108"/>
      <c r="M2784" s="108"/>
      <c r="N2784" s="108"/>
      <c r="O2784" s="108"/>
      <c r="P2784" s="108"/>
      <c r="Q2784" s="108"/>
      <c r="R2784" s="108"/>
      <c r="S2784" s="108"/>
      <c r="T2784" s="108"/>
      <c r="U2784" s="108"/>
      <c r="V2784" s="108"/>
      <c r="W2784" s="108"/>
      <c r="X2784" s="108"/>
    </row>
    <row r="2785" spans="1:24">
      <c r="A2785" s="107"/>
      <c r="B2785" s="107"/>
      <c r="C2785" s="107"/>
      <c r="D2785" s="107"/>
      <c r="E2785" s="107"/>
      <c r="F2785" s="107"/>
      <c r="G2785" s="108"/>
      <c r="H2785" s="107"/>
      <c r="I2785" s="108"/>
      <c r="J2785" s="108"/>
      <c r="K2785" s="108"/>
      <c r="L2785" s="108"/>
      <c r="M2785" s="108"/>
      <c r="N2785" s="108"/>
      <c r="O2785" s="108"/>
      <c r="P2785" s="108"/>
      <c r="Q2785" s="108"/>
      <c r="R2785" s="108"/>
      <c r="S2785" s="108"/>
      <c r="T2785" s="108"/>
      <c r="U2785" s="108"/>
      <c r="V2785" s="108"/>
      <c r="W2785" s="108"/>
      <c r="X2785" s="108"/>
    </row>
    <row r="2786" spans="1:24">
      <c r="A2786" s="107"/>
      <c r="B2786" s="107"/>
      <c r="C2786" s="107"/>
      <c r="D2786" s="107"/>
      <c r="E2786" s="107"/>
      <c r="F2786" s="107"/>
      <c r="G2786" s="108"/>
      <c r="H2786" s="107"/>
      <c r="I2786" s="108"/>
      <c r="J2786" s="108"/>
      <c r="K2786" s="108"/>
      <c r="L2786" s="108"/>
      <c r="M2786" s="108"/>
      <c r="N2786" s="108"/>
      <c r="O2786" s="108"/>
      <c r="P2786" s="108"/>
      <c r="Q2786" s="108"/>
      <c r="R2786" s="108"/>
      <c r="S2786" s="108"/>
      <c r="T2786" s="108"/>
      <c r="U2786" s="108"/>
      <c r="V2786" s="108"/>
      <c r="W2786" s="108"/>
      <c r="X2786" s="108"/>
    </row>
    <row r="2787" spans="1:24">
      <c r="A2787" s="107"/>
      <c r="B2787" s="107"/>
      <c r="C2787" s="107"/>
      <c r="D2787" s="107"/>
      <c r="E2787" s="107"/>
      <c r="F2787" s="107"/>
      <c r="G2787" s="108"/>
      <c r="H2787" s="107"/>
      <c r="I2787" s="108"/>
      <c r="J2787" s="108"/>
      <c r="K2787" s="108"/>
      <c r="L2787" s="108"/>
      <c r="M2787" s="108"/>
      <c r="N2787" s="108"/>
      <c r="O2787" s="108"/>
      <c r="P2787" s="108"/>
      <c r="Q2787" s="108"/>
      <c r="R2787" s="108"/>
      <c r="S2787" s="108"/>
      <c r="T2787" s="108"/>
      <c r="U2787" s="108"/>
      <c r="V2787" s="108"/>
      <c r="W2787" s="108"/>
      <c r="X2787" s="108"/>
    </row>
    <row r="2788" spans="1:24">
      <c r="A2788" s="107"/>
      <c r="B2788" s="107"/>
      <c r="C2788" s="107"/>
      <c r="D2788" s="107"/>
      <c r="E2788" s="107"/>
      <c r="F2788" s="107"/>
      <c r="G2788" s="108"/>
      <c r="H2788" s="107"/>
      <c r="I2788" s="108"/>
      <c r="J2788" s="108"/>
      <c r="K2788" s="108"/>
      <c r="L2788" s="108"/>
      <c r="M2788" s="108"/>
      <c r="N2788" s="108"/>
      <c r="O2788" s="108"/>
      <c r="P2788" s="108"/>
      <c r="Q2788" s="108"/>
      <c r="R2788" s="108"/>
      <c r="S2788" s="108"/>
      <c r="T2788" s="108"/>
      <c r="U2788" s="108"/>
      <c r="V2788" s="108"/>
      <c r="W2788" s="108"/>
      <c r="X2788" s="108"/>
    </row>
    <row r="2789" spans="1:24">
      <c r="A2789" s="107"/>
      <c r="B2789" s="107"/>
      <c r="C2789" s="107"/>
      <c r="D2789" s="107"/>
      <c r="E2789" s="107"/>
      <c r="F2789" s="107"/>
      <c r="G2789" s="108"/>
      <c r="H2789" s="107"/>
      <c r="I2789" s="108"/>
      <c r="J2789" s="108"/>
      <c r="K2789" s="108"/>
      <c r="L2789" s="108"/>
      <c r="M2789" s="108"/>
      <c r="N2789" s="108"/>
      <c r="O2789" s="108"/>
      <c r="P2789" s="108"/>
      <c r="Q2789" s="108"/>
      <c r="R2789" s="108"/>
      <c r="S2789" s="108"/>
      <c r="T2789" s="108"/>
      <c r="U2789" s="108"/>
      <c r="V2789" s="108"/>
      <c r="W2789" s="108"/>
      <c r="X2789" s="108"/>
    </row>
    <row r="2790" spans="1:24">
      <c r="A2790" s="107"/>
      <c r="B2790" s="107"/>
      <c r="C2790" s="107"/>
      <c r="D2790" s="107"/>
      <c r="E2790" s="107"/>
      <c r="F2790" s="107"/>
      <c r="G2790" s="108"/>
      <c r="H2790" s="107"/>
      <c r="I2790" s="108"/>
      <c r="J2790" s="108"/>
      <c r="K2790" s="108"/>
      <c r="L2790" s="108"/>
      <c r="M2790" s="108"/>
      <c r="N2790" s="108"/>
      <c r="O2790" s="108"/>
      <c r="P2790" s="108"/>
      <c r="Q2790" s="108"/>
      <c r="R2790" s="108"/>
      <c r="S2790" s="108"/>
      <c r="T2790" s="108"/>
      <c r="U2790" s="108"/>
      <c r="V2790" s="108"/>
      <c r="W2790" s="108"/>
      <c r="X2790" s="108"/>
    </row>
    <row r="2791" spans="1:24">
      <c r="A2791" s="107"/>
      <c r="B2791" s="107"/>
      <c r="C2791" s="107"/>
      <c r="D2791" s="107"/>
      <c r="E2791" s="107"/>
      <c r="F2791" s="107"/>
      <c r="G2791" s="108"/>
      <c r="H2791" s="107"/>
      <c r="I2791" s="108"/>
      <c r="J2791" s="108"/>
      <c r="K2791" s="108"/>
      <c r="L2791" s="108"/>
      <c r="M2791" s="108"/>
      <c r="N2791" s="108"/>
      <c r="O2791" s="108"/>
      <c r="P2791" s="108"/>
      <c r="Q2791" s="108"/>
      <c r="R2791" s="108"/>
      <c r="S2791" s="108"/>
      <c r="T2791" s="108"/>
      <c r="U2791" s="108"/>
      <c r="V2791" s="108"/>
      <c r="W2791" s="108"/>
      <c r="X2791" s="108"/>
    </row>
    <row r="2792" spans="1:24">
      <c r="A2792" s="107"/>
      <c r="B2792" s="107"/>
      <c r="C2792" s="107"/>
      <c r="D2792" s="107"/>
      <c r="E2792" s="107"/>
      <c r="F2792" s="107"/>
      <c r="G2792" s="108"/>
      <c r="H2792" s="107"/>
      <c r="I2792" s="108"/>
      <c r="J2792" s="108"/>
      <c r="K2792" s="108"/>
      <c r="L2792" s="108"/>
      <c r="M2792" s="108"/>
      <c r="N2792" s="108"/>
      <c r="O2792" s="108"/>
      <c r="P2792" s="108"/>
      <c r="Q2792" s="108"/>
      <c r="R2792" s="108"/>
      <c r="S2792" s="108"/>
      <c r="T2792" s="108"/>
      <c r="U2792" s="108"/>
      <c r="V2792" s="108"/>
      <c r="W2792" s="108"/>
      <c r="X2792" s="108"/>
    </row>
    <row r="2793" spans="1:24">
      <c r="A2793" s="107"/>
      <c r="B2793" s="107"/>
      <c r="C2793" s="107"/>
      <c r="D2793" s="107"/>
      <c r="E2793" s="107"/>
      <c r="F2793" s="107"/>
      <c r="G2793" s="108"/>
      <c r="H2793" s="107"/>
      <c r="I2793" s="108"/>
      <c r="J2793" s="108"/>
      <c r="K2793" s="108"/>
      <c r="L2793" s="108"/>
      <c r="M2793" s="108"/>
      <c r="N2793" s="108"/>
      <c r="O2793" s="108"/>
      <c r="P2793" s="108"/>
      <c r="Q2793" s="108"/>
      <c r="R2793" s="108"/>
      <c r="S2793" s="108"/>
      <c r="T2793" s="108"/>
      <c r="U2793" s="108"/>
      <c r="V2793" s="108"/>
      <c r="W2793" s="108"/>
      <c r="X2793" s="108"/>
    </row>
    <row r="2794" spans="1:24">
      <c r="A2794" s="107"/>
      <c r="B2794" s="107"/>
      <c r="C2794" s="107"/>
      <c r="D2794" s="107"/>
      <c r="E2794" s="107"/>
      <c r="F2794" s="107"/>
      <c r="G2794" s="108"/>
      <c r="H2794" s="107"/>
      <c r="I2794" s="108"/>
      <c r="J2794" s="108"/>
      <c r="K2794" s="108"/>
      <c r="L2794" s="108"/>
      <c r="M2794" s="108"/>
      <c r="N2794" s="108"/>
      <c r="O2794" s="108"/>
      <c r="P2794" s="108"/>
      <c r="Q2794" s="108"/>
      <c r="R2794" s="108"/>
      <c r="S2794" s="108"/>
      <c r="T2794" s="108"/>
      <c r="U2794" s="108"/>
      <c r="V2794" s="108"/>
      <c r="W2794" s="108"/>
      <c r="X2794" s="108"/>
    </row>
    <row r="2795" spans="1:24">
      <c r="A2795" s="107"/>
      <c r="B2795" s="107"/>
      <c r="C2795" s="107"/>
      <c r="D2795" s="107"/>
      <c r="E2795" s="107"/>
      <c r="F2795" s="107"/>
      <c r="G2795" s="108"/>
      <c r="H2795" s="107"/>
      <c r="I2795" s="108"/>
      <c r="J2795" s="108"/>
      <c r="K2795" s="108"/>
      <c r="L2795" s="108"/>
      <c r="M2795" s="108"/>
      <c r="N2795" s="108"/>
      <c r="O2795" s="108"/>
      <c r="P2795" s="108"/>
      <c r="Q2795" s="108"/>
      <c r="R2795" s="108"/>
      <c r="S2795" s="108"/>
      <c r="T2795" s="108"/>
      <c r="U2795" s="108"/>
      <c r="V2795" s="108"/>
      <c r="W2795" s="108"/>
      <c r="X2795" s="108"/>
    </row>
    <row r="2796" spans="1:24">
      <c r="A2796" s="107"/>
      <c r="B2796" s="107"/>
      <c r="C2796" s="107"/>
      <c r="D2796" s="107"/>
      <c r="E2796" s="107"/>
      <c r="F2796" s="107"/>
      <c r="G2796" s="108"/>
      <c r="H2796" s="107"/>
      <c r="I2796" s="108"/>
      <c r="J2796" s="108"/>
      <c r="K2796" s="108"/>
      <c r="L2796" s="108"/>
      <c r="M2796" s="108"/>
      <c r="N2796" s="108"/>
      <c r="O2796" s="108"/>
      <c r="P2796" s="108"/>
      <c r="Q2796" s="108"/>
      <c r="R2796" s="108"/>
      <c r="S2796" s="108"/>
      <c r="T2796" s="108"/>
      <c r="U2796" s="108"/>
      <c r="V2796" s="108"/>
      <c r="W2796" s="108"/>
      <c r="X2796" s="108"/>
    </row>
    <row r="2797" spans="1:24">
      <c r="A2797" s="107"/>
      <c r="B2797" s="107"/>
      <c r="C2797" s="107"/>
      <c r="D2797" s="107"/>
      <c r="E2797" s="107"/>
      <c r="F2797" s="107"/>
      <c r="G2797" s="108"/>
      <c r="H2797" s="107"/>
      <c r="I2797" s="108"/>
      <c r="J2797" s="108"/>
      <c r="K2797" s="108"/>
      <c r="L2797" s="108"/>
      <c r="M2797" s="108"/>
      <c r="N2797" s="108"/>
      <c r="O2797" s="108"/>
      <c r="P2797" s="108"/>
      <c r="Q2797" s="108"/>
      <c r="R2797" s="108"/>
      <c r="S2797" s="108"/>
      <c r="T2797" s="108"/>
      <c r="U2797" s="108"/>
      <c r="V2797" s="108"/>
      <c r="W2797" s="108"/>
      <c r="X2797" s="108"/>
    </row>
    <row r="2798" spans="1:24">
      <c r="A2798" s="107"/>
      <c r="B2798" s="107"/>
      <c r="C2798" s="107"/>
      <c r="D2798" s="107"/>
      <c r="E2798" s="107"/>
      <c r="F2798" s="107"/>
      <c r="G2798" s="108"/>
      <c r="H2798" s="107"/>
      <c r="I2798" s="108"/>
      <c r="J2798" s="108"/>
      <c r="K2798" s="108"/>
      <c r="L2798" s="108"/>
      <c r="M2798" s="108"/>
      <c r="N2798" s="108"/>
      <c r="O2798" s="108"/>
      <c r="P2798" s="108"/>
      <c r="Q2798" s="108"/>
      <c r="R2798" s="108"/>
      <c r="S2798" s="108"/>
      <c r="T2798" s="108"/>
      <c r="U2798" s="108"/>
      <c r="V2798" s="108"/>
      <c r="W2798" s="108"/>
      <c r="X2798" s="108"/>
    </row>
    <row r="2799" spans="1:24">
      <c r="A2799" s="107"/>
      <c r="B2799" s="107"/>
      <c r="C2799" s="107"/>
      <c r="D2799" s="107"/>
      <c r="E2799" s="107"/>
      <c r="F2799" s="107"/>
      <c r="G2799" s="108"/>
      <c r="H2799" s="107"/>
      <c r="I2799" s="108"/>
      <c r="J2799" s="108"/>
      <c r="K2799" s="108"/>
      <c r="L2799" s="108"/>
      <c r="M2799" s="108"/>
      <c r="N2799" s="108"/>
      <c r="O2799" s="108"/>
      <c r="P2799" s="108"/>
      <c r="Q2799" s="108"/>
      <c r="R2799" s="108"/>
      <c r="S2799" s="108"/>
      <c r="T2799" s="108"/>
      <c r="U2799" s="108"/>
      <c r="V2799" s="108"/>
      <c r="W2799" s="108"/>
      <c r="X2799" s="108"/>
    </row>
    <row r="2800" spans="1:24">
      <c r="A2800" s="107"/>
      <c r="B2800" s="107"/>
      <c r="C2800" s="107"/>
      <c r="D2800" s="107"/>
      <c r="E2800" s="107"/>
      <c r="F2800" s="107"/>
      <c r="G2800" s="108"/>
      <c r="H2800" s="107"/>
      <c r="I2800" s="108"/>
      <c r="J2800" s="108"/>
      <c r="K2800" s="108"/>
      <c r="L2800" s="108"/>
      <c r="M2800" s="108"/>
      <c r="N2800" s="108"/>
      <c r="O2800" s="108"/>
      <c r="P2800" s="108"/>
      <c r="Q2800" s="108"/>
      <c r="R2800" s="108"/>
      <c r="S2800" s="108"/>
      <c r="T2800" s="108"/>
      <c r="U2800" s="108"/>
      <c r="V2800" s="108"/>
      <c r="W2800" s="108"/>
      <c r="X2800" s="108"/>
    </row>
    <row r="2801" spans="1:24">
      <c r="A2801" s="107"/>
      <c r="B2801" s="107"/>
      <c r="C2801" s="107"/>
      <c r="D2801" s="107"/>
      <c r="E2801" s="107"/>
      <c r="F2801" s="107"/>
      <c r="G2801" s="108"/>
      <c r="H2801" s="107"/>
      <c r="I2801" s="108"/>
      <c r="J2801" s="108"/>
      <c r="K2801" s="108"/>
      <c r="L2801" s="108"/>
      <c r="M2801" s="108"/>
      <c r="N2801" s="108"/>
      <c r="O2801" s="108"/>
      <c r="P2801" s="108"/>
      <c r="Q2801" s="108"/>
      <c r="R2801" s="108"/>
      <c r="S2801" s="108"/>
      <c r="T2801" s="108"/>
      <c r="U2801" s="108"/>
      <c r="V2801" s="108"/>
      <c r="W2801" s="108"/>
      <c r="X2801" s="108"/>
    </row>
    <row r="2802" spans="1:24">
      <c r="A2802" s="107"/>
      <c r="B2802" s="107"/>
      <c r="C2802" s="107"/>
      <c r="D2802" s="107"/>
      <c r="E2802" s="107"/>
      <c r="F2802" s="107"/>
      <c r="G2802" s="108"/>
      <c r="H2802" s="107"/>
      <c r="I2802" s="108"/>
      <c r="J2802" s="108"/>
      <c r="K2802" s="108"/>
      <c r="L2802" s="108"/>
      <c r="M2802" s="108"/>
      <c r="N2802" s="108"/>
      <c r="O2802" s="108"/>
      <c r="P2802" s="108"/>
      <c r="Q2802" s="108"/>
      <c r="R2802" s="108"/>
      <c r="S2802" s="108"/>
      <c r="T2802" s="108"/>
      <c r="U2802" s="108"/>
      <c r="V2802" s="108"/>
      <c r="W2802" s="108"/>
      <c r="X2802" s="108"/>
    </row>
    <row r="2803" spans="1:24">
      <c r="A2803" s="107"/>
      <c r="B2803" s="107"/>
      <c r="C2803" s="107"/>
      <c r="D2803" s="107"/>
      <c r="E2803" s="107"/>
      <c r="F2803" s="107"/>
      <c r="G2803" s="108"/>
      <c r="H2803" s="107"/>
      <c r="I2803" s="108"/>
      <c r="J2803" s="108"/>
      <c r="K2803" s="108"/>
      <c r="L2803" s="108"/>
      <c r="M2803" s="108"/>
      <c r="N2803" s="108"/>
      <c r="O2803" s="108"/>
      <c r="P2803" s="108"/>
      <c r="Q2803" s="108"/>
      <c r="R2803" s="108"/>
      <c r="S2803" s="108"/>
      <c r="T2803" s="108"/>
      <c r="U2803" s="108"/>
      <c r="V2803" s="108"/>
      <c r="W2803" s="108"/>
      <c r="X2803" s="108"/>
    </row>
    <row r="2804" spans="1:24">
      <c r="A2804" s="107"/>
      <c r="B2804" s="107"/>
      <c r="C2804" s="107"/>
      <c r="D2804" s="107"/>
      <c r="E2804" s="107"/>
      <c r="F2804" s="107"/>
      <c r="G2804" s="108"/>
      <c r="H2804" s="107"/>
      <c r="I2804" s="108"/>
      <c r="J2804" s="108"/>
      <c r="K2804" s="108"/>
      <c r="L2804" s="108"/>
      <c r="M2804" s="108"/>
      <c r="N2804" s="108"/>
      <c r="O2804" s="108"/>
      <c r="P2804" s="108"/>
      <c r="Q2804" s="108"/>
      <c r="R2804" s="108"/>
      <c r="S2804" s="108"/>
      <c r="T2804" s="108"/>
      <c r="U2804" s="108"/>
      <c r="V2804" s="108"/>
      <c r="W2804" s="108"/>
      <c r="X2804" s="108"/>
    </row>
    <row r="2805" spans="1:24">
      <c r="A2805" s="107"/>
      <c r="B2805" s="107"/>
      <c r="C2805" s="107"/>
      <c r="D2805" s="107"/>
      <c r="E2805" s="107"/>
      <c r="F2805" s="107"/>
      <c r="G2805" s="108"/>
      <c r="H2805" s="107"/>
      <c r="I2805" s="108"/>
      <c r="J2805" s="108"/>
      <c r="K2805" s="108"/>
      <c r="L2805" s="108"/>
      <c r="M2805" s="108"/>
      <c r="N2805" s="108"/>
      <c r="O2805" s="108"/>
      <c r="P2805" s="108"/>
      <c r="Q2805" s="108"/>
      <c r="R2805" s="108"/>
      <c r="S2805" s="108"/>
      <c r="T2805" s="108"/>
      <c r="U2805" s="108"/>
      <c r="V2805" s="108"/>
      <c r="W2805" s="108"/>
      <c r="X2805" s="108"/>
    </row>
    <row r="2806" spans="1:24">
      <c r="A2806" s="107"/>
      <c r="B2806" s="107"/>
      <c r="C2806" s="107"/>
      <c r="D2806" s="107"/>
      <c r="E2806" s="107"/>
      <c r="F2806" s="107"/>
      <c r="G2806" s="108"/>
      <c r="H2806" s="107"/>
      <c r="I2806" s="108"/>
      <c r="J2806" s="108"/>
      <c r="K2806" s="108"/>
      <c r="L2806" s="108"/>
      <c r="M2806" s="108"/>
      <c r="N2806" s="108"/>
      <c r="O2806" s="108"/>
      <c r="P2806" s="108"/>
      <c r="Q2806" s="108"/>
      <c r="R2806" s="108"/>
      <c r="S2806" s="108"/>
      <c r="T2806" s="108"/>
      <c r="U2806" s="108"/>
      <c r="V2806" s="108"/>
      <c r="W2806" s="108"/>
      <c r="X2806" s="108"/>
    </row>
    <row r="2807" spans="1:24">
      <c r="A2807" s="107"/>
      <c r="B2807" s="107"/>
      <c r="C2807" s="107"/>
      <c r="D2807" s="107"/>
      <c r="E2807" s="107"/>
      <c r="F2807" s="107"/>
      <c r="G2807" s="108"/>
      <c r="H2807" s="107"/>
      <c r="I2807" s="108"/>
      <c r="J2807" s="108"/>
      <c r="K2807" s="108"/>
      <c r="L2807" s="108"/>
      <c r="M2807" s="108"/>
      <c r="N2807" s="108"/>
      <c r="O2807" s="108"/>
      <c r="P2807" s="108"/>
      <c r="Q2807" s="108"/>
      <c r="R2807" s="108"/>
      <c r="S2807" s="108"/>
      <c r="T2807" s="108"/>
      <c r="U2807" s="108"/>
      <c r="V2807" s="108"/>
      <c r="W2807" s="108"/>
      <c r="X2807" s="108"/>
    </row>
    <row r="2808" spans="1:24">
      <c r="A2808" s="107"/>
      <c r="B2808" s="107"/>
      <c r="C2808" s="107"/>
      <c r="D2808" s="107"/>
      <c r="E2808" s="107"/>
      <c r="F2808" s="107"/>
      <c r="G2808" s="108"/>
      <c r="H2808" s="107"/>
      <c r="I2808" s="108"/>
      <c r="J2808" s="108"/>
      <c r="K2808" s="108"/>
      <c r="L2808" s="108"/>
      <c r="M2808" s="108"/>
      <c r="N2808" s="108"/>
      <c r="O2808" s="108"/>
      <c r="P2808" s="108"/>
      <c r="Q2808" s="108"/>
      <c r="R2808" s="108"/>
      <c r="S2808" s="108"/>
      <c r="T2808" s="108"/>
      <c r="U2808" s="108"/>
      <c r="V2808" s="108"/>
      <c r="W2808" s="108"/>
      <c r="X2808" s="108"/>
    </row>
    <row r="2809" spans="1:24">
      <c r="A2809" s="107"/>
      <c r="B2809" s="107"/>
      <c r="C2809" s="107"/>
      <c r="D2809" s="107"/>
      <c r="E2809" s="107"/>
      <c r="F2809" s="107"/>
      <c r="G2809" s="108"/>
      <c r="H2809" s="107"/>
      <c r="I2809" s="108"/>
      <c r="J2809" s="108"/>
      <c r="K2809" s="108"/>
      <c r="L2809" s="108"/>
      <c r="M2809" s="108"/>
      <c r="N2809" s="108"/>
      <c r="O2809" s="108"/>
      <c r="P2809" s="108"/>
      <c r="Q2809" s="108"/>
      <c r="R2809" s="108"/>
      <c r="S2809" s="108"/>
      <c r="T2809" s="108"/>
      <c r="U2809" s="108"/>
      <c r="V2809" s="108"/>
      <c r="W2809" s="108"/>
      <c r="X2809" s="108"/>
    </row>
    <row r="2810" spans="1:24">
      <c r="A2810" s="107"/>
      <c r="B2810" s="107"/>
      <c r="C2810" s="107"/>
      <c r="D2810" s="107"/>
      <c r="E2810" s="107"/>
      <c r="F2810" s="107"/>
      <c r="G2810" s="108"/>
      <c r="H2810" s="107"/>
      <c r="I2810" s="108"/>
      <c r="J2810" s="108"/>
      <c r="K2810" s="108"/>
      <c r="L2810" s="108"/>
      <c r="M2810" s="108"/>
      <c r="N2810" s="108"/>
      <c r="O2810" s="108"/>
      <c r="P2810" s="108"/>
      <c r="Q2810" s="108"/>
      <c r="R2810" s="108"/>
      <c r="S2810" s="108"/>
      <c r="T2810" s="108"/>
      <c r="U2810" s="108"/>
      <c r="V2810" s="108"/>
      <c r="W2810" s="108"/>
      <c r="X2810" s="108"/>
    </row>
    <row r="2811" spans="1:24">
      <c r="A2811" s="107"/>
      <c r="B2811" s="107"/>
      <c r="C2811" s="107"/>
      <c r="D2811" s="107"/>
      <c r="E2811" s="107"/>
      <c r="F2811" s="107"/>
      <c r="G2811" s="108"/>
      <c r="H2811" s="107"/>
      <c r="I2811" s="108"/>
      <c r="J2811" s="108"/>
      <c r="K2811" s="108"/>
      <c r="L2811" s="108"/>
      <c r="M2811" s="108"/>
      <c r="N2811" s="108"/>
      <c r="O2811" s="108"/>
      <c r="P2811" s="108"/>
      <c r="Q2811" s="108"/>
      <c r="R2811" s="108"/>
      <c r="S2811" s="108"/>
      <c r="T2811" s="108"/>
      <c r="U2811" s="108"/>
      <c r="V2811" s="108"/>
      <c r="W2811" s="108"/>
      <c r="X2811" s="108"/>
    </row>
    <row r="2812" spans="1:24">
      <c r="A2812" s="107"/>
      <c r="B2812" s="107"/>
      <c r="C2812" s="107"/>
      <c r="D2812" s="107"/>
      <c r="E2812" s="107"/>
      <c r="F2812" s="107"/>
      <c r="G2812" s="108"/>
      <c r="H2812" s="107"/>
      <c r="I2812" s="108"/>
      <c r="J2812" s="108"/>
      <c r="K2812" s="108"/>
      <c r="L2812" s="108"/>
      <c r="M2812" s="108"/>
      <c r="N2812" s="108"/>
      <c r="O2812" s="108"/>
      <c r="P2812" s="108"/>
      <c r="Q2812" s="108"/>
      <c r="R2812" s="108"/>
      <c r="S2812" s="108"/>
      <c r="T2812" s="108"/>
      <c r="U2812" s="108"/>
      <c r="V2812" s="108"/>
      <c r="W2812" s="108"/>
      <c r="X2812" s="108"/>
    </row>
    <row r="2813" spans="1:24">
      <c r="A2813" s="107"/>
      <c r="B2813" s="107"/>
      <c r="C2813" s="107"/>
      <c r="D2813" s="107"/>
      <c r="E2813" s="107"/>
      <c r="F2813" s="107"/>
      <c r="G2813" s="108"/>
      <c r="H2813" s="107"/>
      <c r="I2813" s="108"/>
      <c r="J2813" s="108"/>
      <c r="K2813" s="108"/>
      <c r="L2813" s="108"/>
      <c r="M2813" s="108"/>
      <c r="N2813" s="108"/>
      <c r="O2813" s="108"/>
      <c r="P2813" s="108"/>
      <c r="Q2813" s="108"/>
      <c r="R2813" s="108"/>
      <c r="S2813" s="108"/>
      <c r="T2813" s="108"/>
      <c r="U2813" s="108"/>
      <c r="V2813" s="108"/>
      <c r="W2813" s="108"/>
      <c r="X2813" s="108"/>
    </row>
    <row r="2814" spans="1:24">
      <c r="A2814" s="107"/>
      <c r="B2814" s="107"/>
      <c r="C2814" s="107"/>
      <c r="D2814" s="107"/>
      <c r="E2814" s="107"/>
      <c r="F2814" s="107"/>
      <c r="G2814" s="108"/>
      <c r="H2814" s="107"/>
      <c r="I2814" s="108"/>
      <c r="J2814" s="108"/>
      <c r="K2814" s="108"/>
      <c r="L2814" s="108"/>
      <c r="M2814" s="108"/>
      <c r="N2814" s="108"/>
      <c r="O2814" s="108"/>
      <c r="P2814" s="108"/>
      <c r="Q2814" s="108"/>
      <c r="R2814" s="108"/>
      <c r="S2814" s="108"/>
      <c r="T2814" s="108"/>
      <c r="U2814" s="108"/>
      <c r="V2814" s="108"/>
      <c r="W2814" s="108"/>
      <c r="X2814" s="108"/>
    </row>
    <row r="2815" spans="1:24">
      <c r="A2815" s="107"/>
      <c r="B2815" s="107"/>
      <c r="C2815" s="107"/>
      <c r="D2815" s="107"/>
      <c r="E2815" s="107"/>
      <c r="F2815" s="107"/>
      <c r="G2815" s="108"/>
      <c r="H2815" s="107"/>
      <c r="I2815" s="108"/>
      <c r="J2815" s="108"/>
      <c r="K2815" s="108"/>
      <c r="L2815" s="108"/>
      <c r="M2815" s="108"/>
      <c r="N2815" s="108"/>
      <c r="O2815" s="108"/>
      <c r="P2815" s="108"/>
      <c r="Q2815" s="108"/>
      <c r="R2815" s="108"/>
      <c r="S2815" s="108"/>
      <c r="T2815" s="108"/>
      <c r="U2815" s="108"/>
      <c r="V2815" s="108"/>
      <c r="W2815" s="108"/>
      <c r="X2815" s="108"/>
    </row>
    <row r="2816" spans="1:24">
      <c r="A2816" s="107"/>
      <c r="B2816" s="107"/>
      <c r="C2816" s="107"/>
      <c r="D2816" s="107"/>
      <c r="E2816" s="107"/>
      <c r="F2816" s="107"/>
      <c r="G2816" s="108"/>
      <c r="H2816" s="107"/>
      <c r="I2816" s="108"/>
      <c r="J2816" s="108"/>
      <c r="K2816" s="108"/>
      <c r="L2816" s="108"/>
      <c r="M2816" s="108"/>
      <c r="N2816" s="108"/>
      <c r="O2816" s="108"/>
      <c r="P2816" s="108"/>
      <c r="Q2816" s="108"/>
      <c r="R2816" s="108"/>
      <c r="S2816" s="108"/>
      <c r="T2816" s="108"/>
      <c r="U2816" s="108"/>
      <c r="V2816" s="108"/>
      <c r="W2816" s="108"/>
      <c r="X2816" s="108"/>
    </row>
    <row r="2817" spans="1:24">
      <c r="A2817" s="107"/>
      <c r="B2817" s="107"/>
      <c r="C2817" s="107"/>
      <c r="D2817" s="107"/>
      <c r="E2817" s="107"/>
      <c r="F2817" s="107"/>
      <c r="G2817" s="108"/>
      <c r="H2817" s="107"/>
      <c r="I2817" s="108"/>
      <c r="J2817" s="108"/>
      <c r="K2817" s="108"/>
      <c r="L2817" s="108"/>
      <c r="M2817" s="108"/>
      <c r="N2817" s="108"/>
      <c r="O2817" s="108"/>
      <c r="P2817" s="108"/>
      <c r="Q2817" s="108"/>
      <c r="R2817" s="108"/>
      <c r="S2817" s="108"/>
      <c r="T2817" s="108"/>
      <c r="U2817" s="108"/>
      <c r="V2817" s="108"/>
      <c r="W2817" s="108"/>
      <c r="X2817" s="108"/>
    </row>
    <row r="2818" spans="1:24">
      <c r="A2818" s="107"/>
      <c r="B2818" s="107"/>
      <c r="C2818" s="107"/>
      <c r="D2818" s="107"/>
      <c r="E2818" s="107"/>
      <c r="F2818" s="107"/>
      <c r="G2818" s="108"/>
      <c r="H2818" s="107"/>
      <c r="I2818" s="108"/>
      <c r="J2818" s="108"/>
      <c r="K2818" s="108"/>
      <c r="L2818" s="108"/>
      <c r="M2818" s="108"/>
      <c r="N2818" s="108"/>
      <c r="O2818" s="108"/>
      <c r="P2818" s="108"/>
      <c r="Q2818" s="108"/>
      <c r="R2818" s="108"/>
      <c r="S2818" s="108"/>
      <c r="T2818" s="108"/>
      <c r="U2818" s="108"/>
      <c r="V2818" s="108"/>
      <c r="W2818" s="108"/>
      <c r="X2818" s="108"/>
    </row>
    <row r="2819" spans="1:24">
      <c r="A2819" s="107"/>
      <c r="B2819" s="107"/>
      <c r="C2819" s="107"/>
      <c r="D2819" s="107"/>
      <c r="E2819" s="107"/>
      <c r="F2819" s="107"/>
      <c r="G2819" s="108"/>
      <c r="H2819" s="107"/>
      <c r="I2819" s="108"/>
      <c r="J2819" s="108"/>
      <c r="K2819" s="108"/>
      <c r="L2819" s="108"/>
      <c r="M2819" s="108"/>
      <c r="N2819" s="108"/>
      <c r="O2819" s="108"/>
      <c r="P2819" s="108"/>
      <c r="Q2819" s="108"/>
      <c r="R2819" s="108"/>
      <c r="S2819" s="108"/>
      <c r="T2819" s="108"/>
      <c r="U2819" s="108"/>
      <c r="V2819" s="108"/>
      <c r="W2819" s="108"/>
      <c r="X2819" s="108"/>
    </row>
    <row r="2820" spans="1:24">
      <c r="A2820" s="107"/>
      <c r="B2820" s="107"/>
      <c r="C2820" s="107"/>
      <c r="D2820" s="107"/>
      <c r="E2820" s="107"/>
      <c r="F2820" s="107"/>
      <c r="G2820" s="108"/>
      <c r="H2820" s="107"/>
      <c r="I2820" s="108"/>
      <c r="J2820" s="108"/>
      <c r="K2820" s="108"/>
      <c r="L2820" s="108"/>
      <c r="M2820" s="108"/>
      <c r="N2820" s="108"/>
      <c r="O2820" s="108"/>
      <c r="P2820" s="108"/>
      <c r="Q2820" s="108"/>
      <c r="R2820" s="108"/>
      <c r="S2820" s="108"/>
      <c r="T2820" s="108"/>
      <c r="U2820" s="108"/>
      <c r="V2820" s="108"/>
      <c r="W2820" s="108"/>
      <c r="X2820" s="108"/>
    </row>
    <row r="2821" spans="1:24">
      <c r="A2821" s="107"/>
      <c r="B2821" s="107"/>
      <c r="C2821" s="107"/>
      <c r="D2821" s="107"/>
      <c r="E2821" s="107"/>
      <c r="F2821" s="107"/>
      <c r="G2821" s="108"/>
      <c r="H2821" s="107"/>
      <c r="I2821" s="108"/>
      <c r="J2821" s="108"/>
      <c r="K2821" s="108"/>
      <c r="L2821" s="108"/>
      <c r="M2821" s="108"/>
      <c r="N2821" s="108"/>
      <c r="O2821" s="108"/>
      <c r="P2821" s="108"/>
      <c r="Q2821" s="108"/>
      <c r="R2821" s="108"/>
      <c r="S2821" s="108"/>
      <c r="T2821" s="108"/>
      <c r="U2821" s="108"/>
      <c r="V2821" s="108"/>
      <c r="W2821" s="108"/>
      <c r="X2821" s="108"/>
    </row>
    <row r="2822" spans="1:24">
      <c r="A2822" s="107"/>
      <c r="B2822" s="107"/>
      <c r="C2822" s="107"/>
      <c r="D2822" s="107"/>
      <c r="E2822" s="107"/>
      <c r="F2822" s="107"/>
      <c r="G2822" s="108"/>
      <c r="H2822" s="107"/>
      <c r="I2822" s="108"/>
      <c r="J2822" s="108"/>
      <c r="K2822" s="108"/>
      <c r="L2822" s="108"/>
      <c r="M2822" s="108"/>
      <c r="N2822" s="108"/>
      <c r="O2822" s="108"/>
      <c r="P2822" s="108"/>
      <c r="Q2822" s="108"/>
      <c r="R2822" s="108"/>
      <c r="S2822" s="108"/>
      <c r="T2822" s="108"/>
      <c r="U2822" s="108"/>
      <c r="V2822" s="108"/>
      <c r="W2822" s="108"/>
      <c r="X2822" s="108"/>
    </row>
    <row r="2823" spans="1:24">
      <c r="A2823" s="107"/>
      <c r="B2823" s="107"/>
      <c r="C2823" s="107"/>
      <c r="D2823" s="107"/>
      <c r="E2823" s="107"/>
      <c r="F2823" s="107"/>
      <c r="G2823" s="108"/>
      <c r="H2823" s="107"/>
      <c r="I2823" s="108"/>
      <c r="J2823" s="108"/>
      <c r="K2823" s="108"/>
      <c r="L2823" s="108"/>
      <c r="M2823" s="108"/>
      <c r="N2823" s="108"/>
      <c r="O2823" s="108"/>
      <c r="P2823" s="108"/>
      <c r="Q2823" s="108"/>
      <c r="R2823" s="108"/>
      <c r="S2823" s="108"/>
      <c r="T2823" s="108"/>
      <c r="U2823" s="108"/>
      <c r="V2823" s="108"/>
      <c r="W2823" s="108"/>
      <c r="X2823" s="108"/>
    </row>
    <row r="2824" spans="1:24">
      <c r="A2824" s="107"/>
      <c r="B2824" s="107"/>
      <c r="C2824" s="107"/>
      <c r="D2824" s="107"/>
      <c r="E2824" s="107"/>
      <c r="F2824" s="107"/>
      <c r="G2824" s="108"/>
      <c r="H2824" s="107"/>
      <c r="I2824" s="108"/>
      <c r="J2824" s="108"/>
      <c r="K2824" s="108"/>
      <c r="L2824" s="108"/>
      <c r="M2824" s="108"/>
      <c r="N2824" s="108"/>
      <c r="O2824" s="108"/>
      <c r="P2824" s="108"/>
      <c r="Q2824" s="108"/>
      <c r="R2824" s="108"/>
      <c r="S2824" s="108"/>
      <c r="T2824" s="108"/>
      <c r="U2824" s="108"/>
      <c r="V2824" s="108"/>
      <c r="W2824" s="108"/>
      <c r="X2824" s="108"/>
    </row>
    <row r="2825" spans="1:24">
      <c r="A2825" s="107"/>
      <c r="B2825" s="107"/>
      <c r="C2825" s="107"/>
      <c r="D2825" s="107"/>
      <c r="E2825" s="107"/>
      <c r="F2825" s="107"/>
      <c r="G2825" s="108"/>
      <c r="H2825" s="107"/>
      <c r="I2825" s="108"/>
      <c r="J2825" s="108"/>
      <c r="K2825" s="108"/>
      <c r="L2825" s="108"/>
      <c r="M2825" s="108"/>
      <c r="N2825" s="108"/>
      <c r="O2825" s="108"/>
      <c r="P2825" s="108"/>
      <c r="Q2825" s="108"/>
      <c r="R2825" s="108"/>
      <c r="S2825" s="108"/>
      <c r="T2825" s="108"/>
      <c r="U2825" s="108"/>
      <c r="V2825" s="108"/>
      <c r="W2825" s="108"/>
      <c r="X2825" s="108"/>
    </row>
    <row r="2826" spans="1:24">
      <c r="A2826" s="107"/>
      <c r="B2826" s="107"/>
      <c r="C2826" s="107"/>
      <c r="D2826" s="107"/>
      <c r="E2826" s="107"/>
      <c r="F2826" s="107"/>
      <c r="G2826" s="108"/>
      <c r="H2826" s="107"/>
      <c r="I2826" s="108"/>
      <c r="J2826" s="108"/>
      <c r="K2826" s="108"/>
      <c r="L2826" s="108"/>
      <c r="M2826" s="108"/>
      <c r="N2826" s="108"/>
      <c r="O2826" s="108"/>
      <c r="P2826" s="108"/>
      <c r="Q2826" s="108"/>
      <c r="R2826" s="108"/>
      <c r="S2826" s="108"/>
      <c r="T2826" s="108"/>
      <c r="U2826" s="108"/>
      <c r="V2826" s="108"/>
      <c r="W2826" s="108"/>
      <c r="X2826" s="108"/>
    </row>
    <row r="2827" spans="1:24">
      <c r="A2827" s="107"/>
      <c r="B2827" s="107"/>
      <c r="C2827" s="107"/>
      <c r="D2827" s="107"/>
      <c r="E2827" s="107"/>
      <c r="F2827" s="107"/>
      <c r="G2827" s="108"/>
      <c r="H2827" s="107"/>
      <c r="I2827" s="108"/>
      <c r="J2827" s="108"/>
      <c r="K2827" s="108"/>
      <c r="L2827" s="108"/>
      <c r="M2827" s="108"/>
      <c r="N2827" s="108"/>
      <c r="O2827" s="108"/>
      <c r="P2827" s="108"/>
      <c r="Q2827" s="108"/>
      <c r="R2827" s="108"/>
      <c r="S2827" s="108"/>
      <c r="T2827" s="108"/>
      <c r="U2827" s="108"/>
      <c r="V2827" s="108"/>
      <c r="W2827" s="108"/>
      <c r="X2827" s="108"/>
    </row>
    <row r="2828" spans="1:24">
      <c r="A2828" s="107"/>
      <c r="B2828" s="107"/>
      <c r="C2828" s="107"/>
      <c r="D2828" s="107"/>
      <c r="E2828" s="107"/>
      <c r="F2828" s="107"/>
      <c r="G2828" s="108"/>
      <c r="H2828" s="107"/>
      <c r="I2828" s="108"/>
      <c r="J2828" s="108"/>
      <c r="K2828" s="108"/>
      <c r="L2828" s="108"/>
      <c r="M2828" s="108"/>
      <c r="N2828" s="108"/>
      <c r="O2828" s="108"/>
      <c r="P2828" s="108"/>
      <c r="Q2828" s="108"/>
      <c r="R2828" s="108"/>
      <c r="S2828" s="108"/>
      <c r="T2828" s="108"/>
      <c r="U2828" s="108"/>
      <c r="V2828" s="108"/>
      <c r="W2828" s="108"/>
      <c r="X2828" s="108"/>
    </row>
    <row r="2829" spans="1:24">
      <c r="A2829" s="107"/>
      <c r="B2829" s="107"/>
      <c r="C2829" s="107"/>
      <c r="D2829" s="107"/>
      <c r="E2829" s="107"/>
      <c r="F2829" s="107"/>
      <c r="G2829" s="108"/>
      <c r="H2829" s="107"/>
      <c r="I2829" s="108"/>
      <c r="J2829" s="108"/>
      <c r="K2829" s="108"/>
      <c r="L2829" s="108"/>
      <c r="M2829" s="108"/>
      <c r="N2829" s="108"/>
      <c r="O2829" s="108"/>
      <c r="P2829" s="108"/>
      <c r="Q2829" s="108"/>
      <c r="R2829" s="108"/>
      <c r="S2829" s="108"/>
      <c r="T2829" s="108"/>
      <c r="U2829" s="108"/>
      <c r="V2829" s="108"/>
      <c r="W2829" s="108"/>
      <c r="X2829" s="108"/>
    </row>
    <row r="2830" spans="1:24">
      <c r="A2830" s="107"/>
      <c r="B2830" s="107"/>
      <c r="C2830" s="107"/>
      <c r="D2830" s="107"/>
      <c r="E2830" s="107"/>
      <c r="F2830" s="107"/>
      <c r="G2830" s="108"/>
      <c r="H2830" s="107"/>
      <c r="I2830" s="108"/>
      <c r="J2830" s="108"/>
      <c r="K2830" s="108"/>
      <c r="L2830" s="108"/>
      <c r="M2830" s="108"/>
      <c r="N2830" s="108"/>
      <c r="O2830" s="108"/>
      <c r="P2830" s="108"/>
      <c r="Q2830" s="108"/>
      <c r="R2830" s="108"/>
      <c r="S2830" s="108"/>
      <c r="T2830" s="108"/>
      <c r="U2830" s="108"/>
      <c r="V2830" s="108"/>
      <c r="W2830" s="108"/>
      <c r="X2830" s="108"/>
    </row>
    <row r="2831" spans="1:24">
      <c r="A2831" s="107"/>
      <c r="B2831" s="107"/>
      <c r="C2831" s="107"/>
      <c r="D2831" s="107"/>
      <c r="E2831" s="107"/>
      <c r="F2831" s="107"/>
      <c r="G2831" s="108"/>
      <c r="H2831" s="107"/>
      <c r="I2831" s="108"/>
      <c r="J2831" s="108"/>
      <c r="K2831" s="108"/>
      <c r="L2831" s="108"/>
      <c r="M2831" s="108"/>
      <c r="N2831" s="108"/>
      <c r="O2831" s="108"/>
      <c r="P2831" s="108"/>
      <c r="Q2831" s="108"/>
      <c r="R2831" s="108"/>
      <c r="S2831" s="108"/>
      <c r="T2831" s="108"/>
      <c r="U2831" s="108"/>
      <c r="V2831" s="108"/>
      <c r="W2831" s="108"/>
      <c r="X2831" s="108"/>
    </row>
    <row r="2832" spans="1:24">
      <c r="A2832" s="107"/>
      <c r="B2832" s="107"/>
      <c r="C2832" s="107"/>
      <c r="D2832" s="107"/>
      <c r="E2832" s="107"/>
      <c r="F2832" s="107"/>
      <c r="G2832" s="108"/>
      <c r="H2832" s="107"/>
      <c r="I2832" s="108"/>
      <c r="J2832" s="108"/>
      <c r="K2832" s="108"/>
      <c r="L2832" s="108"/>
      <c r="M2832" s="108"/>
      <c r="N2832" s="108"/>
      <c r="O2832" s="108"/>
      <c r="P2832" s="108"/>
      <c r="Q2832" s="108"/>
      <c r="R2832" s="108"/>
      <c r="S2832" s="108"/>
      <c r="T2832" s="108"/>
      <c r="U2832" s="108"/>
      <c r="V2832" s="108"/>
      <c r="W2832" s="108"/>
      <c r="X2832" s="108"/>
    </row>
    <row r="2833" spans="1:24">
      <c r="A2833" s="107"/>
      <c r="B2833" s="107"/>
      <c r="C2833" s="107"/>
      <c r="D2833" s="107"/>
      <c r="E2833" s="107"/>
      <c r="F2833" s="107"/>
      <c r="G2833" s="108"/>
      <c r="H2833" s="107"/>
      <c r="I2833" s="108"/>
      <c r="J2833" s="108"/>
      <c r="K2833" s="108"/>
      <c r="L2833" s="108"/>
      <c r="M2833" s="108"/>
      <c r="N2833" s="108"/>
      <c r="O2833" s="108"/>
      <c r="P2833" s="108"/>
      <c r="Q2833" s="108"/>
      <c r="R2833" s="108"/>
      <c r="S2833" s="108"/>
      <c r="T2833" s="108"/>
      <c r="U2833" s="108"/>
      <c r="V2833" s="108"/>
      <c r="W2833" s="108"/>
      <c r="X2833" s="108"/>
    </row>
    <row r="2834" spans="1:24">
      <c r="A2834" s="107"/>
      <c r="B2834" s="107"/>
      <c r="C2834" s="107"/>
      <c r="D2834" s="107"/>
      <c r="E2834" s="107"/>
      <c r="F2834" s="107"/>
      <c r="G2834" s="108"/>
      <c r="H2834" s="107"/>
      <c r="I2834" s="108"/>
      <c r="J2834" s="108"/>
      <c r="K2834" s="108"/>
      <c r="L2834" s="108"/>
      <c r="M2834" s="108"/>
      <c r="N2834" s="108"/>
      <c r="O2834" s="108"/>
      <c r="P2834" s="108"/>
      <c r="Q2834" s="108"/>
      <c r="R2834" s="108"/>
      <c r="S2834" s="108"/>
      <c r="T2834" s="108"/>
      <c r="U2834" s="108"/>
      <c r="V2834" s="108"/>
      <c r="W2834" s="108"/>
      <c r="X2834" s="108"/>
    </row>
    <row r="2835" spans="1:24">
      <c r="A2835" s="107"/>
      <c r="B2835" s="107"/>
      <c r="C2835" s="107"/>
      <c r="D2835" s="107"/>
      <c r="E2835" s="107"/>
      <c r="F2835" s="107"/>
      <c r="G2835" s="108"/>
      <c r="H2835" s="107"/>
      <c r="I2835" s="108"/>
      <c r="J2835" s="108"/>
      <c r="K2835" s="108"/>
      <c r="L2835" s="108"/>
      <c r="M2835" s="108"/>
      <c r="N2835" s="108"/>
      <c r="O2835" s="108"/>
      <c r="P2835" s="108"/>
      <c r="Q2835" s="108"/>
      <c r="R2835" s="108"/>
      <c r="S2835" s="108"/>
      <c r="T2835" s="108"/>
      <c r="U2835" s="108"/>
      <c r="V2835" s="108"/>
      <c r="W2835" s="108"/>
      <c r="X2835" s="108"/>
    </row>
    <row r="2836" spans="1:24">
      <c r="A2836" s="107"/>
      <c r="B2836" s="107"/>
      <c r="C2836" s="107"/>
      <c r="D2836" s="107"/>
      <c r="E2836" s="107"/>
      <c r="F2836" s="107"/>
      <c r="G2836" s="108"/>
      <c r="H2836" s="107"/>
      <c r="I2836" s="108"/>
      <c r="J2836" s="108"/>
      <c r="K2836" s="108"/>
      <c r="L2836" s="108"/>
      <c r="M2836" s="108"/>
      <c r="N2836" s="108"/>
      <c r="O2836" s="108"/>
      <c r="P2836" s="108"/>
      <c r="Q2836" s="108"/>
      <c r="R2836" s="108"/>
      <c r="S2836" s="108"/>
      <c r="T2836" s="108"/>
      <c r="U2836" s="108"/>
      <c r="V2836" s="108"/>
      <c r="W2836" s="108"/>
      <c r="X2836" s="108"/>
    </row>
    <row r="2837" spans="1:24">
      <c r="A2837" s="107"/>
      <c r="B2837" s="107"/>
      <c r="C2837" s="107"/>
      <c r="D2837" s="107"/>
      <c r="E2837" s="107"/>
      <c r="F2837" s="107"/>
      <c r="G2837" s="108"/>
      <c r="H2837" s="107"/>
      <c r="I2837" s="108"/>
      <c r="J2837" s="108"/>
      <c r="K2837" s="108"/>
      <c r="L2837" s="108"/>
      <c r="M2837" s="108"/>
      <c r="N2837" s="108"/>
      <c r="O2837" s="108"/>
      <c r="P2837" s="108"/>
      <c r="Q2837" s="108"/>
      <c r="R2837" s="108"/>
      <c r="S2837" s="108"/>
      <c r="T2837" s="108"/>
      <c r="U2837" s="108"/>
      <c r="V2837" s="108"/>
      <c r="W2837" s="108"/>
      <c r="X2837" s="108"/>
    </row>
    <row r="2838" spans="1:24">
      <c r="A2838" s="107"/>
      <c r="B2838" s="107"/>
      <c r="C2838" s="107"/>
      <c r="D2838" s="107"/>
      <c r="E2838" s="107"/>
      <c r="F2838" s="107"/>
      <c r="G2838" s="108"/>
      <c r="H2838" s="107"/>
      <c r="I2838" s="108"/>
      <c r="J2838" s="108"/>
      <c r="K2838" s="108"/>
      <c r="L2838" s="108"/>
      <c r="M2838" s="108"/>
      <c r="N2838" s="108"/>
      <c r="O2838" s="108"/>
      <c r="P2838" s="108"/>
      <c r="Q2838" s="108"/>
      <c r="R2838" s="108"/>
      <c r="S2838" s="108"/>
      <c r="T2838" s="108"/>
      <c r="U2838" s="108"/>
      <c r="V2838" s="108"/>
      <c r="W2838" s="108"/>
      <c r="X2838" s="108"/>
    </row>
    <row r="2839" spans="1:24">
      <c r="A2839" s="107"/>
      <c r="B2839" s="107"/>
      <c r="C2839" s="107"/>
      <c r="D2839" s="107"/>
      <c r="E2839" s="107"/>
      <c r="F2839" s="107"/>
      <c r="G2839" s="108"/>
      <c r="H2839" s="107"/>
      <c r="I2839" s="108"/>
      <c r="J2839" s="108"/>
      <c r="K2839" s="108"/>
      <c r="L2839" s="108"/>
      <c r="M2839" s="108"/>
      <c r="N2839" s="108"/>
      <c r="O2839" s="108"/>
      <c r="P2839" s="108"/>
      <c r="Q2839" s="108"/>
      <c r="R2839" s="108"/>
      <c r="S2839" s="108"/>
      <c r="T2839" s="108"/>
      <c r="U2839" s="108"/>
      <c r="V2839" s="108"/>
      <c r="W2839" s="108"/>
      <c r="X2839" s="108"/>
    </row>
    <row r="2840" spans="1:24">
      <c r="A2840" s="107"/>
      <c r="B2840" s="107"/>
      <c r="C2840" s="107"/>
      <c r="D2840" s="107"/>
      <c r="E2840" s="107"/>
      <c r="F2840" s="107"/>
      <c r="G2840" s="108"/>
      <c r="H2840" s="107"/>
      <c r="I2840" s="108"/>
      <c r="J2840" s="108"/>
      <c r="K2840" s="108"/>
      <c r="L2840" s="108"/>
      <c r="M2840" s="108"/>
      <c r="N2840" s="108"/>
      <c r="O2840" s="108"/>
      <c r="P2840" s="108"/>
      <c r="Q2840" s="108"/>
      <c r="R2840" s="108"/>
      <c r="S2840" s="108"/>
      <c r="T2840" s="108"/>
      <c r="U2840" s="108"/>
      <c r="V2840" s="108"/>
      <c r="W2840" s="108"/>
      <c r="X2840" s="108"/>
    </row>
    <row r="2841" spans="1:24">
      <c r="A2841" s="107"/>
      <c r="B2841" s="107"/>
      <c r="C2841" s="107"/>
      <c r="D2841" s="107"/>
      <c r="E2841" s="107"/>
      <c r="F2841" s="107"/>
      <c r="G2841" s="108"/>
      <c r="H2841" s="107"/>
      <c r="I2841" s="108"/>
      <c r="J2841" s="108"/>
      <c r="K2841" s="108"/>
      <c r="L2841" s="108"/>
      <c r="M2841" s="108"/>
      <c r="N2841" s="108"/>
      <c r="O2841" s="108"/>
      <c r="P2841" s="108"/>
      <c r="Q2841" s="108"/>
      <c r="R2841" s="108"/>
      <c r="S2841" s="108"/>
      <c r="T2841" s="108"/>
      <c r="U2841" s="108"/>
      <c r="V2841" s="108"/>
      <c r="W2841" s="108"/>
      <c r="X2841" s="108"/>
    </row>
    <row r="2842" spans="1:24">
      <c r="A2842" s="107"/>
      <c r="B2842" s="107"/>
      <c r="C2842" s="107"/>
      <c r="D2842" s="107"/>
      <c r="E2842" s="107"/>
      <c r="F2842" s="107"/>
      <c r="G2842" s="108"/>
      <c r="H2842" s="107"/>
      <c r="I2842" s="108"/>
      <c r="J2842" s="108"/>
      <c r="K2842" s="108"/>
      <c r="L2842" s="108"/>
      <c r="M2842" s="108"/>
      <c r="N2842" s="108"/>
      <c r="O2842" s="108"/>
      <c r="P2842" s="108"/>
      <c r="Q2842" s="108"/>
      <c r="R2842" s="108"/>
      <c r="S2842" s="108"/>
      <c r="T2842" s="108"/>
      <c r="U2842" s="108"/>
      <c r="V2842" s="108"/>
      <c r="W2842" s="108"/>
      <c r="X2842" s="108"/>
    </row>
    <row r="2843" spans="1:24">
      <c r="A2843" s="107"/>
      <c r="B2843" s="107"/>
      <c r="C2843" s="107"/>
      <c r="D2843" s="107"/>
      <c r="E2843" s="107"/>
      <c r="F2843" s="107"/>
      <c r="G2843" s="108"/>
      <c r="H2843" s="107"/>
      <c r="I2843" s="108"/>
      <c r="J2843" s="108"/>
      <c r="K2843" s="108"/>
      <c r="L2843" s="108"/>
      <c r="M2843" s="108"/>
      <c r="N2843" s="108"/>
      <c r="O2843" s="108"/>
      <c r="P2843" s="108"/>
      <c r="Q2843" s="108"/>
      <c r="R2843" s="108"/>
      <c r="S2843" s="108"/>
      <c r="T2843" s="108"/>
      <c r="U2843" s="108"/>
      <c r="V2843" s="108"/>
      <c r="W2843" s="108"/>
      <c r="X2843" s="108"/>
    </row>
    <row r="2844" spans="1:24">
      <c r="A2844" s="107"/>
      <c r="B2844" s="107"/>
      <c r="C2844" s="107"/>
      <c r="D2844" s="107"/>
      <c r="E2844" s="107"/>
      <c r="F2844" s="107"/>
      <c r="G2844" s="108"/>
      <c r="H2844" s="107"/>
      <c r="I2844" s="108"/>
      <c r="J2844" s="108"/>
      <c r="K2844" s="108"/>
      <c r="L2844" s="108"/>
      <c r="M2844" s="108"/>
      <c r="N2844" s="108"/>
      <c r="O2844" s="108"/>
      <c r="P2844" s="108"/>
      <c r="Q2844" s="108"/>
      <c r="R2844" s="108"/>
      <c r="S2844" s="108"/>
      <c r="T2844" s="108"/>
      <c r="U2844" s="108"/>
      <c r="V2844" s="108"/>
      <c r="W2844" s="108"/>
      <c r="X2844" s="108"/>
    </row>
    <row r="2845" spans="1:24">
      <c r="A2845" s="107"/>
      <c r="B2845" s="107"/>
      <c r="C2845" s="107"/>
      <c r="D2845" s="107"/>
      <c r="E2845" s="107"/>
      <c r="F2845" s="107"/>
      <c r="G2845" s="108"/>
      <c r="H2845" s="107"/>
      <c r="I2845" s="108"/>
      <c r="J2845" s="108"/>
      <c r="K2845" s="108"/>
      <c r="L2845" s="108"/>
      <c r="M2845" s="108"/>
      <c r="N2845" s="108"/>
      <c r="O2845" s="108"/>
      <c r="P2845" s="108"/>
      <c r="Q2845" s="108"/>
      <c r="R2845" s="108"/>
      <c r="S2845" s="108"/>
      <c r="T2845" s="108"/>
      <c r="U2845" s="108"/>
      <c r="V2845" s="108"/>
      <c r="W2845" s="108"/>
      <c r="X2845" s="108"/>
    </row>
    <row r="2846" spans="1:24">
      <c r="A2846" s="107"/>
      <c r="B2846" s="107"/>
      <c r="C2846" s="107"/>
      <c r="D2846" s="107"/>
      <c r="E2846" s="107"/>
      <c r="F2846" s="107"/>
      <c r="G2846" s="108"/>
      <c r="H2846" s="107"/>
      <c r="I2846" s="108"/>
      <c r="J2846" s="108"/>
      <c r="K2846" s="108"/>
      <c r="L2846" s="108"/>
      <c r="M2846" s="108"/>
      <c r="N2846" s="108"/>
      <c r="O2846" s="108"/>
      <c r="P2846" s="108"/>
      <c r="Q2846" s="108"/>
      <c r="R2846" s="108"/>
      <c r="S2846" s="108"/>
      <c r="T2846" s="108"/>
      <c r="U2846" s="108"/>
      <c r="V2846" s="108"/>
      <c r="W2846" s="108"/>
      <c r="X2846" s="108"/>
    </row>
    <row r="2847" spans="1:24">
      <c r="A2847" s="107"/>
      <c r="B2847" s="107"/>
      <c r="C2847" s="107"/>
      <c r="D2847" s="107"/>
      <c r="E2847" s="107"/>
      <c r="F2847" s="107"/>
      <c r="G2847" s="108"/>
      <c r="H2847" s="107"/>
      <c r="I2847" s="108"/>
      <c r="J2847" s="108"/>
      <c r="K2847" s="108"/>
      <c r="L2847" s="108"/>
      <c r="M2847" s="108"/>
      <c r="N2847" s="108"/>
      <c r="O2847" s="108"/>
      <c r="P2847" s="108"/>
      <c r="Q2847" s="108"/>
      <c r="R2847" s="108"/>
      <c r="S2847" s="108"/>
      <c r="T2847" s="108"/>
      <c r="U2847" s="108"/>
      <c r="V2847" s="108"/>
      <c r="W2847" s="108"/>
      <c r="X2847" s="108"/>
    </row>
    <row r="2848" spans="1:24">
      <c r="A2848" s="107"/>
      <c r="B2848" s="107"/>
      <c r="C2848" s="107"/>
      <c r="D2848" s="107"/>
      <c r="E2848" s="107"/>
      <c r="F2848" s="107"/>
      <c r="G2848" s="108"/>
      <c r="H2848" s="107"/>
      <c r="I2848" s="108"/>
      <c r="J2848" s="108"/>
      <c r="K2848" s="108"/>
      <c r="L2848" s="108"/>
      <c r="M2848" s="108"/>
      <c r="N2848" s="108"/>
      <c r="O2848" s="108"/>
      <c r="P2848" s="108"/>
      <c r="Q2848" s="108"/>
      <c r="R2848" s="108"/>
      <c r="S2848" s="108"/>
      <c r="T2848" s="108"/>
      <c r="U2848" s="108"/>
      <c r="V2848" s="108"/>
      <c r="W2848" s="108"/>
      <c r="X2848" s="108"/>
    </row>
    <row r="2849" spans="1:24">
      <c r="A2849" s="107"/>
      <c r="B2849" s="107"/>
      <c r="C2849" s="107"/>
      <c r="D2849" s="107"/>
      <c r="E2849" s="107"/>
      <c r="F2849" s="107"/>
      <c r="G2849" s="108"/>
      <c r="H2849" s="107"/>
      <c r="I2849" s="108"/>
      <c r="J2849" s="108"/>
      <c r="K2849" s="108"/>
      <c r="L2849" s="108"/>
      <c r="M2849" s="108"/>
      <c r="N2849" s="108"/>
      <c r="O2849" s="108"/>
      <c r="P2849" s="108"/>
      <c r="Q2849" s="108"/>
      <c r="R2849" s="108"/>
      <c r="S2849" s="108"/>
      <c r="T2849" s="108"/>
      <c r="U2849" s="108"/>
      <c r="V2849" s="108"/>
      <c r="W2849" s="108"/>
      <c r="X2849" s="108"/>
    </row>
    <row r="2850" spans="1:24">
      <c r="A2850" s="107"/>
      <c r="B2850" s="107"/>
      <c r="C2850" s="107"/>
      <c r="D2850" s="107"/>
      <c r="E2850" s="107"/>
      <c r="F2850" s="107"/>
      <c r="G2850" s="108"/>
      <c r="H2850" s="107"/>
      <c r="I2850" s="108"/>
      <c r="J2850" s="108"/>
      <c r="K2850" s="108"/>
      <c r="L2850" s="108"/>
      <c r="M2850" s="108"/>
      <c r="N2850" s="108"/>
      <c r="O2850" s="108"/>
      <c r="P2850" s="108"/>
      <c r="Q2850" s="108"/>
      <c r="R2850" s="108"/>
      <c r="S2850" s="108"/>
      <c r="T2850" s="108"/>
      <c r="U2850" s="108"/>
      <c r="V2850" s="108"/>
      <c r="W2850" s="108"/>
      <c r="X2850" s="108"/>
    </row>
    <row r="2851" spans="1:24">
      <c r="A2851" s="107"/>
      <c r="B2851" s="107"/>
      <c r="C2851" s="107"/>
      <c r="D2851" s="107"/>
      <c r="E2851" s="107"/>
      <c r="F2851" s="107"/>
      <c r="G2851" s="108"/>
      <c r="H2851" s="107"/>
      <c r="I2851" s="108"/>
      <c r="J2851" s="108"/>
      <c r="K2851" s="108"/>
      <c r="L2851" s="108"/>
      <c r="M2851" s="108"/>
      <c r="N2851" s="108"/>
      <c r="O2851" s="108"/>
      <c r="P2851" s="108"/>
      <c r="Q2851" s="108"/>
      <c r="R2851" s="108"/>
      <c r="S2851" s="108"/>
      <c r="T2851" s="108"/>
      <c r="U2851" s="108"/>
      <c r="V2851" s="108"/>
      <c r="W2851" s="108"/>
      <c r="X2851" s="108"/>
    </row>
    <row r="2852" spans="1:24">
      <c r="A2852" s="107"/>
      <c r="B2852" s="107"/>
      <c r="C2852" s="107"/>
      <c r="D2852" s="107"/>
      <c r="E2852" s="107"/>
      <c r="F2852" s="107"/>
      <c r="G2852" s="108"/>
      <c r="H2852" s="107"/>
      <c r="I2852" s="108"/>
      <c r="J2852" s="108"/>
      <c r="K2852" s="108"/>
      <c r="L2852" s="108"/>
      <c r="M2852" s="108"/>
      <c r="N2852" s="108"/>
      <c r="O2852" s="108"/>
      <c r="P2852" s="108"/>
      <c r="Q2852" s="108"/>
      <c r="R2852" s="108"/>
      <c r="S2852" s="108"/>
      <c r="T2852" s="108"/>
      <c r="U2852" s="108"/>
      <c r="V2852" s="108"/>
      <c r="W2852" s="108"/>
      <c r="X2852" s="108"/>
    </row>
    <row r="2853" spans="1:24">
      <c r="A2853" s="107"/>
      <c r="B2853" s="107"/>
      <c r="C2853" s="107"/>
      <c r="D2853" s="107"/>
      <c r="E2853" s="107"/>
      <c r="F2853" s="107"/>
      <c r="G2853" s="108"/>
      <c r="H2853" s="107"/>
      <c r="I2853" s="108"/>
      <c r="J2853" s="108"/>
      <c r="K2853" s="108"/>
      <c r="L2853" s="108"/>
      <c r="M2853" s="108"/>
      <c r="N2853" s="108"/>
      <c r="O2853" s="108"/>
      <c r="P2853" s="108"/>
      <c r="Q2853" s="108"/>
      <c r="R2853" s="108"/>
      <c r="S2853" s="108"/>
      <c r="T2853" s="108"/>
      <c r="U2853" s="108"/>
      <c r="V2853" s="108"/>
      <c r="W2853" s="108"/>
      <c r="X2853" s="108"/>
    </row>
    <row r="2854" spans="1:24">
      <c r="A2854" s="107"/>
      <c r="B2854" s="107"/>
      <c r="C2854" s="107"/>
      <c r="D2854" s="107"/>
      <c r="E2854" s="107"/>
      <c r="F2854" s="107"/>
      <c r="G2854" s="108"/>
      <c r="H2854" s="107"/>
      <c r="I2854" s="108"/>
      <c r="J2854" s="108"/>
      <c r="K2854" s="108"/>
      <c r="L2854" s="108"/>
      <c r="M2854" s="108"/>
      <c r="N2854" s="108"/>
      <c r="O2854" s="108"/>
      <c r="P2854" s="108"/>
      <c r="Q2854" s="108"/>
      <c r="R2854" s="108"/>
      <c r="S2854" s="108"/>
      <c r="T2854" s="108"/>
      <c r="U2854" s="108"/>
      <c r="V2854" s="108"/>
      <c r="W2854" s="108"/>
      <c r="X2854" s="108"/>
    </row>
    <row r="2855" spans="1:24">
      <c r="A2855" s="107"/>
      <c r="B2855" s="107"/>
      <c r="C2855" s="107"/>
      <c r="D2855" s="107"/>
      <c r="E2855" s="107"/>
      <c r="F2855" s="107"/>
      <c r="G2855" s="108"/>
      <c r="H2855" s="107"/>
      <c r="I2855" s="108"/>
      <c r="J2855" s="108"/>
      <c r="K2855" s="108"/>
      <c r="L2855" s="108"/>
      <c r="M2855" s="108"/>
      <c r="N2855" s="108"/>
      <c r="O2855" s="108"/>
      <c r="P2855" s="108"/>
      <c r="Q2855" s="108"/>
      <c r="R2855" s="108"/>
      <c r="S2855" s="108"/>
      <c r="T2855" s="108"/>
      <c r="U2855" s="108"/>
      <c r="V2855" s="108"/>
      <c r="W2855" s="108"/>
      <c r="X2855" s="108"/>
    </row>
    <row r="2856" spans="1:24">
      <c r="A2856" s="107"/>
      <c r="B2856" s="107"/>
      <c r="C2856" s="107"/>
      <c r="D2856" s="107"/>
      <c r="E2856" s="107"/>
      <c r="F2856" s="107"/>
      <c r="G2856" s="108"/>
      <c r="H2856" s="107"/>
      <c r="I2856" s="108"/>
      <c r="J2856" s="108"/>
      <c r="K2856" s="108"/>
      <c r="L2856" s="108"/>
      <c r="M2856" s="108"/>
      <c r="N2856" s="108"/>
      <c r="O2856" s="108"/>
      <c r="P2856" s="108"/>
      <c r="Q2856" s="108"/>
      <c r="R2856" s="108"/>
      <c r="S2856" s="108"/>
      <c r="T2856" s="108"/>
      <c r="U2856" s="108"/>
      <c r="V2856" s="108"/>
      <c r="W2856" s="108"/>
      <c r="X2856" s="108"/>
    </row>
    <row r="2857" spans="1:24">
      <c r="A2857" s="107"/>
      <c r="B2857" s="107"/>
      <c r="C2857" s="107"/>
      <c r="D2857" s="107"/>
      <c r="E2857" s="107"/>
      <c r="F2857" s="107"/>
      <c r="G2857" s="108"/>
      <c r="H2857" s="107"/>
      <c r="I2857" s="108"/>
      <c r="J2857" s="108"/>
      <c r="K2857" s="108"/>
      <c r="L2857" s="108"/>
      <c r="M2857" s="108"/>
      <c r="N2857" s="108"/>
      <c r="O2857" s="108"/>
      <c r="P2857" s="108"/>
      <c r="Q2857" s="108"/>
      <c r="R2857" s="108"/>
      <c r="S2857" s="108"/>
      <c r="T2857" s="108"/>
      <c r="U2857" s="108"/>
      <c r="V2857" s="108"/>
      <c r="W2857" s="108"/>
      <c r="X2857" s="108"/>
    </row>
    <row r="2858" spans="1:24">
      <c r="A2858" s="107"/>
      <c r="B2858" s="107"/>
      <c r="C2858" s="107"/>
      <c r="D2858" s="107"/>
      <c r="E2858" s="107"/>
      <c r="F2858" s="107"/>
      <c r="G2858" s="108"/>
      <c r="H2858" s="107"/>
      <c r="I2858" s="108"/>
      <c r="J2858" s="108"/>
      <c r="K2858" s="108"/>
      <c r="L2858" s="108"/>
      <c r="M2858" s="108"/>
      <c r="N2858" s="108"/>
      <c r="O2858" s="108"/>
      <c r="P2858" s="108"/>
      <c r="Q2858" s="108"/>
      <c r="R2858" s="108"/>
      <c r="S2858" s="108"/>
      <c r="T2858" s="108"/>
      <c r="U2858" s="108"/>
      <c r="V2858" s="108"/>
      <c r="W2858" s="108"/>
      <c r="X2858" s="108"/>
    </row>
    <row r="2859" spans="1:24">
      <c r="A2859" s="107"/>
      <c r="B2859" s="107"/>
      <c r="C2859" s="107"/>
      <c r="D2859" s="107"/>
      <c r="E2859" s="107"/>
      <c r="F2859" s="107"/>
      <c r="G2859" s="108"/>
      <c r="H2859" s="107"/>
      <c r="I2859" s="108"/>
      <c r="J2859" s="108"/>
      <c r="K2859" s="108"/>
      <c r="L2859" s="108"/>
      <c r="M2859" s="108"/>
      <c r="N2859" s="108"/>
      <c r="O2859" s="108"/>
      <c r="P2859" s="108"/>
      <c r="Q2859" s="108"/>
      <c r="R2859" s="108"/>
      <c r="S2859" s="108"/>
      <c r="T2859" s="108"/>
      <c r="U2859" s="108"/>
      <c r="V2859" s="108"/>
      <c r="W2859" s="108"/>
      <c r="X2859" s="108"/>
    </row>
    <row r="2860" spans="1:24">
      <c r="A2860" s="107"/>
      <c r="B2860" s="107"/>
      <c r="C2860" s="107"/>
      <c r="D2860" s="107"/>
      <c r="E2860" s="107"/>
      <c r="F2860" s="107"/>
      <c r="G2860" s="108"/>
      <c r="H2860" s="107"/>
      <c r="I2860" s="108"/>
      <c r="J2860" s="108"/>
      <c r="K2860" s="108"/>
      <c r="L2860" s="108"/>
      <c r="M2860" s="108"/>
      <c r="N2860" s="108"/>
      <c r="O2860" s="108"/>
      <c r="P2860" s="108"/>
      <c r="Q2860" s="108"/>
      <c r="R2860" s="108"/>
      <c r="S2860" s="108"/>
      <c r="T2860" s="108"/>
      <c r="U2860" s="108"/>
      <c r="V2860" s="108"/>
      <c r="W2860" s="108"/>
      <c r="X2860" s="108"/>
    </row>
    <row r="2861" spans="1:24">
      <c r="A2861" s="107"/>
      <c r="B2861" s="107"/>
      <c r="C2861" s="107"/>
      <c r="D2861" s="107"/>
      <c r="E2861" s="107"/>
      <c r="F2861" s="107"/>
      <c r="G2861" s="108"/>
      <c r="H2861" s="107"/>
      <c r="I2861" s="108"/>
      <c r="J2861" s="108"/>
      <c r="K2861" s="108"/>
      <c r="L2861" s="108"/>
      <c r="M2861" s="108"/>
      <c r="N2861" s="108"/>
      <c r="O2861" s="108"/>
      <c r="P2861" s="108"/>
      <c r="Q2861" s="108"/>
      <c r="R2861" s="108"/>
      <c r="S2861" s="108"/>
      <c r="T2861" s="108"/>
      <c r="U2861" s="108"/>
      <c r="V2861" s="108"/>
      <c r="W2861" s="108"/>
      <c r="X2861" s="108"/>
    </row>
    <row r="2862" spans="1:24">
      <c r="A2862" s="107"/>
      <c r="B2862" s="107"/>
      <c r="C2862" s="107"/>
      <c r="D2862" s="107"/>
      <c r="E2862" s="107"/>
      <c r="F2862" s="107"/>
      <c r="G2862" s="108"/>
      <c r="H2862" s="107"/>
      <c r="I2862" s="108"/>
      <c r="J2862" s="108"/>
      <c r="K2862" s="108"/>
      <c r="L2862" s="108"/>
      <c r="M2862" s="108"/>
      <c r="N2862" s="108"/>
      <c r="O2862" s="108"/>
      <c r="P2862" s="108"/>
      <c r="Q2862" s="108"/>
      <c r="R2862" s="108"/>
      <c r="S2862" s="108"/>
      <c r="T2862" s="108"/>
      <c r="U2862" s="108"/>
      <c r="V2862" s="108"/>
      <c r="W2862" s="108"/>
      <c r="X2862" s="108"/>
    </row>
    <row r="2863" spans="1:24">
      <c r="A2863" s="107"/>
      <c r="B2863" s="107"/>
      <c r="C2863" s="107"/>
      <c r="D2863" s="107"/>
      <c r="E2863" s="107"/>
      <c r="F2863" s="107"/>
      <c r="G2863" s="108"/>
      <c r="H2863" s="107"/>
      <c r="I2863" s="108"/>
      <c r="J2863" s="108"/>
      <c r="K2863" s="108"/>
      <c r="L2863" s="108"/>
      <c r="M2863" s="108"/>
      <c r="N2863" s="108"/>
      <c r="O2863" s="108"/>
      <c r="P2863" s="108"/>
      <c r="Q2863" s="108"/>
      <c r="R2863" s="108"/>
      <c r="S2863" s="108"/>
      <c r="T2863" s="108"/>
      <c r="U2863" s="108"/>
      <c r="V2863" s="108"/>
      <c r="W2863" s="108"/>
      <c r="X2863" s="108"/>
    </row>
    <row r="2864" spans="1:24">
      <c r="A2864" s="107"/>
      <c r="B2864" s="107"/>
      <c r="C2864" s="107"/>
      <c r="D2864" s="107"/>
      <c r="E2864" s="107"/>
      <c r="F2864" s="107"/>
      <c r="G2864" s="108"/>
      <c r="H2864" s="107"/>
      <c r="I2864" s="108"/>
      <c r="J2864" s="108"/>
      <c r="K2864" s="108"/>
      <c r="L2864" s="108"/>
      <c r="M2864" s="108"/>
      <c r="N2864" s="108"/>
      <c r="O2864" s="108"/>
      <c r="P2864" s="108"/>
      <c r="Q2864" s="108"/>
      <c r="R2864" s="108"/>
      <c r="S2864" s="108"/>
      <c r="T2864" s="108"/>
      <c r="U2864" s="108"/>
      <c r="V2864" s="108"/>
      <c r="W2864" s="108"/>
      <c r="X2864" s="108"/>
    </row>
    <row r="2865" spans="1:24">
      <c r="A2865" s="107"/>
      <c r="B2865" s="107"/>
      <c r="C2865" s="107"/>
      <c r="D2865" s="107"/>
      <c r="E2865" s="107"/>
      <c r="F2865" s="107"/>
      <c r="G2865" s="108"/>
      <c r="H2865" s="107"/>
      <c r="I2865" s="108"/>
      <c r="J2865" s="108"/>
      <c r="K2865" s="108"/>
      <c r="L2865" s="108"/>
      <c r="M2865" s="108"/>
      <c r="N2865" s="108"/>
      <c r="O2865" s="108"/>
      <c r="P2865" s="108"/>
      <c r="Q2865" s="108"/>
      <c r="R2865" s="108"/>
      <c r="S2865" s="108"/>
      <c r="T2865" s="108"/>
      <c r="U2865" s="108"/>
      <c r="V2865" s="108"/>
      <c r="W2865" s="108"/>
      <c r="X2865" s="108"/>
    </row>
    <row r="2866" spans="1:24">
      <c r="A2866" s="107"/>
      <c r="B2866" s="107"/>
      <c r="C2866" s="107"/>
      <c r="D2866" s="107"/>
      <c r="E2866" s="107"/>
      <c r="F2866" s="107"/>
      <c r="G2866" s="108"/>
      <c r="H2866" s="107"/>
      <c r="I2866" s="108"/>
      <c r="J2866" s="108"/>
      <c r="K2866" s="108"/>
      <c r="L2866" s="108"/>
      <c r="M2866" s="108"/>
      <c r="N2866" s="108"/>
      <c r="O2866" s="108"/>
      <c r="P2866" s="108"/>
      <c r="Q2866" s="108"/>
      <c r="R2866" s="108"/>
      <c r="S2866" s="108"/>
      <c r="T2866" s="108"/>
      <c r="U2866" s="108"/>
      <c r="V2866" s="108"/>
      <c r="W2866" s="108"/>
      <c r="X2866" s="108"/>
    </row>
    <row r="2867" spans="1:24">
      <c r="A2867" s="107"/>
      <c r="B2867" s="107"/>
      <c r="C2867" s="107"/>
      <c r="D2867" s="107"/>
      <c r="E2867" s="107"/>
      <c r="F2867" s="107"/>
      <c r="G2867" s="108"/>
      <c r="H2867" s="107"/>
      <c r="I2867" s="108"/>
      <c r="J2867" s="108"/>
      <c r="K2867" s="108"/>
      <c r="L2867" s="108"/>
      <c r="M2867" s="108"/>
      <c r="N2867" s="108"/>
      <c r="O2867" s="108"/>
      <c r="P2867" s="108"/>
      <c r="Q2867" s="108"/>
      <c r="R2867" s="108"/>
      <c r="S2867" s="108"/>
      <c r="T2867" s="108"/>
      <c r="U2867" s="108"/>
      <c r="V2867" s="108"/>
      <c r="W2867" s="108"/>
      <c r="X2867" s="108"/>
    </row>
    <row r="2868" spans="1:24">
      <c r="A2868" s="107"/>
      <c r="B2868" s="107"/>
      <c r="C2868" s="107"/>
      <c r="D2868" s="107"/>
      <c r="E2868" s="107"/>
      <c r="F2868" s="107"/>
      <c r="G2868" s="108"/>
      <c r="H2868" s="107"/>
      <c r="I2868" s="108"/>
      <c r="J2868" s="108"/>
      <c r="K2868" s="108"/>
      <c r="L2868" s="108"/>
      <c r="M2868" s="108"/>
      <c r="N2868" s="108"/>
      <c r="O2868" s="108"/>
      <c r="P2868" s="108"/>
      <c r="Q2868" s="108"/>
      <c r="R2868" s="108"/>
      <c r="S2868" s="108"/>
      <c r="T2868" s="108"/>
      <c r="U2868" s="108"/>
      <c r="V2868" s="108"/>
      <c r="W2868" s="108"/>
      <c r="X2868" s="108"/>
    </row>
    <row r="2869" spans="1:24">
      <c r="A2869" s="107"/>
      <c r="B2869" s="107"/>
      <c r="C2869" s="107"/>
      <c r="D2869" s="107"/>
      <c r="E2869" s="107"/>
      <c r="F2869" s="107"/>
      <c r="G2869" s="108"/>
      <c r="H2869" s="107"/>
      <c r="I2869" s="108"/>
      <c r="J2869" s="108"/>
      <c r="K2869" s="108"/>
      <c r="L2869" s="108"/>
      <c r="M2869" s="108"/>
      <c r="N2869" s="108"/>
      <c r="O2869" s="108"/>
      <c r="P2869" s="108"/>
      <c r="Q2869" s="108"/>
      <c r="R2869" s="108"/>
      <c r="S2869" s="108"/>
      <c r="T2869" s="108"/>
      <c r="U2869" s="108"/>
      <c r="V2869" s="108"/>
      <c r="W2869" s="108"/>
      <c r="X2869" s="108"/>
    </row>
    <row r="2870" spans="1:24">
      <c r="A2870" s="107"/>
      <c r="B2870" s="107"/>
      <c r="C2870" s="107"/>
      <c r="D2870" s="107"/>
      <c r="E2870" s="107"/>
      <c r="F2870" s="107"/>
      <c r="G2870" s="108"/>
      <c r="H2870" s="107"/>
      <c r="I2870" s="108"/>
      <c r="J2870" s="108"/>
      <c r="K2870" s="108"/>
      <c r="L2870" s="108"/>
      <c r="M2870" s="108"/>
      <c r="N2870" s="108"/>
      <c r="O2870" s="108"/>
      <c r="P2870" s="108"/>
      <c r="Q2870" s="108"/>
      <c r="R2870" s="108"/>
      <c r="S2870" s="108"/>
      <c r="T2870" s="108"/>
      <c r="U2870" s="108"/>
      <c r="V2870" s="108"/>
      <c r="W2870" s="108"/>
      <c r="X2870" s="108"/>
    </row>
    <row r="2871" spans="1:24">
      <c r="A2871" s="107"/>
      <c r="B2871" s="107"/>
      <c r="C2871" s="107"/>
      <c r="D2871" s="107"/>
      <c r="E2871" s="107"/>
      <c r="F2871" s="107"/>
      <c r="G2871" s="108"/>
      <c r="H2871" s="107"/>
      <c r="I2871" s="108"/>
      <c r="J2871" s="108"/>
      <c r="K2871" s="108"/>
      <c r="L2871" s="108"/>
      <c r="M2871" s="108"/>
      <c r="N2871" s="108"/>
      <c r="O2871" s="108"/>
      <c r="P2871" s="108"/>
      <c r="Q2871" s="108"/>
      <c r="R2871" s="108"/>
      <c r="S2871" s="108"/>
      <c r="T2871" s="108"/>
      <c r="U2871" s="108"/>
      <c r="V2871" s="108"/>
      <c r="W2871" s="108"/>
      <c r="X2871" s="108"/>
    </row>
    <row r="2872" spans="1:24">
      <c r="A2872" s="107"/>
      <c r="B2872" s="107"/>
      <c r="C2872" s="107"/>
      <c r="D2872" s="107"/>
      <c r="E2872" s="107"/>
      <c r="F2872" s="107"/>
      <c r="G2872" s="108"/>
      <c r="H2872" s="107"/>
      <c r="I2872" s="108"/>
      <c r="J2872" s="108"/>
      <c r="K2872" s="108"/>
      <c r="L2872" s="108"/>
      <c r="M2872" s="108"/>
      <c r="N2872" s="108"/>
      <c r="O2872" s="108"/>
      <c r="P2872" s="108"/>
      <c r="Q2872" s="108"/>
      <c r="R2872" s="108"/>
      <c r="S2872" s="108"/>
      <c r="T2872" s="108"/>
      <c r="U2872" s="108"/>
      <c r="V2872" s="108"/>
      <c r="W2872" s="108"/>
      <c r="X2872" s="108"/>
    </row>
    <row r="2873" spans="1:24">
      <c r="A2873" s="107"/>
      <c r="B2873" s="107"/>
      <c r="C2873" s="107"/>
      <c r="D2873" s="107"/>
      <c r="E2873" s="107"/>
      <c r="F2873" s="107"/>
      <c r="G2873" s="108"/>
      <c r="H2873" s="107"/>
      <c r="I2873" s="108"/>
      <c r="J2873" s="108"/>
      <c r="K2873" s="108"/>
      <c r="L2873" s="108"/>
      <c r="M2873" s="108"/>
      <c r="N2873" s="108"/>
      <c r="O2873" s="108"/>
      <c r="P2873" s="108"/>
      <c r="Q2873" s="108"/>
      <c r="R2873" s="108"/>
      <c r="S2873" s="108"/>
      <c r="T2873" s="108"/>
      <c r="U2873" s="108"/>
      <c r="V2873" s="108"/>
      <c r="W2873" s="108"/>
      <c r="X2873" s="108"/>
    </row>
    <row r="2874" spans="1:24">
      <c r="A2874" s="107"/>
      <c r="B2874" s="107"/>
      <c r="C2874" s="107"/>
      <c r="D2874" s="107"/>
      <c r="E2874" s="107"/>
      <c r="F2874" s="107"/>
      <c r="G2874" s="108"/>
      <c r="H2874" s="107"/>
      <c r="I2874" s="108"/>
      <c r="J2874" s="108"/>
      <c r="K2874" s="108"/>
      <c r="L2874" s="108"/>
      <c r="M2874" s="108"/>
      <c r="N2874" s="108"/>
      <c r="O2874" s="108"/>
      <c r="P2874" s="108"/>
      <c r="Q2874" s="108"/>
      <c r="R2874" s="108"/>
      <c r="S2874" s="108"/>
      <c r="T2874" s="108"/>
      <c r="U2874" s="108"/>
      <c r="V2874" s="108"/>
      <c r="W2874" s="108"/>
      <c r="X2874" s="108"/>
    </row>
    <row r="2875" spans="1:24">
      <c r="A2875" s="107"/>
      <c r="B2875" s="107"/>
      <c r="C2875" s="107"/>
      <c r="D2875" s="107"/>
      <c r="E2875" s="107"/>
      <c r="F2875" s="107"/>
      <c r="G2875" s="108"/>
      <c r="H2875" s="107"/>
      <c r="I2875" s="108"/>
      <c r="J2875" s="108"/>
      <c r="K2875" s="108"/>
      <c r="L2875" s="108"/>
      <c r="M2875" s="108"/>
      <c r="N2875" s="108"/>
      <c r="O2875" s="108"/>
      <c r="P2875" s="108"/>
      <c r="Q2875" s="108"/>
      <c r="R2875" s="108"/>
      <c r="S2875" s="108"/>
      <c r="T2875" s="108"/>
      <c r="U2875" s="108"/>
      <c r="V2875" s="108"/>
      <c r="W2875" s="108"/>
      <c r="X2875" s="108"/>
    </row>
    <row r="2876" spans="1:24">
      <c r="A2876" s="107"/>
      <c r="B2876" s="107"/>
      <c r="C2876" s="107"/>
      <c r="D2876" s="107"/>
      <c r="E2876" s="107"/>
      <c r="F2876" s="107"/>
      <c r="G2876" s="108"/>
      <c r="H2876" s="107"/>
      <c r="I2876" s="108"/>
      <c r="J2876" s="108"/>
      <c r="K2876" s="108"/>
      <c r="L2876" s="108"/>
      <c r="M2876" s="108"/>
      <c r="N2876" s="108"/>
      <c r="O2876" s="108"/>
      <c r="P2876" s="108"/>
      <c r="Q2876" s="108"/>
      <c r="R2876" s="108"/>
      <c r="S2876" s="108"/>
      <c r="T2876" s="108"/>
      <c r="U2876" s="108"/>
      <c r="V2876" s="108"/>
      <c r="W2876" s="108"/>
      <c r="X2876" s="108"/>
    </row>
    <row r="2877" spans="1:24">
      <c r="A2877" s="107"/>
      <c r="B2877" s="107"/>
      <c r="C2877" s="107"/>
      <c r="D2877" s="107"/>
      <c r="E2877" s="107"/>
      <c r="F2877" s="107"/>
      <c r="G2877" s="108"/>
      <c r="H2877" s="107"/>
      <c r="I2877" s="108"/>
      <c r="J2877" s="108"/>
      <c r="K2877" s="108"/>
      <c r="L2877" s="108"/>
      <c r="M2877" s="108"/>
      <c r="N2877" s="108"/>
      <c r="O2877" s="108"/>
      <c r="P2877" s="108"/>
      <c r="Q2877" s="108"/>
      <c r="R2877" s="108"/>
      <c r="S2877" s="108"/>
      <c r="T2877" s="108"/>
      <c r="U2877" s="108"/>
      <c r="V2877" s="108"/>
      <c r="W2877" s="108"/>
      <c r="X2877" s="108"/>
    </row>
    <row r="2878" spans="1:24">
      <c r="A2878" s="107"/>
      <c r="B2878" s="107"/>
      <c r="C2878" s="107"/>
      <c r="D2878" s="107"/>
      <c r="E2878" s="107"/>
      <c r="F2878" s="107"/>
      <c r="G2878" s="108"/>
      <c r="H2878" s="107"/>
      <c r="I2878" s="108"/>
      <c r="J2878" s="108"/>
      <c r="K2878" s="108"/>
      <c r="L2878" s="108"/>
      <c r="M2878" s="108"/>
      <c r="N2878" s="108"/>
      <c r="O2878" s="108"/>
      <c r="P2878" s="108"/>
      <c r="Q2878" s="108"/>
      <c r="R2878" s="108"/>
      <c r="S2878" s="108"/>
      <c r="T2878" s="108"/>
      <c r="U2878" s="108"/>
      <c r="V2878" s="108"/>
      <c r="W2878" s="108"/>
      <c r="X2878" s="108"/>
    </row>
    <row r="2879" spans="1:24">
      <c r="A2879" s="107"/>
      <c r="B2879" s="107"/>
      <c r="C2879" s="107"/>
      <c r="D2879" s="107"/>
      <c r="E2879" s="107"/>
      <c r="F2879" s="107"/>
      <c r="G2879" s="108"/>
      <c r="H2879" s="107"/>
      <c r="I2879" s="108"/>
      <c r="J2879" s="108"/>
      <c r="K2879" s="108"/>
      <c r="L2879" s="108"/>
      <c r="M2879" s="108"/>
      <c r="N2879" s="108"/>
      <c r="O2879" s="108"/>
      <c r="P2879" s="108"/>
      <c r="Q2879" s="108"/>
      <c r="R2879" s="108"/>
      <c r="S2879" s="108"/>
      <c r="T2879" s="108"/>
      <c r="U2879" s="108"/>
      <c r="V2879" s="108"/>
      <c r="W2879" s="108"/>
      <c r="X2879" s="108"/>
    </row>
    <row r="2880" spans="1:24">
      <c r="A2880" s="107"/>
      <c r="B2880" s="107"/>
      <c r="C2880" s="107"/>
      <c r="D2880" s="107"/>
      <c r="E2880" s="107"/>
      <c r="F2880" s="107"/>
      <c r="G2880" s="108"/>
      <c r="H2880" s="107"/>
      <c r="I2880" s="108"/>
      <c r="J2880" s="108"/>
      <c r="K2880" s="108"/>
      <c r="L2880" s="108"/>
      <c r="M2880" s="108"/>
      <c r="N2880" s="108"/>
      <c r="O2880" s="108"/>
      <c r="P2880" s="108"/>
      <c r="Q2880" s="108"/>
      <c r="R2880" s="108"/>
      <c r="S2880" s="108"/>
      <c r="T2880" s="108"/>
      <c r="U2880" s="108"/>
      <c r="V2880" s="108"/>
      <c r="W2880" s="108"/>
      <c r="X2880" s="108"/>
    </row>
    <row r="2881" spans="1:24">
      <c r="A2881" s="107"/>
      <c r="B2881" s="107"/>
      <c r="C2881" s="107"/>
      <c r="D2881" s="107"/>
      <c r="E2881" s="107"/>
      <c r="F2881" s="107"/>
      <c r="G2881" s="108"/>
      <c r="H2881" s="107"/>
      <c r="I2881" s="108"/>
      <c r="J2881" s="108"/>
      <c r="K2881" s="108"/>
      <c r="L2881" s="108"/>
      <c r="M2881" s="108"/>
      <c r="N2881" s="108"/>
      <c r="O2881" s="108"/>
      <c r="P2881" s="108"/>
      <c r="Q2881" s="108"/>
      <c r="R2881" s="108"/>
      <c r="S2881" s="108"/>
      <c r="T2881" s="108"/>
      <c r="U2881" s="108"/>
      <c r="V2881" s="108"/>
      <c r="W2881" s="108"/>
      <c r="X2881" s="108"/>
    </row>
    <row r="2882" spans="1:24">
      <c r="A2882" s="107"/>
      <c r="B2882" s="107"/>
      <c r="C2882" s="107"/>
      <c r="D2882" s="107"/>
      <c r="E2882" s="107"/>
      <c r="F2882" s="107"/>
      <c r="G2882" s="108"/>
      <c r="H2882" s="107"/>
      <c r="I2882" s="108"/>
      <c r="J2882" s="108"/>
      <c r="K2882" s="108"/>
      <c r="L2882" s="108"/>
      <c r="M2882" s="108"/>
      <c r="N2882" s="108"/>
      <c r="O2882" s="108"/>
      <c r="P2882" s="108"/>
      <c r="Q2882" s="108"/>
      <c r="R2882" s="108"/>
      <c r="S2882" s="108"/>
      <c r="T2882" s="108"/>
      <c r="U2882" s="108"/>
      <c r="V2882" s="108"/>
      <c r="W2882" s="108"/>
      <c r="X2882" s="108"/>
    </row>
    <row r="2883" spans="1:24">
      <c r="A2883" s="107"/>
      <c r="B2883" s="107"/>
      <c r="C2883" s="107"/>
      <c r="D2883" s="107"/>
      <c r="E2883" s="107"/>
      <c r="F2883" s="107"/>
      <c r="G2883" s="108"/>
      <c r="H2883" s="107"/>
      <c r="I2883" s="108"/>
      <c r="J2883" s="108"/>
      <c r="K2883" s="108"/>
      <c r="L2883" s="108"/>
      <c r="M2883" s="108"/>
      <c r="N2883" s="108"/>
      <c r="O2883" s="108"/>
      <c r="P2883" s="108"/>
      <c r="Q2883" s="108"/>
      <c r="R2883" s="108"/>
      <c r="S2883" s="108"/>
      <c r="T2883" s="108"/>
      <c r="U2883" s="108"/>
      <c r="V2883" s="108"/>
      <c r="W2883" s="108"/>
      <c r="X2883" s="108"/>
    </row>
    <row r="2884" spans="1:24">
      <c r="A2884" s="107"/>
      <c r="B2884" s="107"/>
      <c r="C2884" s="107"/>
      <c r="D2884" s="107"/>
      <c r="E2884" s="107"/>
      <c r="F2884" s="107"/>
      <c r="G2884" s="108"/>
      <c r="H2884" s="107"/>
      <c r="I2884" s="108"/>
      <c r="J2884" s="108"/>
      <c r="K2884" s="108"/>
      <c r="L2884" s="108"/>
      <c r="M2884" s="108"/>
      <c r="N2884" s="108"/>
      <c r="O2884" s="108"/>
      <c r="P2884" s="108"/>
      <c r="Q2884" s="108"/>
      <c r="R2884" s="108"/>
      <c r="S2884" s="108"/>
      <c r="T2884" s="108"/>
      <c r="U2884" s="108"/>
      <c r="V2884" s="108"/>
      <c r="W2884" s="108"/>
      <c r="X2884" s="108"/>
    </row>
    <row r="2885" spans="1:24">
      <c r="A2885" s="107"/>
      <c r="B2885" s="107"/>
      <c r="C2885" s="107"/>
      <c r="D2885" s="107"/>
      <c r="E2885" s="107"/>
      <c r="F2885" s="107"/>
      <c r="G2885" s="108"/>
      <c r="H2885" s="107"/>
      <c r="I2885" s="108"/>
      <c r="J2885" s="108"/>
      <c r="K2885" s="108"/>
      <c r="L2885" s="108"/>
      <c r="M2885" s="108"/>
      <c r="N2885" s="108"/>
      <c r="O2885" s="108"/>
      <c r="P2885" s="108"/>
      <c r="Q2885" s="108"/>
      <c r="R2885" s="108"/>
      <c r="S2885" s="108"/>
      <c r="T2885" s="108"/>
      <c r="U2885" s="108"/>
      <c r="V2885" s="108"/>
      <c r="W2885" s="108"/>
      <c r="X2885" s="108"/>
    </row>
    <row r="2886" spans="1:24">
      <c r="A2886" s="107"/>
      <c r="B2886" s="107"/>
      <c r="C2886" s="107"/>
      <c r="D2886" s="107"/>
      <c r="E2886" s="107"/>
      <c r="F2886" s="107"/>
      <c r="G2886" s="108"/>
      <c r="H2886" s="107"/>
      <c r="I2886" s="108"/>
      <c r="J2886" s="108"/>
      <c r="K2886" s="108"/>
      <c r="L2886" s="108"/>
      <c r="M2886" s="108"/>
      <c r="N2886" s="108"/>
      <c r="O2886" s="108"/>
      <c r="P2886" s="108"/>
      <c r="Q2886" s="108"/>
      <c r="R2886" s="108"/>
      <c r="S2886" s="108"/>
      <c r="T2886" s="108"/>
      <c r="U2886" s="108"/>
      <c r="V2886" s="108"/>
      <c r="W2886" s="108"/>
      <c r="X2886" s="108"/>
    </row>
    <row r="2887" spans="1:24">
      <c r="A2887" s="107"/>
      <c r="B2887" s="107"/>
      <c r="C2887" s="107"/>
      <c r="D2887" s="107"/>
      <c r="E2887" s="107"/>
      <c r="F2887" s="107"/>
      <c r="G2887" s="108"/>
      <c r="H2887" s="107"/>
      <c r="I2887" s="108"/>
      <c r="J2887" s="108"/>
      <c r="K2887" s="108"/>
      <c r="L2887" s="108"/>
      <c r="M2887" s="108"/>
      <c r="N2887" s="108"/>
      <c r="O2887" s="108"/>
      <c r="P2887" s="108"/>
      <c r="Q2887" s="108"/>
      <c r="R2887" s="108"/>
      <c r="S2887" s="108"/>
      <c r="T2887" s="108"/>
      <c r="U2887" s="108"/>
      <c r="V2887" s="108"/>
      <c r="W2887" s="108"/>
      <c r="X2887" s="108"/>
    </row>
    <row r="2888" spans="1:24">
      <c r="A2888" s="107"/>
      <c r="B2888" s="107"/>
      <c r="C2888" s="107"/>
      <c r="D2888" s="107"/>
      <c r="E2888" s="107"/>
      <c r="F2888" s="107"/>
      <c r="G2888" s="108"/>
      <c r="H2888" s="107"/>
      <c r="I2888" s="108"/>
      <c r="J2888" s="108"/>
      <c r="K2888" s="108"/>
      <c r="L2888" s="108"/>
      <c r="M2888" s="108"/>
      <c r="N2888" s="108"/>
      <c r="O2888" s="108"/>
      <c r="P2888" s="108"/>
      <c r="Q2888" s="108"/>
      <c r="R2888" s="108"/>
      <c r="S2888" s="108"/>
      <c r="T2888" s="108"/>
      <c r="U2888" s="108"/>
      <c r="V2888" s="108"/>
      <c r="W2888" s="108"/>
      <c r="X2888" s="108"/>
    </row>
    <row r="2889" spans="1:24">
      <c r="A2889" s="107"/>
      <c r="B2889" s="107"/>
      <c r="C2889" s="107"/>
      <c r="D2889" s="107"/>
      <c r="E2889" s="107"/>
      <c r="F2889" s="107"/>
      <c r="G2889" s="108"/>
      <c r="H2889" s="107"/>
      <c r="I2889" s="108"/>
      <c r="J2889" s="108"/>
      <c r="K2889" s="108"/>
      <c r="L2889" s="108"/>
      <c r="M2889" s="108"/>
      <c r="N2889" s="108"/>
      <c r="O2889" s="108"/>
      <c r="P2889" s="108"/>
      <c r="Q2889" s="108"/>
      <c r="R2889" s="108"/>
      <c r="S2889" s="108"/>
      <c r="T2889" s="108"/>
      <c r="U2889" s="108"/>
      <c r="V2889" s="108"/>
      <c r="W2889" s="108"/>
      <c r="X2889" s="108"/>
    </row>
    <row r="2890" spans="1:24">
      <c r="A2890" s="107"/>
      <c r="B2890" s="107"/>
      <c r="C2890" s="107"/>
      <c r="D2890" s="107"/>
      <c r="E2890" s="107"/>
      <c r="F2890" s="107"/>
      <c r="G2890" s="108"/>
      <c r="H2890" s="107"/>
      <c r="I2890" s="108"/>
      <c r="J2890" s="108"/>
      <c r="K2890" s="108"/>
      <c r="L2890" s="108"/>
      <c r="M2890" s="108"/>
      <c r="N2890" s="108"/>
      <c r="O2890" s="108"/>
      <c r="P2890" s="108"/>
      <c r="Q2890" s="108"/>
      <c r="R2890" s="108"/>
      <c r="S2890" s="108"/>
      <c r="T2890" s="108"/>
      <c r="U2890" s="108"/>
      <c r="V2890" s="108"/>
      <c r="W2890" s="108"/>
      <c r="X2890" s="108"/>
    </row>
    <row r="2891" spans="1:24">
      <c r="A2891" s="107"/>
      <c r="B2891" s="107"/>
      <c r="C2891" s="107"/>
      <c r="D2891" s="107"/>
      <c r="E2891" s="107"/>
      <c r="F2891" s="107"/>
      <c r="G2891" s="108"/>
      <c r="H2891" s="107"/>
      <c r="I2891" s="108"/>
      <c r="J2891" s="108"/>
      <c r="K2891" s="108"/>
      <c r="L2891" s="108"/>
      <c r="M2891" s="108"/>
      <c r="N2891" s="108"/>
      <c r="O2891" s="108"/>
      <c r="P2891" s="108"/>
      <c r="Q2891" s="108"/>
      <c r="R2891" s="108"/>
      <c r="S2891" s="108"/>
      <c r="T2891" s="108"/>
      <c r="U2891" s="108"/>
      <c r="V2891" s="108"/>
      <c r="W2891" s="108"/>
      <c r="X2891" s="108"/>
    </row>
    <row r="2892" spans="1:24">
      <c r="A2892" s="107"/>
      <c r="B2892" s="107"/>
      <c r="C2892" s="107"/>
      <c r="D2892" s="107"/>
      <c r="E2892" s="107"/>
      <c r="F2892" s="107"/>
      <c r="G2892" s="108"/>
      <c r="H2892" s="107"/>
      <c r="I2892" s="108"/>
      <c r="J2892" s="108"/>
      <c r="K2892" s="108"/>
      <c r="L2892" s="108"/>
      <c r="M2892" s="108"/>
      <c r="N2892" s="108"/>
      <c r="O2892" s="108"/>
      <c r="P2892" s="108"/>
      <c r="Q2892" s="108"/>
      <c r="R2892" s="108"/>
      <c r="S2892" s="108"/>
      <c r="T2892" s="108"/>
      <c r="U2892" s="108"/>
      <c r="V2892" s="108"/>
      <c r="W2892" s="108"/>
      <c r="X2892" s="108"/>
    </row>
    <row r="2893" spans="1:24">
      <c r="A2893" s="107"/>
      <c r="B2893" s="107"/>
      <c r="C2893" s="107"/>
      <c r="D2893" s="107"/>
      <c r="E2893" s="107"/>
      <c r="F2893" s="107"/>
      <c r="G2893" s="108"/>
      <c r="H2893" s="107"/>
      <c r="I2893" s="108"/>
      <c r="J2893" s="108"/>
      <c r="K2893" s="108"/>
      <c r="L2893" s="108"/>
      <c r="M2893" s="108"/>
      <c r="N2893" s="108"/>
      <c r="O2893" s="108"/>
      <c r="P2893" s="108"/>
      <c r="Q2893" s="108"/>
      <c r="R2893" s="108"/>
      <c r="S2893" s="108"/>
      <c r="T2893" s="108"/>
      <c r="U2893" s="108"/>
      <c r="V2893" s="108"/>
      <c r="W2893" s="108"/>
      <c r="X2893" s="108"/>
    </row>
    <row r="2894" spans="1:24">
      <c r="A2894" s="107"/>
      <c r="B2894" s="107"/>
      <c r="C2894" s="107"/>
      <c r="D2894" s="107"/>
      <c r="E2894" s="107"/>
      <c r="F2894" s="107"/>
      <c r="G2894" s="108"/>
      <c r="H2894" s="107"/>
      <c r="I2894" s="108"/>
      <c r="J2894" s="108"/>
      <c r="K2894" s="108"/>
      <c r="L2894" s="108"/>
      <c r="M2894" s="108"/>
      <c r="N2894" s="108"/>
      <c r="O2894" s="108"/>
      <c r="P2894" s="108"/>
      <c r="Q2894" s="108"/>
      <c r="R2894" s="108"/>
      <c r="S2894" s="108"/>
      <c r="T2894" s="108"/>
      <c r="U2894" s="108"/>
      <c r="V2894" s="108"/>
      <c r="W2894" s="108"/>
      <c r="X2894" s="108"/>
    </row>
    <row r="2895" spans="1:24">
      <c r="A2895" s="107"/>
      <c r="B2895" s="107"/>
      <c r="C2895" s="107"/>
      <c r="D2895" s="107"/>
      <c r="E2895" s="107"/>
      <c r="F2895" s="107"/>
      <c r="G2895" s="108"/>
      <c r="H2895" s="107"/>
      <c r="I2895" s="108"/>
      <c r="J2895" s="108"/>
      <c r="K2895" s="108"/>
      <c r="L2895" s="108"/>
      <c r="M2895" s="108"/>
      <c r="N2895" s="108"/>
      <c r="O2895" s="108"/>
      <c r="P2895" s="108"/>
      <c r="Q2895" s="108"/>
      <c r="R2895" s="108"/>
      <c r="S2895" s="108"/>
      <c r="T2895" s="108"/>
      <c r="U2895" s="108"/>
      <c r="V2895" s="108"/>
      <c r="W2895" s="108"/>
      <c r="X2895" s="108"/>
    </row>
    <row r="2896" spans="1:24">
      <c r="A2896" s="107"/>
      <c r="B2896" s="107"/>
      <c r="C2896" s="107"/>
      <c r="D2896" s="107"/>
      <c r="E2896" s="107"/>
      <c r="F2896" s="107"/>
      <c r="G2896" s="108"/>
      <c r="H2896" s="107"/>
      <c r="I2896" s="108"/>
      <c r="J2896" s="108"/>
      <c r="K2896" s="108"/>
      <c r="L2896" s="108"/>
      <c r="M2896" s="108"/>
      <c r="N2896" s="108"/>
      <c r="O2896" s="108"/>
      <c r="P2896" s="108"/>
      <c r="Q2896" s="108"/>
      <c r="R2896" s="108"/>
      <c r="S2896" s="108"/>
      <c r="T2896" s="108"/>
      <c r="U2896" s="108"/>
      <c r="V2896" s="108"/>
      <c r="W2896" s="108"/>
      <c r="X2896" s="108"/>
    </row>
    <row r="2897" spans="1:24">
      <c r="A2897" s="107"/>
      <c r="B2897" s="107"/>
      <c r="C2897" s="107"/>
      <c r="D2897" s="107"/>
      <c r="E2897" s="107"/>
      <c r="F2897" s="107"/>
      <c r="G2897" s="108"/>
      <c r="H2897" s="107"/>
      <c r="I2897" s="108"/>
      <c r="J2897" s="108"/>
      <c r="K2897" s="108"/>
      <c r="L2897" s="108"/>
      <c r="M2897" s="108"/>
      <c r="N2897" s="108"/>
      <c r="O2897" s="108"/>
      <c r="P2897" s="108"/>
      <c r="Q2897" s="108"/>
      <c r="R2897" s="108"/>
      <c r="S2897" s="108"/>
      <c r="T2897" s="108"/>
      <c r="U2897" s="108"/>
      <c r="V2897" s="108"/>
      <c r="W2897" s="108"/>
      <c r="X2897" s="108"/>
    </row>
    <row r="2898" spans="1:24">
      <c r="A2898" s="107"/>
      <c r="B2898" s="107"/>
      <c r="C2898" s="107"/>
      <c r="D2898" s="107"/>
      <c r="E2898" s="107"/>
      <c r="F2898" s="107"/>
      <c r="G2898" s="108"/>
      <c r="H2898" s="107"/>
      <c r="I2898" s="108"/>
      <c r="J2898" s="108"/>
      <c r="K2898" s="108"/>
      <c r="L2898" s="108"/>
      <c r="M2898" s="108"/>
      <c r="N2898" s="108"/>
      <c r="O2898" s="108"/>
      <c r="P2898" s="108"/>
      <c r="Q2898" s="108"/>
      <c r="R2898" s="108"/>
      <c r="S2898" s="108"/>
      <c r="T2898" s="108"/>
      <c r="U2898" s="108"/>
      <c r="V2898" s="108"/>
      <c r="W2898" s="108"/>
      <c r="X2898" s="108"/>
    </row>
    <row r="2899" spans="1:24">
      <c r="A2899" s="107"/>
      <c r="B2899" s="107"/>
      <c r="C2899" s="107"/>
      <c r="D2899" s="107"/>
      <c r="E2899" s="107"/>
      <c r="F2899" s="107"/>
      <c r="G2899" s="108"/>
      <c r="H2899" s="107"/>
      <c r="I2899" s="108"/>
      <c r="J2899" s="108"/>
      <c r="K2899" s="108"/>
      <c r="L2899" s="108"/>
      <c r="M2899" s="108"/>
      <c r="N2899" s="108"/>
      <c r="O2899" s="108"/>
      <c r="P2899" s="108"/>
      <c r="Q2899" s="108"/>
      <c r="R2899" s="108"/>
      <c r="S2899" s="108"/>
      <c r="T2899" s="108"/>
      <c r="U2899" s="108"/>
      <c r="V2899" s="108"/>
      <c r="W2899" s="108"/>
      <c r="X2899" s="108"/>
    </row>
    <row r="2900" spans="1:24">
      <c r="A2900" s="107"/>
      <c r="B2900" s="107"/>
      <c r="C2900" s="107"/>
      <c r="D2900" s="107"/>
      <c r="E2900" s="107"/>
      <c r="F2900" s="107"/>
      <c r="G2900" s="108"/>
      <c r="H2900" s="107"/>
      <c r="I2900" s="108"/>
      <c r="J2900" s="108"/>
      <c r="K2900" s="108"/>
      <c r="L2900" s="108"/>
      <c r="M2900" s="108"/>
      <c r="N2900" s="108"/>
      <c r="O2900" s="108"/>
      <c r="P2900" s="108"/>
      <c r="Q2900" s="108"/>
      <c r="R2900" s="108"/>
      <c r="S2900" s="108"/>
      <c r="T2900" s="108"/>
      <c r="U2900" s="108"/>
      <c r="V2900" s="108"/>
      <c r="W2900" s="108"/>
      <c r="X2900" s="108"/>
    </row>
    <row r="2901" spans="1:24">
      <c r="A2901" s="107"/>
      <c r="B2901" s="107"/>
      <c r="C2901" s="107"/>
      <c r="D2901" s="107"/>
      <c r="E2901" s="107"/>
      <c r="F2901" s="107"/>
      <c r="G2901" s="108"/>
      <c r="H2901" s="107"/>
      <c r="I2901" s="108"/>
      <c r="J2901" s="108"/>
      <c r="K2901" s="108"/>
      <c r="L2901" s="108"/>
      <c r="M2901" s="108"/>
      <c r="N2901" s="108"/>
      <c r="O2901" s="108"/>
      <c r="P2901" s="108"/>
      <c r="Q2901" s="108"/>
      <c r="R2901" s="108"/>
      <c r="S2901" s="108"/>
      <c r="T2901" s="108"/>
      <c r="U2901" s="108"/>
      <c r="V2901" s="108"/>
      <c r="W2901" s="108"/>
      <c r="X2901" s="108"/>
    </row>
    <row r="2902" spans="1:24">
      <c r="A2902" s="107"/>
      <c r="B2902" s="107"/>
      <c r="C2902" s="107"/>
      <c r="D2902" s="107"/>
      <c r="E2902" s="107"/>
      <c r="F2902" s="107"/>
      <c r="G2902" s="108"/>
      <c r="H2902" s="107"/>
      <c r="I2902" s="108"/>
      <c r="J2902" s="108"/>
      <c r="K2902" s="108"/>
      <c r="L2902" s="108"/>
      <c r="M2902" s="108"/>
      <c r="N2902" s="108"/>
      <c r="O2902" s="108"/>
      <c r="P2902" s="108"/>
      <c r="Q2902" s="108"/>
      <c r="R2902" s="108"/>
      <c r="S2902" s="108"/>
      <c r="T2902" s="108"/>
      <c r="U2902" s="108"/>
      <c r="V2902" s="108"/>
      <c r="W2902" s="108"/>
      <c r="X2902" s="108"/>
    </row>
    <row r="2903" spans="1:24">
      <c r="A2903" s="107"/>
      <c r="B2903" s="107"/>
      <c r="C2903" s="107"/>
      <c r="D2903" s="107"/>
      <c r="E2903" s="107"/>
      <c r="F2903" s="107"/>
      <c r="G2903" s="108"/>
      <c r="H2903" s="107"/>
      <c r="I2903" s="108"/>
      <c r="J2903" s="108"/>
      <c r="K2903" s="108"/>
      <c r="L2903" s="108"/>
      <c r="M2903" s="108"/>
      <c r="N2903" s="108"/>
      <c r="O2903" s="108"/>
      <c r="P2903" s="108"/>
      <c r="Q2903" s="108"/>
      <c r="R2903" s="108"/>
      <c r="S2903" s="108"/>
      <c r="T2903" s="108"/>
      <c r="U2903" s="108"/>
      <c r="V2903" s="108"/>
      <c r="W2903" s="108"/>
      <c r="X2903" s="108"/>
    </row>
    <row r="2904" spans="1:24">
      <c r="A2904" s="107"/>
      <c r="B2904" s="107"/>
      <c r="C2904" s="107"/>
      <c r="D2904" s="107"/>
      <c r="E2904" s="107"/>
      <c r="F2904" s="107"/>
      <c r="G2904" s="108"/>
      <c r="H2904" s="107"/>
      <c r="I2904" s="108"/>
      <c r="J2904" s="108"/>
      <c r="K2904" s="108"/>
      <c r="L2904" s="108"/>
      <c r="M2904" s="108"/>
      <c r="N2904" s="108"/>
      <c r="O2904" s="108"/>
      <c r="P2904" s="108"/>
      <c r="Q2904" s="108"/>
      <c r="R2904" s="108"/>
      <c r="S2904" s="108"/>
      <c r="T2904" s="108"/>
      <c r="U2904" s="108"/>
      <c r="V2904" s="108"/>
      <c r="W2904" s="108"/>
      <c r="X2904" s="108"/>
    </row>
    <row r="2905" spans="1:24">
      <c r="A2905" s="107"/>
      <c r="B2905" s="107"/>
      <c r="C2905" s="107"/>
      <c r="D2905" s="107"/>
      <c r="E2905" s="107"/>
      <c r="F2905" s="107"/>
      <c r="G2905" s="108"/>
      <c r="H2905" s="107"/>
      <c r="I2905" s="108"/>
      <c r="J2905" s="108"/>
      <c r="K2905" s="108"/>
      <c r="L2905" s="108"/>
      <c r="M2905" s="108"/>
      <c r="N2905" s="108"/>
      <c r="O2905" s="108"/>
      <c r="P2905" s="108"/>
      <c r="Q2905" s="108"/>
      <c r="R2905" s="108"/>
      <c r="S2905" s="108"/>
      <c r="T2905" s="108"/>
      <c r="U2905" s="108"/>
      <c r="V2905" s="108"/>
      <c r="W2905" s="108"/>
      <c r="X2905" s="108"/>
    </row>
    <row r="2906" spans="1:24">
      <c r="A2906" s="107"/>
      <c r="B2906" s="107"/>
      <c r="C2906" s="107"/>
      <c r="D2906" s="107"/>
      <c r="E2906" s="107"/>
      <c r="F2906" s="107"/>
      <c r="G2906" s="108"/>
      <c r="H2906" s="107"/>
      <c r="I2906" s="108"/>
      <c r="J2906" s="108"/>
      <c r="K2906" s="108"/>
      <c r="L2906" s="108"/>
      <c r="M2906" s="108"/>
      <c r="N2906" s="108"/>
      <c r="O2906" s="108"/>
      <c r="P2906" s="108"/>
      <c r="Q2906" s="108"/>
      <c r="R2906" s="108"/>
      <c r="S2906" s="108"/>
      <c r="T2906" s="108"/>
      <c r="U2906" s="108"/>
      <c r="V2906" s="108"/>
      <c r="W2906" s="108"/>
      <c r="X2906" s="108"/>
    </row>
    <row r="2907" spans="1:24">
      <c r="A2907" s="107"/>
      <c r="B2907" s="107"/>
      <c r="C2907" s="107"/>
      <c r="D2907" s="107"/>
      <c r="E2907" s="107"/>
      <c r="F2907" s="107"/>
      <c r="G2907" s="108"/>
      <c r="H2907" s="107"/>
      <c r="I2907" s="108"/>
      <c r="J2907" s="108"/>
      <c r="K2907" s="108"/>
      <c r="L2907" s="108"/>
      <c r="M2907" s="108"/>
      <c r="N2907" s="108"/>
      <c r="O2907" s="108"/>
      <c r="P2907" s="108"/>
      <c r="Q2907" s="108"/>
      <c r="R2907" s="108"/>
      <c r="S2907" s="108"/>
      <c r="T2907" s="108"/>
      <c r="U2907" s="108"/>
      <c r="V2907" s="108"/>
      <c r="W2907" s="108"/>
      <c r="X2907" s="108"/>
    </row>
    <row r="2908" spans="1:24">
      <c r="A2908" s="107"/>
      <c r="B2908" s="107"/>
      <c r="C2908" s="107"/>
      <c r="D2908" s="107"/>
      <c r="E2908" s="107"/>
      <c r="F2908" s="107"/>
      <c r="G2908" s="108"/>
      <c r="H2908" s="107"/>
      <c r="I2908" s="108"/>
      <c r="J2908" s="108"/>
      <c r="K2908" s="108"/>
      <c r="L2908" s="108"/>
      <c r="M2908" s="108"/>
      <c r="N2908" s="108"/>
      <c r="O2908" s="108"/>
      <c r="P2908" s="108"/>
      <c r="Q2908" s="108"/>
      <c r="R2908" s="108"/>
      <c r="S2908" s="108"/>
      <c r="T2908" s="108"/>
      <c r="U2908" s="108"/>
      <c r="V2908" s="108"/>
      <c r="W2908" s="108"/>
      <c r="X2908" s="108"/>
    </row>
    <row r="2909" spans="1:24">
      <c r="A2909" s="107"/>
      <c r="B2909" s="107"/>
      <c r="C2909" s="107"/>
      <c r="D2909" s="107"/>
      <c r="E2909" s="107"/>
      <c r="F2909" s="107"/>
      <c r="G2909" s="108"/>
      <c r="H2909" s="107"/>
      <c r="I2909" s="108"/>
      <c r="J2909" s="108"/>
      <c r="K2909" s="108"/>
      <c r="L2909" s="108"/>
      <c r="M2909" s="108"/>
      <c r="N2909" s="108"/>
      <c r="O2909" s="108"/>
      <c r="P2909" s="108"/>
      <c r="Q2909" s="108"/>
      <c r="R2909" s="108"/>
      <c r="S2909" s="108"/>
      <c r="T2909" s="108"/>
      <c r="U2909" s="108"/>
      <c r="V2909" s="108"/>
      <c r="W2909" s="108"/>
      <c r="X2909" s="108"/>
    </row>
    <row r="2910" spans="1:24">
      <c r="A2910" s="107"/>
      <c r="B2910" s="107"/>
      <c r="C2910" s="107"/>
      <c r="D2910" s="107"/>
      <c r="E2910" s="107"/>
      <c r="F2910" s="107"/>
      <c r="G2910" s="108"/>
      <c r="H2910" s="107"/>
      <c r="I2910" s="108"/>
      <c r="J2910" s="108"/>
      <c r="K2910" s="108"/>
      <c r="L2910" s="108"/>
      <c r="M2910" s="108"/>
      <c r="N2910" s="108"/>
      <c r="O2910" s="108"/>
      <c r="P2910" s="108"/>
      <c r="Q2910" s="108"/>
      <c r="R2910" s="108"/>
      <c r="S2910" s="108"/>
      <c r="T2910" s="108"/>
      <c r="U2910" s="108"/>
      <c r="V2910" s="108"/>
      <c r="W2910" s="108"/>
      <c r="X2910" s="108"/>
    </row>
    <row r="2911" spans="1:24">
      <c r="A2911" s="107"/>
      <c r="B2911" s="107"/>
      <c r="C2911" s="107"/>
      <c r="D2911" s="107"/>
      <c r="E2911" s="107"/>
      <c r="F2911" s="107"/>
      <c r="G2911" s="108"/>
      <c r="H2911" s="107"/>
      <c r="I2911" s="108"/>
      <c r="J2911" s="108"/>
      <c r="K2911" s="108"/>
      <c r="L2911" s="108"/>
      <c r="M2911" s="108"/>
      <c r="N2911" s="108"/>
      <c r="O2911" s="108"/>
      <c r="P2911" s="108"/>
      <c r="Q2911" s="108"/>
      <c r="R2911" s="108"/>
      <c r="S2911" s="108"/>
      <c r="T2911" s="108"/>
      <c r="U2911" s="108"/>
      <c r="V2911" s="108"/>
      <c r="W2911" s="108"/>
      <c r="X2911" s="108"/>
    </row>
    <row r="2912" spans="1:24">
      <c r="A2912" s="107"/>
      <c r="B2912" s="107"/>
      <c r="C2912" s="107"/>
      <c r="D2912" s="107"/>
      <c r="E2912" s="107"/>
      <c r="F2912" s="107"/>
      <c r="G2912" s="108"/>
      <c r="H2912" s="107"/>
      <c r="I2912" s="108"/>
      <c r="J2912" s="108"/>
      <c r="K2912" s="108"/>
      <c r="L2912" s="108"/>
      <c r="M2912" s="108"/>
      <c r="N2912" s="108"/>
      <c r="O2912" s="108"/>
      <c r="P2912" s="108"/>
      <c r="Q2912" s="108"/>
      <c r="R2912" s="108"/>
      <c r="S2912" s="108"/>
      <c r="T2912" s="108"/>
      <c r="U2912" s="108"/>
      <c r="V2912" s="108"/>
      <c r="W2912" s="108"/>
      <c r="X2912" s="108"/>
    </row>
    <row r="2913" spans="1:24">
      <c r="A2913" s="107"/>
      <c r="B2913" s="107"/>
      <c r="C2913" s="107"/>
      <c r="D2913" s="107"/>
      <c r="E2913" s="107"/>
      <c r="F2913" s="107"/>
      <c r="G2913" s="108"/>
      <c r="H2913" s="107"/>
      <c r="I2913" s="108"/>
      <c r="J2913" s="108"/>
      <c r="K2913" s="108"/>
      <c r="L2913" s="108"/>
      <c r="M2913" s="108"/>
      <c r="N2913" s="108"/>
      <c r="O2913" s="108"/>
      <c r="P2913" s="108"/>
      <c r="Q2913" s="108"/>
      <c r="R2913" s="108"/>
      <c r="S2913" s="108"/>
      <c r="T2913" s="108"/>
      <c r="U2913" s="108"/>
      <c r="V2913" s="108"/>
      <c r="W2913" s="108"/>
      <c r="X2913" s="108"/>
    </row>
    <row r="2914" spans="1:24">
      <c r="A2914" s="107"/>
      <c r="B2914" s="107"/>
      <c r="C2914" s="107"/>
      <c r="D2914" s="107"/>
      <c r="E2914" s="107"/>
      <c r="F2914" s="107"/>
      <c r="G2914" s="108"/>
      <c r="H2914" s="107"/>
      <c r="I2914" s="108"/>
      <c r="J2914" s="108"/>
      <c r="K2914" s="108"/>
      <c r="L2914" s="108"/>
      <c r="M2914" s="108"/>
      <c r="N2914" s="108"/>
      <c r="O2914" s="108"/>
      <c r="P2914" s="108"/>
      <c r="Q2914" s="108"/>
      <c r="R2914" s="108"/>
      <c r="S2914" s="108"/>
      <c r="T2914" s="108"/>
      <c r="U2914" s="108"/>
      <c r="V2914" s="108"/>
      <c r="W2914" s="108"/>
      <c r="X2914" s="108"/>
    </row>
    <row r="2915" spans="1:24">
      <c r="A2915" s="107"/>
      <c r="B2915" s="107"/>
      <c r="C2915" s="107"/>
      <c r="D2915" s="107"/>
      <c r="E2915" s="107"/>
      <c r="F2915" s="107"/>
      <c r="G2915" s="108"/>
      <c r="H2915" s="107"/>
      <c r="I2915" s="108"/>
      <c r="J2915" s="108"/>
      <c r="K2915" s="108"/>
      <c r="L2915" s="108"/>
      <c r="M2915" s="108"/>
      <c r="N2915" s="108"/>
      <c r="O2915" s="108"/>
      <c r="P2915" s="108"/>
      <c r="Q2915" s="108"/>
      <c r="R2915" s="108"/>
      <c r="S2915" s="108"/>
      <c r="T2915" s="108"/>
      <c r="U2915" s="108"/>
      <c r="V2915" s="108"/>
      <c r="W2915" s="108"/>
      <c r="X2915" s="108"/>
    </row>
    <row r="2916" spans="1:24">
      <c r="A2916" s="107"/>
      <c r="B2916" s="107"/>
      <c r="C2916" s="107"/>
      <c r="D2916" s="107"/>
      <c r="E2916" s="107"/>
      <c r="F2916" s="107"/>
      <c r="G2916" s="108"/>
      <c r="H2916" s="107"/>
      <c r="I2916" s="108"/>
      <c r="J2916" s="108"/>
      <c r="K2916" s="108"/>
      <c r="L2916" s="108"/>
      <c r="M2916" s="108"/>
      <c r="N2916" s="108"/>
      <c r="O2916" s="108"/>
      <c r="P2916" s="108"/>
      <c r="Q2916" s="108"/>
      <c r="R2916" s="108"/>
      <c r="S2916" s="108"/>
      <c r="T2916" s="108"/>
      <c r="U2916" s="108"/>
      <c r="V2916" s="108"/>
      <c r="W2916" s="108"/>
      <c r="X2916" s="108"/>
    </row>
    <row r="2917" spans="1:24">
      <c r="A2917" s="107"/>
      <c r="B2917" s="107"/>
      <c r="C2917" s="107"/>
      <c r="D2917" s="107"/>
      <c r="E2917" s="107"/>
      <c r="F2917" s="107"/>
      <c r="G2917" s="108"/>
      <c r="H2917" s="107"/>
      <c r="I2917" s="108"/>
      <c r="J2917" s="108"/>
      <c r="K2917" s="108"/>
      <c r="L2917" s="108"/>
      <c r="M2917" s="108"/>
      <c r="N2917" s="108"/>
      <c r="O2917" s="108"/>
      <c r="P2917" s="108"/>
      <c r="Q2917" s="108"/>
      <c r="R2917" s="108"/>
      <c r="S2917" s="108"/>
      <c r="T2917" s="108"/>
      <c r="U2917" s="108"/>
      <c r="V2917" s="108"/>
      <c r="W2917" s="108"/>
      <c r="X2917" s="108"/>
    </row>
    <row r="2918" spans="1:24">
      <c r="A2918" s="107"/>
      <c r="B2918" s="107"/>
      <c r="C2918" s="107"/>
      <c r="D2918" s="107"/>
      <c r="E2918" s="107"/>
      <c r="F2918" s="107"/>
      <c r="G2918" s="108"/>
      <c r="H2918" s="107"/>
      <c r="I2918" s="108"/>
      <c r="J2918" s="108"/>
      <c r="K2918" s="108"/>
      <c r="L2918" s="108"/>
      <c r="M2918" s="108"/>
      <c r="N2918" s="108"/>
      <c r="O2918" s="108"/>
      <c r="P2918" s="108"/>
      <c r="Q2918" s="108"/>
      <c r="R2918" s="108"/>
      <c r="S2918" s="108"/>
      <c r="T2918" s="108"/>
      <c r="U2918" s="108"/>
      <c r="V2918" s="108"/>
      <c r="W2918" s="108"/>
      <c r="X2918" s="108"/>
    </row>
    <row r="2919" spans="1:24">
      <c r="A2919" s="107"/>
      <c r="B2919" s="107"/>
      <c r="C2919" s="107"/>
      <c r="D2919" s="107"/>
      <c r="E2919" s="107"/>
      <c r="F2919" s="107"/>
      <c r="G2919" s="108"/>
      <c r="H2919" s="107"/>
      <c r="I2919" s="108"/>
      <c r="J2919" s="108"/>
      <c r="K2919" s="108"/>
      <c r="L2919" s="108"/>
      <c r="M2919" s="108"/>
      <c r="N2919" s="108"/>
      <c r="O2919" s="108"/>
      <c r="P2919" s="108"/>
      <c r="Q2919" s="108"/>
      <c r="R2919" s="108"/>
      <c r="S2919" s="108"/>
      <c r="T2919" s="108"/>
      <c r="U2919" s="108"/>
      <c r="V2919" s="108"/>
      <c r="W2919" s="108"/>
      <c r="X2919" s="108"/>
    </row>
    <row r="2920" spans="1:24">
      <c r="A2920" s="107"/>
      <c r="B2920" s="107"/>
      <c r="C2920" s="107"/>
      <c r="D2920" s="107"/>
      <c r="E2920" s="107"/>
      <c r="F2920" s="107"/>
      <c r="G2920" s="108"/>
      <c r="H2920" s="107"/>
      <c r="I2920" s="108"/>
      <c r="J2920" s="108"/>
      <c r="K2920" s="108"/>
      <c r="L2920" s="108"/>
      <c r="M2920" s="108"/>
      <c r="N2920" s="108"/>
      <c r="O2920" s="108"/>
      <c r="P2920" s="108"/>
      <c r="Q2920" s="108"/>
      <c r="R2920" s="108"/>
      <c r="S2920" s="108"/>
      <c r="T2920" s="108"/>
      <c r="U2920" s="108"/>
      <c r="V2920" s="108"/>
      <c r="W2920" s="108"/>
      <c r="X2920" s="108"/>
    </row>
    <row r="2921" spans="1:24">
      <c r="A2921" s="107"/>
      <c r="B2921" s="107"/>
      <c r="C2921" s="107"/>
      <c r="D2921" s="107"/>
      <c r="E2921" s="107"/>
      <c r="F2921" s="107"/>
      <c r="G2921" s="108"/>
      <c r="H2921" s="107"/>
      <c r="I2921" s="108"/>
      <c r="J2921" s="108"/>
      <c r="K2921" s="108"/>
      <c r="L2921" s="108"/>
      <c r="M2921" s="108"/>
      <c r="N2921" s="108"/>
      <c r="O2921" s="108"/>
      <c r="P2921" s="108"/>
      <c r="Q2921" s="108"/>
      <c r="R2921" s="108"/>
      <c r="S2921" s="108"/>
      <c r="T2921" s="108"/>
      <c r="U2921" s="108"/>
      <c r="V2921" s="108"/>
      <c r="W2921" s="108"/>
      <c r="X2921" s="108"/>
    </row>
    <row r="2922" spans="1:24">
      <c r="A2922" s="107"/>
      <c r="B2922" s="107"/>
      <c r="C2922" s="107"/>
      <c r="D2922" s="107"/>
      <c r="E2922" s="107"/>
      <c r="F2922" s="107"/>
      <c r="G2922" s="108"/>
      <c r="H2922" s="107"/>
      <c r="I2922" s="108"/>
      <c r="J2922" s="108"/>
      <c r="K2922" s="108"/>
      <c r="L2922" s="108"/>
      <c r="M2922" s="108"/>
      <c r="N2922" s="108"/>
      <c r="O2922" s="108"/>
      <c r="P2922" s="108"/>
      <c r="Q2922" s="108"/>
      <c r="R2922" s="108"/>
      <c r="S2922" s="108"/>
      <c r="T2922" s="108"/>
      <c r="U2922" s="108"/>
      <c r="V2922" s="108"/>
      <c r="W2922" s="108"/>
      <c r="X2922" s="108"/>
    </row>
    <row r="2923" spans="1:24">
      <c r="A2923" s="107"/>
      <c r="B2923" s="107"/>
      <c r="C2923" s="107"/>
      <c r="D2923" s="107"/>
      <c r="E2923" s="107"/>
      <c r="F2923" s="107"/>
      <c r="G2923" s="108"/>
      <c r="H2923" s="107"/>
      <c r="I2923" s="108"/>
      <c r="J2923" s="108"/>
      <c r="K2923" s="108"/>
      <c r="L2923" s="108"/>
      <c r="M2923" s="108"/>
      <c r="N2923" s="108"/>
      <c r="O2923" s="108"/>
      <c r="P2923" s="108"/>
      <c r="Q2923" s="108"/>
      <c r="R2923" s="108"/>
      <c r="S2923" s="108"/>
      <c r="T2923" s="108"/>
      <c r="U2923" s="108"/>
      <c r="V2923" s="108"/>
      <c r="W2923" s="108"/>
      <c r="X2923" s="108"/>
    </row>
    <row r="2924" spans="1:24">
      <c r="A2924" s="107"/>
      <c r="B2924" s="107"/>
      <c r="C2924" s="107"/>
      <c r="D2924" s="107"/>
      <c r="E2924" s="107"/>
      <c r="F2924" s="107"/>
      <c r="G2924" s="108"/>
      <c r="H2924" s="107"/>
      <c r="I2924" s="108"/>
      <c r="J2924" s="108"/>
      <c r="K2924" s="108"/>
      <c r="L2924" s="108"/>
      <c r="M2924" s="108"/>
      <c r="N2924" s="108"/>
      <c r="O2924" s="108"/>
      <c r="P2924" s="108"/>
      <c r="Q2924" s="108"/>
      <c r="R2924" s="108"/>
      <c r="S2924" s="108"/>
      <c r="T2924" s="108"/>
      <c r="U2924" s="108"/>
      <c r="V2924" s="108"/>
      <c r="W2924" s="108"/>
      <c r="X2924" s="108"/>
    </row>
    <row r="2925" spans="1:24">
      <c r="A2925" s="107"/>
      <c r="B2925" s="107"/>
      <c r="C2925" s="107"/>
      <c r="D2925" s="107"/>
      <c r="E2925" s="107"/>
      <c r="F2925" s="107"/>
      <c r="G2925" s="108"/>
      <c r="H2925" s="107"/>
      <c r="I2925" s="108"/>
      <c r="J2925" s="108"/>
      <c r="K2925" s="108"/>
      <c r="L2925" s="108"/>
      <c r="M2925" s="108"/>
      <c r="N2925" s="108"/>
      <c r="O2925" s="108"/>
      <c r="P2925" s="108"/>
      <c r="Q2925" s="108"/>
      <c r="R2925" s="108"/>
      <c r="S2925" s="108"/>
      <c r="T2925" s="108"/>
      <c r="U2925" s="108"/>
      <c r="V2925" s="108"/>
      <c r="W2925" s="108"/>
      <c r="X2925" s="108"/>
    </row>
    <row r="2926" spans="1:24">
      <c r="A2926" s="107"/>
      <c r="B2926" s="107"/>
      <c r="C2926" s="107"/>
      <c r="D2926" s="107"/>
      <c r="E2926" s="107"/>
      <c r="F2926" s="107"/>
      <c r="G2926" s="108"/>
      <c r="H2926" s="107"/>
      <c r="I2926" s="108"/>
      <c r="J2926" s="108"/>
      <c r="K2926" s="108"/>
      <c r="L2926" s="108"/>
      <c r="M2926" s="108"/>
      <c r="N2926" s="108"/>
      <c r="O2926" s="108"/>
      <c r="P2926" s="108"/>
      <c r="Q2926" s="108"/>
      <c r="R2926" s="108"/>
      <c r="S2926" s="108"/>
      <c r="T2926" s="108"/>
      <c r="U2926" s="108"/>
      <c r="V2926" s="108"/>
      <c r="W2926" s="108"/>
      <c r="X2926" s="108"/>
    </row>
    <row r="2927" spans="1:24">
      <c r="A2927" s="107"/>
      <c r="B2927" s="107"/>
      <c r="C2927" s="107"/>
      <c r="D2927" s="107"/>
      <c r="E2927" s="107"/>
      <c r="F2927" s="107"/>
      <c r="G2927" s="108"/>
      <c r="H2927" s="107"/>
      <c r="I2927" s="108"/>
      <c r="J2927" s="108"/>
      <c r="K2927" s="108"/>
      <c r="L2927" s="108"/>
      <c r="M2927" s="108"/>
      <c r="N2927" s="108"/>
      <c r="O2927" s="108"/>
      <c r="P2927" s="108"/>
      <c r="Q2927" s="108"/>
      <c r="R2927" s="108"/>
      <c r="S2927" s="108"/>
      <c r="T2927" s="108"/>
      <c r="U2927" s="108"/>
      <c r="V2927" s="108"/>
      <c r="W2927" s="108"/>
      <c r="X2927" s="108"/>
    </row>
    <row r="2928" spans="1:24">
      <c r="A2928" s="107"/>
      <c r="B2928" s="107"/>
      <c r="C2928" s="107"/>
      <c r="D2928" s="107"/>
      <c r="E2928" s="107"/>
      <c r="F2928" s="107"/>
      <c r="G2928" s="108"/>
      <c r="H2928" s="107"/>
      <c r="I2928" s="108"/>
      <c r="J2928" s="108"/>
      <c r="K2928" s="108"/>
      <c r="L2928" s="108"/>
      <c r="M2928" s="108"/>
      <c r="N2928" s="108"/>
      <c r="O2928" s="108"/>
      <c r="P2928" s="108"/>
      <c r="Q2928" s="108"/>
      <c r="R2928" s="108"/>
      <c r="S2928" s="108"/>
      <c r="T2928" s="108"/>
      <c r="U2928" s="108"/>
      <c r="V2928" s="108"/>
      <c r="W2928" s="108"/>
      <c r="X2928" s="108"/>
    </row>
    <row r="2929" spans="1:24">
      <c r="A2929" s="107"/>
      <c r="B2929" s="107"/>
      <c r="C2929" s="107"/>
      <c r="D2929" s="107"/>
      <c r="E2929" s="107"/>
      <c r="F2929" s="107"/>
      <c r="G2929" s="108"/>
      <c r="H2929" s="107"/>
      <c r="I2929" s="108"/>
      <c r="J2929" s="108"/>
      <c r="K2929" s="108"/>
      <c r="L2929" s="108"/>
      <c r="M2929" s="108"/>
      <c r="N2929" s="108"/>
      <c r="O2929" s="108"/>
      <c r="P2929" s="108"/>
      <c r="Q2929" s="108"/>
      <c r="R2929" s="108"/>
      <c r="S2929" s="108"/>
      <c r="T2929" s="108"/>
      <c r="U2929" s="108"/>
      <c r="V2929" s="108"/>
      <c r="W2929" s="108"/>
      <c r="X2929" s="108"/>
    </row>
    <row r="2930" spans="1:24">
      <c r="A2930" s="107"/>
      <c r="B2930" s="107"/>
      <c r="C2930" s="107"/>
      <c r="D2930" s="107"/>
      <c r="E2930" s="107"/>
      <c r="F2930" s="107"/>
      <c r="G2930" s="108"/>
      <c r="H2930" s="107"/>
      <c r="I2930" s="108"/>
      <c r="J2930" s="108"/>
      <c r="K2930" s="108"/>
      <c r="L2930" s="108"/>
      <c r="M2930" s="108"/>
      <c r="N2930" s="108"/>
      <c r="O2930" s="108"/>
      <c r="P2930" s="108"/>
      <c r="Q2930" s="108"/>
      <c r="R2930" s="108"/>
      <c r="S2930" s="108"/>
      <c r="T2930" s="108"/>
      <c r="U2930" s="108"/>
      <c r="V2930" s="108"/>
      <c r="W2930" s="108"/>
      <c r="X2930" s="108"/>
    </row>
    <row r="2931" spans="1:24">
      <c r="A2931" s="107"/>
      <c r="B2931" s="107"/>
      <c r="C2931" s="107"/>
      <c r="D2931" s="107"/>
      <c r="E2931" s="107"/>
      <c r="F2931" s="107"/>
      <c r="G2931" s="108"/>
      <c r="H2931" s="107"/>
      <c r="I2931" s="108"/>
      <c r="J2931" s="108"/>
      <c r="K2931" s="108"/>
      <c r="L2931" s="108"/>
      <c r="M2931" s="108"/>
      <c r="N2931" s="108"/>
      <c r="O2931" s="108"/>
      <c r="P2931" s="108"/>
      <c r="Q2931" s="108"/>
      <c r="R2931" s="108"/>
      <c r="S2931" s="108"/>
      <c r="T2931" s="108"/>
      <c r="U2931" s="108"/>
      <c r="V2931" s="108"/>
      <c r="W2931" s="108"/>
      <c r="X2931" s="108"/>
    </row>
    <row r="2932" spans="1:24">
      <c r="A2932" s="107"/>
      <c r="B2932" s="107"/>
      <c r="C2932" s="107"/>
      <c r="D2932" s="107"/>
      <c r="E2932" s="107"/>
      <c r="F2932" s="107"/>
      <c r="G2932" s="108"/>
      <c r="H2932" s="107"/>
      <c r="I2932" s="108"/>
      <c r="J2932" s="108"/>
      <c r="K2932" s="108"/>
      <c r="L2932" s="108"/>
      <c r="M2932" s="108"/>
      <c r="N2932" s="108"/>
      <c r="O2932" s="108"/>
      <c r="P2932" s="108"/>
      <c r="Q2932" s="108"/>
      <c r="R2932" s="108"/>
      <c r="S2932" s="108"/>
      <c r="T2932" s="108"/>
      <c r="U2932" s="108"/>
      <c r="V2932" s="108"/>
      <c r="W2932" s="108"/>
      <c r="X2932" s="108"/>
    </row>
    <row r="2933" spans="1:24">
      <c r="A2933" s="107"/>
      <c r="B2933" s="107"/>
      <c r="C2933" s="107"/>
      <c r="D2933" s="107"/>
      <c r="E2933" s="107"/>
      <c r="F2933" s="107"/>
      <c r="G2933" s="108"/>
      <c r="H2933" s="107"/>
      <c r="I2933" s="108"/>
      <c r="J2933" s="108"/>
      <c r="K2933" s="108"/>
      <c r="L2933" s="108"/>
      <c r="M2933" s="108"/>
      <c r="N2933" s="108"/>
      <c r="O2933" s="108"/>
      <c r="P2933" s="108"/>
      <c r="Q2933" s="108"/>
      <c r="R2933" s="108"/>
      <c r="S2933" s="108"/>
      <c r="T2933" s="108"/>
      <c r="U2933" s="108"/>
      <c r="V2933" s="108"/>
      <c r="W2933" s="108"/>
      <c r="X2933" s="108"/>
    </row>
    <row r="2934" spans="1:24">
      <c r="A2934" s="107"/>
      <c r="B2934" s="107"/>
      <c r="C2934" s="107"/>
      <c r="D2934" s="107"/>
      <c r="E2934" s="107"/>
      <c r="F2934" s="107"/>
      <c r="G2934" s="108"/>
      <c r="H2934" s="107"/>
      <c r="I2934" s="108"/>
      <c r="J2934" s="108"/>
      <c r="K2934" s="108"/>
      <c r="L2934" s="108"/>
      <c r="M2934" s="108"/>
      <c r="N2934" s="108"/>
      <c r="O2934" s="108"/>
      <c r="P2934" s="108"/>
      <c r="Q2934" s="108"/>
      <c r="R2934" s="108"/>
      <c r="S2934" s="108"/>
      <c r="T2934" s="108"/>
      <c r="U2934" s="108"/>
      <c r="V2934" s="108"/>
      <c r="W2934" s="108"/>
      <c r="X2934" s="108"/>
    </row>
    <row r="2935" spans="1:24">
      <c r="A2935" s="107"/>
      <c r="B2935" s="107"/>
      <c r="C2935" s="107"/>
      <c r="D2935" s="107"/>
      <c r="E2935" s="107"/>
      <c r="F2935" s="107"/>
      <c r="G2935" s="108"/>
      <c r="H2935" s="107"/>
      <c r="I2935" s="108"/>
      <c r="J2935" s="108"/>
      <c r="K2935" s="108"/>
      <c r="L2935" s="108"/>
      <c r="M2935" s="108"/>
      <c r="N2935" s="108"/>
      <c r="O2935" s="108"/>
      <c r="P2935" s="108"/>
      <c r="Q2935" s="108"/>
      <c r="R2935" s="108"/>
      <c r="S2935" s="108"/>
      <c r="T2935" s="108"/>
      <c r="U2935" s="108"/>
      <c r="V2935" s="108"/>
      <c r="W2935" s="108"/>
      <c r="X2935" s="108"/>
    </row>
    <row r="2936" spans="1:24">
      <c r="A2936" s="107"/>
      <c r="B2936" s="107"/>
      <c r="C2936" s="107"/>
      <c r="D2936" s="107"/>
      <c r="E2936" s="107"/>
      <c r="F2936" s="107"/>
      <c r="G2936" s="108"/>
      <c r="H2936" s="107"/>
      <c r="I2936" s="108"/>
      <c r="J2936" s="108"/>
      <c r="K2936" s="108"/>
      <c r="L2936" s="108"/>
      <c r="M2936" s="108"/>
      <c r="N2936" s="108"/>
      <c r="O2936" s="108"/>
      <c r="P2936" s="108"/>
      <c r="Q2936" s="108"/>
      <c r="R2936" s="108"/>
      <c r="S2936" s="108"/>
      <c r="T2936" s="108"/>
      <c r="U2936" s="108"/>
      <c r="V2936" s="108"/>
      <c r="W2936" s="108"/>
      <c r="X2936" s="108"/>
    </row>
    <row r="2937" spans="1:24">
      <c r="A2937" s="107"/>
      <c r="B2937" s="107"/>
      <c r="C2937" s="107"/>
      <c r="D2937" s="107"/>
      <c r="E2937" s="107"/>
      <c r="F2937" s="107"/>
      <c r="G2937" s="108"/>
      <c r="H2937" s="107"/>
      <c r="I2937" s="108"/>
      <c r="J2937" s="108"/>
      <c r="K2937" s="108"/>
      <c r="L2937" s="108"/>
      <c r="M2937" s="108"/>
      <c r="N2937" s="108"/>
      <c r="O2937" s="108"/>
      <c r="P2937" s="108"/>
      <c r="Q2937" s="108"/>
      <c r="R2937" s="108"/>
      <c r="S2937" s="108"/>
      <c r="T2937" s="108"/>
      <c r="U2937" s="108"/>
      <c r="V2937" s="108"/>
      <c r="W2937" s="108"/>
      <c r="X2937" s="108"/>
    </row>
    <row r="2938" spans="1:24">
      <c r="A2938" s="107"/>
      <c r="B2938" s="107"/>
      <c r="C2938" s="107"/>
      <c r="D2938" s="107"/>
      <c r="E2938" s="107"/>
      <c r="F2938" s="107"/>
      <c r="G2938" s="108"/>
      <c r="H2938" s="107"/>
      <c r="I2938" s="108"/>
      <c r="J2938" s="108"/>
      <c r="K2938" s="108"/>
      <c r="L2938" s="108"/>
      <c r="M2938" s="108"/>
      <c r="N2938" s="108"/>
      <c r="O2938" s="108"/>
      <c r="P2938" s="108"/>
      <c r="Q2938" s="108"/>
      <c r="R2938" s="108"/>
      <c r="S2938" s="108"/>
      <c r="T2938" s="108"/>
      <c r="U2938" s="108"/>
      <c r="V2938" s="108"/>
      <c r="W2938" s="108"/>
      <c r="X2938" s="108"/>
    </row>
    <row r="2939" spans="1:24">
      <c r="A2939" s="107"/>
      <c r="B2939" s="107"/>
      <c r="C2939" s="107"/>
      <c r="D2939" s="107"/>
      <c r="E2939" s="107"/>
      <c r="F2939" s="107"/>
      <c r="G2939" s="108"/>
      <c r="H2939" s="107"/>
      <c r="I2939" s="108"/>
      <c r="J2939" s="108"/>
      <c r="K2939" s="108"/>
      <c r="L2939" s="108"/>
      <c r="M2939" s="108"/>
      <c r="N2939" s="108"/>
      <c r="O2939" s="108"/>
      <c r="P2939" s="108"/>
      <c r="Q2939" s="108"/>
      <c r="R2939" s="108"/>
      <c r="S2939" s="108"/>
      <c r="T2939" s="108"/>
      <c r="U2939" s="108"/>
      <c r="V2939" s="108"/>
      <c r="W2939" s="108"/>
      <c r="X2939" s="108"/>
    </row>
    <row r="2940" spans="1:24">
      <c r="A2940" s="107"/>
      <c r="B2940" s="107"/>
      <c r="C2940" s="107"/>
      <c r="D2940" s="107"/>
      <c r="E2940" s="107"/>
      <c r="F2940" s="107"/>
      <c r="G2940" s="108"/>
      <c r="H2940" s="107"/>
      <c r="I2940" s="108"/>
      <c r="J2940" s="108"/>
      <c r="K2940" s="108"/>
      <c r="L2940" s="108"/>
      <c r="M2940" s="108"/>
      <c r="N2940" s="108"/>
      <c r="O2940" s="108"/>
      <c r="P2940" s="108"/>
      <c r="Q2940" s="108"/>
      <c r="R2940" s="108"/>
      <c r="S2940" s="108"/>
      <c r="T2940" s="108"/>
      <c r="U2940" s="108"/>
      <c r="V2940" s="108"/>
      <c r="W2940" s="108"/>
      <c r="X2940" s="108"/>
    </row>
    <row r="2941" spans="1:24">
      <c r="A2941" s="107"/>
      <c r="B2941" s="107"/>
      <c r="C2941" s="107"/>
      <c r="D2941" s="107"/>
      <c r="E2941" s="107"/>
      <c r="F2941" s="107"/>
      <c r="G2941" s="108"/>
      <c r="H2941" s="107"/>
      <c r="I2941" s="108"/>
      <c r="J2941" s="108"/>
      <c r="K2941" s="108"/>
      <c r="L2941" s="108"/>
      <c r="M2941" s="108"/>
      <c r="N2941" s="108"/>
      <c r="O2941" s="108"/>
      <c r="P2941" s="108"/>
      <c r="Q2941" s="108"/>
      <c r="R2941" s="108"/>
      <c r="S2941" s="108"/>
      <c r="T2941" s="108"/>
      <c r="U2941" s="108"/>
      <c r="V2941" s="108"/>
      <c r="W2941" s="108"/>
      <c r="X2941" s="108"/>
    </row>
    <row r="2942" spans="1:24">
      <c r="A2942" s="107"/>
      <c r="B2942" s="107"/>
      <c r="C2942" s="107"/>
      <c r="D2942" s="107"/>
      <c r="E2942" s="107"/>
      <c r="F2942" s="107"/>
      <c r="G2942" s="108"/>
      <c r="H2942" s="107"/>
      <c r="I2942" s="108"/>
      <c r="J2942" s="108"/>
      <c r="K2942" s="108"/>
      <c r="L2942" s="108"/>
      <c r="M2942" s="108"/>
      <c r="N2942" s="108"/>
      <c r="O2942" s="108"/>
      <c r="P2942" s="108"/>
      <c r="Q2942" s="108"/>
      <c r="R2942" s="108"/>
      <c r="S2942" s="108"/>
      <c r="T2942" s="108"/>
      <c r="U2942" s="108"/>
      <c r="V2942" s="108"/>
      <c r="W2942" s="108"/>
      <c r="X2942" s="108"/>
    </row>
    <row r="2943" spans="1:24">
      <c r="A2943" s="107"/>
      <c r="B2943" s="107"/>
      <c r="C2943" s="107"/>
      <c r="D2943" s="107"/>
      <c r="E2943" s="107"/>
      <c r="F2943" s="107"/>
      <c r="G2943" s="108"/>
      <c r="H2943" s="107"/>
      <c r="I2943" s="108"/>
      <c r="J2943" s="108"/>
      <c r="K2943" s="108"/>
      <c r="L2943" s="108"/>
      <c r="M2943" s="108"/>
      <c r="N2943" s="108"/>
      <c r="O2943" s="108"/>
      <c r="P2943" s="108"/>
      <c r="Q2943" s="108"/>
      <c r="R2943" s="108"/>
      <c r="S2943" s="108"/>
      <c r="T2943" s="108"/>
      <c r="U2943" s="108"/>
      <c r="V2943" s="108"/>
      <c r="W2943" s="108"/>
      <c r="X2943" s="108"/>
    </row>
    <row r="2944" spans="1:24">
      <c r="A2944" s="107"/>
      <c r="B2944" s="107"/>
      <c r="C2944" s="107"/>
      <c r="D2944" s="107"/>
      <c r="E2944" s="107"/>
      <c r="F2944" s="107"/>
      <c r="G2944" s="108"/>
      <c r="H2944" s="107"/>
      <c r="I2944" s="108"/>
      <c r="J2944" s="108"/>
      <c r="K2944" s="108"/>
      <c r="L2944" s="108"/>
      <c r="M2944" s="108"/>
      <c r="N2944" s="108"/>
      <c r="O2944" s="108"/>
      <c r="P2944" s="108"/>
      <c r="Q2944" s="108"/>
      <c r="R2944" s="108"/>
      <c r="S2944" s="108"/>
      <c r="T2944" s="108"/>
      <c r="U2944" s="108"/>
      <c r="V2944" s="108"/>
      <c r="W2944" s="108"/>
      <c r="X2944" s="108"/>
    </row>
    <row r="2945" spans="1:24">
      <c r="A2945" s="107"/>
      <c r="B2945" s="107"/>
      <c r="C2945" s="107"/>
      <c r="D2945" s="107"/>
      <c r="E2945" s="107"/>
      <c r="F2945" s="107"/>
      <c r="G2945" s="108"/>
      <c r="H2945" s="107"/>
      <c r="I2945" s="108"/>
      <c r="J2945" s="108"/>
      <c r="K2945" s="108"/>
      <c r="L2945" s="108"/>
      <c r="M2945" s="108"/>
      <c r="N2945" s="108"/>
      <c r="O2945" s="108"/>
      <c r="P2945" s="108"/>
      <c r="Q2945" s="108"/>
      <c r="R2945" s="108"/>
      <c r="S2945" s="108"/>
      <c r="T2945" s="108"/>
      <c r="U2945" s="108"/>
      <c r="V2945" s="108"/>
      <c r="W2945" s="108"/>
      <c r="X2945" s="108"/>
    </row>
    <row r="2946" spans="1:24">
      <c r="A2946" s="107"/>
      <c r="B2946" s="107"/>
      <c r="C2946" s="107"/>
      <c r="D2946" s="107"/>
      <c r="E2946" s="107"/>
      <c r="F2946" s="107"/>
      <c r="G2946" s="108"/>
      <c r="H2946" s="107"/>
      <c r="I2946" s="108"/>
      <c r="J2946" s="108"/>
      <c r="K2946" s="108"/>
      <c r="L2946" s="108"/>
      <c r="M2946" s="108"/>
      <c r="N2946" s="108"/>
      <c r="O2946" s="108"/>
      <c r="P2946" s="108"/>
      <c r="Q2946" s="108"/>
      <c r="R2946" s="108"/>
      <c r="S2946" s="108"/>
      <c r="T2946" s="108"/>
      <c r="U2946" s="108"/>
      <c r="V2946" s="108"/>
      <c r="W2946" s="108"/>
      <c r="X2946" s="108"/>
    </row>
    <row r="2947" spans="1:24">
      <c r="A2947" s="107"/>
      <c r="B2947" s="107"/>
      <c r="C2947" s="107"/>
      <c r="D2947" s="107"/>
      <c r="E2947" s="107"/>
      <c r="F2947" s="107"/>
      <c r="G2947" s="108"/>
      <c r="H2947" s="107"/>
      <c r="I2947" s="108"/>
      <c r="J2947" s="108"/>
      <c r="K2947" s="108"/>
      <c r="L2947" s="108"/>
      <c r="M2947" s="108"/>
      <c r="N2947" s="108"/>
      <c r="O2947" s="108"/>
      <c r="P2947" s="108"/>
      <c r="Q2947" s="108"/>
      <c r="R2947" s="108"/>
      <c r="S2947" s="108"/>
      <c r="T2947" s="108"/>
      <c r="U2947" s="108"/>
      <c r="V2947" s="108"/>
      <c r="W2947" s="108"/>
      <c r="X2947" s="108"/>
    </row>
    <row r="2948" spans="1:24">
      <c r="A2948" s="107"/>
      <c r="B2948" s="107"/>
      <c r="C2948" s="107"/>
      <c r="D2948" s="107"/>
      <c r="E2948" s="107"/>
      <c r="F2948" s="107"/>
      <c r="G2948" s="108"/>
      <c r="H2948" s="107"/>
      <c r="I2948" s="108"/>
      <c r="J2948" s="108"/>
      <c r="K2948" s="108"/>
      <c r="L2948" s="108"/>
      <c r="M2948" s="108"/>
      <c r="N2948" s="108"/>
      <c r="O2948" s="108"/>
      <c r="P2948" s="108"/>
      <c r="Q2948" s="108"/>
      <c r="R2948" s="108"/>
      <c r="S2948" s="108"/>
      <c r="T2948" s="108"/>
      <c r="U2948" s="108"/>
      <c r="V2948" s="108"/>
      <c r="W2948" s="108"/>
      <c r="X2948" s="108"/>
    </row>
    <row r="2949" spans="1:24">
      <c r="A2949" s="107"/>
      <c r="B2949" s="107"/>
      <c r="C2949" s="107"/>
      <c r="D2949" s="107"/>
      <c r="E2949" s="107"/>
      <c r="F2949" s="107"/>
      <c r="G2949" s="108"/>
      <c r="H2949" s="107"/>
      <c r="I2949" s="108"/>
      <c r="J2949" s="108"/>
      <c r="K2949" s="108"/>
      <c r="L2949" s="108"/>
      <c r="M2949" s="108"/>
      <c r="N2949" s="108"/>
      <c r="O2949" s="108"/>
      <c r="P2949" s="108"/>
      <c r="Q2949" s="108"/>
      <c r="R2949" s="108"/>
      <c r="S2949" s="108"/>
      <c r="T2949" s="108"/>
      <c r="U2949" s="108"/>
      <c r="V2949" s="108"/>
      <c r="W2949" s="108"/>
      <c r="X2949" s="108"/>
    </row>
    <row r="2950" spans="1:24">
      <c r="A2950" s="107"/>
      <c r="B2950" s="107"/>
      <c r="C2950" s="107"/>
      <c r="D2950" s="107"/>
      <c r="E2950" s="107"/>
      <c r="F2950" s="107"/>
      <c r="G2950" s="108"/>
      <c r="H2950" s="107"/>
      <c r="I2950" s="108"/>
      <c r="J2950" s="108"/>
      <c r="K2950" s="108"/>
      <c r="L2950" s="108"/>
      <c r="M2950" s="108"/>
      <c r="N2950" s="108"/>
      <c r="O2950" s="108"/>
      <c r="P2950" s="108"/>
      <c r="Q2950" s="108"/>
      <c r="R2950" s="108"/>
      <c r="S2950" s="108"/>
      <c r="T2950" s="108"/>
      <c r="U2950" s="108"/>
      <c r="V2950" s="108"/>
      <c r="W2950" s="108"/>
      <c r="X2950" s="108"/>
    </row>
    <row r="2951" spans="1:24">
      <c r="A2951" s="107"/>
      <c r="B2951" s="107"/>
      <c r="C2951" s="107"/>
      <c r="D2951" s="107"/>
      <c r="E2951" s="107"/>
      <c r="F2951" s="107"/>
      <c r="G2951" s="108"/>
      <c r="H2951" s="107"/>
      <c r="I2951" s="108"/>
      <c r="J2951" s="108"/>
      <c r="K2951" s="108"/>
      <c r="L2951" s="108"/>
      <c r="M2951" s="108"/>
      <c r="N2951" s="108"/>
      <c r="O2951" s="108"/>
      <c r="P2951" s="108"/>
      <c r="Q2951" s="108"/>
      <c r="R2951" s="108"/>
      <c r="S2951" s="108"/>
      <c r="T2951" s="108"/>
      <c r="U2951" s="108"/>
      <c r="V2951" s="108"/>
      <c r="W2951" s="108"/>
      <c r="X2951" s="108"/>
    </row>
    <row r="2952" spans="1:24">
      <c r="A2952" s="107"/>
      <c r="B2952" s="107"/>
      <c r="C2952" s="107"/>
      <c r="D2952" s="107"/>
      <c r="E2952" s="107"/>
      <c r="F2952" s="107"/>
      <c r="G2952" s="108"/>
      <c r="H2952" s="107"/>
      <c r="I2952" s="108"/>
      <c r="J2952" s="108"/>
      <c r="K2952" s="108"/>
      <c r="L2952" s="108"/>
      <c r="M2952" s="108"/>
      <c r="N2952" s="108"/>
      <c r="O2952" s="108"/>
      <c r="P2952" s="108"/>
      <c r="Q2952" s="108"/>
      <c r="R2952" s="108"/>
      <c r="S2952" s="108"/>
      <c r="T2952" s="108"/>
      <c r="U2952" s="108"/>
      <c r="V2952" s="108"/>
      <c r="W2952" s="108"/>
      <c r="X2952" s="108"/>
    </row>
    <row r="2953" spans="1:24">
      <c r="A2953" s="107"/>
      <c r="B2953" s="107"/>
      <c r="C2953" s="107"/>
      <c r="D2953" s="107"/>
      <c r="E2953" s="107"/>
      <c r="F2953" s="107"/>
      <c r="G2953" s="108"/>
      <c r="H2953" s="107"/>
      <c r="I2953" s="108"/>
      <c r="J2953" s="108"/>
      <c r="K2953" s="108"/>
      <c r="L2953" s="108"/>
      <c r="M2953" s="108"/>
      <c r="N2953" s="108"/>
      <c r="O2953" s="108"/>
      <c r="P2953" s="108"/>
      <c r="Q2953" s="108"/>
      <c r="R2953" s="108"/>
      <c r="S2953" s="108"/>
      <c r="T2953" s="108"/>
      <c r="U2953" s="108"/>
      <c r="V2953" s="108"/>
      <c r="W2953" s="108"/>
      <c r="X2953" s="108"/>
    </row>
    <row r="2954" spans="1:24">
      <c r="A2954" s="107"/>
      <c r="B2954" s="107"/>
      <c r="C2954" s="107"/>
      <c r="D2954" s="107"/>
      <c r="E2954" s="107"/>
      <c r="F2954" s="107"/>
      <c r="G2954" s="108"/>
      <c r="H2954" s="107"/>
      <c r="I2954" s="108"/>
      <c r="J2954" s="108"/>
      <c r="K2954" s="108"/>
      <c r="L2954" s="108"/>
      <c r="M2954" s="108"/>
      <c r="N2954" s="108"/>
      <c r="O2954" s="108"/>
      <c r="P2954" s="108"/>
      <c r="Q2954" s="108"/>
      <c r="R2954" s="108"/>
      <c r="S2954" s="108"/>
      <c r="T2954" s="108"/>
      <c r="U2954" s="108"/>
      <c r="V2954" s="108"/>
      <c r="W2954" s="108"/>
      <c r="X2954" s="108"/>
    </row>
    <row r="2955" spans="1:24">
      <c r="A2955" s="107"/>
      <c r="B2955" s="107"/>
      <c r="C2955" s="107"/>
      <c r="D2955" s="107"/>
      <c r="E2955" s="107"/>
      <c r="F2955" s="107"/>
      <c r="G2955" s="108"/>
      <c r="H2955" s="107"/>
      <c r="I2955" s="108"/>
      <c r="J2955" s="108"/>
      <c r="K2955" s="108"/>
      <c r="L2955" s="108"/>
      <c r="M2955" s="108"/>
      <c r="N2955" s="108"/>
      <c r="O2955" s="108"/>
      <c r="P2955" s="108"/>
      <c r="Q2955" s="108"/>
      <c r="R2955" s="108"/>
      <c r="S2955" s="108"/>
      <c r="T2955" s="108"/>
      <c r="U2955" s="108"/>
      <c r="V2955" s="108"/>
      <c r="W2955" s="108"/>
      <c r="X2955" s="108"/>
    </row>
    <row r="2956" spans="1:24">
      <c r="A2956" s="107"/>
      <c r="B2956" s="107"/>
      <c r="C2956" s="107"/>
      <c r="D2956" s="107"/>
      <c r="E2956" s="107"/>
      <c r="F2956" s="107"/>
      <c r="G2956" s="108"/>
      <c r="H2956" s="107"/>
      <c r="I2956" s="108"/>
      <c r="J2956" s="108"/>
      <c r="K2956" s="108"/>
      <c r="L2956" s="108"/>
      <c r="M2956" s="108"/>
      <c r="N2956" s="108"/>
      <c r="O2956" s="108"/>
      <c r="P2956" s="108"/>
      <c r="Q2956" s="108"/>
      <c r="R2956" s="108"/>
      <c r="S2956" s="108"/>
      <c r="T2956" s="108"/>
      <c r="U2956" s="108"/>
      <c r="V2956" s="108"/>
      <c r="W2956" s="108"/>
      <c r="X2956" s="108"/>
    </row>
    <row r="2957" spans="1:24">
      <c r="A2957" s="107"/>
      <c r="B2957" s="107"/>
      <c r="C2957" s="107"/>
      <c r="D2957" s="107"/>
      <c r="E2957" s="107"/>
      <c r="F2957" s="107"/>
      <c r="G2957" s="108"/>
      <c r="H2957" s="107"/>
      <c r="I2957" s="108"/>
      <c r="J2957" s="108"/>
      <c r="K2957" s="108"/>
      <c r="L2957" s="108"/>
      <c r="M2957" s="108"/>
      <c r="N2957" s="108"/>
      <c r="O2957" s="108"/>
      <c r="P2957" s="108"/>
      <c r="Q2957" s="108"/>
      <c r="R2957" s="108"/>
      <c r="S2957" s="108"/>
      <c r="T2957" s="108"/>
      <c r="U2957" s="108"/>
      <c r="V2957" s="108"/>
      <c r="W2957" s="108"/>
      <c r="X2957" s="108"/>
    </row>
    <row r="2958" spans="1:24">
      <c r="A2958" s="107"/>
      <c r="B2958" s="107"/>
      <c r="C2958" s="107"/>
      <c r="D2958" s="107"/>
      <c r="E2958" s="107"/>
      <c r="F2958" s="107"/>
      <c r="G2958" s="108"/>
      <c r="H2958" s="107"/>
      <c r="I2958" s="108"/>
      <c r="J2958" s="108"/>
      <c r="K2958" s="108"/>
      <c r="L2958" s="108"/>
      <c r="M2958" s="108"/>
      <c r="N2958" s="108"/>
      <c r="O2958" s="108"/>
      <c r="P2958" s="108"/>
      <c r="Q2958" s="108"/>
      <c r="R2958" s="108"/>
      <c r="S2958" s="108"/>
      <c r="T2958" s="108"/>
      <c r="U2958" s="108"/>
      <c r="V2958" s="108"/>
      <c r="W2958" s="108"/>
      <c r="X2958" s="108"/>
    </row>
    <row r="2959" spans="1:24">
      <c r="A2959" s="107"/>
      <c r="B2959" s="107"/>
      <c r="C2959" s="107"/>
      <c r="D2959" s="107"/>
      <c r="E2959" s="107"/>
      <c r="F2959" s="107"/>
      <c r="G2959" s="108"/>
      <c r="H2959" s="107"/>
      <c r="I2959" s="108"/>
      <c r="J2959" s="108"/>
      <c r="K2959" s="108"/>
      <c r="L2959" s="108"/>
      <c r="M2959" s="108"/>
      <c r="N2959" s="108"/>
      <c r="O2959" s="108"/>
      <c r="P2959" s="108"/>
      <c r="Q2959" s="108"/>
      <c r="R2959" s="108"/>
      <c r="S2959" s="108"/>
      <c r="T2959" s="108"/>
      <c r="U2959" s="108"/>
      <c r="V2959" s="108"/>
      <c r="W2959" s="108"/>
      <c r="X2959" s="108"/>
    </row>
    <row r="2960" spans="1:24">
      <c r="A2960" s="107"/>
      <c r="B2960" s="107"/>
      <c r="C2960" s="107"/>
      <c r="D2960" s="107"/>
      <c r="E2960" s="107"/>
      <c r="F2960" s="107"/>
      <c r="G2960" s="108"/>
      <c r="H2960" s="107"/>
      <c r="I2960" s="108"/>
      <c r="J2960" s="108"/>
      <c r="K2960" s="108"/>
      <c r="L2960" s="108"/>
      <c r="M2960" s="108"/>
      <c r="N2960" s="108"/>
      <c r="O2960" s="108"/>
      <c r="P2960" s="108"/>
      <c r="Q2960" s="108"/>
      <c r="R2960" s="108"/>
      <c r="S2960" s="108"/>
      <c r="T2960" s="108"/>
      <c r="U2960" s="108"/>
      <c r="V2960" s="108"/>
      <c r="W2960" s="108"/>
      <c r="X2960" s="108"/>
    </row>
    <row r="2961" spans="1:24">
      <c r="A2961" s="107"/>
      <c r="B2961" s="107"/>
      <c r="C2961" s="107"/>
      <c r="D2961" s="107"/>
      <c r="E2961" s="107"/>
      <c r="F2961" s="107"/>
      <c r="G2961" s="108"/>
      <c r="H2961" s="107"/>
      <c r="I2961" s="108"/>
      <c r="J2961" s="108"/>
      <c r="K2961" s="108"/>
      <c r="L2961" s="108"/>
      <c r="M2961" s="108"/>
      <c r="N2961" s="108"/>
      <c r="O2961" s="108"/>
      <c r="P2961" s="108"/>
      <c r="Q2961" s="108"/>
      <c r="R2961" s="108"/>
      <c r="S2961" s="108"/>
      <c r="T2961" s="108"/>
      <c r="U2961" s="108"/>
      <c r="V2961" s="108"/>
      <c r="W2961" s="108"/>
      <c r="X2961" s="108"/>
    </row>
    <row r="2962" spans="1:24">
      <c r="A2962" s="107"/>
      <c r="B2962" s="107"/>
      <c r="C2962" s="107"/>
      <c r="D2962" s="107"/>
      <c r="E2962" s="107"/>
      <c r="F2962" s="107"/>
      <c r="G2962" s="108"/>
      <c r="H2962" s="107"/>
      <c r="I2962" s="108"/>
      <c r="J2962" s="108"/>
      <c r="K2962" s="108"/>
      <c r="L2962" s="108"/>
      <c r="M2962" s="108"/>
      <c r="N2962" s="108"/>
      <c r="O2962" s="108"/>
      <c r="P2962" s="108"/>
      <c r="Q2962" s="108"/>
      <c r="R2962" s="108"/>
      <c r="S2962" s="108"/>
      <c r="T2962" s="108"/>
      <c r="U2962" s="108"/>
      <c r="V2962" s="108"/>
      <c r="W2962" s="108"/>
      <c r="X2962" s="108"/>
    </row>
    <row r="2963" spans="1:24">
      <c r="A2963" s="107"/>
      <c r="B2963" s="107"/>
      <c r="C2963" s="107"/>
      <c r="D2963" s="107"/>
      <c r="E2963" s="107"/>
      <c r="F2963" s="107"/>
      <c r="G2963" s="108"/>
      <c r="H2963" s="107"/>
      <c r="I2963" s="108"/>
      <c r="J2963" s="108"/>
      <c r="K2963" s="108"/>
      <c r="L2963" s="108"/>
      <c r="M2963" s="108"/>
      <c r="N2963" s="108"/>
      <c r="O2963" s="108"/>
      <c r="P2963" s="108"/>
      <c r="Q2963" s="108"/>
      <c r="R2963" s="108"/>
      <c r="S2963" s="108"/>
      <c r="T2963" s="108"/>
      <c r="U2963" s="108"/>
      <c r="V2963" s="108"/>
      <c r="W2963" s="108"/>
      <c r="X2963" s="108"/>
    </row>
    <row r="2964" spans="1:24">
      <c r="A2964" s="107"/>
      <c r="B2964" s="107"/>
      <c r="C2964" s="107"/>
      <c r="D2964" s="107"/>
      <c r="E2964" s="107"/>
      <c r="F2964" s="107"/>
      <c r="G2964" s="108"/>
      <c r="H2964" s="107"/>
      <c r="I2964" s="108"/>
      <c r="J2964" s="108"/>
      <c r="K2964" s="108"/>
      <c r="L2964" s="108"/>
      <c r="M2964" s="108"/>
      <c r="N2964" s="108"/>
      <c r="O2964" s="108"/>
      <c r="P2964" s="108"/>
      <c r="Q2964" s="108"/>
      <c r="R2964" s="108"/>
      <c r="S2964" s="108"/>
      <c r="T2964" s="108"/>
      <c r="U2964" s="108"/>
      <c r="V2964" s="108"/>
      <c r="W2964" s="108"/>
      <c r="X2964" s="108"/>
    </row>
    <row r="2965" spans="1:24">
      <c r="A2965" s="107"/>
      <c r="B2965" s="107"/>
      <c r="C2965" s="107"/>
      <c r="D2965" s="107"/>
      <c r="E2965" s="107"/>
      <c r="F2965" s="107"/>
      <c r="G2965" s="108"/>
      <c r="H2965" s="107"/>
      <c r="I2965" s="108"/>
      <c r="J2965" s="108"/>
      <c r="K2965" s="108"/>
      <c r="L2965" s="108"/>
      <c r="M2965" s="108"/>
      <c r="N2965" s="108"/>
      <c r="O2965" s="108"/>
      <c r="P2965" s="108"/>
      <c r="Q2965" s="108"/>
      <c r="R2965" s="108"/>
      <c r="S2965" s="108"/>
      <c r="T2965" s="108"/>
      <c r="U2965" s="108"/>
      <c r="V2965" s="108"/>
      <c r="W2965" s="108"/>
      <c r="X2965" s="108"/>
    </row>
    <row r="2966" spans="1:24">
      <c r="A2966" s="107"/>
      <c r="B2966" s="107"/>
      <c r="C2966" s="107"/>
      <c r="D2966" s="107"/>
      <c r="E2966" s="107"/>
      <c r="F2966" s="107"/>
      <c r="G2966" s="108"/>
      <c r="H2966" s="107"/>
      <c r="I2966" s="108"/>
      <c r="J2966" s="108"/>
      <c r="K2966" s="108"/>
      <c r="L2966" s="108"/>
      <c r="M2966" s="108"/>
      <c r="N2966" s="108"/>
      <c r="O2966" s="108"/>
      <c r="P2966" s="108"/>
      <c r="Q2966" s="108"/>
      <c r="R2966" s="108"/>
      <c r="S2966" s="108"/>
      <c r="T2966" s="108"/>
      <c r="U2966" s="108"/>
      <c r="V2966" s="108"/>
      <c r="W2966" s="108"/>
      <c r="X2966" s="108"/>
    </row>
    <row r="2967" spans="1:24">
      <c r="A2967" s="107"/>
      <c r="B2967" s="107"/>
      <c r="C2967" s="107"/>
      <c r="D2967" s="107"/>
      <c r="E2967" s="107"/>
      <c r="F2967" s="107"/>
      <c r="G2967" s="108"/>
      <c r="H2967" s="107"/>
      <c r="I2967" s="108"/>
      <c r="J2967" s="108"/>
      <c r="K2967" s="108"/>
      <c r="L2967" s="108"/>
      <c r="M2967" s="108"/>
      <c r="N2967" s="108"/>
      <c r="O2967" s="108"/>
      <c r="P2967" s="108"/>
      <c r="Q2967" s="108"/>
      <c r="R2967" s="108"/>
      <c r="S2967" s="108"/>
      <c r="T2967" s="108"/>
      <c r="U2967" s="108"/>
      <c r="V2967" s="108"/>
      <c r="W2967" s="108"/>
      <c r="X2967" s="108"/>
    </row>
    <row r="2968" spans="1:24">
      <c r="A2968" s="107"/>
      <c r="B2968" s="107"/>
      <c r="C2968" s="107"/>
      <c r="D2968" s="107"/>
      <c r="E2968" s="107"/>
      <c r="F2968" s="107"/>
      <c r="G2968" s="108"/>
      <c r="H2968" s="107"/>
      <c r="I2968" s="108"/>
      <c r="J2968" s="108"/>
      <c r="K2968" s="108"/>
      <c r="L2968" s="108"/>
      <c r="M2968" s="108"/>
      <c r="N2968" s="108"/>
      <c r="O2968" s="108"/>
      <c r="P2968" s="108"/>
      <c r="Q2968" s="108"/>
      <c r="R2968" s="108"/>
      <c r="S2968" s="108"/>
      <c r="T2968" s="108"/>
      <c r="U2968" s="108"/>
      <c r="V2968" s="108"/>
      <c r="W2968" s="108"/>
      <c r="X2968" s="108"/>
    </row>
    <row r="2969" spans="1:24">
      <c r="A2969" s="107"/>
      <c r="B2969" s="107"/>
      <c r="C2969" s="107"/>
      <c r="D2969" s="107"/>
      <c r="E2969" s="107"/>
      <c r="F2969" s="107"/>
      <c r="G2969" s="108"/>
      <c r="H2969" s="107"/>
      <c r="I2969" s="108"/>
      <c r="J2969" s="108"/>
      <c r="K2969" s="108"/>
      <c r="L2969" s="108"/>
      <c r="M2969" s="108"/>
      <c r="N2969" s="108"/>
      <c r="O2969" s="108"/>
      <c r="P2969" s="108"/>
      <c r="Q2969" s="108"/>
      <c r="R2969" s="108"/>
      <c r="S2969" s="108"/>
      <c r="T2969" s="108"/>
      <c r="U2969" s="108"/>
      <c r="V2969" s="108"/>
      <c r="W2969" s="108"/>
      <c r="X2969" s="108"/>
    </row>
    <row r="2970" spans="1:24">
      <c r="A2970" s="107"/>
      <c r="B2970" s="107"/>
      <c r="C2970" s="107"/>
      <c r="D2970" s="107"/>
      <c r="E2970" s="107"/>
      <c r="F2970" s="107"/>
      <c r="G2970" s="108"/>
      <c r="H2970" s="107"/>
      <c r="I2970" s="108"/>
      <c r="J2970" s="108"/>
      <c r="K2970" s="108"/>
      <c r="L2970" s="108"/>
      <c r="M2970" s="108"/>
      <c r="N2970" s="108"/>
      <c r="O2970" s="108"/>
      <c r="P2970" s="108"/>
      <c r="Q2970" s="108"/>
      <c r="R2970" s="108"/>
      <c r="S2970" s="108"/>
      <c r="T2970" s="108"/>
      <c r="U2970" s="108"/>
      <c r="V2970" s="108"/>
      <c r="W2970" s="108"/>
      <c r="X2970" s="108"/>
    </row>
    <row r="2971" spans="1:24">
      <c r="A2971" s="107"/>
      <c r="B2971" s="107"/>
      <c r="C2971" s="107"/>
      <c r="D2971" s="107"/>
      <c r="E2971" s="107"/>
      <c r="F2971" s="107"/>
      <c r="G2971" s="108"/>
      <c r="H2971" s="107"/>
      <c r="I2971" s="108"/>
      <c r="J2971" s="108"/>
      <c r="K2971" s="108"/>
      <c r="L2971" s="108"/>
      <c r="M2971" s="108"/>
      <c r="N2971" s="108"/>
      <c r="O2971" s="108"/>
      <c r="P2971" s="108"/>
      <c r="Q2971" s="108"/>
      <c r="R2971" s="108"/>
      <c r="S2971" s="108"/>
      <c r="T2971" s="108"/>
      <c r="U2971" s="108"/>
      <c r="V2971" s="108"/>
      <c r="W2971" s="108"/>
      <c r="X2971" s="108"/>
    </row>
    <row r="2972" spans="1:24">
      <c r="A2972" s="107"/>
      <c r="B2972" s="107"/>
      <c r="C2972" s="107"/>
      <c r="D2972" s="107"/>
      <c r="E2972" s="107"/>
      <c r="F2972" s="107"/>
      <c r="G2972" s="108"/>
      <c r="H2972" s="107"/>
      <c r="I2972" s="108"/>
      <c r="J2972" s="108"/>
      <c r="K2972" s="108"/>
      <c r="L2972" s="108"/>
      <c r="M2972" s="108"/>
      <c r="N2972" s="108"/>
      <c r="O2972" s="108"/>
      <c r="P2972" s="108"/>
      <c r="Q2972" s="108"/>
      <c r="R2972" s="108"/>
      <c r="S2972" s="108"/>
      <c r="T2972" s="108"/>
      <c r="U2972" s="108"/>
      <c r="V2972" s="108"/>
      <c r="W2972" s="108"/>
      <c r="X2972" s="108"/>
    </row>
    <row r="2973" spans="1:24">
      <c r="A2973" s="107"/>
      <c r="B2973" s="107"/>
      <c r="C2973" s="107"/>
      <c r="D2973" s="107"/>
      <c r="E2973" s="107"/>
      <c r="F2973" s="107"/>
      <c r="G2973" s="108"/>
      <c r="H2973" s="107"/>
      <c r="I2973" s="108"/>
      <c r="J2973" s="108"/>
      <c r="K2973" s="108"/>
      <c r="L2973" s="108"/>
      <c r="M2973" s="108"/>
      <c r="N2973" s="108"/>
      <c r="O2973" s="108"/>
      <c r="P2973" s="108"/>
      <c r="Q2973" s="108"/>
      <c r="R2973" s="108"/>
      <c r="S2973" s="108"/>
      <c r="T2973" s="108"/>
      <c r="U2973" s="108"/>
      <c r="V2973" s="108"/>
      <c r="W2973" s="108"/>
      <c r="X2973" s="108"/>
    </row>
    <row r="2974" spans="1:24">
      <c r="A2974" s="107"/>
      <c r="B2974" s="107"/>
      <c r="C2974" s="107"/>
      <c r="D2974" s="107"/>
      <c r="E2974" s="107"/>
      <c r="F2974" s="107"/>
      <c r="G2974" s="108"/>
      <c r="H2974" s="107"/>
      <c r="I2974" s="108"/>
      <c r="J2974" s="108"/>
      <c r="K2974" s="108"/>
      <c r="L2974" s="108"/>
      <c r="M2974" s="108"/>
      <c r="N2974" s="108"/>
      <c r="O2974" s="108"/>
      <c r="P2974" s="108"/>
      <c r="Q2974" s="108"/>
      <c r="R2974" s="108"/>
      <c r="S2974" s="108"/>
      <c r="T2974" s="108"/>
      <c r="U2974" s="108"/>
      <c r="V2974" s="108"/>
      <c r="W2974" s="108"/>
      <c r="X2974" s="108"/>
    </row>
    <row r="2975" spans="1:24">
      <c r="A2975" s="107"/>
      <c r="B2975" s="107"/>
      <c r="C2975" s="107"/>
      <c r="D2975" s="107"/>
      <c r="E2975" s="107"/>
      <c r="F2975" s="107"/>
      <c r="G2975" s="108"/>
      <c r="H2975" s="107"/>
      <c r="I2975" s="108"/>
      <c r="J2975" s="108"/>
      <c r="K2975" s="108"/>
      <c r="L2975" s="108"/>
      <c r="M2975" s="108"/>
      <c r="N2975" s="108"/>
      <c r="O2975" s="108"/>
      <c r="P2975" s="108"/>
      <c r="Q2975" s="108"/>
      <c r="R2975" s="108"/>
      <c r="S2975" s="108"/>
      <c r="T2975" s="108"/>
      <c r="U2975" s="108"/>
      <c r="V2975" s="108"/>
      <c r="W2975" s="108"/>
      <c r="X2975" s="108"/>
    </row>
    <row r="2976" spans="1:24">
      <c r="A2976" s="107"/>
      <c r="B2976" s="107"/>
      <c r="C2976" s="107"/>
      <c r="D2976" s="107"/>
      <c r="E2976" s="107"/>
      <c r="F2976" s="107"/>
      <c r="G2976" s="108"/>
      <c r="H2976" s="107"/>
      <c r="I2976" s="108"/>
      <c r="J2976" s="108"/>
      <c r="K2976" s="108"/>
      <c r="L2976" s="108"/>
      <c r="M2976" s="108"/>
      <c r="N2976" s="108"/>
      <c r="O2976" s="108"/>
      <c r="P2976" s="108"/>
      <c r="Q2976" s="108"/>
      <c r="R2976" s="108"/>
      <c r="S2976" s="108"/>
      <c r="T2976" s="108"/>
      <c r="U2976" s="108"/>
      <c r="V2976" s="108"/>
      <c r="W2976" s="108"/>
      <c r="X2976" s="108"/>
    </row>
    <row r="2977" spans="1:24">
      <c r="A2977" s="107"/>
      <c r="B2977" s="107"/>
      <c r="C2977" s="107"/>
      <c r="D2977" s="107"/>
      <c r="E2977" s="107"/>
      <c r="F2977" s="107"/>
      <c r="G2977" s="108"/>
      <c r="H2977" s="107"/>
      <c r="I2977" s="108"/>
      <c r="J2977" s="108"/>
      <c r="K2977" s="108"/>
      <c r="L2977" s="108"/>
      <c r="M2977" s="108"/>
      <c r="N2977" s="108"/>
      <c r="O2977" s="108"/>
      <c r="P2977" s="108"/>
      <c r="Q2977" s="108"/>
      <c r="R2977" s="108"/>
      <c r="S2977" s="108"/>
      <c r="T2977" s="108"/>
      <c r="U2977" s="108"/>
      <c r="V2977" s="108"/>
      <c r="W2977" s="108"/>
      <c r="X2977" s="108"/>
    </row>
    <row r="2978" spans="1:24">
      <c r="A2978" s="107"/>
      <c r="B2978" s="107"/>
      <c r="C2978" s="107"/>
      <c r="D2978" s="107"/>
      <c r="E2978" s="107"/>
      <c r="F2978" s="107"/>
      <c r="G2978" s="108"/>
      <c r="H2978" s="107"/>
      <c r="I2978" s="108"/>
      <c r="J2978" s="108"/>
      <c r="K2978" s="108"/>
      <c r="L2978" s="108"/>
      <c r="M2978" s="108"/>
      <c r="N2978" s="108"/>
      <c r="O2978" s="108"/>
      <c r="P2978" s="108"/>
      <c r="Q2978" s="108"/>
      <c r="R2978" s="108"/>
      <c r="S2978" s="108"/>
      <c r="T2978" s="108"/>
      <c r="U2978" s="108"/>
      <c r="V2978" s="108"/>
      <c r="W2978" s="108"/>
      <c r="X2978" s="108"/>
    </row>
    <row r="2979" spans="1:24">
      <c r="A2979" s="107"/>
      <c r="B2979" s="107"/>
      <c r="C2979" s="107"/>
      <c r="D2979" s="107"/>
      <c r="E2979" s="107"/>
      <c r="F2979" s="107"/>
      <c r="G2979" s="108"/>
      <c r="H2979" s="107"/>
      <c r="I2979" s="108"/>
      <c r="J2979" s="108"/>
      <c r="K2979" s="108"/>
      <c r="L2979" s="108"/>
      <c r="M2979" s="108"/>
      <c r="N2979" s="108"/>
      <c r="O2979" s="108"/>
      <c r="P2979" s="108"/>
      <c r="Q2979" s="108"/>
      <c r="R2979" s="108"/>
      <c r="S2979" s="108"/>
      <c r="T2979" s="108"/>
      <c r="U2979" s="108"/>
      <c r="V2979" s="108"/>
      <c r="W2979" s="108"/>
      <c r="X2979" s="108"/>
    </row>
    <row r="2980" spans="1:24">
      <c r="A2980" s="107"/>
      <c r="B2980" s="107"/>
      <c r="C2980" s="107"/>
      <c r="D2980" s="107"/>
      <c r="E2980" s="107"/>
      <c r="F2980" s="107"/>
      <c r="G2980" s="108"/>
      <c r="H2980" s="107"/>
      <c r="I2980" s="108"/>
      <c r="J2980" s="108"/>
      <c r="K2980" s="108"/>
      <c r="L2980" s="108"/>
      <c r="M2980" s="108"/>
      <c r="N2980" s="108"/>
      <c r="O2980" s="108"/>
      <c r="P2980" s="108"/>
      <c r="Q2980" s="108"/>
      <c r="R2980" s="108"/>
      <c r="S2980" s="108"/>
      <c r="T2980" s="108"/>
      <c r="U2980" s="108"/>
      <c r="V2980" s="108"/>
      <c r="W2980" s="108"/>
      <c r="X2980" s="108"/>
    </row>
    <row r="2981" spans="1:24">
      <c r="A2981" s="107"/>
      <c r="B2981" s="107"/>
      <c r="C2981" s="107"/>
      <c r="D2981" s="107"/>
      <c r="E2981" s="107"/>
      <c r="F2981" s="107"/>
      <c r="G2981" s="108"/>
      <c r="H2981" s="107"/>
      <c r="I2981" s="108"/>
      <c r="J2981" s="108"/>
      <c r="K2981" s="108"/>
      <c r="L2981" s="108"/>
      <c r="M2981" s="108"/>
      <c r="N2981" s="108"/>
      <c r="O2981" s="108"/>
      <c r="P2981" s="108"/>
      <c r="Q2981" s="108"/>
      <c r="R2981" s="108"/>
      <c r="S2981" s="108"/>
      <c r="T2981" s="108"/>
      <c r="U2981" s="108"/>
      <c r="V2981" s="108"/>
      <c r="W2981" s="108"/>
      <c r="X2981" s="108"/>
    </row>
    <row r="2982" spans="1:24">
      <c r="A2982" s="107"/>
      <c r="B2982" s="107"/>
      <c r="C2982" s="107"/>
      <c r="D2982" s="107"/>
      <c r="E2982" s="107"/>
      <c r="F2982" s="107"/>
      <c r="G2982" s="108"/>
      <c r="H2982" s="107"/>
      <c r="I2982" s="108"/>
      <c r="J2982" s="108"/>
      <c r="K2982" s="108"/>
      <c r="L2982" s="108"/>
      <c r="M2982" s="108"/>
      <c r="N2982" s="108"/>
      <c r="O2982" s="108"/>
      <c r="P2982" s="108"/>
      <c r="Q2982" s="108"/>
      <c r="R2982" s="108"/>
      <c r="S2982" s="108"/>
      <c r="T2982" s="108"/>
      <c r="U2982" s="108"/>
      <c r="V2982" s="108"/>
      <c r="W2982" s="108"/>
      <c r="X2982" s="108"/>
    </row>
    <row r="2983" spans="1:24">
      <c r="A2983" s="107"/>
      <c r="B2983" s="107"/>
      <c r="C2983" s="107"/>
      <c r="D2983" s="107"/>
      <c r="E2983" s="107"/>
      <c r="F2983" s="107"/>
      <c r="G2983" s="108"/>
      <c r="H2983" s="107"/>
      <c r="I2983" s="108"/>
      <c r="J2983" s="108"/>
      <c r="K2983" s="108"/>
      <c r="L2983" s="108"/>
      <c r="M2983" s="108"/>
      <c r="N2983" s="108"/>
      <c r="O2983" s="108"/>
      <c r="P2983" s="108"/>
      <c r="Q2983" s="108"/>
      <c r="R2983" s="108"/>
      <c r="S2983" s="108"/>
      <c r="T2983" s="108"/>
      <c r="U2983" s="108"/>
      <c r="V2983" s="108"/>
      <c r="W2983" s="108"/>
      <c r="X2983" s="108"/>
    </row>
    <row r="2984" spans="1:24">
      <c r="A2984" s="107"/>
      <c r="B2984" s="107"/>
      <c r="C2984" s="107"/>
      <c r="D2984" s="107"/>
      <c r="E2984" s="107"/>
      <c r="F2984" s="107"/>
      <c r="G2984" s="108"/>
      <c r="H2984" s="107"/>
      <c r="I2984" s="108"/>
      <c r="J2984" s="108"/>
      <c r="K2984" s="108"/>
      <c r="L2984" s="108"/>
      <c r="M2984" s="108"/>
      <c r="N2984" s="108"/>
      <c r="O2984" s="108"/>
      <c r="P2984" s="108"/>
      <c r="Q2984" s="108"/>
      <c r="R2984" s="108"/>
      <c r="S2984" s="108"/>
      <c r="T2984" s="108"/>
      <c r="U2984" s="108"/>
      <c r="V2984" s="108"/>
      <c r="W2984" s="108"/>
      <c r="X2984" s="108"/>
    </row>
    <row r="2985" spans="1:24">
      <c r="A2985" s="107"/>
      <c r="B2985" s="107"/>
      <c r="C2985" s="107"/>
      <c r="D2985" s="107"/>
      <c r="E2985" s="107"/>
      <c r="F2985" s="107"/>
      <c r="G2985" s="108"/>
      <c r="H2985" s="107"/>
      <c r="I2985" s="108"/>
      <c r="J2985" s="108"/>
      <c r="K2985" s="108"/>
      <c r="L2985" s="108"/>
      <c r="M2985" s="108"/>
      <c r="N2985" s="108"/>
      <c r="O2985" s="108"/>
      <c r="P2985" s="108"/>
      <c r="Q2985" s="108"/>
      <c r="R2985" s="108"/>
      <c r="S2985" s="108"/>
      <c r="T2985" s="108"/>
      <c r="U2985" s="108"/>
      <c r="V2985" s="108"/>
      <c r="W2985" s="108"/>
      <c r="X2985" s="108"/>
    </row>
    <row r="2986" spans="1:24">
      <c r="A2986" s="107"/>
      <c r="B2986" s="107"/>
      <c r="C2986" s="107"/>
      <c r="D2986" s="107"/>
      <c r="E2986" s="107"/>
      <c r="F2986" s="107"/>
      <c r="G2986" s="108"/>
      <c r="H2986" s="107"/>
      <c r="I2986" s="108"/>
      <c r="J2986" s="108"/>
      <c r="K2986" s="108"/>
      <c r="L2986" s="108"/>
      <c r="M2986" s="108"/>
      <c r="N2986" s="108"/>
      <c r="O2986" s="108"/>
      <c r="P2986" s="108"/>
      <c r="Q2986" s="108"/>
      <c r="R2986" s="108"/>
      <c r="S2986" s="108"/>
      <c r="T2986" s="108"/>
      <c r="U2986" s="108"/>
      <c r="V2986" s="108"/>
      <c r="W2986" s="108"/>
      <c r="X2986" s="108"/>
    </row>
    <row r="2987" spans="1:24">
      <c r="A2987" s="107"/>
      <c r="B2987" s="107"/>
      <c r="C2987" s="107"/>
      <c r="D2987" s="107"/>
      <c r="E2987" s="107"/>
      <c r="F2987" s="107"/>
      <c r="G2987" s="108"/>
      <c r="H2987" s="107"/>
      <c r="I2987" s="108"/>
      <c r="J2987" s="108"/>
      <c r="K2987" s="108"/>
      <c r="L2987" s="108"/>
      <c r="M2987" s="108"/>
      <c r="N2987" s="108"/>
      <c r="O2987" s="108"/>
      <c r="P2987" s="108"/>
      <c r="Q2987" s="108"/>
      <c r="R2987" s="108"/>
      <c r="S2987" s="108"/>
      <c r="T2987" s="108"/>
      <c r="U2987" s="108"/>
      <c r="V2987" s="108"/>
      <c r="W2987" s="108"/>
      <c r="X2987" s="108"/>
    </row>
    <row r="2988" spans="1:24">
      <c r="A2988" s="107"/>
      <c r="B2988" s="107"/>
      <c r="C2988" s="107"/>
      <c r="D2988" s="107"/>
      <c r="E2988" s="107"/>
      <c r="F2988" s="107"/>
      <c r="G2988" s="108"/>
      <c r="H2988" s="107"/>
      <c r="I2988" s="108"/>
      <c r="J2988" s="108"/>
      <c r="K2988" s="108"/>
      <c r="L2988" s="108"/>
      <c r="M2988" s="108"/>
      <c r="N2988" s="108"/>
      <c r="O2988" s="108"/>
      <c r="P2988" s="108"/>
      <c r="Q2988" s="108"/>
      <c r="R2988" s="108"/>
      <c r="S2988" s="108"/>
      <c r="T2988" s="108"/>
      <c r="U2988" s="108"/>
      <c r="V2988" s="108"/>
      <c r="W2988" s="108"/>
      <c r="X2988" s="108"/>
    </row>
    <row r="2989" spans="1:24">
      <c r="A2989" s="107"/>
      <c r="B2989" s="107"/>
      <c r="C2989" s="107"/>
      <c r="D2989" s="107"/>
      <c r="E2989" s="107"/>
      <c r="F2989" s="107"/>
      <c r="G2989" s="108"/>
      <c r="H2989" s="107"/>
      <c r="I2989" s="108"/>
      <c r="J2989" s="108"/>
      <c r="K2989" s="108"/>
      <c r="L2989" s="108"/>
      <c r="M2989" s="108"/>
      <c r="N2989" s="108"/>
      <c r="O2989" s="108"/>
      <c r="P2989" s="108"/>
      <c r="Q2989" s="108"/>
      <c r="R2989" s="108"/>
      <c r="S2989" s="108"/>
      <c r="T2989" s="108"/>
      <c r="U2989" s="108"/>
      <c r="V2989" s="108"/>
      <c r="W2989" s="108"/>
      <c r="X2989" s="108"/>
    </row>
    <row r="2990" spans="1:24">
      <c r="A2990" s="107"/>
      <c r="B2990" s="107"/>
      <c r="C2990" s="107"/>
      <c r="D2990" s="107"/>
      <c r="E2990" s="107"/>
      <c r="F2990" s="107"/>
      <c r="G2990" s="108"/>
      <c r="H2990" s="107"/>
      <c r="I2990" s="108"/>
      <c r="J2990" s="108"/>
      <c r="K2990" s="108"/>
      <c r="L2990" s="108"/>
      <c r="M2990" s="108"/>
      <c r="N2990" s="108"/>
      <c r="O2990" s="108"/>
      <c r="P2990" s="108"/>
      <c r="Q2990" s="108"/>
      <c r="R2990" s="108"/>
      <c r="S2990" s="108"/>
      <c r="T2990" s="108"/>
      <c r="U2990" s="108"/>
      <c r="V2990" s="108"/>
      <c r="W2990" s="108"/>
      <c r="X2990" s="108"/>
    </row>
    <row r="2991" spans="1:24">
      <c r="A2991" s="107"/>
      <c r="B2991" s="107"/>
      <c r="C2991" s="107"/>
      <c r="D2991" s="107"/>
      <c r="E2991" s="107"/>
      <c r="F2991" s="107"/>
      <c r="G2991" s="108"/>
      <c r="H2991" s="107"/>
      <c r="I2991" s="108"/>
      <c r="J2991" s="108"/>
      <c r="K2991" s="108"/>
      <c r="L2991" s="108"/>
      <c r="M2991" s="108"/>
      <c r="N2991" s="108"/>
      <c r="O2991" s="108"/>
      <c r="P2991" s="108"/>
      <c r="Q2991" s="108"/>
      <c r="R2991" s="108"/>
      <c r="S2991" s="108"/>
      <c r="T2991" s="108"/>
      <c r="U2991" s="108"/>
      <c r="V2991" s="108"/>
      <c r="W2991" s="108"/>
      <c r="X2991" s="108"/>
    </row>
    <row r="2992" spans="1:24">
      <c r="A2992" s="107"/>
      <c r="B2992" s="107"/>
      <c r="C2992" s="107"/>
      <c r="D2992" s="107"/>
      <c r="E2992" s="107"/>
      <c r="F2992" s="107"/>
      <c r="G2992" s="108"/>
      <c r="H2992" s="107"/>
      <c r="I2992" s="108"/>
      <c r="J2992" s="108"/>
      <c r="K2992" s="108"/>
      <c r="L2992" s="108"/>
      <c r="M2992" s="108"/>
      <c r="N2992" s="108"/>
      <c r="O2992" s="108"/>
      <c r="P2992" s="108"/>
      <c r="Q2992" s="108"/>
      <c r="R2992" s="108"/>
      <c r="S2992" s="108"/>
      <c r="T2992" s="108"/>
      <c r="U2992" s="108"/>
      <c r="V2992" s="108"/>
      <c r="W2992" s="108"/>
      <c r="X2992" s="108"/>
    </row>
    <row r="2993" spans="1:24">
      <c r="A2993" s="107"/>
      <c r="B2993" s="107"/>
      <c r="C2993" s="107"/>
      <c r="D2993" s="107"/>
      <c r="E2993" s="107"/>
      <c r="F2993" s="107"/>
      <c r="G2993" s="108"/>
      <c r="H2993" s="107"/>
      <c r="I2993" s="108"/>
      <c r="J2993" s="108"/>
      <c r="K2993" s="108"/>
      <c r="L2993" s="108"/>
      <c r="M2993" s="108"/>
      <c r="N2993" s="108"/>
      <c r="O2993" s="108"/>
      <c r="P2993" s="108"/>
      <c r="Q2993" s="108"/>
      <c r="R2993" s="108"/>
      <c r="S2993" s="108"/>
      <c r="T2993" s="108"/>
      <c r="U2993" s="108"/>
      <c r="V2993" s="108"/>
      <c r="W2993" s="108"/>
      <c r="X2993" s="108"/>
    </row>
    <row r="2994" spans="1:24">
      <c r="A2994" s="107"/>
      <c r="B2994" s="107"/>
      <c r="C2994" s="107"/>
      <c r="D2994" s="107"/>
      <c r="E2994" s="107"/>
      <c r="F2994" s="107"/>
      <c r="G2994" s="108"/>
      <c r="H2994" s="107"/>
      <c r="I2994" s="108"/>
      <c r="J2994" s="108"/>
      <c r="K2994" s="108"/>
      <c r="L2994" s="108"/>
      <c r="M2994" s="108"/>
      <c r="N2994" s="108"/>
      <c r="O2994" s="108"/>
      <c r="P2994" s="108"/>
      <c r="Q2994" s="108"/>
      <c r="R2994" s="108"/>
      <c r="S2994" s="108"/>
      <c r="T2994" s="108"/>
      <c r="U2994" s="108"/>
      <c r="V2994" s="108"/>
      <c r="W2994" s="108"/>
      <c r="X2994" s="108"/>
    </row>
    <row r="2995" spans="1:24">
      <c r="A2995" s="107"/>
      <c r="B2995" s="107"/>
      <c r="C2995" s="107"/>
      <c r="D2995" s="107"/>
      <c r="E2995" s="107"/>
      <c r="F2995" s="107"/>
      <c r="G2995" s="108"/>
      <c r="H2995" s="107"/>
      <c r="I2995" s="108"/>
      <c r="J2995" s="108"/>
      <c r="K2995" s="108"/>
      <c r="L2995" s="108"/>
      <c r="M2995" s="108"/>
      <c r="N2995" s="108"/>
      <c r="O2995" s="108"/>
      <c r="P2995" s="108"/>
      <c r="Q2995" s="108"/>
      <c r="R2995" s="108"/>
      <c r="S2995" s="108"/>
      <c r="T2995" s="108"/>
      <c r="U2995" s="108"/>
      <c r="V2995" s="108"/>
      <c r="W2995" s="108"/>
      <c r="X2995" s="108"/>
    </row>
    <row r="2996" spans="1:24">
      <c r="A2996" s="107"/>
      <c r="B2996" s="107"/>
      <c r="C2996" s="107"/>
      <c r="D2996" s="107"/>
      <c r="E2996" s="107"/>
      <c r="F2996" s="107"/>
      <c r="G2996" s="108"/>
      <c r="H2996" s="107"/>
      <c r="I2996" s="108"/>
      <c r="J2996" s="108"/>
      <c r="K2996" s="108"/>
      <c r="L2996" s="108"/>
      <c r="M2996" s="108"/>
      <c r="N2996" s="108"/>
      <c r="O2996" s="108"/>
      <c r="P2996" s="108"/>
      <c r="Q2996" s="108"/>
      <c r="R2996" s="108"/>
      <c r="S2996" s="108"/>
      <c r="T2996" s="108"/>
      <c r="U2996" s="108"/>
      <c r="V2996" s="108"/>
      <c r="W2996" s="108"/>
      <c r="X2996" s="108"/>
    </row>
    <row r="2997" spans="1:24">
      <c r="A2997" s="107"/>
      <c r="B2997" s="107"/>
      <c r="C2997" s="107"/>
      <c r="D2997" s="107"/>
      <c r="E2997" s="107"/>
      <c r="F2997" s="107"/>
      <c r="G2997" s="108"/>
      <c r="H2997" s="107"/>
      <c r="I2997" s="108"/>
      <c r="J2997" s="108"/>
      <c r="K2997" s="108"/>
      <c r="L2997" s="108"/>
      <c r="M2997" s="108"/>
      <c r="N2997" s="108"/>
      <c r="O2997" s="108"/>
      <c r="P2997" s="108"/>
      <c r="Q2997" s="108"/>
      <c r="R2997" s="108"/>
      <c r="S2997" s="108"/>
      <c r="T2997" s="108"/>
      <c r="U2997" s="108"/>
      <c r="V2997" s="108"/>
      <c r="W2997" s="108"/>
      <c r="X2997" s="108"/>
    </row>
    <row r="2998" spans="1:24">
      <c r="A2998" s="107"/>
      <c r="B2998" s="107"/>
      <c r="C2998" s="107"/>
      <c r="D2998" s="107"/>
      <c r="E2998" s="107"/>
      <c r="F2998" s="107"/>
      <c r="G2998" s="108"/>
      <c r="H2998" s="107"/>
      <c r="I2998" s="108"/>
      <c r="J2998" s="108"/>
      <c r="K2998" s="108"/>
      <c r="L2998" s="108"/>
      <c r="M2998" s="108"/>
      <c r="N2998" s="108"/>
      <c r="O2998" s="108"/>
      <c r="P2998" s="108"/>
      <c r="Q2998" s="108"/>
      <c r="R2998" s="108"/>
      <c r="S2998" s="108"/>
      <c r="T2998" s="108"/>
      <c r="U2998" s="108"/>
      <c r="V2998" s="108"/>
      <c r="W2998" s="108"/>
      <c r="X2998" s="108"/>
    </row>
    <row r="2999" spans="1:24">
      <c r="A2999" s="107"/>
      <c r="B2999" s="107"/>
      <c r="C2999" s="107"/>
      <c r="D2999" s="107"/>
      <c r="E2999" s="107"/>
      <c r="F2999" s="107"/>
      <c r="G2999" s="108"/>
      <c r="H2999" s="107"/>
      <c r="I2999" s="108"/>
      <c r="J2999" s="108"/>
      <c r="K2999" s="108"/>
      <c r="L2999" s="108"/>
      <c r="M2999" s="108"/>
      <c r="N2999" s="108"/>
      <c r="O2999" s="108"/>
      <c r="P2999" s="108"/>
      <c r="Q2999" s="108"/>
      <c r="R2999" s="108"/>
      <c r="S2999" s="108"/>
      <c r="T2999" s="108"/>
      <c r="U2999" s="108"/>
      <c r="V2999" s="108"/>
      <c r="W2999" s="108"/>
      <c r="X2999" s="108"/>
    </row>
    <row r="3000" spans="1:24">
      <c r="A3000" s="107"/>
      <c r="B3000" s="107"/>
      <c r="C3000" s="107"/>
      <c r="D3000" s="107"/>
      <c r="E3000" s="107"/>
      <c r="F3000" s="107"/>
      <c r="G3000" s="108"/>
      <c r="H3000" s="107"/>
      <c r="I3000" s="108"/>
      <c r="J3000" s="108"/>
      <c r="K3000" s="108"/>
      <c r="L3000" s="108"/>
      <c r="M3000" s="108"/>
      <c r="N3000" s="108"/>
      <c r="O3000" s="108"/>
      <c r="P3000" s="108"/>
      <c r="Q3000" s="108"/>
      <c r="R3000" s="108"/>
      <c r="S3000" s="108"/>
      <c r="T3000" s="108"/>
      <c r="U3000" s="108"/>
      <c r="V3000" s="108"/>
      <c r="W3000" s="108"/>
      <c r="X3000" s="108"/>
    </row>
    <row r="3001" spans="1:24">
      <c r="A3001" s="107"/>
      <c r="B3001" s="107"/>
      <c r="C3001" s="107"/>
      <c r="D3001" s="107"/>
      <c r="E3001" s="107"/>
      <c r="F3001" s="107"/>
      <c r="G3001" s="108"/>
      <c r="H3001" s="107"/>
      <c r="I3001" s="108"/>
      <c r="J3001" s="108"/>
      <c r="K3001" s="108"/>
      <c r="L3001" s="108"/>
      <c r="M3001" s="108"/>
      <c r="N3001" s="108"/>
      <c r="O3001" s="108"/>
      <c r="P3001" s="108"/>
      <c r="Q3001" s="108"/>
      <c r="R3001" s="108"/>
      <c r="S3001" s="108"/>
      <c r="T3001" s="108"/>
      <c r="U3001" s="108"/>
      <c r="V3001" s="108"/>
      <c r="W3001" s="108"/>
      <c r="X3001" s="108"/>
    </row>
    <row r="3002" spans="1:24">
      <c r="A3002" s="107"/>
      <c r="B3002" s="107"/>
      <c r="C3002" s="107"/>
      <c r="D3002" s="107"/>
      <c r="E3002" s="107"/>
      <c r="F3002" s="107"/>
      <c r="G3002" s="108"/>
      <c r="H3002" s="107"/>
      <c r="I3002" s="108"/>
      <c r="J3002" s="108"/>
      <c r="K3002" s="108"/>
      <c r="L3002" s="108"/>
      <c r="M3002" s="108"/>
      <c r="N3002" s="108"/>
      <c r="O3002" s="108"/>
      <c r="P3002" s="108"/>
      <c r="Q3002" s="108"/>
      <c r="R3002" s="108"/>
      <c r="S3002" s="108"/>
      <c r="T3002" s="108"/>
      <c r="U3002" s="108"/>
      <c r="V3002" s="108"/>
      <c r="W3002" s="108"/>
      <c r="X3002" s="108"/>
    </row>
    <row r="3003" spans="1:24">
      <c r="A3003" s="107"/>
      <c r="B3003" s="107"/>
      <c r="C3003" s="107"/>
      <c r="D3003" s="107"/>
      <c r="E3003" s="107"/>
      <c r="F3003" s="107"/>
      <c r="G3003" s="108"/>
      <c r="H3003" s="107"/>
      <c r="I3003" s="108"/>
      <c r="J3003" s="108"/>
      <c r="K3003" s="108"/>
      <c r="L3003" s="108"/>
      <c r="M3003" s="108"/>
      <c r="N3003" s="108"/>
      <c r="O3003" s="108"/>
      <c r="P3003" s="108"/>
      <c r="Q3003" s="108"/>
      <c r="R3003" s="108"/>
      <c r="S3003" s="108"/>
      <c r="T3003" s="108"/>
      <c r="U3003" s="108"/>
      <c r="V3003" s="108"/>
      <c r="W3003" s="108"/>
      <c r="X3003" s="108"/>
    </row>
    <row r="3004" spans="1:24">
      <c r="A3004" s="107"/>
      <c r="B3004" s="107"/>
      <c r="C3004" s="107"/>
      <c r="D3004" s="107"/>
      <c r="E3004" s="107"/>
      <c r="F3004" s="107"/>
      <c r="G3004" s="108"/>
      <c r="H3004" s="107"/>
      <c r="I3004" s="108"/>
      <c r="J3004" s="108"/>
      <c r="K3004" s="108"/>
      <c r="L3004" s="108"/>
      <c r="M3004" s="108"/>
      <c r="N3004" s="108"/>
      <c r="O3004" s="108"/>
      <c r="P3004" s="108"/>
      <c r="Q3004" s="108"/>
      <c r="R3004" s="108"/>
      <c r="S3004" s="108"/>
      <c r="T3004" s="108"/>
      <c r="U3004" s="108"/>
      <c r="V3004" s="108"/>
      <c r="W3004" s="108"/>
      <c r="X3004" s="108"/>
    </row>
    <row r="3005" spans="1:24">
      <c r="A3005" s="107"/>
      <c r="B3005" s="107"/>
      <c r="C3005" s="107"/>
      <c r="D3005" s="107"/>
      <c r="E3005" s="107"/>
      <c r="F3005" s="107"/>
      <c r="G3005" s="108"/>
      <c r="H3005" s="107"/>
      <c r="I3005" s="108"/>
      <c r="J3005" s="108"/>
      <c r="K3005" s="108"/>
      <c r="L3005" s="108"/>
      <c r="M3005" s="108"/>
      <c r="N3005" s="108"/>
      <c r="O3005" s="108"/>
      <c r="P3005" s="108"/>
      <c r="Q3005" s="108"/>
      <c r="R3005" s="108"/>
      <c r="S3005" s="108"/>
      <c r="T3005" s="108"/>
      <c r="U3005" s="108"/>
      <c r="V3005" s="108"/>
      <c r="W3005" s="108"/>
      <c r="X3005" s="108"/>
    </row>
    <row r="3006" spans="1:24">
      <c r="A3006" s="107"/>
      <c r="B3006" s="107"/>
      <c r="C3006" s="107"/>
      <c r="D3006" s="107"/>
      <c r="E3006" s="107"/>
      <c r="F3006" s="107"/>
      <c r="G3006" s="108"/>
      <c r="H3006" s="107"/>
      <c r="I3006" s="108"/>
      <c r="J3006" s="108"/>
      <c r="K3006" s="108"/>
      <c r="L3006" s="108"/>
      <c r="M3006" s="108"/>
      <c r="N3006" s="108"/>
      <c r="O3006" s="108"/>
      <c r="P3006" s="108"/>
      <c r="Q3006" s="108"/>
      <c r="R3006" s="108"/>
      <c r="S3006" s="108"/>
      <c r="T3006" s="108"/>
      <c r="U3006" s="108"/>
      <c r="V3006" s="108"/>
      <c r="W3006" s="108"/>
      <c r="X3006" s="108"/>
    </row>
    <row r="3007" spans="1:24">
      <c r="A3007" s="107"/>
      <c r="B3007" s="107"/>
      <c r="C3007" s="107"/>
      <c r="D3007" s="107"/>
      <c r="E3007" s="107"/>
      <c r="F3007" s="107"/>
      <c r="G3007" s="108"/>
      <c r="H3007" s="107"/>
      <c r="I3007" s="108"/>
      <c r="J3007" s="108"/>
      <c r="K3007" s="108"/>
      <c r="L3007" s="108"/>
      <c r="M3007" s="108"/>
      <c r="N3007" s="108"/>
      <c r="O3007" s="108"/>
      <c r="P3007" s="108"/>
      <c r="Q3007" s="108"/>
      <c r="R3007" s="108"/>
      <c r="S3007" s="108"/>
      <c r="T3007" s="108"/>
      <c r="U3007" s="108"/>
      <c r="V3007" s="108"/>
      <c r="W3007" s="108"/>
      <c r="X3007" s="108"/>
    </row>
    <row r="3008" spans="1:24">
      <c r="A3008" s="107"/>
      <c r="B3008" s="107"/>
      <c r="C3008" s="107"/>
      <c r="D3008" s="107"/>
      <c r="E3008" s="107"/>
      <c r="F3008" s="107"/>
      <c r="G3008" s="108"/>
      <c r="H3008" s="107"/>
      <c r="I3008" s="108"/>
      <c r="J3008" s="108"/>
      <c r="K3008" s="108"/>
      <c r="L3008" s="108"/>
      <c r="M3008" s="108"/>
      <c r="N3008" s="108"/>
      <c r="O3008" s="108"/>
      <c r="P3008" s="108"/>
      <c r="Q3008" s="108"/>
      <c r="R3008" s="108"/>
      <c r="S3008" s="108"/>
      <c r="T3008" s="108"/>
      <c r="U3008" s="108"/>
      <c r="V3008" s="108"/>
      <c r="W3008" s="108"/>
      <c r="X3008" s="108"/>
    </row>
    <row r="3009" spans="1:24">
      <c r="A3009" s="107"/>
      <c r="B3009" s="107"/>
      <c r="C3009" s="107"/>
      <c r="D3009" s="107"/>
      <c r="E3009" s="107"/>
      <c r="F3009" s="107"/>
      <c r="G3009" s="108"/>
      <c r="H3009" s="107"/>
      <c r="I3009" s="108"/>
      <c r="J3009" s="108"/>
      <c r="K3009" s="108"/>
      <c r="L3009" s="108"/>
      <c r="M3009" s="108"/>
      <c r="N3009" s="108"/>
      <c r="O3009" s="108"/>
      <c r="P3009" s="108"/>
      <c r="Q3009" s="108"/>
      <c r="R3009" s="108"/>
      <c r="S3009" s="108"/>
      <c r="T3009" s="108"/>
      <c r="U3009" s="108"/>
      <c r="V3009" s="108"/>
      <c r="W3009" s="108"/>
      <c r="X3009" s="108"/>
    </row>
    <row r="3010" spans="1:24">
      <c r="A3010" s="107"/>
      <c r="B3010" s="107"/>
      <c r="C3010" s="107"/>
      <c r="D3010" s="107"/>
      <c r="E3010" s="107"/>
      <c r="F3010" s="107"/>
      <c r="G3010" s="108"/>
      <c r="H3010" s="107"/>
      <c r="I3010" s="108"/>
      <c r="J3010" s="108"/>
      <c r="K3010" s="108"/>
      <c r="L3010" s="108"/>
      <c r="M3010" s="108"/>
      <c r="N3010" s="108"/>
      <c r="O3010" s="108"/>
      <c r="P3010" s="108"/>
      <c r="Q3010" s="108"/>
      <c r="R3010" s="108"/>
      <c r="S3010" s="108"/>
      <c r="T3010" s="108"/>
      <c r="U3010" s="108"/>
      <c r="V3010" s="108"/>
      <c r="W3010" s="108"/>
      <c r="X3010" s="108"/>
    </row>
    <row r="3011" spans="1:24">
      <c r="A3011" s="107"/>
      <c r="B3011" s="107"/>
      <c r="C3011" s="107"/>
      <c r="D3011" s="107"/>
      <c r="E3011" s="107"/>
      <c r="F3011" s="107"/>
      <c r="G3011" s="108"/>
      <c r="H3011" s="107"/>
      <c r="I3011" s="108"/>
      <c r="J3011" s="108"/>
      <c r="K3011" s="108"/>
      <c r="L3011" s="108"/>
      <c r="M3011" s="108"/>
      <c r="N3011" s="108"/>
      <c r="O3011" s="108"/>
      <c r="P3011" s="108"/>
      <c r="Q3011" s="108"/>
      <c r="R3011" s="108"/>
      <c r="S3011" s="108"/>
      <c r="T3011" s="108"/>
      <c r="U3011" s="108"/>
      <c r="V3011" s="108"/>
      <c r="W3011" s="108"/>
      <c r="X3011" s="108"/>
    </row>
    <row r="3012" spans="1:24">
      <c r="A3012" s="107"/>
      <c r="B3012" s="107"/>
      <c r="C3012" s="107"/>
      <c r="D3012" s="107"/>
      <c r="E3012" s="107"/>
      <c r="F3012" s="107"/>
      <c r="G3012" s="108"/>
      <c r="H3012" s="107"/>
      <c r="I3012" s="108"/>
      <c r="J3012" s="108"/>
      <c r="K3012" s="108"/>
      <c r="L3012" s="108"/>
      <c r="M3012" s="108"/>
      <c r="N3012" s="108"/>
      <c r="O3012" s="108"/>
      <c r="P3012" s="108"/>
      <c r="Q3012" s="108"/>
      <c r="R3012" s="108"/>
      <c r="S3012" s="108"/>
      <c r="T3012" s="108"/>
      <c r="U3012" s="108"/>
      <c r="V3012" s="108"/>
      <c r="W3012" s="108"/>
      <c r="X3012" s="108"/>
    </row>
    <row r="3013" spans="1:24">
      <c r="A3013" s="107"/>
      <c r="B3013" s="107"/>
      <c r="C3013" s="107"/>
      <c r="D3013" s="107"/>
      <c r="E3013" s="107"/>
      <c r="F3013" s="107"/>
      <c r="G3013" s="108"/>
      <c r="H3013" s="107"/>
      <c r="I3013" s="108"/>
      <c r="J3013" s="108"/>
      <c r="K3013" s="108"/>
      <c r="L3013" s="108"/>
      <c r="M3013" s="108"/>
      <c r="N3013" s="108"/>
      <c r="O3013" s="108"/>
      <c r="P3013" s="108"/>
      <c r="Q3013" s="108"/>
      <c r="R3013" s="108"/>
      <c r="S3013" s="108"/>
      <c r="T3013" s="108"/>
      <c r="U3013" s="108"/>
      <c r="V3013" s="108"/>
      <c r="W3013" s="108"/>
      <c r="X3013" s="108"/>
    </row>
    <row r="3014" spans="1:24">
      <c r="A3014" s="107"/>
      <c r="B3014" s="107"/>
      <c r="C3014" s="107"/>
      <c r="D3014" s="107"/>
      <c r="E3014" s="107"/>
      <c r="F3014" s="107"/>
      <c r="G3014" s="108"/>
      <c r="H3014" s="107"/>
      <c r="I3014" s="108"/>
      <c r="J3014" s="108"/>
      <c r="K3014" s="108"/>
      <c r="L3014" s="108"/>
      <c r="M3014" s="108"/>
      <c r="N3014" s="108"/>
      <c r="O3014" s="108"/>
      <c r="P3014" s="108"/>
      <c r="Q3014" s="108"/>
      <c r="R3014" s="108"/>
      <c r="S3014" s="108"/>
      <c r="T3014" s="108"/>
      <c r="U3014" s="108"/>
      <c r="V3014" s="108"/>
      <c r="W3014" s="108"/>
      <c r="X3014" s="108"/>
    </row>
    <row r="3015" spans="1:24">
      <c r="A3015" s="107"/>
      <c r="B3015" s="107"/>
      <c r="C3015" s="107"/>
      <c r="D3015" s="107"/>
      <c r="E3015" s="107"/>
      <c r="F3015" s="107"/>
      <c r="G3015" s="108"/>
      <c r="H3015" s="107"/>
      <c r="I3015" s="108"/>
      <c r="J3015" s="108"/>
      <c r="K3015" s="108"/>
      <c r="L3015" s="108"/>
      <c r="M3015" s="108"/>
      <c r="N3015" s="108"/>
      <c r="O3015" s="108"/>
      <c r="P3015" s="108"/>
      <c r="Q3015" s="108"/>
      <c r="R3015" s="108"/>
      <c r="S3015" s="108"/>
      <c r="T3015" s="108"/>
      <c r="U3015" s="108"/>
      <c r="V3015" s="108"/>
      <c r="W3015" s="108"/>
      <c r="X3015" s="108"/>
    </row>
    <row r="3016" spans="1:24">
      <c r="A3016" s="107"/>
      <c r="B3016" s="107"/>
      <c r="C3016" s="107"/>
      <c r="D3016" s="107"/>
      <c r="E3016" s="107"/>
      <c r="F3016" s="107"/>
      <c r="G3016" s="108"/>
      <c r="H3016" s="107"/>
      <c r="I3016" s="108"/>
      <c r="J3016" s="108"/>
      <c r="K3016" s="108"/>
      <c r="L3016" s="108"/>
      <c r="M3016" s="108"/>
      <c r="N3016" s="108"/>
      <c r="O3016" s="108"/>
      <c r="P3016" s="108"/>
      <c r="Q3016" s="108"/>
      <c r="R3016" s="108"/>
      <c r="S3016" s="108"/>
      <c r="T3016" s="108"/>
      <c r="U3016" s="108"/>
      <c r="V3016" s="108"/>
      <c r="W3016" s="108"/>
      <c r="X3016" s="108"/>
    </row>
    <row r="3017" spans="1:24">
      <c r="A3017" s="107"/>
      <c r="B3017" s="107"/>
      <c r="C3017" s="107"/>
      <c r="D3017" s="107"/>
      <c r="E3017" s="107"/>
      <c r="F3017" s="107"/>
      <c r="G3017" s="108"/>
      <c r="H3017" s="107"/>
      <c r="I3017" s="108"/>
      <c r="J3017" s="108"/>
      <c r="K3017" s="108"/>
      <c r="L3017" s="108"/>
      <c r="M3017" s="108"/>
      <c r="N3017" s="108"/>
      <c r="O3017" s="108"/>
      <c r="P3017" s="108"/>
      <c r="Q3017" s="108"/>
      <c r="R3017" s="108"/>
      <c r="S3017" s="108"/>
      <c r="T3017" s="108"/>
      <c r="U3017" s="108"/>
      <c r="V3017" s="108"/>
      <c r="W3017" s="108"/>
      <c r="X3017" s="108"/>
    </row>
    <row r="3018" spans="1:24">
      <c r="A3018" s="107"/>
      <c r="B3018" s="107"/>
      <c r="C3018" s="107"/>
      <c r="D3018" s="107"/>
      <c r="E3018" s="107"/>
      <c r="F3018" s="107"/>
      <c r="G3018" s="108"/>
      <c r="H3018" s="107"/>
      <c r="I3018" s="108"/>
      <c r="J3018" s="108"/>
      <c r="K3018" s="108"/>
      <c r="L3018" s="108"/>
      <c r="M3018" s="108"/>
      <c r="N3018" s="108"/>
      <c r="O3018" s="108"/>
      <c r="P3018" s="108"/>
      <c r="Q3018" s="108"/>
      <c r="R3018" s="108"/>
      <c r="S3018" s="108"/>
      <c r="T3018" s="108"/>
      <c r="U3018" s="108"/>
      <c r="V3018" s="108"/>
      <c r="W3018" s="108"/>
      <c r="X3018" s="108"/>
    </row>
    <row r="3019" spans="1:24">
      <c r="A3019" s="107"/>
      <c r="B3019" s="107"/>
      <c r="C3019" s="107"/>
      <c r="D3019" s="107"/>
      <c r="E3019" s="107"/>
      <c r="F3019" s="107"/>
      <c r="G3019" s="108"/>
      <c r="H3019" s="107"/>
      <c r="I3019" s="108"/>
      <c r="J3019" s="108"/>
      <c r="K3019" s="108"/>
      <c r="L3019" s="108"/>
      <c r="M3019" s="108"/>
      <c r="N3019" s="108"/>
      <c r="O3019" s="108"/>
      <c r="P3019" s="108"/>
      <c r="Q3019" s="108"/>
      <c r="R3019" s="108"/>
      <c r="S3019" s="108"/>
      <c r="T3019" s="108"/>
      <c r="U3019" s="108"/>
      <c r="V3019" s="108"/>
      <c r="W3019" s="108"/>
      <c r="X3019" s="108"/>
    </row>
    <row r="3020" spans="1:24">
      <c r="A3020" s="107"/>
      <c r="B3020" s="107"/>
      <c r="C3020" s="107"/>
      <c r="D3020" s="107"/>
      <c r="E3020" s="107"/>
      <c r="F3020" s="107"/>
      <c r="G3020" s="108"/>
      <c r="H3020" s="107"/>
      <c r="I3020" s="108"/>
      <c r="J3020" s="108"/>
      <c r="K3020" s="108"/>
      <c r="L3020" s="108"/>
      <c r="M3020" s="108"/>
      <c r="N3020" s="108"/>
      <c r="O3020" s="108"/>
      <c r="P3020" s="108"/>
      <c r="Q3020" s="108"/>
      <c r="R3020" s="108"/>
      <c r="S3020" s="108"/>
      <c r="T3020" s="108"/>
      <c r="U3020" s="108"/>
      <c r="V3020" s="108"/>
      <c r="W3020" s="108"/>
      <c r="X3020" s="108"/>
    </row>
    <row r="3021" spans="1:24">
      <c r="A3021" s="107"/>
      <c r="B3021" s="107"/>
      <c r="C3021" s="107"/>
      <c r="D3021" s="107"/>
      <c r="E3021" s="107"/>
      <c r="F3021" s="107"/>
      <c r="G3021" s="108"/>
      <c r="H3021" s="107"/>
      <c r="I3021" s="108"/>
      <c r="J3021" s="108"/>
      <c r="K3021" s="108"/>
      <c r="L3021" s="108"/>
      <c r="M3021" s="108"/>
      <c r="N3021" s="108"/>
      <c r="O3021" s="108"/>
      <c r="P3021" s="108"/>
      <c r="Q3021" s="108"/>
      <c r="R3021" s="108"/>
      <c r="S3021" s="108"/>
      <c r="T3021" s="108"/>
      <c r="U3021" s="108"/>
      <c r="V3021" s="108"/>
      <c r="W3021" s="108"/>
      <c r="X3021" s="108"/>
    </row>
    <row r="3022" spans="1:24">
      <c r="A3022" s="107"/>
      <c r="B3022" s="107"/>
      <c r="C3022" s="107"/>
      <c r="D3022" s="107"/>
      <c r="E3022" s="107"/>
      <c r="F3022" s="107"/>
      <c r="G3022" s="108"/>
      <c r="H3022" s="107"/>
      <c r="I3022" s="108"/>
      <c r="J3022" s="108"/>
      <c r="K3022" s="108"/>
      <c r="L3022" s="108"/>
      <c r="M3022" s="108"/>
      <c r="N3022" s="108"/>
      <c r="O3022" s="108"/>
      <c r="P3022" s="108"/>
      <c r="Q3022" s="108"/>
      <c r="R3022" s="108"/>
      <c r="S3022" s="108"/>
      <c r="T3022" s="108"/>
      <c r="U3022" s="108"/>
      <c r="V3022" s="108"/>
      <c r="W3022" s="108"/>
      <c r="X3022" s="108"/>
    </row>
    <row r="3023" spans="1:24">
      <c r="A3023" s="107"/>
      <c r="B3023" s="107"/>
      <c r="C3023" s="107"/>
      <c r="D3023" s="107"/>
      <c r="E3023" s="107"/>
      <c r="F3023" s="107"/>
      <c r="G3023" s="108"/>
      <c r="H3023" s="107"/>
      <c r="I3023" s="108"/>
      <c r="J3023" s="108"/>
      <c r="K3023" s="108"/>
      <c r="L3023" s="108"/>
      <c r="M3023" s="108"/>
      <c r="N3023" s="108"/>
      <c r="O3023" s="108"/>
      <c r="P3023" s="108"/>
      <c r="Q3023" s="108"/>
      <c r="R3023" s="108"/>
      <c r="S3023" s="108"/>
      <c r="T3023" s="108"/>
      <c r="U3023" s="108"/>
      <c r="V3023" s="108"/>
      <c r="W3023" s="108"/>
      <c r="X3023" s="108"/>
    </row>
    <row r="3024" spans="1:24">
      <c r="A3024" s="107"/>
      <c r="B3024" s="107"/>
      <c r="C3024" s="107"/>
      <c r="D3024" s="107"/>
      <c r="E3024" s="107"/>
      <c r="F3024" s="107"/>
      <c r="G3024" s="108"/>
      <c r="H3024" s="107"/>
      <c r="I3024" s="108"/>
      <c r="J3024" s="108"/>
      <c r="K3024" s="108"/>
      <c r="L3024" s="108"/>
      <c r="M3024" s="108"/>
      <c r="N3024" s="108"/>
      <c r="O3024" s="108"/>
      <c r="P3024" s="108"/>
      <c r="Q3024" s="108"/>
      <c r="R3024" s="108"/>
      <c r="S3024" s="108"/>
      <c r="T3024" s="108"/>
      <c r="U3024" s="108"/>
      <c r="V3024" s="108"/>
      <c r="W3024" s="108"/>
      <c r="X3024" s="108"/>
    </row>
    <row r="3025" spans="1:24">
      <c r="A3025" s="107"/>
      <c r="B3025" s="107"/>
      <c r="C3025" s="107"/>
      <c r="D3025" s="107"/>
      <c r="E3025" s="107"/>
      <c r="F3025" s="107"/>
      <c r="G3025" s="108"/>
      <c r="H3025" s="107"/>
      <c r="I3025" s="108"/>
      <c r="J3025" s="108"/>
      <c r="K3025" s="108"/>
      <c r="L3025" s="108"/>
      <c r="M3025" s="108"/>
      <c r="N3025" s="108"/>
      <c r="O3025" s="108"/>
      <c r="P3025" s="108"/>
      <c r="Q3025" s="108"/>
      <c r="R3025" s="108"/>
      <c r="S3025" s="108"/>
      <c r="T3025" s="108"/>
      <c r="U3025" s="108"/>
      <c r="V3025" s="108"/>
      <c r="W3025" s="108"/>
      <c r="X3025" s="108"/>
    </row>
    <row r="3026" spans="1:24">
      <c r="A3026" s="107"/>
      <c r="B3026" s="107"/>
      <c r="C3026" s="107"/>
      <c r="D3026" s="107"/>
      <c r="E3026" s="107"/>
      <c r="F3026" s="107"/>
      <c r="G3026" s="108"/>
      <c r="H3026" s="107"/>
      <c r="I3026" s="108"/>
      <c r="J3026" s="108"/>
      <c r="K3026" s="108"/>
      <c r="L3026" s="108"/>
      <c r="M3026" s="108"/>
      <c r="N3026" s="108"/>
      <c r="O3026" s="108"/>
      <c r="P3026" s="108"/>
      <c r="Q3026" s="108"/>
      <c r="R3026" s="108"/>
      <c r="S3026" s="108"/>
      <c r="T3026" s="108"/>
      <c r="U3026" s="108"/>
      <c r="V3026" s="108"/>
      <c r="W3026" s="108"/>
      <c r="X3026" s="108"/>
    </row>
    <row r="3027" spans="1:24">
      <c r="A3027" s="107"/>
      <c r="B3027" s="107"/>
      <c r="C3027" s="107"/>
      <c r="D3027" s="107"/>
      <c r="E3027" s="107"/>
      <c r="F3027" s="107"/>
      <c r="G3027" s="108"/>
      <c r="H3027" s="107"/>
      <c r="I3027" s="108"/>
      <c r="J3027" s="108"/>
      <c r="K3027" s="108"/>
      <c r="L3027" s="108"/>
      <c r="M3027" s="108"/>
      <c r="N3027" s="108"/>
      <c r="O3027" s="108"/>
      <c r="P3027" s="108"/>
      <c r="Q3027" s="108"/>
      <c r="R3027" s="108"/>
      <c r="S3027" s="108"/>
      <c r="T3027" s="108"/>
      <c r="U3027" s="108"/>
      <c r="V3027" s="108"/>
      <c r="W3027" s="108"/>
      <c r="X3027" s="108"/>
    </row>
    <row r="3028" spans="1:24">
      <c r="A3028" s="107"/>
      <c r="B3028" s="107"/>
      <c r="C3028" s="107"/>
      <c r="D3028" s="107"/>
      <c r="E3028" s="107"/>
      <c r="F3028" s="107"/>
      <c r="G3028" s="108"/>
      <c r="H3028" s="107"/>
      <c r="I3028" s="108"/>
      <c r="J3028" s="108"/>
      <c r="K3028" s="108"/>
      <c r="L3028" s="108"/>
      <c r="M3028" s="108"/>
      <c r="N3028" s="108"/>
      <c r="O3028" s="108"/>
      <c r="P3028" s="108"/>
      <c r="Q3028" s="108"/>
      <c r="R3028" s="108"/>
      <c r="S3028" s="108"/>
      <c r="T3028" s="108"/>
      <c r="U3028" s="108"/>
      <c r="V3028" s="108"/>
      <c r="W3028" s="108"/>
      <c r="X3028" s="108"/>
    </row>
    <row r="3029" spans="1:24">
      <c r="A3029" s="107"/>
      <c r="B3029" s="107"/>
      <c r="C3029" s="107"/>
      <c r="D3029" s="107"/>
      <c r="E3029" s="107"/>
      <c r="F3029" s="107"/>
      <c r="G3029" s="108"/>
      <c r="H3029" s="107"/>
      <c r="I3029" s="108"/>
      <c r="J3029" s="108"/>
      <c r="K3029" s="108"/>
      <c r="L3029" s="108"/>
      <c r="M3029" s="108"/>
      <c r="N3029" s="108"/>
      <c r="O3029" s="108"/>
      <c r="P3029" s="108"/>
      <c r="Q3029" s="108"/>
      <c r="R3029" s="108"/>
      <c r="S3029" s="108"/>
      <c r="T3029" s="108"/>
      <c r="U3029" s="108"/>
      <c r="V3029" s="108"/>
      <c r="W3029" s="108"/>
      <c r="X3029" s="108"/>
    </row>
    <row r="3030" spans="1:24">
      <c r="A3030" s="107"/>
      <c r="B3030" s="107"/>
      <c r="C3030" s="107"/>
      <c r="D3030" s="107"/>
      <c r="E3030" s="107"/>
      <c r="F3030" s="107"/>
      <c r="G3030" s="108"/>
      <c r="H3030" s="107"/>
      <c r="I3030" s="108"/>
      <c r="J3030" s="108"/>
      <c r="K3030" s="108"/>
      <c r="L3030" s="108"/>
      <c r="M3030" s="108"/>
      <c r="N3030" s="108"/>
      <c r="O3030" s="108"/>
      <c r="P3030" s="108"/>
      <c r="Q3030" s="108"/>
      <c r="R3030" s="108"/>
      <c r="S3030" s="108"/>
      <c r="T3030" s="108"/>
      <c r="U3030" s="108"/>
      <c r="V3030" s="108"/>
      <c r="W3030" s="108"/>
      <c r="X3030" s="108"/>
    </row>
    <row r="3031" spans="1:24">
      <c r="A3031" s="107"/>
      <c r="B3031" s="107"/>
      <c r="C3031" s="107"/>
      <c r="D3031" s="107"/>
      <c r="E3031" s="107"/>
      <c r="F3031" s="107"/>
      <c r="G3031" s="108"/>
      <c r="H3031" s="107"/>
      <c r="I3031" s="108"/>
      <c r="J3031" s="108"/>
      <c r="K3031" s="108"/>
      <c r="L3031" s="108"/>
      <c r="M3031" s="108"/>
      <c r="N3031" s="108"/>
      <c r="O3031" s="108"/>
      <c r="P3031" s="108"/>
      <c r="Q3031" s="108"/>
      <c r="R3031" s="108"/>
      <c r="S3031" s="108"/>
      <c r="T3031" s="108"/>
      <c r="U3031" s="108"/>
      <c r="V3031" s="108"/>
      <c r="W3031" s="108"/>
      <c r="X3031" s="108"/>
    </row>
    <row r="3032" spans="1:24">
      <c r="A3032" s="107"/>
      <c r="B3032" s="107"/>
      <c r="C3032" s="107"/>
      <c r="D3032" s="107"/>
      <c r="E3032" s="107"/>
      <c r="F3032" s="107"/>
      <c r="G3032" s="108"/>
      <c r="H3032" s="107"/>
      <c r="I3032" s="108"/>
      <c r="J3032" s="108"/>
      <c r="K3032" s="108"/>
      <c r="L3032" s="108"/>
      <c r="M3032" s="108"/>
      <c r="N3032" s="108"/>
      <c r="O3032" s="108"/>
      <c r="P3032" s="108"/>
      <c r="Q3032" s="108"/>
      <c r="R3032" s="108"/>
      <c r="S3032" s="108"/>
      <c r="T3032" s="108"/>
      <c r="U3032" s="108"/>
      <c r="V3032" s="108"/>
      <c r="W3032" s="108"/>
      <c r="X3032" s="108"/>
    </row>
    <row r="3033" spans="1:24">
      <c r="A3033" s="107"/>
      <c r="B3033" s="107"/>
      <c r="C3033" s="107"/>
      <c r="D3033" s="107"/>
      <c r="E3033" s="107"/>
      <c r="F3033" s="107"/>
      <c r="G3033" s="108"/>
      <c r="H3033" s="107"/>
      <c r="I3033" s="108"/>
      <c r="J3033" s="108"/>
      <c r="K3033" s="108"/>
      <c r="L3033" s="108"/>
      <c r="M3033" s="108"/>
      <c r="N3033" s="108"/>
      <c r="O3033" s="108"/>
      <c r="P3033" s="108"/>
      <c r="Q3033" s="108"/>
      <c r="R3033" s="108"/>
      <c r="S3033" s="108"/>
      <c r="T3033" s="108"/>
      <c r="U3033" s="108"/>
      <c r="V3033" s="108"/>
      <c r="W3033" s="108"/>
      <c r="X3033" s="108"/>
    </row>
    <row r="3034" spans="1:24">
      <c r="A3034" s="107"/>
      <c r="B3034" s="107"/>
      <c r="C3034" s="107"/>
      <c r="D3034" s="107"/>
      <c r="E3034" s="107"/>
      <c r="F3034" s="107"/>
      <c r="G3034" s="108"/>
      <c r="H3034" s="107"/>
      <c r="I3034" s="108"/>
      <c r="J3034" s="108"/>
      <c r="K3034" s="108"/>
      <c r="L3034" s="108"/>
      <c r="M3034" s="108"/>
      <c r="N3034" s="108"/>
      <c r="O3034" s="108"/>
      <c r="P3034" s="108"/>
      <c r="Q3034" s="108"/>
      <c r="R3034" s="108"/>
      <c r="S3034" s="108"/>
      <c r="T3034" s="108"/>
      <c r="U3034" s="108"/>
      <c r="V3034" s="108"/>
      <c r="W3034" s="108"/>
      <c r="X3034" s="108"/>
    </row>
    <row r="3035" spans="1:24">
      <c r="A3035" s="107"/>
      <c r="B3035" s="107"/>
      <c r="C3035" s="107"/>
      <c r="D3035" s="107"/>
      <c r="E3035" s="107"/>
      <c r="F3035" s="107"/>
      <c r="G3035" s="108"/>
      <c r="H3035" s="107"/>
      <c r="I3035" s="108"/>
      <c r="J3035" s="108"/>
      <c r="K3035" s="108"/>
      <c r="L3035" s="108"/>
      <c r="M3035" s="108"/>
      <c r="N3035" s="108"/>
      <c r="O3035" s="108"/>
      <c r="P3035" s="108"/>
      <c r="Q3035" s="108"/>
      <c r="R3035" s="108"/>
      <c r="S3035" s="108"/>
      <c r="T3035" s="108"/>
      <c r="U3035" s="108"/>
      <c r="V3035" s="108"/>
      <c r="W3035" s="108"/>
      <c r="X3035" s="108"/>
    </row>
    <row r="3036" spans="1:24">
      <c r="A3036" s="107"/>
      <c r="B3036" s="107"/>
      <c r="C3036" s="107"/>
      <c r="D3036" s="107"/>
      <c r="E3036" s="107"/>
      <c r="F3036" s="107"/>
      <c r="G3036" s="108"/>
      <c r="H3036" s="107"/>
      <c r="I3036" s="108"/>
      <c r="J3036" s="108"/>
      <c r="K3036" s="108"/>
      <c r="L3036" s="108"/>
      <c r="M3036" s="108"/>
      <c r="N3036" s="108"/>
      <c r="O3036" s="108"/>
      <c r="P3036" s="108"/>
      <c r="Q3036" s="108"/>
      <c r="R3036" s="108"/>
      <c r="S3036" s="108"/>
      <c r="T3036" s="108"/>
      <c r="U3036" s="108"/>
      <c r="V3036" s="108"/>
      <c r="W3036" s="108"/>
      <c r="X3036" s="108"/>
    </row>
    <row r="3037" spans="1:24">
      <c r="A3037" s="107"/>
      <c r="B3037" s="107"/>
      <c r="C3037" s="107"/>
      <c r="D3037" s="107"/>
      <c r="E3037" s="107"/>
      <c r="F3037" s="107"/>
      <c r="G3037" s="108"/>
      <c r="H3037" s="107"/>
      <c r="I3037" s="108"/>
      <c r="J3037" s="108"/>
      <c r="K3037" s="108"/>
      <c r="L3037" s="108"/>
      <c r="M3037" s="108"/>
      <c r="N3037" s="108"/>
      <c r="O3037" s="108"/>
      <c r="P3037" s="108"/>
      <c r="Q3037" s="108"/>
      <c r="R3037" s="108"/>
      <c r="S3037" s="108"/>
      <c r="T3037" s="108"/>
      <c r="U3037" s="108"/>
      <c r="V3037" s="108"/>
      <c r="W3037" s="108"/>
      <c r="X3037" s="108"/>
    </row>
    <row r="3038" spans="1:24">
      <c r="A3038" s="107"/>
      <c r="B3038" s="107"/>
      <c r="C3038" s="107"/>
      <c r="D3038" s="107"/>
      <c r="E3038" s="107"/>
      <c r="F3038" s="107"/>
      <c r="G3038" s="108"/>
      <c r="H3038" s="107"/>
      <c r="I3038" s="108"/>
      <c r="J3038" s="108"/>
      <c r="K3038" s="108"/>
      <c r="L3038" s="108"/>
      <c r="M3038" s="108"/>
      <c r="N3038" s="108"/>
      <c r="O3038" s="108"/>
      <c r="P3038" s="108"/>
      <c r="Q3038" s="108"/>
      <c r="R3038" s="108"/>
      <c r="S3038" s="108"/>
      <c r="T3038" s="108"/>
      <c r="U3038" s="108"/>
      <c r="V3038" s="108"/>
      <c r="W3038" s="108"/>
      <c r="X3038" s="108"/>
    </row>
    <row r="3039" spans="1:24">
      <c r="A3039" s="107"/>
      <c r="B3039" s="107"/>
      <c r="C3039" s="107"/>
      <c r="D3039" s="107"/>
      <c r="E3039" s="107"/>
      <c r="F3039" s="107"/>
      <c r="G3039" s="108"/>
      <c r="H3039" s="107"/>
      <c r="I3039" s="108"/>
      <c r="J3039" s="108"/>
      <c r="K3039" s="108"/>
      <c r="L3039" s="108"/>
      <c r="M3039" s="108"/>
      <c r="N3039" s="108"/>
      <c r="O3039" s="108"/>
      <c r="P3039" s="108"/>
      <c r="Q3039" s="108"/>
      <c r="R3039" s="108"/>
      <c r="S3039" s="108"/>
      <c r="T3039" s="108"/>
      <c r="U3039" s="108"/>
      <c r="V3039" s="108"/>
      <c r="W3039" s="108"/>
      <c r="X3039" s="108"/>
    </row>
    <row r="3040" spans="1:24">
      <c r="A3040" s="107"/>
      <c r="B3040" s="107"/>
      <c r="C3040" s="107"/>
      <c r="D3040" s="107"/>
      <c r="E3040" s="107"/>
      <c r="F3040" s="107"/>
      <c r="G3040" s="108"/>
      <c r="H3040" s="107"/>
      <c r="I3040" s="108"/>
      <c r="J3040" s="108"/>
      <c r="K3040" s="108"/>
      <c r="L3040" s="108"/>
      <c r="M3040" s="108"/>
      <c r="N3040" s="108"/>
      <c r="O3040" s="108"/>
      <c r="P3040" s="108"/>
      <c r="Q3040" s="108"/>
      <c r="R3040" s="108"/>
      <c r="S3040" s="108"/>
      <c r="T3040" s="108"/>
      <c r="U3040" s="108"/>
      <c r="V3040" s="108"/>
      <c r="W3040" s="108"/>
      <c r="X3040" s="108"/>
    </row>
    <row r="3041" spans="1:24">
      <c r="A3041" s="107"/>
      <c r="B3041" s="107"/>
      <c r="C3041" s="107"/>
      <c r="D3041" s="107"/>
      <c r="E3041" s="107"/>
      <c r="F3041" s="107"/>
      <c r="G3041" s="108"/>
      <c r="H3041" s="107"/>
      <c r="I3041" s="108"/>
      <c r="J3041" s="108"/>
      <c r="K3041" s="108"/>
      <c r="L3041" s="108"/>
      <c r="M3041" s="108"/>
      <c r="N3041" s="108"/>
      <c r="O3041" s="108"/>
      <c r="P3041" s="108"/>
      <c r="Q3041" s="108"/>
      <c r="R3041" s="108"/>
      <c r="S3041" s="108"/>
      <c r="T3041" s="108"/>
      <c r="U3041" s="108"/>
      <c r="V3041" s="108"/>
      <c r="W3041" s="108"/>
      <c r="X3041" s="108"/>
    </row>
    <row r="3042" spans="1:24">
      <c r="A3042" s="107"/>
      <c r="B3042" s="107"/>
      <c r="C3042" s="107"/>
      <c r="D3042" s="107"/>
      <c r="E3042" s="107"/>
      <c r="F3042" s="107"/>
      <c r="G3042" s="108"/>
      <c r="H3042" s="107"/>
      <c r="I3042" s="108"/>
      <c r="J3042" s="108"/>
      <c r="K3042" s="108"/>
      <c r="L3042" s="108"/>
      <c r="M3042" s="108"/>
      <c r="N3042" s="108"/>
      <c r="O3042" s="108"/>
      <c r="P3042" s="108"/>
      <c r="Q3042" s="108"/>
      <c r="R3042" s="108"/>
      <c r="S3042" s="108"/>
      <c r="T3042" s="108"/>
      <c r="U3042" s="108"/>
      <c r="V3042" s="108"/>
      <c r="W3042" s="108"/>
      <c r="X3042" s="108"/>
    </row>
    <row r="3043" spans="1:24">
      <c r="A3043" s="107"/>
      <c r="B3043" s="107"/>
      <c r="C3043" s="107"/>
      <c r="D3043" s="107"/>
      <c r="E3043" s="107"/>
      <c r="F3043" s="107"/>
      <c r="G3043" s="108"/>
      <c r="H3043" s="107"/>
      <c r="I3043" s="108"/>
      <c r="J3043" s="108"/>
      <c r="K3043" s="108"/>
      <c r="L3043" s="108"/>
      <c r="M3043" s="108"/>
      <c r="N3043" s="108"/>
      <c r="O3043" s="108"/>
      <c r="P3043" s="108"/>
      <c r="Q3043" s="108"/>
      <c r="R3043" s="108"/>
      <c r="S3043" s="108"/>
      <c r="T3043" s="108"/>
      <c r="U3043" s="108"/>
      <c r="V3043" s="108"/>
      <c r="W3043" s="108"/>
      <c r="X3043" s="108"/>
    </row>
    <row r="3044" spans="1:24">
      <c r="A3044" s="107"/>
      <c r="B3044" s="107"/>
      <c r="C3044" s="107"/>
      <c r="D3044" s="107"/>
      <c r="E3044" s="107"/>
      <c r="F3044" s="107"/>
      <c r="G3044" s="108"/>
      <c r="H3044" s="107"/>
      <c r="I3044" s="108"/>
      <c r="J3044" s="108"/>
      <c r="K3044" s="108"/>
      <c r="L3044" s="108"/>
      <c r="M3044" s="108"/>
      <c r="N3044" s="108"/>
      <c r="O3044" s="108"/>
      <c r="P3044" s="108"/>
      <c r="Q3044" s="108"/>
      <c r="R3044" s="108"/>
      <c r="S3044" s="108"/>
      <c r="T3044" s="108"/>
      <c r="U3044" s="108"/>
      <c r="V3044" s="108"/>
      <c r="W3044" s="108"/>
      <c r="X3044" s="108"/>
    </row>
    <row r="3045" spans="1:24">
      <c r="A3045" s="107"/>
      <c r="B3045" s="107"/>
      <c r="C3045" s="107"/>
      <c r="D3045" s="107"/>
      <c r="E3045" s="107"/>
      <c r="F3045" s="107"/>
      <c r="G3045" s="108"/>
      <c r="H3045" s="107"/>
      <c r="I3045" s="108"/>
      <c r="J3045" s="108"/>
      <c r="K3045" s="108"/>
      <c r="L3045" s="108"/>
      <c r="M3045" s="108"/>
      <c r="N3045" s="108"/>
      <c r="O3045" s="108"/>
      <c r="P3045" s="108"/>
      <c r="Q3045" s="108"/>
      <c r="R3045" s="108"/>
      <c r="S3045" s="108"/>
      <c r="T3045" s="108"/>
      <c r="U3045" s="108"/>
      <c r="V3045" s="108"/>
      <c r="W3045" s="108"/>
      <c r="X3045" s="108"/>
    </row>
    <row r="3046" spans="1:24">
      <c r="A3046" s="107"/>
      <c r="B3046" s="107"/>
      <c r="C3046" s="107"/>
      <c r="D3046" s="107"/>
      <c r="E3046" s="107"/>
      <c r="F3046" s="107"/>
      <c r="G3046" s="108"/>
      <c r="H3046" s="107"/>
      <c r="I3046" s="108"/>
      <c r="J3046" s="108"/>
      <c r="K3046" s="108"/>
      <c r="L3046" s="108"/>
      <c r="M3046" s="108"/>
      <c r="N3046" s="108"/>
      <c r="O3046" s="108"/>
      <c r="P3046" s="108"/>
      <c r="Q3046" s="108"/>
      <c r="R3046" s="108"/>
      <c r="S3046" s="108"/>
      <c r="T3046" s="108"/>
      <c r="U3046" s="108"/>
      <c r="V3046" s="108"/>
      <c r="W3046" s="108"/>
      <c r="X3046" s="108"/>
    </row>
    <row r="3047" spans="1:24">
      <c r="A3047" s="107"/>
      <c r="B3047" s="107"/>
      <c r="C3047" s="107"/>
      <c r="D3047" s="107"/>
      <c r="E3047" s="107"/>
      <c r="F3047" s="107"/>
      <c r="G3047" s="108"/>
      <c r="H3047" s="107"/>
      <c r="I3047" s="108"/>
      <c r="J3047" s="108"/>
      <c r="K3047" s="108"/>
      <c r="L3047" s="108"/>
      <c r="M3047" s="108"/>
      <c r="N3047" s="108"/>
      <c r="O3047" s="108"/>
      <c r="P3047" s="108"/>
      <c r="Q3047" s="108"/>
      <c r="R3047" s="108"/>
      <c r="S3047" s="108"/>
      <c r="T3047" s="108"/>
      <c r="U3047" s="108"/>
      <c r="V3047" s="108"/>
      <c r="W3047" s="108"/>
      <c r="X3047" s="108"/>
    </row>
    <row r="3048" spans="1:24">
      <c r="A3048" s="107"/>
      <c r="B3048" s="107"/>
      <c r="C3048" s="107"/>
      <c r="D3048" s="107"/>
      <c r="E3048" s="107"/>
      <c r="F3048" s="107"/>
      <c r="G3048" s="108"/>
      <c r="H3048" s="107"/>
      <c r="I3048" s="108"/>
      <c r="J3048" s="108"/>
      <c r="K3048" s="108"/>
      <c r="L3048" s="108"/>
      <c r="M3048" s="108"/>
      <c r="N3048" s="108"/>
      <c r="O3048" s="108"/>
      <c r="P3048" s="108"/>
      <c r="Q3048" s="108"/>
      <c r="R3048" s="108"/>
      <c r="S3048" s="108"/>
      <c r="T3048" s="108"/>
      <c r="U3048" s="108"/>
      <c r="V3048" s="108"/>
      <c r="W3048" s="108"/>
      <c r="X3048" s="108"/>
    </row>
    <row r="3049" spans="1:24">
      <c r="A3049" s="107"/>
      <c r="B3049" s="107"/>
      <c r="C3049" s="107"/>
      <c r="D3049" s="107"/>
      <c r="E3049" s="107"/>
      <c r="F3049" s="107"/>
      <c r="G3049" s="108"/>
      <c r="H3049" s="107"/>
      <c r="I3049" s="108"/>
      <c r="J3049" s="108"/>
      <c r="K3049" s="108"/>
      <c r="L3049" s="108"/>
      <c r="M3049" s="108"/>
      <c r="N3049" s="108"/>
      <c r="O3049" s="108"/>
      <c r="P3049" s="108"/>
      <c r="Q3049" s="108"/>
      <c r="R3049" s="108"/>
      <c r="S3049" s="108"/>
      <c r="T3049" s="108"/>
      <c r="U3049" s="108"/>
      <c r="V3049" s="108"/>
      <c r="W3049" s="108"/>
      <c r="X3049" s="108"/>
    </row>
    <row r="3050" spans="1:24">
      <c r="A3050" s="107"/>
      <c r="B3050" s="107"/>
      <c r="C3050" s="107"/>
      <c r="D3050" s="107"/>
      <c r="E3050" s="107"/>
      <c r="F3050" s="107"/>
      <c r="G3050" s="108"/>
      <c r="H3050" s="107"/>
      <c r="I3050" s="108"/>
      <c r="J3050" s="108"/>
      <c r="K3050" s="108"/>
      <c r="L3050" s="108"/>
      <c r="M3050" s="108"/>
      <c r="N3050" s="108"/>
      <c r="O3050" s="108"/>
      <c r="P3050" s="108"/>
      <c r="Q3050" s="108"/>
      <c r="R3050" s="108"/>
      <c r="S3050" s="108"/>
      <c r="T3050" s="108"/>
      <c r="U3050" s="108"/>
      <c r="V3050" s="108"/>
      <c r="W3050" s="108"/>
      <c r="X3050" s="108"/>
    </row>
    <row r="3051" spans="1:24">
      <c r="A3051" s="107"/>
      <c r="B3051" s="107"/>
      <c r="C3051" s="107"/>
      <c r="D3051" s="107"/>
      <c r="E3051" s="107"/>
      <c r="F3051" s="107"/>
      <c r="G3051" s="108"/>
      <c r="H3051" s="107"/>
      <c r="I3051" s="108"/>
      <c r="J3051" s="108"/>
      <c r="K3051" s="108"/>
      <c r="L3051" s="108"/>
      <c r="M3051" s="108"/>
      <c r="N3051" s="108"/>
      <c r="O3051" s="108"/>
      <c r="P3051" s="108"/>
      <c r="Q3051" s="108"/>
      <c r="R3051" s="108"/>
      <c r="S3051" s="108"/>
      <c r="T3051" s="108"/>
      <c r="U3051" s="108"/>
      <c r="V3051" s="108"/>
      <c r="W3051" s="108"/>
      <c r="X3051" s="108"/>
    </row>
    <row r="3052" spans="1:24">
      <c r="A3052" s="107"/>
      <c r="B3052" s="107"/>
      <c r="C3052" s="107"/>
      <c r="D3052" s="107"/>
      <c r="E3052" s="107"/>
      <c r="F3052" s="107"/>
      <c r="G3052" s="108"/>
      <c r="H3052" s="107"/>
      <c r="I3052" s="108"/>
      <c r="J3052" s="108"/>
      <c r="K3052" s="108"/>
      <c r="L3052" s="108"/>
      <c r="M3052" s="108"/>
      <c r="N3052" s="108"/>
      <c r="O3052" s="108"/>
      <c r="P3052" s="108"/>
      <c r="Q3052" s="108"/>
      <c r="R3052" s="108"/>
      <c r="S3052" s="108"/>
      <c r="T3052" s="108"/>
      <c r="U3052" s="108"/>
      <c r="V3052" s="108"/>
      <c r="W3052" s="108"/>
      <c r="X3052" s="108"/>
    </row>
    <row r="3053" spans="1:24">
      <c r="A3053" s="107"/>
      <c r="B3053" s="107"/>
      <c r="C3053" s="107"/>
      <c r="D3053" s="107"/>
      <c r="E3053" s="107"/>
      <c r="F3053" s="107"/>
      <c r="G3053" s="108"/>
      <c r="H3053" s="107"/>
      <c r="I3053" s="108"/>
      <c r="J3053" s="108"/>
      <c r="K3053" s="108"/>
      <c r="L3053" s="108"/>
      <c r="M3053" s="108"/>
      <c r="N3053" s="108"/>
      <c r="O3053" s="108"/>
      <c r="P3053" s="108"/>
      <c r="Q3053" s="108"/>
      <c r="R3053" s="108"/>
      <c r="S3053" s="108"/>
      <c r="T3053" s="108"/>
      <c r="U3053" s="108"/>
      <c r="V3053" s="108"/>
      <c r="W3053" s="108"/>
      <c r="X3053" s="108"/>
    </row>
    <row r="3054" spans="1:24">
      <c r="A3054" s="107"/>
      <c r="B3054" s="107"/>
      <c r="C3054" s="107"/>
      <c r="D3054" s="107"/>
      <c r="E3054" s="107"/>
      <c r="F3054" s="107"/>
      <c r="G3054" s="108"/>
      <c r="H3054" s="107"/>
      <c r="I3054" s="108"/>
      <c r="J3054" s="108"/>
      <c r="K3054" s="108"/>
      <c r="L3054" s="108"/>
      <c r="M3054" s="108"/>
      <c r="N3054" s="108"/>
      <c r="O3054" s="108"/>
      <c r="P3054" s="108"/>
      <c r="Q3054" s="108"/>
      <c r="R3054" s="108"/>
      <c r="S3054" s="108"/>
      <c r="T3054" s="108"/>
      <c r="U3054" s="108"/>
      <c r="V3054" s="108"/>
      <c r="W3054" s="108"/>
      <c r="X3054" s="108"/>
    </row>
    <row r="3055" spans="1:24">
      <c r="A3055" s="107"/>
      <c r="B3055" s="107"/>
      <c r="C3055" s="107"/>
      <c r="D3055" s="107"/>
      <c r="E3055" s="107"/>
      <c r="F3055" s="107"/>
      <c r="G3055" s="108"/>
      <c r="H3055" s="107"/>
      <c r="I3055" s="108"/>
      <c r="J3055" s="108"/>
      <c r="K3055" s="108"/>
      <c r="L3055" s="108"/>
      <c r="M3055" s="108"/>
      <c r="N3055" s="108"/>
      <c r="O3055" s="108"/>
      <c r="P3055" s="108"/>
      <c r="Q3055" s="108"/>
      <c r="R3055" s="108"/>
      <c r="S3055" s="108"/>
      <c r="T3055" s="108"/>
      <c r="U3055" s="108"/>
      <c r="V3055" s="108"/>
      <c r="W3055" s="108"/>
      <c r="X3055" s="108"/>
    </row>
    <row r="3056" spans="1:24">
      <c r="A3056" s="107"/>
      <c r="B3056" s="107"/>
      <c r="C3056" s="107"/>
      <c r="D3056" s="107"/>
      <c r="E3056" s="107"/>
      <c r="F3056" s="107"/>
      <c r="G3056" s="108"/>
      <c r="H3056" s="107"/>
      <c r="I3056" s="108"/>
      <c r="J3056" s="108"/>
      <c r="K3056" s="108"/>
      <c r="L3056" s="108"/>
      <c r="M3056" s="108"/>
      <c r="N3056" s="108"/>
      <c r="O3056" s="108"/>
      <c r="P3056" s="108"/>
      <c r="Q3056" s="108"/>
      <c r="R3056" s="108"/>
      <c r="S3056" s="108"/>
      <c r="T3056" s="108"/>
      <c r="U3056" s="108"/>
      <c r="V3056" s="108"/>
      <c r="W3056" s="108"/>
      <c r="X3056" s="108"/>
    </row>
    <row r="3057" spans="1:24">
      <c r="A3057" s="107"/>
      <c r="B3057" s="107"/>
      <c r="C3057" s="107"/>
      <c r="D3057" s="107"/>
      <c r="E3057" s="107"/>
      <c r="F3057" s="107"/>
      <c r="G3057" s="108"/>
      <c r="H3057" s="107"/>
      <c r="I3057" s="108"/>
      <c r="J3057" s="108"/>
      <c r="K3057" s="108"/>
      <c r="L3057" s="108"/>
      <c r="M3057" s="108"/>
      <c r="N3057" s="108"/>
      <c r="O3057" s="108"/>
      <c r="P3057" s="108"/>
      <c r="Q3057" s="108"/>
      <c r="R3057" s="108"/>
      <c r="S3057" s="108"/>
      <c r="T3057" s="108"/>
      <c r="U3057" s="108"/>
      <c r="V3057" s="108"/>
      <c r="W3057" s="108"/>
      <c r="X3057" s="108"/>
    </row>
    <row r="3058" spans="1:24">
      <c r="A3058" s="107"/>
      <c r="B3058" s="107"/>
      <c r="C3058" s="107"/>
      <c r="D3058" s="107"/>
      <c r="E3058" s="107"/>
      <c r="F3058" s="107"/>
      <c r="G3058" s="108"/>
      <c r="H3058" s="107"/>
      <c r="I3058" s="108"/>
      <c r="J3058" s="108"/>
      <c r="K3058" s="108"/>
      <c r="L3058" s="108"/>
      <c r="M3058" s="108"/>
      <c r="N3058" s="108"/>
      <c r="O3058" s="108"/>
      <c r="P3058" s="108"/>
      <c r="Q3058" s="108"/>
      <c r="R3058" s="108"/>
      <c r="S3058" s="108"/>
      <c r="T3058" s="108"/>
      <c r="U3058" s="108"/>
      <c r="V3058" s="108"/>
      <c r="W3058" s="108"/>
      <c r="X3058" s="108"/>
    </row>
    <row r="3059" spans="1:24">
      <c r="A3059" s="107"/>
      <c r="B3059" s="107"/>
      <c r="C3059" s="107"/>
      <c r="D3059" s="107"/>
      <c r="E3059" s="107"/>
      <c r="F3059" s="107"/>
      <c r="G3059" s="108"/>
      <c r="H3059" s="107"/>
      <c r="I3059" s="108"/>
      <c r="J3059" s="108"/>
      <c r="K3059" s="108"/>
      <c r="L3059" s="108"/>
      <c r="M3059" s="108"/>
      <c r="N3059" s="108"/>
      <c r="O3059" s="108"/>
      <c r="P3059" s="108"/>
      <c r="Q3059" s="108"/>
      <c r="R3059" s="108"/>
      <c r="S3059" s="108"/>
      <c r="T3059" s="108"/>
      <c r="U3059" s="108"/>
      <c r="V3059" s="108"/>
      <c r="W3059" s="108"/>
      <c r="X3059" s="108"/>
    </row>
    <row r="3060" spans="1:24">
      <c r="A3060" s="107"/>
      <c r="B3060" s="107"/>
      <c r="C3060" s="107"/>
      <c r="D3060" s="107"/>
      <c r="E3060" s="107"/>
      <c r="F3060" s="107"/>
      <c r="G3060" s="108"/>
      <c r="H3060" s="107"/>
      <c r="I3060" s="108"/>
      <c r="J3060" s="108"/>
      <c r="K3060" s="108"/>
      <c r="L3060" s="108"/>
      <c r="M3060" s="108"/>
      <c r="N3060" s="108"/>
      <c r="O3060" s="108"/>
      <c r="P3060" s="108"/>
      <c r="Q3060" s="108"/>
      <c r="R3060" s="108"/>
      <c r="S3060" s="108"/>
      <c r="T3060" s="108"/>
      <c r="U3060" s="108"/>
      <c r="V3060" s="108"/>
      <c r="W3060" s="108"/>
      <c r="X3060" s="108"/>
    </row>
    <row r="3061" spans="1:24">
      <c r="A3061" s="107"/>
      <c r="B3061" s="107"/>
      <c r="C3061" s="107"/>
      <c r="D3061" s="107"/>
      <c r="E3061" s="107"/>
      <c r="F3061" s="107"/>
      <c r="G3061" s="108"/>
      <c r="H3061" s="107"/>
      <c r="I3061" s="108"/>
      <c r="J3061" s="108"/>
      <c r="K3061" s="108"/>
      <c r="L3061" s="108"/>
      <c r="M3061" s="108"/>
      <c r="N3061" s="108"/>
      <c r="O3061" s="108"/>
      <c r="P3061" s="108"/>
      <c r="Q3061" s="108"/>
      <c r="R3061" s="108"/>
      <c r="S3061" s="108"/>
      <c r="T3061" s="108"/>
      <c r="U3061" s="108"/>
      <c r="V3061" s="108"/>
      <c r="W3061" s="108"/>
      <c r="X3061" s="108"/>
    </row>
    <row r="3062" spans="1:24">
      <c r="A3062" s="107"/>
      <c r="B3062" s="107"/>
      <c r="C3062" s="107"/>
      <c r="D3062" s="107"/>
      <c r="E3062" s="107"/>
      <c r="F3062" s="107"/>
      <c r="G3062" s="108"/>
      <c r="H3062" s="107"/>
      <c r="I3062" s="108"/>
      <c r="J3062" s="108"/>
      <c r="K3062" s="108"/>
      <c r="L3062" s="108"/>
      <c r="M3062" s="108"/>
      <c r="N3062" s="108"/>
      <c r="O3062" s="108"/>
      <c r="P3062" s="108"/>
      <c r="Q3062" s="108"/>
      <c r="R3062" s="108"/>
      <c r="S3062" s="108"/>
      <c r="T3062" s="108"/>
      <c r="U3062" s="108"/>
      <c r="V3062" s="108"/>
      <c r="W3062" s="108"/>
      <c r="X3062" s="108"/>
    </row>
    <row r="3063" spans="1:24">
      <c r="A3063" s="107"/>
      <c r="B3063" s="107"/>
      <c r="C3063" s="107"/>
      <c r="D3063" s="107"/>
      <c r="E3063" s="107"/>
      <c r="F3063" s="107"/>
      <c r="G3063" s="108"/>
      <c r="H3063" s="107"/>
      <c r="I3063" s="108"/>
      <c r="J3063" s="108"/>
      <c r="K3063" s="108"/>
      <c r="L3063" s="108"/>
      <c r="M3063" s="108"/>
      <c r="N3063" s="108"/>
      <c r="O3063" s="108"/>
      <c r="P3063" s="108"/>
      <c r="Q3063" s="108"/>
      <c r="R3063" s="108"/>
      <c r="S3063" s="108"/>
      <c r="T3063" s="108"/>
      <c r="U3063" s="108"/>
      <c r="V3063" s="108"/>
      <c r="W3063" s="108"/>
      <c r="X3063" s="108"/>
    </row>
    <row r="3064" spans="1:24">
      <c r="A3064" s="107"/>
      <c r="B3064" s="107"/>
      <c r="C3064" s="107"/>
      <c r="D3064" s="107"/>
      <c r="E3064" s="107"/>
      <c r="F3064" s="107"/>
      <c r="G3064" s="108"/>
      <c r="H3064" s="107"/>
      <c r="I3064" s="108"/>
      <c r="J3064" s="108"/>
      <c r="K3064" s="108"/>
      <c r="L3064" s="108"/>
      <c r="M3064" s="108"/>
      <c r="N3064" s="108"/>
      <c r="O3064" s="108"/>
      <c r="P3064" s="108"/>
      <c r="Q3064" s="108"/>
      <c r="R3064" s="108"/>
      <c r="S3064" s="108"/>
      <c r="T3064" s="108"/>
      <c r="U3064" s="108"/>
      <c r="V3064" s="108"/>
      <c r="W3064" s="108"/>
      <c r="X3064" s="108"/>
    </row>
    <row r="3065" spans="1:24">
      <c r="A3065" s="107"/>
      <c r="B3065" s="107"/>
      <c r="C3065" s="107"/>
      <c r="D3065" s="107"/>
      <c r="E3065" s="107"/>
      <c r="F3065" s="107"/>
      <c r="G3065" s="108"/>
      <c r="H3065" s="107"/>
      <c r="I3065" s="108"/>
      <c r="J3065" s="108"/>
      <c r="K3065" s="108"/>
      <c r="L3065" s="108"/>
      <c r="M3065" s="108"/>
      <c r="N3065" s="108"/>
      <c r="O3065" s="108"/>
      <c r="P3065" s="108"/>
      <c r="Q3065" s="108"/>
      <c r="R3065" s="108"/>
      <c r="S3065" s="108"/>
      <c r="T3065" s="108"/>
      <c r="U3065" s="108"/>
      <c r="V3065" s="108"/>
      <c r="W3065" s="108"/>
      <c r="X3065" s="108"/>
    </row>
    <row r="3066" spans="1:24">
      <c r="A3066" s="107"/>
      <c r="B3066" s="107"/>
      <c r="C3066" s="107"/>
      <c r="D3066" s="107"/>
      <c r="E3066" s="107"/>
      <c r="F3066" s="107"/>
      <c r="G3066" s="108"/>
      <c r="H3066" s="107"/>
      <c r="I3066" s="108"/>
      <c r="J3066" s="108"/>
      <c r="K3066" s="108"/>
      <c r="L3066" s="108"/>
      <c r="M3066" s="108"/>
      <c r="N3066" s="108"/>
      <c r="O3066" s="108"/>
      <c r="P3066" s="108"/>
      <c r="Q3066" s="108"/>
      <c r="R3066" s="108"/>
      <c r="S3066" s="108"/>
      <c r="T3066" s="108"/>
      <c r="U3066" s="108"/>
      <c r="V3066" s="108"/>
      <c r="W3066" s="108"/>
      <c r="X3066" s="108"/>
    </row>
    <row r="3067" spans="1:24">
      <c r="A3067" s="107"/>
      <c r="B3067" s="107"/>
      <c r="C3067" s="107"/>
      <c r="D3067" s="107"/>
      <c r="E3067" s="107"/>
      <c r="F3067" s="107"/>
      <c r="G3067" s="108"/>
      <c r="H3067" s="107"/>
      <c r="I3067" s="108"/>
      <c r="J3067" s="108"/>
      <c r="K3067" s="108"/>
      <c r="L3067" s="108"/>
      <c r="M3067" s="108"/>
      <c r="N3067" s="108"/>
      <c r="O3067" s="108"/>
      <c r="P3067" s="108"/>
      <c r="Q3067" s="108"/>
      <c r="R3067" s="108"/>
      <c r="S3067" s="108"/>
      <c r="T3067" s="108"/>
      <c r="U3067" s="108"/>
      <c r="V3067" s="108"/>
      <c r="W3067" s="108"/>
      <c r="X3067" s="108"/>
    </row>
    <row r="3068" spans="1:24">
      <c r="A3068" s="107"/>
      <c r="B3068" s="107"/>
      <c r="C3068" s="107"/>
      <c r="D3068" s="107"/>
      <c r="E3068" s="107"/>
      <c r="F3068" s="107"/>
      <c r="G3068" s="108"/>
      <c r="H3068" s="107"/>
      <c r="I3068" s="108"/>
      <c r="J3068" s="108"/>
      <c r="K3068" s="108"/>
      <c r="L3068" s="108"/>
      <c r="M3068" s="108"/>
      <c r="N3068" s="108"/>
      <c r="O3068" s="108"/>
      <c r="P3068" s="108"/>
      <c r="Q3068" s="108"/>
      <c r="R3068" s="108"/>
      <c r="S3068" s="108"/>
      <c r="T3068" s="108"/>
      <c r="U3068" s="108"/>
      <c r="V3068" s="108"/>
      <c r="W3068" s="108"/>
      <c r="X3068" s="108"/>
    </row>
    <row r="3069" spans="1:24">
      <c r="A3069" s="107"/>
      <c r="B3069" s="107"/>
      <c r="C3069" s="107"/>
      <c r="D3069" s="107"/>
      <c r="E3069" s="107"/>
      <c r="F3069" s="107"/>
      <c r="G3069" s="108"/>
      <c r="H3069" s="107"/>
      <c r="I3069" s="108"/>
      <c r="J3069" s="108"/>
      <c r="K3069" s="108"/>
      <c r="L3069" s="108"/>
      <c r="M3069" s="108"/>
      <c r="N3069" s="108"/>
      <c r="O3069" s="108"/>
      <c r="P3069" s="108"/>
      <c r="Q3069" s="108"/>
      <c r="R3069" s="108"/>
      <c r="S3069" s="108"/>
      <c r="T3069" s="108"/>
      <c r="U3069" s="108"/>
      <c r="V3069" s="108"/>
      <c r="W3069" s="108"/>
      <c r="X3069" s="108"/>
    </row>
    <row r="3070" spans="1:24">
      <c r="A3070" s="107"/>
      <c r="B3070" s="107"/>
      <c r="C3070" s="107"/>
      <c r="D3070" s="107"/>
      <c r="E3070" s="107"/>
      <c r="F3070" s="107"/>
      <c r="G3070" s="108"/>
      <c r="H3070" s="107"/>
      <c r="I3070" s="108"/>
      <c r="J3070" s="108"/>
      <c r="K3070" s="108"/>
      <c r="L3070" s="108"/>
      <c r="M3070" s="108"/>
      <c r="N3070" s="108"/>
      <c r="O3070" s="108"/>
      <c r="P3070" s="108"/>
      <c r="Q3070" s="108"/>
      <c r="R3070" s="108"/>
      <c r="S3070" s="108"/>
      <c r="T3070" s="108"/>
      <c r="U3070" s="108"/>
      <c r="V3070" s="108"/>
      <c r="W3070" s="108"/>
      <c r="X3070" s="108"/>
    </row>
    <row r="3071" spans="1:24">
      <c r="A3071" s="107"/>
      <c r="B3071" s="107"/>
      <c r="C3071" s="107"/>
      <c r="D3071" s="107"/>
      <c r="E3071" s="107"/>
      <c r="F3071" s="107"/>
      <c r="G3071" s="108"/>
      <c r="H3071" s="107"/>
      <c r="I3071" s="108"/>
      <c r="J3071" s="108"/>
      <c r="K3071" s="108"/>
      <c r="L3071" s="108"/>
      <c r="M3071" s="108"/>
      <c r="N3071" s="108"/>
      <c r="O3071" s="108"/>
      <c r="P3071" s="108"/>
      <c r="Q3071" s="108"/>
      <c r="R3071" s="108"/>
      <c r="S3071" s="108"/>
      <c r="T3071" s="108"/>
      <c r="U3071" s="108"/>
      <c r="V3071" s="108"/>
      <c r="W3071" s="108"/>
      <c r="X3071" s="108"/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6" r:id="rId4" xr:uid="{00000000-0004-0000-0400-000003000000}"/>
    <hyperlink ref="B7" r:id="rId5" xr:uid="{00000000-0004-0000-0400-000004000000}"/>
    <hyperlink ref="B8" r:id="rId6" xr:uid="{00000000-0004-0000-0400-000005000000}"/>
    <hyperlink ref="B9" r:id="rId7" xr:uid="{00000000-0004-0000-0400-000006000000}"/>
    <hyperlink ref="B10" r:id="rId8" xr:uid="{00000000-0004-0000-0400-000007000000}"/>
    <hyperlink ref="B15" r:id="rId9" xr:uid="{00000000-0004-0000-0400-000008000000}"/>
    <hyperlink ref="B18" r:id="rId10" xr:uid="{00000000-0004-0000-0400-000009000000}"/>
    <hyperlink ref="B19" r:id="rId11" xr:uid="{00000000-0004-0000-0400-00000A000000}"/>
    <hyperlink ref="B23" r:id="rId12" xr:uid="{00000000-0004-0000-0400-00000B000000}"/>
    <hyperlink ref="B26" r:id="rId13" xr:uid="{00000000-0004-0000-0400-00000C000000}"/>
    <hyperlink ref="B29" r:id="rId14" xr:uid="{00000000-0004-0000-0400-00000D000000}"/>
    <hyperlink ref="B33" r:id="rId15" xr:uid="{00000000-0004-0000-0400-00000E000000}"/>
    <hyperlink ref="B35" r:id="rId16" xr:uid="{00000000-0004-0000-0400-00000F000000}"/>
    <hyperlink ref="B38" r:id="rId17" xr:uid="{00000000-0004-0000-0400-000010000000}"/>
    <hyperlink ref="B39" r:id="rId18" xr:uid="{00000000-0004-0000-0400-000011000000}"/>
    <hyperlink ref="B41" r:id="rId19" xr:uid="{00000000-0004-0000-0400-000012000000}"/>
    <hyperlink ref="B43" r:id="rId20" xr:uid="{00000000-0004-0000-0400-000013000000}"/>
    <hyperlink ref="B46" r:id="rId21" xr:uid="{00000000-0004-0000-0400-000014000000}"/>
    <hyperlink ref="B47" r:id="rId22" xr:uid="{00000000-0004-0000-0400-000015000000}"/>
    <hyperlink ref="B48" r:id="rId23" xr:uid="{00000000-0004-0000-0400-000016000000}"/>
    <hyperlink ref="B49" r:id="rId24" xr:uid="{00000000-0004-0000-0400-000017000000}"/>
    <hyperlink ref="B50" r:id="rId25" xr:uid="{00000000-0004-0000-0400-000018000000}"/>
    <hyperlink ref="B51" r:id="rId26" xr:uid="{00000000-0004-0000-0400-000019000000}"/>
    <hyperlink ref="B52" r:id="rId27" xr:uid="{00000000-0004-0000-0400-00001A000000}"/>
    <hyperlink ref="B53" r:id="rId28" xr:uid="{00000000-0004-0000-0400-00001B000000}"/>
    <hyperlink ref="B54" r:id="rId29" xr:uid="{00000000-0004-0000-0400-00001C000000}"/>
    <hyperlink ref="B55" r:id="rId30" xr:uid="{00000000-0004-0000-0400-00001D000000}"/>
    <hyperlink ref="B57" r:id="rId31" xr:uid="{00000000-0004-0000-0400-00001E000000}"/>
    <hyperlink ref="B58" r:id="rId32" xr:uid="{00000000-0004-0000-0400-00001F000000}"/>
    <hyperlink ref="B59" r:id="rId33" xr:uid="{00000000-0004-0000-0400-000020000000}"/>
    <hyperlink ref="B62" r:id="rId34" xr:uid="{00000000-0004-0000-0400-000021000000}"/>
    <hyperlink ref="B63" r:id="rId35" xr:uid="{00000000-0004-0000-0400-000022000000}"/>
    <hyperlink ref="B64" r:id="rId36" xr:uid="{00000000-0004-0000-0400-000023000000}"/>
    <hyperlink ref="B65" r:id="rId37" xr:uid="{00000000-0004-0000-0400-000024000000}"/>
    <hyperlink ref="B66" r:id="rId38" xr:uid="{00000000-0004-0000-0400-000025000000}"/>
    <hyperlink ref="B67" r:id="rId39" xr:uid="{00000000-0004-0000-0400-000026000000}"/>
    <hyperlink ref="B68" r:id="rId40" xr:uid="{00000000-0004-0000-0400-000027000000}"/>
    <hyperlink ref="B69" r:id="rId41" xr:uid="{00000000-0004-0000-0400-000028000000}"/>
    <hyperlink ref="B70" r:id="rId42" xr:uid="{00000000-0004-0000-0400-000029000000}"/>
    <hyperlink ref="B71" r:id="rId43" xr:uid="{00000000-0004-0000-0400-00002A000000}"/>
    <hyperlink ref="B72" r:id="rId44" xr:uid="{00000000-0004-0000-0400-00002B000000}"/>
    <hyperlink ref="B74" r:id="rId45" xr:uid="{00000000-0004-0000-0400-00002C000000}"/>
    <hyperlink ref="B76" r:id="rId46" xr:uid="{00000000-0004-0000-0400-00002D000000}"/>
    <hyperlink ref="B77" r:id="rId47" xr:uid="{00000000-0004-0000-0400-00002E000000}"/>
    <hyperlink ref="B78" r:id="rId48" xr:uid="{00000000-0004-0000-0400-00002F000000}"/>
    <hyperlink ref="B79" r:id="rId49" xr:uid="{00000000-0004-0000-0400-000030000000}"/>
    <hyperlink ref="B81" r:id="rId50" xr:uid="{00000000-0004-0000-0400-000031000000}"/>
    <hyperlink ref="B82" r:id="rId51" xr:uid="{00000000-0004-0000-0400-000032000000}"/>
    <hyperlink ref="B83" r:id="rId52" xr:uid="{00000000-0004-0000-0400-000033000000}"/>
  </hyperlinks>
  <pageMargins left="0.511811024" right="0.511811024" top="0.78740157499999996" bottom="0.78740157499999996" header="0.31496062000000002" footer="0.31496062000000002"/>
  <drawing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936"/>
  <sheetViews>
    <sheetView workbookViewId="0"/>
  </sheetViews>
  <sheetFormatPr defaultColWidth="14.42578125" defaultRowHeight="15" customHeight="1"/>
  <sheetData>
    <row r="1" spans="1:11">
      <c r="A1" s="117">
        <v>36892</v>
      </c>
      <c r="B1" s="113" t="s">
        <v>1731</v>
      </c>
      <c r="C1" s="113" t="s">
        <v>1732</v>
      </c>
      <c r="G1" s="118"/>
      <c r="H1" s="118"/>
      <c r="I1" s="118"/>
      <c r="J1" s="118"/>
      <c r="K1" s="118"/>
    </row>
    <row r="2" spans="1:11">
      <c r="A2" s="117">
        <v>36948</v>
      </c>
      <c r="B2" s="113" t="s">
        <v>1731</v>
      </c>
      <c r="C2" s="113" t="s">
        <v>1733</v>
      </c>
      <c r="J2" s="118"/>
      <c r="K2" s="118"/>
    </row>
    <row r="3" spans="1:11">
      <c r="A3" s="117">
        <v>36949</v>
      </c>
      <c r="B3" s="113" t="s">
        <v>1734</v>
      </c>
      <c r="C3" s="113" t="s">
        <v>1733</v>
      </c>
      <c r="J3" s="118"/>
      <c r="K3" s="118"/>
    </row>
    <row r="4" spans="1:11">
      <c r="A4" s="117">
        <v>36994</v>
      </c>
      <c r="B4" s="113" t="s">
        <v>1735</v>
      </c>
      <c r="C4" s="113" t="s">
        <v>1736</v>
      </c>
    </row>
    <row r="5" spans="1:11">
      <c r="A5" s="117">
        <v>37002</v>
      </c>
      <c r="B5" s="113" t="s">
        <v>1737</v>
      </c>
      <c r="C5" s="113" t="s">
        <v>1738</v>
      </c>
    </row>
    <row r="6" spans="1:11">
      <c r="A6" s="117">
        <v>37012</v>
      </c>
      <c r="B6" s="113" t="s">
        <v>1734</v>
      </c>
      <c r="C6" s="113" t="s">
        <v>1739</v>
      </c>
    </row>
    <row r="7" spans="1:11">
      <c r="A7" s="117">
        <v>37056</v>
      </c>
      <c r="B7" s="113" t="s">
        <v>1740</v>
      </c>
      <c r="C7" s="113" t="s">
        <v>1741</v>
      </c>
    </row>
    <row r="8" spans="1:11">
      <c r="A8" s="117">
        <v>37141</v>
      </c>
      <c r="B8" s="113" t="s">
        <v>1735</v>
      </c>
      <c r="C8" s="113" t="s">
        <v>1742</v>
      </c>
    </row>
    <row r="9" spans="1:11">
      <c r="A9" s="119">
        <v>37176</v>
      </c>
      <c r="B9" s="113" t="s">
        <v>1735</v>
      </c>
      <c r="C9" s="113" t="s">
        <v>1743</v>
      </c>
    </row>
    <row r="10" spans="1:11">
      <c r="A10" s="117">
        <v>37197</v>
      </c>
      <c r="B10" s="113" t="s">
        <v>1735</v>
      </c>
      <c r="C10" s="113" t="s">
        <v>1744</v>
      </c>
    </row>
    <row r="11" spans="1:11">
      <c r="A11" s="119">
        <v>37210</v>
      </c>
      <c r="B11" s="113" t="s">
        <v>1740</v>
      </c>
      <c r="C11" s="113" t="s">
        <v>1745</v>
      </c>
    </row>
    <row r="12" spans="1:11">
      <c r="A12" s="119">
        <v>37250</v>
      </c>
      <c r="B12" s="113" t="s">
        <v>1734</v>
      </c>
      <c r="C12" s="113" t="s">
        <v>1746</v>
      </c>
    </row>
    <row r="13" spans="1:11">
      <c r="A13" s="117">
        <v>37257</v>
      </c>
      <c r="B13" s="113" t="s">
        <v>1734</v>
      </c>
      <c r="C13" s="113" t="s">
        <v>1732</v>
      </c>
    </row>
    <row r="14" spans="1:11">
      <c r="A14" s="117">
        <v>37298</v>
      </c>
      <c r="B14" s="113" t="s">
        <v>1731</v>
      </c>
      <c r="C14" s="113" t="s">
        <v>1733</v>
      </c>
    </row>
    <row r="15" spans="1:11">
      <c r="A15" s="117">
        <v>37299</v>
      </c>
      <c r="B15" s="113" t="s">
        <v>1734</v>
      </c>
      <c r="C15" s="113" t="s">
        <v>1733</v>
      </c>
    </row>
    <row r="16" spans="1:11">
      <c r="A16" s="117">
        <v>37344</v>
      </c>
      <c r="B16" s="113" t="s">
        <v>1735</v>
      </c>
      <c r="C16" s="113" t="s">
        <v>1736</v>
      </c>
    </row>
    <row r="17" spans="1:3">
      <c r="A17" s="117">
        <v>37367</v>
      </c>
      <c r="B17" s="113" t="s">
        <v>1747</v>
      </c>
      <c r="C17" s="113" t="s">
        <v>1738</v>
      </c>
    </row>
    <row r="18" spans="1:3">
      <c r="A18" s="117">
        <v>37377</v>
      </c>
      <c r="B18" s="113" t="s">
        <v>1748</v>
      </c>
      <c r="C18" s="113" t="s">
        <v>1739</v>
      </c>
    </row>
    <row r="19" spans="1:3">
      <c r="A19" s="117">
        <v>37406</v>
      </c>
      <c r="B19" s="113" t="s">
        <v>1740</v>
      </c>
      <c r="C19" s="113" t="s">
        <v>1741</v>
      </c>
    </row>
    <row r="20" spans="1:3">
      <c r="A20" s="117">
        <v>37506</v>
      </c>
      <c r="B20" s="113" t="s">
        <v>1737</v>
      </c>
      <c r="C20" s="113" t="s">
        <v>1742</v>
      </c>
    </row>
    <row r="21" spans="1:3">
      <c r="A21" s="119">
        <v>37541</v>
      </c>
      <c r="B21" s="113" t="s">
        <v>1737</v>
      </c>
      <c r="C21" s="113" t="s">
        <v>1743</v>
      </c>
    </row>
    <row r="22" spans="1:3">
      <c r="A22" s="117">
        <v>37562</v>
      </c>
      <c r="B22" s="113" t="s">
        <v>1737</v>
      </c>
      <c r="C22" s="113" t="s">
        <v>1744</v>
      </c>
    </row>
    <row r="23" spans="1:3">
      <c r="A23" s="119">
        <v>37575</v>
      </c>
      <c r="B23" s="113" t="s">
        <v>1735</v>
      </c>
      <c r="C23" s="113" t="s">
        <v>1745</v>
      </c>
    </row>
    <row r="24" spans="1:3">
      <c r="A24" s="119">
        <v>37615</v>
      </c>
      <c r="B24" s="113" t="s">
        <v>1748</v>
      </c>
      <c r="C24" s="113" t="s">
        <v>1746</v>
      </c>
    </row>
    <row r="25" spans="1:3">
      <c r="A25" s="117">
        <v>37622</v>
      </c>
      <c r="B25" s="113" t="s">
        <v>1748</v>
      </c>
      <c r="C25" s="113" t="s">
        <v>1732</v>
      </c>
    </row>
    <row r="26" spans="1:3">
      <c r="A26" s="117">
        <v>37683</v>
      </c>
      <c r="B26" s="113" t="s">
        <v>1731</v>
      </c>
      <c r="C26" s="113" t="s">
        <v>1733</v>
      </c>
    </row>
    <row r="27" spans="1:3">
      <c r="A27" s="117">
        <v>37684</v>
      </c>
      <c r="B27" s="113" t="s">
        <v>1734</v>
      </c>
      <c r="C27" s="113" t="s">
        <v>1733</v>
      </c>
    </row>
    <row r="28" spans="1:3">
      <c r="A28" s="117">
        <v>37729</v>
      </c>
      <c r="B28" s="113" t="s">
        <v>1735</v>
      </c>
      <c r="C28" s="113" t="s">
        <v>1736</v>
      </c>
    </row>
    <row r="29" spans="1:3">
      <c r="A29" s="117">
        <v>37732</v>
      </c>
      <c r="B29" s="113" t="s">
        <v>1731</v>
      </c>
      <c r="C29" s="113" t="s">
        <v>1738</v>
      </c>
    </row>
    <row r="30" spans="1:3">
      <c r="A30" s="117">
        <v>37742</v>
      </c>
      <c r="B30" s="113" t="s">
        <v>1740</v>
      </c>
      <c r="C30" s="113" t="s">
        <v>1739</v>
      </c>
    </row>
    <row r="31" spans="1:3">
      <c r="A31" s="117">
        <v>37791</v>
      </c>
      <c r="B31" s="113" t="s">
        <v>1740</v>
      </c>
      <c r="C31" s="113" t="s">
        <v>1741</v>
      </c>
    </row>
    <row r="32" spans="1:3">
      <c r="A32" s="117">
        <v>37871</v>
      </c>
      <c r="B32" s="113" t="s">
        <v>1747</v>
      </c>
      <c r="C32" s="113" t="s">
        <v>1742</v>
      </c>
    </row>
    <row r="33" spans="1:3">
      <c r="A33" s="119">
        <v>37906</v>
      </c>
      <c r="B33" s="113" t="s">
        <v>1747</v>
      </c>
      <c r="C33" s="113" t="s">
        <v>1743</v>
      </c>
    </row>
    <row r="34" spans="1:3">
      <c r="A34" s="117">
        <v>37927</v>
      </c>
      <c r="B34" s="113" t="s">
        <v>1747</v>
      </c>
      <c r="C34" s="113" t="s">
        <v>1744</v>
      </c>
    </row>
    <row r="35" spans="1:3">
      <c r="A35" s="119">
        <v>37940</v>
      </c>
      <c r="B35" s="113" t="s">
        <v>1737</v>
      </c>
      <c r="C35" s="113" t="s">
        <v>1745</v>
      </c>
    </row>
    <row r="36" spans="1:3">
      <c r="A36" s="119">
        <v>37980</v>
      </c>
      <c r="B36" s="113" t="s">
        <v>1740</v>
      </c>
      <c r="C36" s="113" t="s">
        <v>1746</v>
      </c>
    </row>
    <row r="37" spans="1:3">
      <c r="A37" s="117">
        <v>37987</v>
      </c>
      <c r="B37" s="113" t="s">
        <v>1740</v>
      </c>
      <c r="C37" s="113" t="s">
        <v>1732</v>
      </c>
    </row>
    <row r="38" spans="1:3">
      <c r="A38" s="117">
        <v>38040</v>
      </c>
      <c r="B38" s="113" t="s">
        <v>1731</v>
      </c>
      <c r="C38" s="113" t="s">
        <v>1733</v>
      </c>
    </row>
    <row r="39" spans="1:3">
      <c r="A39" s="117">
        <v>38041</v>
      </c>
      <c r="B39" s="113" t="s">
        <v>1734</v>
      </c>
      <c r="C39" s="113" t="s">
        <v>1733</v>
      </c>
    </row>
    <row r="40" spans="1:3">
      <c r="A40" s="117">
        <v>38086</v>
      </c>
      <c r="B40" s="113" t="s">
        <v>1735</v>
      </c>
      <c r="C40" s="113" t="s">
        <v>1736</v>
      </c>
    </row>
    <row r="41" spans="1:3">
      <c r="A41" s="117">
        <v>38098</v>
      </c>
      <c r="B41" s="113" t="s">
        <v>1748</v>
      </c>
      <c r="C41" s="113" t="s">
        <v>1738</v>
      </c>
    </row>
    <row r="42" spans="1:3">
      <c r="A42" s="117">
        <v>38108</v>
      </c>
      <c r="B42" s="113" t="s">
        <v>1737</v>
      </c>
      <c r="C42" s="113" t="s">
        <v>1739</v>
      </c>
    </row>
    <row r="43" spans="1:3">
      <c r="A43" s="117">
        <v>38148</v>
      </c>
      <c r="B43" s="113" t="s">
        <v>1740</v>
      </c>
      <c r="C43" s="113" t="s">
        <v>1741</v>
      </c>
    </row>
    <row r="44" spans="1:3">
      <c r="A44" s="117">
        <v>38237</v>
      </c>
      <c r="B44" s="113" t="s">
        <v>1734</v>
      </c>
      <c r="C44" s="113" t="s">
        <v>1742</v>
      </c>
    </row>
    <row r="45" spans="1:3">
      <c r="A45" s="119">
        <v>38272</v>
      </c>
      <c r="B45" s="113" t="s">
        <v>1734</v>
      </c>
      <c r="C45" s="113" t="s">
        <v>1743</v>
      </c>
    </row>
    <row r="46" spans="1:3">
      <c r="A46" s="117">
        <v>38293</v>
      </c>
      <c r="B46" s="113" t="s">
        <v>1734</v>
      </c>
      <c r="C46" s="113" t="s">
        <v>1744</v>
      </c>
    </row>
    <row r="47" spans="1:3">
      <c r="A47" s="119">
        <v>38306</v>
      </c>
      <c r="B47" s="113" t="s">
        <v>1731</v>
      </c>
      <c r="C47" s="113" t="s">
        <v>1745</v>
      </c>
    </row>
    <row r="48" spans="1:3">
      <c r="A48" s="119">
        <v>38346</v>
      </c>
      <c r="B48" s="113" t="s">
        <v>1737</v>
      </c>
      <c r="C48" s="113" t="s">
        <v>1746</v>
      </c>
    </row>
    <row r="49" spans="1:3">
      <c r="A49" s="117">
        <v>38353</v>
      </c>
      <c r="B49" s="113" t="s">
        <v>1737</v>
      </c>
      <c r="C49" s="113" t="s">
        <v>1732</v>
      </c>
    </row>
    <row r="50" spans="1:3">
      <c r="A50" s="117">
        <v>38390</v>
      </c>
      <c r="B50" s="113" t="s">
        <v>1731</v>
      </c>
      <c r="C50" s="113" t="s">
        <v>1733</v>
      </c>
    </row>
    <row r="51" spans="1:3">
      <c r="A51" s="117">
        <v>38391</v>
      </c>
      <c r="B51" s="113" t="s">
        <v>1734</v>
      </c>
      <c r="C51" s="113" t="s">
        <v>1733</v>
      </c>
    </row>
    <row r="52" spans="1:3">
      <c r="A52" s="117">
        <v>38436</v>
      </c>
      <c r="B52" s="113" t="s">
        <v>1735</v>
      </c>
      <c r="C52" s="113" t="s">
        <v>1736</v>
      </c>
    </row>
    <row r="53" spans="1:3">
      <c r="A53" s="117">
        <v>38463</v>
      </c>
      <c r="B53" s="113" t="s">
        <v>1740</v>
      </c>
      <c r="C53" s="113" t="s">
        <v>1738</v>
      </c>
    </row>
    <row r="54" spans="1:3">
      <c r="A54" s="117">
        <v>38473</v>
      </c>
      <c r="B54" s="113" t="s">
        <v>1747</v>
      </c>
      <c r="C54" s="113" t="s">
        <v>1739</v>
      </c>
    </row>
    <row r="55" spans="1:3">
      <c r="A55" s="117">
        <v>38498</v>
      </c>
      <c r="B55" s="113" t="s">
        <v>1740</v>
      </c>
      <c r="C55" s="113" t="s">
        <v>1741</v>
      </c>
    </row>
    <row r="56" spans="1:3">
      <c r="A56" s="117">
        <v>38602</v>
      </c>
      <c r="B56" s="113" t="s">
        <v>1748</v>
      </c>
      <c r="C56" s="113" t="s">
        <v>1742</v>
      </c>
    </row>
    <row r="57" spans="1:3">
      <c r="A57" s="119">
        <v>38637</v>
      </c>
      <c r="B57" s="113" t="s">
        <v>1748</v>
      </c>
      <c r="C57" s="113" t="s">
        <v>1743</v>
      </c>
    </row>
    <row r="58" spans="1:3">
      <c r="A58" s="117">
        <v>38658</v>
      </c>
      <c r="B58" s="113" t="s">
        <v>1748</v>
      </c>
      <c r="C58" s="113" t="s">
        <v>1744</v>
      </c>
    </row>
    <row r="59" spans="1:3">
      <c r="A59" s="119">
        <v>38671</v>
      </c>
      <c r="B59" s="113" t="s">
        <v>1734</v>
      </c>
      <c r="C59" s="113" t="s">
        <v>1745</v>
      </c>
    </row>
    <row r="60" spans="1:3">
      <c r="A60" s="119">
        <v>38711</v>
      </c>
      <c r="B60" s="113" t="s">
        <v>1747</v>
      </c>
      <c r="C60" s="113" t="s">
        <v>1746</v>
      </c>
    </row>
    <row r="61" spans="1:3">
      <c r="A61" s="117">
        <v>38718</v>
      </c>
      <c r="B61" s="113" t="s">
        <v>1747</v>
      </c>
      <c r="C61" s="113" t="s">
        <v>1732</v>
      </c>
    </row>
    <row r="62" spans="1:3">
      <c r="A62" s="117">
        <v>38775</v>
      </c>
      <c r="B62" s="113" t="s">
        <v>1731</v>
      </c>
      <c r="C62" s="113" t="s">
        <v>1733</v>
      </c>
    </row>
    <row r="63" spans="1:3">
      <c r="A63" s="117">
        <v>38776</v>
      </c>
      <c r="B63" s="113" t="s">
        <v>1734</v>
      </c>
      <c r="C63" s="113" t="s">
        <v>1733</v>
      </c>
    </row>
    <row r="64" spans="1:3">
      <c r="A64" s="117">
        <v>38821</v>
      </c>
      <c r="B64" s="113" t="s">
        <v>1735</v>
      </c>
      <c r="C64" s="113" t="s">
        <v>1736</v>
      </c>
    </row>
    <row r="65" spans="1:3">
      <c r="A65" s="117">
        <v>38828</v>
      </c>
      <c r="B65" s="113" t="s">
        <v>1735</v>
      </c>
      <c r="C65" s="113" t="s">
        <v>1738</v>
      </c>
    </row>
    <row r="66" spans="1:3">
      <c r="A66" s="117">
        <v>38838</v>
      </c>
      <c r="B66" s="113" t="s">
        <v>1731</v>
      </c>
      <c r="C66" s="113" t="s">
        <v>1739</v>
      </c>
    </row>
    <row r="67" spans="1:3">
      <c r="A67" s="117">
        <v>38883</v>
      </c>
      <c r="B67" s="113" t="s">
        <v>1740</v>
      </c>
      <c r="C67" s="113" t="s">
        <v>1741</v>
      </c>
    </row>
    <row r="68" spans="1:3">
      <c r="A68" s="117">
        <v>38967</v>
      </c>
      <c r="B68" s="113" t="s">
        <v>1740</v>
      </c>
      <c r="C68" s="113" t="s">
        <v>1742</v>
      </c>
    </row>
    <row r="69" spans="1:3">
      <c r="A69" s="119">
        <v>39002</v>
      </c>
      <c r="B69" s="113" t="s">
        <v>1740</v>
      </c>
      <c r="C69" s="113" t="s">
        <v>1743</v>
      </c>
    </row>
    <row r="70" spans="1:3">
      <c r="A70" s="117">
        <v>39023</v>
      </c>
      <c r="B70" s="113" t="s">
        <v>1740</v>
      </c>
      <c r="C70" s="113" t="s">
        <v>1744</v>
      </c>
    </row>
    <row r="71" spans="1:3">
      <c r="A71" s="119">
        <v>39036</v>
      </c>
      <c r="B71" s="113" t="s">
        <v>1748</v>
      </c>
      <c r="C71" s="113" t="s">
        <v>1745</v>
      </c>
    </row>
    <row r="72" spans="1:3">
      <c r="A72" s="119">
        <v>39076</v>
      </c>
      <c r="B72" s="113" t="s">
        <v>1731</v>
      </c>
      <c r="C72" s="113" t="s">
        <v>1746</v>
      </c>
    </row>
    <row r="73" spans="1:3">
      <c r="A73" s="117">
        <v>39083</v>
      </c>
      <c r="B73" s="113" t="s">
        <v>1731</v>
      </c>
      <c r="C73" s="113" t="s">
        <v>1732</v>
      </c>
    </row>
    <row r="74" spans="1:3">
      <c r="A74" s="117">
        <v>39132</v>
      </c>
      <c r="B74" s="113" t="s">
        <v>1731</v>
      </c>
      <c r="C74" s="113" t="s">
        <v>1733</v>
      </c>
    </row>
    <row r="75" spans="1:3">
      <c r="A75" s="117">
        <v>39133</v>
      </c>
      <c r="B75" s="113" t="s">
        <v>1734</v>
      </c>
      <c r="C75" s="113" t="s">
        <v>1733</v>
      </c>
    </row>
    <row r="76" spans="1:3">
      <c r="A76" s="117">
        <v>39178</v>
      </c>
      <c r="B76" s="113" t="s">
        <v>1735</v>
      </c>
      <c r="C76" s="113" t="s">
        <v>1736</v>
      </c>
    </row>
    <row r="77" spans="1:3">
      <c r="A77" s="117">
        <v>39193</v>
      </c>
      <c r="B77" s="113" t="s">
        <v>1737</v>
      </c>
      <c r="C77" s="113" t="s">
        <v>1738</v>
      </c>
    </row>
    <row r="78" spans="1:3">
      <c r="A78" s="117">
        <v>39203</v>
      </c>
      <c r="B78" s="113" t="s">
        <v>1734</v>
      </c>
      <c r="C78" s="113" t="s">
        <v>1739</v>
      </c>
    </row>
    <row r="79" spans="1:3">
      <c r="A79" s="117">
        <v>39240</v>
      </c>
      <c r="B79" s="113" t="s">
        <v>1740</v>
      </c>
      <c r="C79" s="113" t="s">
        <v>1741</v>
      </c>
    </row>
    <row r="80" spans="1:3">
      <c r="A80" s="117">
        <v>39332</v>
      </c>
      <c r="B80" s="113" t="s">
        <v>1735</v>
      </c>
      <c r="C80" s="113" t="s">
        <v>1742</v>
      </c>
    </row>
    <row r="81" spans="1:3">
      <c r="A81" s="119">
        <v>39367</v>
      </c>
      <c r="B81" s="113" t="s">
        <v>1735</v>
      </c>
      <c r="C81" s="113" t="s">
        <v>1743</v>
      </c>
    </row>
    <row r="82" spans="1:3">
      <c r="A82" s="117">
        <v>39388</v>
      </c>
      <c r="B82" s="113" t="s">
        <v>1735</v>
      </c>
      <c r="C82" s="113" t="s">
        <v>1744</v>
      </c>
    </row>
    <row r="83" spans="1:3">
      <c r="A83" s="119">
        <v>39401</v>
      </c>
      <c r="B83" s="113" t="s">
        <v>1740</v>
      </c>
      <c r="C83" s="113" t="s">
        <v>1745</v>
      </c>
    </row>
    <row r="84" spans="1:3">
      <c r="A84" s="119">
        <v>39441</v>
      </c>
      <c r="B84" s="113" t="s">
        <v>1734</v>
      </c>
      <c r="C84" s="113" t="s">
        <v>1746</v>
      </c>
    </row>
    <row r="85" spans="1:3">
      <c r="A85" s="117">
        <v>39448</v>
      </c>
      <c r="B85" s="113" t="s">
        <v>1734</v>
      </c>
      <c r="C85" s="113" t="s">
        <v>1732</v>
      </c>
    </row>
    <row r="86" spans="1:3">
      <c r="A86" s="117">
        <v>39482</v>
      </c>
      <c r="B86" s="113" t="s">
        <v>1731</v>
      </c>
      <c r="C86" s="113" t="s">
        <v>1733</v>
      </c>
    </row>
    <row r="87" spans="1:3">
      <c r="A87" s="117">
        <v>39483</v>
      </c>
      <c r="B87" s="113" t="s">
        <v>1734</v>
      </c>
      <c r="C87" s="113" t="s">
        <v>1733</v>
      </c>
    </row>
    <row r="88" spans="1:3">
      <c r="A88" s="117">
        <v>39528</v>
      </c>
      <c r="B88" s="113" t="s">
        <v>1735</v>
      </c>
      <c r="C88" s="113" t="s">
        <v>1736</v>
      </c>
    </row>
    <row r="89" spans="1:3">
      <c r="A89" s="117">
        <v>39559</v>
      </c>
      <c r="B89" s="113" t="s">
        <v>1731</v>
      </c>
      <c r="C89" s="113" t="s">
        <v>1738</v>
      </c>
    </row>
    <row r="90" spans="1:3">
      <c r="A90" s="117">
        <v>39569</v>
      </c>
      <c r="B90" s="113" t="s">
        <v>1740</v>
      </c>
      <c r="C90" s="113" t="s">
        <v>1739</v>
      </c>
    </row>
    <row r="91" spans="1:3">
      <c r="A91" s="117">
        <v>39590</v>
      </c>
      <c r="B91" s="113" t="s">
        <v>1740</v>
      </c>
      <c r="C91" s="113" t="s">
        <v>1741</v>
      </c>
    </row>
    <row r="92" spans="1:3">
      <c r="A92" s="117">
        <v>39698</v>
      </c>
      <c r="B92" s="113" t="s">
        <v>1747</v>
      </c>
      <c r="C92" s="113" t="s">
        <v>1742</v>
      </c>
    </row>
    <row r="93" spans="1:3">
      <c r="A93" s="119">
        <v>39733</v>
      </c>
      <c r="B93" s="113" t="s">
        <v>1747</v>
      </c>
      <c r="C93" s="113" t="s">
        <v>1743</v>
      </c>
    </row>
    <row r="94" spans="1:3">
      <c r="A94" s="117">
        <v>39754</v>
      </c>
      <c r="B94" s="113" t="s">
        <v>1747</v>
      </c>
      <c r="C94" s="113" t="s">
        <v>1744</v>
      </c>
    </row>
    <row r="95" spans="1:3">
      <c r="A95" s="119">
        <v>39767</v>
      </c>
      <c r="B95" s="113" t="s">
        <v>1737</v>
      </c>
      <c r="C95" s="113" t="s">
        <v>1745</v>
      </c>
    </row>
    <row r="96" spans="1:3">
      <c r="A96" s="119">
        <v>39807</v>
      </c>
      <c r="B96" s="113" t="s">
        <v>1740</v>
      </c>
      <c r="C96" s="113" t="s">
        <v>1746</v>
      </c>
    </row>
    <row r="97" spans="1:3">
      <c r="A97" s="117">
        <v>39814</v>
      </c>
      <c r="B97" s="113" t="s">
        <v>1740</v>
      </c>
      <c r="C97" s="113" t="s">
        <v>1732</v>
      </c>
    </row>
    <row r="98" spans="1:3">
      <c r="A98" s="117">
        <v>39867</v>
      </c>
      <c r="B98" s="113" t="s">
        <v>1731</v>
      </c>
      <c r="C98" s="113" t="s">
        <v>1733</v>
      </c>
    </row>
    <row r="99" spans="1:3">
      <c r="A99" s="117">
        <v>39868</v>
      </c>
      <c r="B99" s="113" t="s">
        <v>1734</v>
      </c>
      <c r="C99" s="113" t="s">
        <v>1733</v>
      </c>
    </row>
    <row r="100" spans="1:3">
      <c r="A100" s="117">
        <v>39913</v>
      </c>
      <c r="B100" s="113" t="s">
        <v>1735</v>
      </c>
      <c r="C100" s="113" t="s">
        <v>1736</v>
      </c>
    </row>
    <row r="101" spans="1:3">
      <c r="A101" s="117">
        <v>39924</v>
      </c>
      <c r="B101" s="113" t="s">
        <v>1734</v>
      </c>
      <c r="C101" s="113" t="s">
        <v>1738</v>
      </c>
    </row>
    <row r="102" spans="1:3">
      <c r="A102" s="117">
        <v>39934</v>
      </c>
      <c r="B102" s="113" t="s">
        <v>1735</v>
      </c>
      <c r="C102" s="113" t="s">
        <v>1739</v>
      </c>
    </row>
    <row r="103" spans="1:3">
      <c r="A103" s="117">
        <v>39975</v>
      </c>
      <c r="B103" s="113" t="s">
        <v>1740</v>
      </c>
      <c r="C103" s="113" t="s">
        <v>1741</v>
      </c>
    </row>
    <row r="104" spans="1:3">
      <c r="A104" s="117">
        <v>40063</v>
      </c>
      <c r="B104" s="113" t="s">
        <v>1731</v>
      </c>
      <c r="C104" s="113" t="s">
        <v>1742</v>
      </c>
    </row>
    <row r="105" spans="1:3">
      <c r="A105" s="119">
        <v>40098</v>
      </c>
      <c r="B105" s="113" t="s">
        <v>1731</v>
      </c>
      <c r="C105" s="113" t="s">
        <v>1743</v>
      </c>
    </row>
    <row r="106" spans="1:3">
      <c r="A106" s="117">
        <v>40119</v>
      </c>
      <c r="B106" s="113" t="s">
        <v>1731</v>
      </c>
      <c r="C106" s="113" t="s">
        <v>1744</v>
      </c>
    </row>
    <row r="107" spans="1:3">
      <c r="A107" s="119">
        <v>40132</v>
      </c>
      <c r="B107" s="113" t="s">
        <v>1747</v>
      </c>
      <c r="C107" s="113" t="s">
        <v>1745</v>
      </c>
    </row>
    <row r="108" spans="1:3">
      <c r="A108" s="119">
        <v>40172</v>
      </c>
      <c r="B108" s="113" t="s">
        <v>1735</v>
      </c>
      <c r="C108" s="113" t="s">
        <v>1746</v>
      </c>
    </row>
    <row r="109" spans="1:3">
      <c r="A109" s="117">
        <v>40179</v>
      </c>
      <c r="B109" s="113" t="s">
        <v>1735</v>
      </c>
      <c r="C109" s="113" t="s">
        <v>1732</v>
      </c>
    </row>
    <row r="110" spans="1:3">
      <c r="A110" s="117">
        <v>40224</v>
      </c>
      <c r="B110" s="113" t="s">
        <v>1731</v>
      </c>
      <c r="C110" s="113" t="s">
        <v>1733</v>
      </c>
    </row>
    <row r="111" spans="1:3">
      <c r="A111" s="117">
        <v>40225</v>
      </c>
      <c r="B111" s="113" t="s">
        <v>1734</v>
      </c>
      <c r="C111" s="113" t="s">
        <v>1733</v>
      </c>
    </row>
    <row r="112" spans="1:3">
      <c r="A112" s="117">
        <v>40270</v>
      </c>
      <c r="B112" s="113" t="s">
        <v>1735</v>
      </c>
      <c r="C112" s="113" t="s">
        <v>1736</v>
      </c>
    </row>
    <row r="113" spans="1:3">
      <c r="A113" s="117">
        <v>40289</v>
      </c>
      <c r="B113" s="113" t="s">
        <v>1748</v>
      </c>
      <c r="C113" s="113" t="s">
        <v>1738</v>
      </c>
    </row>
    <row r="114" spans="1:3">
      <c r="A114" s="117">
        <v>40299</v>
      </c>
      <c r="B114" s="113" t="s">
        <v>1737</v>
      </c>
      <c r="C114" s="113" t="s">
        <v>1739</v>
      </c>
    </row>
    <row r="115" spans="1:3">
      <c r="A115" s="117">
        <v>40332</v>
      </c>
      <c r="B115" s="113" t="s">
        <v>1740</v>
      </c>
      <c r="C115" s="113" t="s">
        <v>1741</v>
      </c>
    </row>
    <row r="116" spans="1:3">
      <c r="A116" s="117">
        <v>40428</v>
      </c>
      <c r="B116" s="113" t="s">
        <v>1734</v>
      </c>
      <c r="C116" s="113" t="s">
        <v>1742</v>
      </c>
    </row>
    <row r="117" spans="1:3">
      <c r="A117" s="119">
        <v>40463</v>
      </c>
      <c r="B117" s="113" t="s">
        <v>1734</v>
      </c>
      <c r="C117" s="113" t="s">
        <v>1743</v>
      </c>
    </row>
    <row r="118" spans="1:3">
      <c r="A118" s="117">
        <v>40484</v>
      </c>
      <c r="B118" s="113" t="s">
        <v>1734</v>
      </c>
      <c r="C118" s="113" t="s">
        <v>1744</v>
      </c>
    </row>
    <row r="119" spans="1:3">
      <c r="A119" s="119">
        <v>40497</v>
      </c>
      <c r="B119" s="113" t="s">
        <v>1731</v>
      </c>
      <c r="C119" s="113" t="s">
        <v>1745</v>
      </c>
    </row>
    <row r="120" spans="1:3">
      <c r="A120" s="119">
        <v>40537</v>
      </c>
      <c r="B120" s="113" t="s">
        <v>1737</v>
      </c>
      <c r="C120" s="113" t="s">
        <v>1746</v>
      </c>
    </row>
    <row r="121" spans="1:3">
      <c r="A121" s="117">
        <v>40544</v>
      </c>
      <c r="B121" s="113" t="s">
        <v>1737</v>
      </c>
      <c r="C121" s="113" t="s">
        <v>1732</v>
      </c>
    </row>
    <row r="122" spans="1:3">
      <c r="A122" s="117">
        <v>40609</v>
      </c>
      <c r="B122" s="113" t="s">
        <v>1731</v>
      </c>
      <c r="C122" s="113" t="s">
        <v>1733</v>
      </c>
    </row>
    <row r="123" spans="1:3">
      <c r="A123" s="117">
        <v>40610</v>
      </c>
      <c r="B123" s="113" t="s">
        <v>1734</v>
      </c>
      <c r="C123" s="113" t="s">
        <v>1733</v>
      </c>
    </row>
    <row r="124" spans="1:3">
      <c r="A124" s="117">
        <v>40654</v>
      </c>
      <c r="B124" s="113" t="s">
        <v>1740</v>
      </c>
      <c r="C124" s="113" t="s">
        <v>1736</v>
      </c>
    </row>
    <row r="125" spans="1:3">
      <c r="A125" s="117">
        <v>40655</v>
      </c>
      <c r="B125" s="113" t="s">
        <v>1735</v>
      </c>
      <c r="C125" s="113" t="s">
        <v>1738</v>
      </c>
    </row>
    <row r="126" spans="1:3">
      <c r="A126" s="117">
        <v>40664</v>
      </c>
      <c r="B126" s="113" t="s">
        <v>1747</v>
      </c>
      <c r="C126" s="113" t="s">
        <v>1739</v>
      </c>
    </row>
    <row r="127" spans="1:3">
      <c r="A127" s="117">
        <v>40717</v>
      </c>
      <c r="B127" s="113" t="s">
        <v>1740</v>
      </c>
      <c r="C127" s="113" t="s">
        <v>1741</v>
      </c>
    </row>
    <row r="128" spans="1:3">
      <c r="A128" s="117">
        <v>40793</v>
      </c>
      <c r="B128" s="113" t="s">
        <v>1748</v>
      </c>
      <c r="C128" s="113" t="s">
        <v>1742</v>
      </c>
    </row>
    <row r="129" spans="1:3">
      <c r="A129" s="119">
        <v>40828</v>
      </c>
      <c r="B129" s="113" t="s">
        <v>1748</v>
      </c>
      <c r="C129" s="113" t="s">
        <v>1743</v>
      </c>
    </row>
    <row r="130" spans="1:3">
      <c r="A130" s="117">
        <v>40849</v>
      </c>
      <c r="B130" s="113" t="s">
        <v>1748</v>
      </c>
      <c r="C130" s="113" t="s">
        <v>1744</v>
      </c>
    </row>
    <row r="131" spans="1:3">
      <c r="A131" s="119">
        <v>40862</v>
      </c>
      <c r="B131" s="113" t="s">
        <v>1734</v>
      </c>
      <c r="C131" s="113" t="s">
        <v>1745</v>
      </c>
    </row>
    <row r="132" spans="1:3">
      <c r="A132" s="119">
        <v>40902</v>
      </c>
      <c r="B132" s="113" t="s">
        <v>1747</v>
      </c>
      <c r="C132" s="113" t="s">
        <v>1746</v>
      </c>
    </row>
    <row r="133" spans="1:3">
      <c r="A133" s="117">
        <v>40909</v>
      </c>
      <c r="B133" s="113" t="s">
        <v>1747</v>
      </c>
      <c r="C133" s="113" t="s">
        <v>1732</v>
      </c>
    </row>
    <row r="134" spans="1:3">
      <c r="A134" s="117">
        <v>40959</v>
      </c>
      <c r="B134" s="113" t="s">
        <v>1731</v>
      </c>
      <c r="C134" s="113" t="s">
        <v>1733</v>
      </c>
    </row>
    <row r="135" spans="1:3">
      <c r="A135" s="117">
        <v>40960</v>
      </c>
      <c r="B135" s="113" t="s">
        <v>1734</v>
      </c>
      <c r="C135" s="113" t="s">
        <v>1733</v>
      </c>
    </row>
    <row r="136" spans="1:3">
      <c r="A136" s="117">
        <v>41005</v>
      </c>
      <c r="B136" s="113" t="s">
        <v>1735</v>
      </c>
      <c r="C136" s="113" t="s">
        <v>1736</v>
      </c>
    </row>
    <row r="137" spans="1:3">
      <c r="A137" s="117">
        <v>41020</v>
      </c>
      <c r="B137" s="113" t="s">
        <v>1737</v>
      </c>
      <c r="C137" s="113" t="s">
        <v>1738</v>
      </c>
    </row>
    <row r="138" spans="1:3">
      <c r="A138" s="117">
        <v>41030</v>
      </c>
      <c r="B138" s="113" t="s">
        <v>1734</v>
      </c>
      <c r="C138" s="113" t="s">
        <v>1739</v>
      </c>
    </row>
    <row r="139" spans="1:3">
      <c r="A139" s="117">
        <v>41067</v>
      </c>
      <c r="B139" s="113" t="s">
        <v>1740</v>
      </c>
      <c r="C139" s="113" t="s">
        <v>1741</v>
      </c>
    </row>
    <row r="140" spans="1:3">
      <c r="A140" s="117">
        <v>41159</v>
      </c>
      <c r="B140" s="113" t="s">
        <v>1735</v>
      </c>
      <c r="C140" s="113" t="s">
        <v>1742</v>
      </c>
    </row>
    <row r="141" spans="1:3">
      <c r="A141" s="119">
        <v>41194</v>
      </c>
      <c r="B141" s="113" t="s">
        <v>1735</v>
      </c>
      <c r="C141" s="113" t="s">
        <v>1743</v>
      </c>
    </row>
    <row r="142" spans="1:3">
      <c r="A142" s="117">
        <v>41215</v>
      </c>
      <c r="B142" s="113" t="s">
        <v>1735</v>
      </c>
      <c r="C142" s="113" t="s">
        <v>1744</v>
      </c>
    </row>
    <row r="143" spans="1:3">
      <c r="A143" s="119">
        <v>41228</v>
      </c>
      <c r="B143" s="113" t="s">
        <v>1740</v>
      </c>
      <c r="C143" s="113" t="s">
        <v>1745</v>
      </c>
    </row>
    <row r="144" spans="1:3">
      <c r="A144" s="119">
        <v>41268</v>
      </c>
      <c r="B144" s="113" t="s">
        <v>1734</v>
      </c>
      <c r="C144" s="113" t="s">
        <v>1746</v>
      </c>
    </row>
    <row r="145" spans="1:3">
      <c r="A145" s="117">
        <v>41275</v>
      </c>
      <c r="B145" s="113" t="s">
        <v>1734</v>
      </c>
      <c r="C145" s="113" t="s">
        <v>1732</v>
      </c>
    </row>
    <row r="146" spans="1:3">
      <c r="A146" s="117">
        <v>41316</v>
      </c>
      <c r="B146" s="113" t="s">
        <v>1731</v>
      </c>
      <c r="C146" s="113" t="s">
        <v>1733</v>
      </c>
    </row>
    <row r="147" spans="1:3">
      <c r="A147" s="117">
        <v>41317</v>
      </c>
      <c r="B147" s="113" t="s">
        <v>1734</v>
      </c>
      <c r="C147" s="113" t="s">
        <v>1733</v>
      </c>
    </row>
    <row r="148" spans="1:3">
      <c r="A148" s="117">
        <v>41362</v>
      </c>
      <c r="B148" s="113" t="s">
        <v>1735</v>
      </c>
      <c r="C148" s="113" t="s">
        <v>1736</v>
      </c>
    </row>
    <row r="149" spans="1:3">
      <c r="A149" s="117">
        <v>41385</v>
      </c>
      <c r="B149" s="113" t="s">
        <v>1747</v>
      </c>
      <c r="C149" s="113" t="s">
        <v>1738</v>
      </c>
    </row>
    <row r="150" spans="1:3">
      <c r="A150" s="117">
        <v>41395</v>
      </c>
      <c r="B150" s="113" t="s">
        <v>1748</v>
      </c>
      <c r="C150" s="113" t="s">
        <v>1739</v>
      </c>
    </row>
    <row r="151" spans="1:3">
      <c r="A151" s="117">
        <v>41424</v>
      </c>
      <c r="B151" s="113" t="s">
        <v>1740</v>
      </c>
      <c r="C151" s="113" t="s">
        <v>1741</v>
      </c>
    </row>
    <row r="152" spans="1:3">
      <c r="A152" s="117">
        <v>41524</v>
      </c>
      <c r="B152" s="113" t="s">
        <v>1737</v>
      </c>
      <c r="C152" s="113" t="s">
        <v>1742</v>
      </c>
    </row>
    <row r="153" spans="1:3">
      <c r="A153" s="119">
        <v>41559</v>
      </c>
      <c r="B153" s="113" t="s">
        <v>1737</v>
      </c>
      <c r="C153" s="113" t="s">
        <v>1743</v>
      </c>
    </row>
    <row r="154" spans="1:3">
      <c r="A154" s="117">
        <v>41580</v>
      </c>
      <c r="B154" s="113" t="s">
        <v>1737</v>
      </c>
      <c r="C154" s="113" t="s">
        <v>1744</v>
      </c>
    </row>
    <row r="155" spans="1:3">
      <c r="A155" s="119">
        <v>41593</v>
      </c>
      <c r="B155" s="113" t="s">
        <v>1735</v>
      </c>
      <c r="C155" s="113" t="s">
        <v>1745</v>
      </c>
    </row>
    <row r="156" spans="1:3">
      <c r="A156" s="119">
        <v>41633</v>
      </c>
      <c r="B156" s="113" t="s">
        <v>1748</v>
      </c>
      <c r="C156" s="113" t="s">
        <v>1746</v>
      </c>
    </row>
    <row r="157" spans="1:3">
      <c r="A157" s="117">
        <v>41640</v>
      </c>
      <c r="B157" s="113" t="s">
        <v>1748</v>
      </c>
      <c r="C157" s="113" t="s">
        <v>1732</v>
      </c>
    </row>
    <row r="158" spans="1:3">
      <c r="A158" s="117">
        <v>41701</v>
      </c>
      <c r="B158" s="113" t="s">
        <v>1731</v>
      </c>
      <c r="C158" s="113" t="s">
        <v>1733</v>
      </c>
    </row>
    <row r="159" spans="1:3">
      <c r="A159" s="117">
        <v>41702</v>
      </c>
      <c r="B159" s="113" t="s">
        <v>1734</v>
      </c>
      <c r="C159" s="113" t="s">
        <v>1733</v>
      </c>
    </row>
    <row r="160" spans="1:3">
      <c r="A160" s="117">
        <v>41747</v>
      </c>
      <c r="B160" s="113" t="s">
        <v>1735</v>
      </c>
      <c r="C160" s="113" t="s">
        <v>1736</v>
      </c>
    </row>
    <row r="161" spans="1:3">
      <c r="A161" s="117">
        <v>41750</v>
      </c>
      <c r="B161" s="113" t="s">
        <v>1731</v>
      </c>
      <c r="C161" s="113" t="s">
        <v>1738</v>
      </c>
    </row>
    <row r="162" spans="1:3">
      <c r="A162" s="117">
        <v>41760</v>
      </c>
      <c r="B162" s="113" t="s">
        <v>1740</v>
      </c>
      <c r="C162" s="113" t="s">
        <v>1739</v>
      </c>
    </row>
    <row r="163" spans="1:3">
      <c r="A163" s="117">
        <v>41809</v>
      </c>
      <c r="B163" s="113" t="s">
        <v>1740</v>
      </c>
      <c r="C163" s="113" t="s">
        <v>1741</v>
      </c>
    </row>
    <row r="164" spans="1:3">
      <c r="A164" s="117">
        <v>41889</v>
      </c>
      <c r="B164" s="113" t="s">
        <v>1747</v>
      </c>
      <c r="C164" s="113" t="s">
        <v>1742</v>
      </c>
    </row>
    <row r="165" spans="1:3">
      <c r="A165" s="119">
        <v>41924</v>
      </c>
      <c r="B165" s="113" t="s">
        <v>1747</v>
      </c>
      <c r="C165" s="113" t="s">
        <v>1743</v>
      </c>
    </row>
    <row r="166" spans="1:3">
      <c r="A166" s="117">
        <v>41945</v>
      </c>
      <c r="B166" s="113" t="s">
        <v>1747</v>
      </c>
      <c r="C166" s="113" t="s">
        <v>1744</v>
      </c>
    </row>
    <row r="167" spans="1:3">
      <c r="A167" s="119">
        <v>41958</v>
      </c>
      <c r="B167" s="113" t="s">
        <v>1737</v>
      </c>
      <c r="C167" s="113" t="s">
        <v>1745</v>
      </c>
    </row>
    <row r="168" spans="1:3">
      <c r="A168" s="119">
        <v>41998</v>
      </c>
      <c r="B168" s="113" t="s">
        <v>1740</v>
      </c>
      <c r="C168" s="113" t="s">
        <v>1746</v>
      </c>
    </row>
    <row r="169" spans="1:3">
      <c r="A169" s="117">
        <v>42005</v>
      </c>
      <c r="B169" s="113" t="s">
        <v>1740</v>
      </c>
      <c r="C169" s="113" t="s">
        <v>1732</v>
      </c>
    </row>
    <row r="170" spans="1:3">
      <c r="A170" s="117">
        <v>42051</v>
      </c>
      <c r="B170" s="113" t="s">
        <v>1731</v>
      </c>
      <c r="C170" s="113" t="s">
        <v>1733</v>
      </c>
    </row>
    <row r="171" spans="1:3">
      <c r="A171" s="117">
        <v>42052</v>
      </c>
      <c r="B171" s="113" t="s">
        <v>1734</v>
      </c>
      <c r="C171" s="113" t="s">
        <v>1733</v>
      </c>
    </row>
    <row r="172" spans="1:3">
      <c r="A172" s="117">
        <v>42097</v>
      </c>
      <c r="B172" s="113" t="s">
        <v>1735</v>
      </c>
      <c r="C172" s="113" t="s">
        <v>1736</v>
      </c>
    </row>
    <row r="173" spans="1:3">
      <c r="A173" s="117">
        <v>42115</v>
      </c>
      <c r="B173" s="113" t="s">
        <v>1734</v>
      </c>
      <c r="C173" s="113" t="s">
        <v>1738</v>
      </c>
    </row>
    <row r="174" spans="1:3">
      <c r="A174" s="117">
        <v>42125</v>
      </c>
      <c r="B174" s="113" t="s">
        <v>1735</v>
      </c>
      <c r="C174" s="113" t="s">
        <v>1739</v>
      </c>
    </row>
    <row r="175" spans="1:3">
      <c r="A175" s="117">
        <v>42159</v>
      </c>
      <c r="B175" s="113" t="s">
        <v>1740</v>
      </c>
      <c r="C175" s="113" t="s">
        <v>1741</v>
      </c>
    </row>
    <row r="176" spans="1:3">
      <c r="A176" s="117">
        <v>42254</v>
      </c>
      <c r="B176" s="113" t="s">
        <v>1731</v>
      </c>
      <c r="C176" s="113" t="s">
        <v>1742</v>
      </c>
    </row>
    <row r="177" spans="1:3">
      <c r="A177" s="119">
        <v>42289</v>
      </c>
      <c r="B177" s="113" t="s">
        <v>1731</v>
      </c>
      <c r="C177" s="113" t="s">
        <v>1743</v>
      </c>
    </row>
    <row r="178" spans="1:3">
      <c r="A178" s="117">
        <v>42310</v>
      </c>
      <c r="B178" s="113" t="s">
        <v>1731</v>
      </c>
      <c r="C178" s="113" t="s">
        <v>1744</v>
      </c>
    </row>
    <row r="179" spans="1:3">
      <c r="A179" s="119">
        <v>42323</v>
      </c>
      <c r="B179" s="113" t="s">
        <v>1747</v>
      </c>
      <c r="C179" s="113" t="s">
        <v>1745</v>
      </c>
    </row>
    <row r="180" spans="1:3">
      <c r="A180" s="119">
        <v>42363</v>
      </c>
      <c r="B180" s="113" t="s">
        <v>1735</v>
      </c>
      <c r="C180" s="113" t="s">
        <v>1746</v>
      </c>
    </row>
    <row r="181" spans="1:3">
      <c r="A181" s="117">
        <v>42370</v>
      </c>
      <c r="B181" s="113" t="s">
        <v>1735</v>
      </c>
      <c r="C181" s="113" t="s">
        <v>1732</v>
      </c>
    </row>
    <row r="182" spans="1:3">
      <c r="A182" s="117">
        <v>42408</v>
      </c>
      <c r="B182" s="113" t="s">
        <v>1731</v>
      </c>
      <c r="C182" s="113" t="s">
        <v>1733</v>
      </c>
    </row>
    <row r="183" spans="1:3">
      <c r="A183" s="117">
        <v>42409</v>
      </c>
      <c r="B183" s="113" t="s">
        <v>1734</v>
      </c>
      <c r="C183" s="113" t="s">
        <v>1733</v>
      </c>
    </row>
    <row r="184" spans="1:3">
      <c r="A184" s="117">
        <v>42454</v>
      </c>
      <c r="B184" s="113" t="s">
        <v>1735</v>
      </c>
      <c r="C184" s="113" t="s">
        <v>1736</v>
      </c>
    </row>
    <row r="185" spans="1:3">
      <c r="A185" s="117">
        <v>42481</v>
      </c>
      <c r="B185" s="113" t="s">
        <v>1740</v>
      </c>
      <c r="C185" s="113" t="s">
        <v>1738</v>
      </c>
    </row>
    <row r="186" spans="1:3">
      <c r="A186" s="117">
        <v>42491</v>
      </c>
      <c r="B186" s="113" t="s">
        <v>1747</v>
      </c>
      <c r="C186" s="113" t="s">
        <v>1739</v>
      </c>
    </row>
    <row r="187" spans="1:3">
      <c r="A187" s="117">
        <v>42516</v>
      </c>
      <c r="B187" s="113" t="s">
        <v>1740</v>
      </c>
      <c r="C187" s="113" t="s">
        <v>1741</v>
      </c>
    </row>
    <row r="188" spans="1:3">
      <c r="A188" s="117">
        <v>42620</v>
      </c>
      <c r="B188" s="113" t="s">
        <v>1748</v>
      </c>
      <c r="C188" s="113" t="s">
        <v>1742</v>
      </c>
    </row>
    <row r="189" spans="1:3">
      <c r="A189" s="119">
        <v>42655</v>
      </c>
      <c r="B189" s="113" t="s">
        <v>1748</v>
      </c>
      <c r="C189" s="113" t="s">
        <v>1743</v>
      </c>
    </row>
    <row r="190" spans="1:3">
      <c r="A190" s="117">
        <v>42676</v>
      </c>
      <c r="B190" s="113" t="s">
        <v>1748</v>
      </c>
      <c r="C190" s="113" t="s">
        <v>1744</v>
      </c>
    </row>
    <row r="191" spans="1:3">
      <c r="A191" s="119">
        <v>42689</v>
      </c>
      <c r="B191" s="113" t="s">
        <v>1734</v>
      </c>
      <c r="C191" s="113" t="s">
        <v>1745</v>
      </c>
    </row>
    <row r="192" spans="1:3">
      <c r="A192" s="119">
        <v>42729</v>
      </c>
      <c r="B192" s="113" t="s">
        <v>1747</v>
      </c>
      <c r="C192" s="113" t="s">
        <v>1746</v>
      </c>
    </row>
    <row r="193" spans="1:3">
      <c r="A193" s="117">
        <v>42736</v>
      </c>
      <c r="B193" s="113" t="s">
        <v>1747</v>
      </c>
      <c r="C193" s="113" t="s">
        <v>1732</v>
      </c>
    </row>
    <row r="194" spans="1:3">
      <c r="A194" s="117">
        <v>42793</v>
      </c>
      <c r="B194" s="113" t="s">
        <v>1731</v>
      </c>
      <c r="C194" s="113" t="s">
        <v>1733</v>
      </c>
    </row>
    <row r="195" spans="1:3">
      <c r="A195" s="117">
        <v>42794</v>
      </c>
      <c r="B195" s="113" t="s">
        <v>1734</v>
      </c>
      <c r="C195" s="113" t="s">
        <v>1733</v>
      </c>
    </row>
    <row r="196" spans="1:3">
      <c r="A196" s="117">
        <v>42839</v>
      </c>
      <c r="B196" s="113" t="s">
        <v>1735</v>
      </c>
      <c r="C196" s="113" t="s">
        <v>1736</v>
      </c>
    </row>
    <row r="197" spans="1:3">
      <c r="A197" s="117">
        <v>42846</v>
      </c>
      <c r="B197" s="113" t="s">
        <v>1735</v>
      </c>
      <c r="C197" s="113" t="s">
        <v>1738</v>
      </c>
    </row>
    <row r="198" spans="1:3">
      <c r="A198" s="117">
        <v>42856</v>
      </c>
      <c r="B198" s="113" t="s">
        <v>1731</v>
      </c>
      <c r="C198" s="113" t="s">
        <v>1739</v>
      </c>
    </row>
    <row r="199" spans="1:3">
      <c r="A199" s="117">
        <v>42901</v>
      </c>
      <c r="B199" s="113" t="s">
        <v>1740</v>
      </c>
      <c r="C199" s="113" t="s">
        <v>1741</v>
      </c>
    </row>
    <row r="200" spans="1:3">
      <c r="A200" s="117">
        <v>42985</v>
      </c>
      <c r="B200" s="113" t="s">
        <v>1740</v>
      </c>
      <c r="C200" s="113" t="s">
        <v>1742</v>
      </c>
    </row>
    <row r="201" spans="1:3">
      <c r="A201" s="119">
        <v>43020</v>
      </c>
      <c r="B201" s="113" t="s">
        <v>1740</v>
      </c>
      <c r="C201" s="113" t="s">
        <v>1743</v>
      </c>
    </row>
    <row r="202" spans="1:3">
      <c r="A202" s="117">
        <v>43041</v>
      </c>
      <c r="B202" s="113" t="s">
        <v>1740</v>
      </c>
      <c r="C202" s="113" t="s">
        <v>1744</v>
      </c>
    </row>
    <row r="203" spans="1:3">
      <c r="A203" s="119">
        <v>43054</v>
      </c>
      <c r="B203" s="113" t="s">
        <v>1748</v>
      </c>
      <c r="C203" s="113" t="s">
        <v>1745</v>
      </c>
    </row>
    <row r="204" spans="1:3">
      <c r="A204" s="119">
        <v>43094</v>
      </c>
      <c r="B204" s="113" t="s">
        <v>1731</v>
      </c>
      <c r="C204" s="113" t="s">
        <v>1746</v>
      </c>
    </row>
    <row r="205" spans="1:3">
      <c r="A205" s="117">
        <v>43101</v>
      </c>
      <c r="B205" s="113" t="s">
        <v>1731</v>
      </c>
      <c r="C205" s="113" t="s">
        <v>1732</v>
      </c>
    </row>
    <row r="206" spans="1:3">
      <c r="A206" s="117">
        <v>43143</v>
      </c>
      <c r="B206" s="113" t="s">
        <v>1731</v>
      </c>
      <c r="C206" s="113" t="s">
        <v>1733</v>
      </c>
    </row>
    <row r="207" spans="1:3">
      <c r="A207" s="117">
        <v>43144</v>
      </c>
      <c r="B207" s="113" t="s">
        <v>1734</v>
      </c>
      <c r="C207" s="113" t="s">
        <v>1733</v>
      </c>
    </row>
    <row r="208" spans="1:3">
      <c r="A208" s="117">
        <v>43189</v>
      </c>
      <c r="B208" s="113" t="s">
        <v>1735</v>
      </c>
      <c r="C208" s="113" t="s">
        <v>1736</v>
      </c>
    </row>
    <row r="209" spans="1:3">
      <c r="A209" s="117">
        <v>43211</v>
      </c>
      <c r="B209" s="113" t="s">
        <v>1737</v>
      </c>
      <c r="C209" s="113" t="s">
        <v>1738</v>
      </c>
    </row>
    <row r="210" spans="1:3">
      <c r="A210" s="117">
        <v>43221</v>
      </c>
      <c r="B210" s="113" t="s">
        <v>1734</v>
      </c>
      <c r="C210" s="113" t="s">
        <v>1739</v>
      </c>
    </row>
    <row r="211" spans="1:3">
      <c r="A211" s="117">
        <v>43251</v>
      </c>
      <c r="B211" s="113" t="s">
        <v>1740</v>
      </c>
      <c r="C211" s="113" t="s">
        <v>1741</v>
      </c>
    </row>
    <row r="212" spans="1:3">
      <c r="A212" s="117">
        <v>43350</v>
      </c>
      <c r="B212" s="113" t="s">
        <v>1735</v>
      </c>
      <c r="C212" s="113" t="s">
        <v>1742</v>
      </c>
    </row>
    <row r="213" spans="1:3">
      <c r="A213" s="119">
        <v>43385</v>
      </c>
      <c r="B213" s="113" t="s">
        <v>1735</v>
      </c>
      <c r="C213" s="113" t="s">
        <v>1743</v>
      </c>
    </row>
    <row r="214" spans="1:3">
      <c r="A214" s="117">
        <v>43406</v>
      </c>
      <c r="B214" s="113" t="s">
        <v>1735</v>
      </c>
      <c r="C214" s="113" t="s">
        <v>1744</v>
      </c>
    </row>
    <row r="215" spans="1:3">
      <c r="A215" s="119">
        <v>43419</v>
      </c>
      <c r="B215" s="113" t="s">
        <v>1740</v>
      </c>
      <c r="C215" s="113" t="s">
        <v>1745</v>
      </c>
    </row>
    <row r="216" spans="1:3">
      <c r="A216" s="119">
        <v>43459</v>
      </c>
      <c r="B216" s="113" t="s">
        <v>1734</v>
      </c>
      <c r="C216" s="113" t="s">
        <v>1746</v>
      </c>
    </row>
    <row r="217" spans="1:3">
      <c r="A217" s="117">
        <v>43466</v>
      </c>
      <c r="B217" s="113" t="s">
        <v>1734</v>
      </c>
      <c r="C217" s="113" t="s">
        <v>1732</v>
      </c>
    </row>
    <row r="218" spans="1:3">
      <c r="A218" s="117">
        <v>43528</v>
      </c>
      <c r="B218" s="113" t="s">
        <v>1731</v>
      </c>
      <c r="C218" s="113" t="s">
        <v>1733</v>
      </c>
    </row>
    <row r="219" spans="1:3">
      <c r="A219" s="117">
        <v>43529</v>
      </c>
      <c r="B219" s="113" t="s">
        <v>1734</v>
      </c>
      <c r="C219" s="113" t="s">
        <v>1733</v>
      </c>
    </row>
    <row r="220" spans="1:3">
      <c r="A220" s="117">
        <v>43574</v>
      </c>
      <c r="B220" s="113" t="s">
        <v>1735</v>
      </c>
      <c r="C220" s="113" t="s">
        <v>1736</v>
      </c>
    </row>
    <row r="221" spans="1:3">
      <c r="A221" s="117">
        <v>43576</v>
      </c>
      <c r="B221" s="113" t="s">
        <v>1747</v>
      </c>
      <c r="C221" s="113" t="s">
        <v>1738</v>
      </c>
    </row>
    <row r="222" spans="1:3">
      <c r="A222" s="117">
        <v>43586</v>
      </c>
      <c r="B222" s="113" t="s">
        <v>1748</v>
      </c>
      <c r="C222" s="113" t="s">
        <v>1739</v>
      </c>
    </row>
    <row r="223" spans="1:3">
      <c r="A223" s="117">
        <v>43636</v>
      </c>
      <c r="B223" s="113" t="s">
        <v>1740</v>
      </c>
      <c r="C223" s="113" t="s">
        <v>1741</v>
      </c>
    </row>
    <row r="224" spans="1:3">
      <c r="A224" s="117">
        <v>43715</v>
      </c>
      <c r="B224" s="113" t="s">
        <v>1737</v>
      </c>
      <c r="C224" s="113" t="s">
        <v>1742</v>
      </c>
    </row>
    <row r="225" spans="1:3">
      <c r="A225" s="119">
        <v>43750</v>
      </c>
      <c r="B225" s="113" t="s">
        <v>1737</v>
      </c>
      <c r="C225" s="113" t="s">
        <v>1743</v>
      </c>
    </row>
    <row r="226" spans="1:3">
      <c r="A226" s="117">
        <v>43771</v>
      </c>
      <c r="B226" s="113" t="s">
        <v>1737</v>
      </c>
      <c r="C226" s="113" t="s">
        <v>1744</v>
      </c>
    </row>
    <row r="227" spans="1:3">
      <c r="A227" s="119">
        <v>43784</v>
      </c>
      <c r="B227" s="113" t="s">
        <v>1735</v>
      </c>
      <c r="C227" s="113" t="s">
        <v>1745</v>
      </c>
    </row>
    <row r="228" spans="1:3">
      <c r="A228" s="119">
        <v>43824</v>
      </c>
      <c r="B228" s="113" t="s">
        <v>1748</v>
      </c>
      <c r="C228" s="113" t="s">
        <v>1746</v>
      </c>
    </row>
    <row r="229" spans="1:3">
      <c r="A229" s="117">
        <v>43831</v>
      </c>
      <c r="B229" s="113" t="s">
        <v>1748</v>
      </c>
      <c r="C229" s="113" t="s">
        <v>1732</v>
      </c>
    </row>
    <row r="230" spans="1:3">
      <c r="A230" s="117">
        <v>43885</v>
      </c>
      <c r="B230" s="113" t="s">
        <v>1731</v>
      </c>
      <c r="C230" s="113" t="s">
        <v>1733</v>
      </c>
    </row>
    <row r="231" spans="1:3">
      <c r="A231" s="117">
        <v>43886</v>
      </c>
      <c r="B231" s="113" t="s">
        <v>1734</v>
      </c>
      <c r="C231" s="113" t="s">
        <v>1733</v>
      </c>
    </row>
    <row r="232" spans="1:3">
      <c r="A232" s="117">
        <v>43931</v>
      </c>
      <c r="B232" s="113" t="s">
        <v>1735</v>
      </c>
      <c r="C232" s="113" t="s">
        <v>1736</v>
      </c>
    </row>
    <row r="233" spans="1:3">
      <c r="A233" s="117">
        <v>43942</v>
      </c>
      <c r="B233" s="113" t="s">
        <v>1734</v>
      </c>
      <c r="C233" s="113" t="s">
        <v>1738</v>
      </c>
    </row>
    <row r="234" spans="1:3">
      <c r="A234" s="117">
        <v>43952</v>
      </c>
      <c r="B234" s="113" t="s">
        <v>1735</v>
      </c>
      <c r="C234" s="113" t="s">
        <v>1739</v>
      </c>
    </row>
    <row r="235" spans="1:3">
      <c r="A235" s="117">
        <v>43993</v>
      </c>
      <c r="B235" s="113" t="s">
        <v>1740</v>
      </c>
      <c r="C235" s="113" t="s">
        <v>1741</v>
      </c>
    </row>
    <row r="236" spans="1:3">
      <c r="A236" s="117">
        <v>44081</v>
      </c>
      <c r="B236" s="113" t="s">
        <v>1731</v>
      </c>
      <c r="C236" s="113" t="s">
        <v>1742</v>
      </c>
    </row>
    <row r="237" spans="1:3">
      <c r="A237" s="119">
        <v>44116</v>
      </c>
      <c r="B237" s="113" t="s">
        <v>1731</v>
      </c>
      <c r="C237" s="113" t="s">
        <v>1743</v>
      </c>
    </row>
    <row r="238" spans="1:3">
      <c r="A238" s="117">
        <v>44137</v>
      </c>
      <c r="B238" s="113" t="s">
        <v>1731</v>
      </c>
      <c r="C238" s="113" t="s">
        <v>1744</v>
      </c>
    </row>
    <row r="239" spans="1:3">
      <c r="A239" s="119">
        <v>44150</v>
      </c>
      <c r="B239" s="113" t="s">
        <v>1747</v>
      </c>
      <c r="C239" s="113" t="s">
        <v>1745</v>
      </c>
    </row>
    <row r="240" spans="1:3">
      <c r="A240" s="119">
        <v>44190</v>
      </c>
      <c r="B240" s="113" t="s">
        <v>1735</v>
      </c>
      <c r="C240" s="113" t="s">
        <v>1746</v>
      </c>
    </row>
    <row r="241" spans="1:3">
      <c r="A241" s="117">
        <v>44197</v>
      </c>
      <c r="B241" s="113" t="s">
        <v>1735</v>
      </c>
      <c r="C241" s="113" t="s">
        <v>1732</v>
      </c>
    </row>
    <row r="242" spans="1:3">
      <c r="A242" s="117">
        <v>44242</v>
      </c>
      <c r="B242" s="113" t="s">
        <v>1731</v>
      </c>
      <c r="C242" s="113" t="s">
        <v>1733</v>
      </c>
    </row>
    <row r="243" spans="1:3">
      <c r="A243" s="117">
        <v>44243</v>
      </c>
      <c r="B243" s="113" t="s">
        <v>1734</v>
      </c>
      <c r="C243" s="113" t="s">
        <v>1733</v>
      </c>
    </row>
    <row r="244" spans="1:3">
      <c r="A244" s="117">
        <v>44288</v>
      </c>
      <c r="B244" s="113" t="s">
        <v>1735</v>
      </c>
      <c r="C244" s="113" t="s">
        <v>1736</v>
      </c>
    </row>
    <row r="245" spans="1:3">
      <c r="A245" s="117">
        <v>44307</v>
      </c>
      <c r="B245" s="113" t="s">
        <v>1748</v>
      </c>
      <c r="C245" s="113" t="s">
        <v>1738</v>
      </c>
    </row>
    <row r="246" spans="1:3">
      <c r="A246" s="117">
        <v>44317</v>
      </c>
      <c r="B246" s="113" t="s">
        <v>1737</v>
      </c>
      <c r="C246" s="113" t="s">
        <v>1739</v>
      </c>
    </row>
    <row r="247" spans="1:3">
      <c r="A247" s="117">
        <v>44350</v>
      </c>
      <c r="B247" s="113" t="s">
        <v>1740</v>
      </c>
      <c r="C247" s="113" t="s">
        <v>1741</v>
      </c>
    </row>
    <row r="248" spans="1:3">
      <c r="A248" s="117">
        <v>44446</v>
      </c>
      <c r="B248" s="113" t="s">
        <v>1734</v>
      </c>
      <c r="C248" s="113" t="s">
        <v>1742</v>
      </c>
    </row>
    <row r="249" spans="1:3">
      <c r="A249" s="119">
        <v>44481</v>
      </c>
      <c r="B249" s="113" t="s">
        <v>1734</v>
      </c>
      <c r="C249" s="113" t="s">
        <v>1743</v>
      </c>
    </row>
    <row r="250" spans="1:3">
      <c r="A250" s="117">
        <v>44502</v>
      </c>
      <c r="B250" s="113" t="s">
        <v>1734</v>
      </c>
      <c r="C250" s="113" t="s">
        <v>1744</v>
      </c>
    </row>
    <row r="251" spans="1:3">
      <c r="A251" s="119">
        <v>44515</v>
      </c>
      <c r="B251" s="113" t="s">
        <v>1731</v>
      </c>
      <c r="C251" s="113" t="s">
        <v>1745</v>
      </c>
    </row>
    <row r="252" spans="1:3">
      <c r="A252" s="119">
        <v>44555</v>
      </c>
      <c r="B252" s="113" t="s">
        <v>1737</v>
      </c>
      <c r="C252" s="113" t="s">
        <v>1746</v>
      </c>
    </row>
    <row r="253" spans="1:3">
      <c r="A253" s="117">
        <v>44562</v>
      </c>
      <c r="B253" s="113" t="s">
        <v>1737</v>
      </c>
      <c r="C253" s="113" t="s">
        <v>1732</v>
      </c>
    </row>
    <row r="254" spans="1:3">
      <c r="A254" s="117">
        <v>44620</v>
      </c>
      <c r="B254" s="113" t="s">
        <v>1731</v>
      </c>
      <c r="C254" s="113" t="s">
        <v>1733</v>
      </c>
    </row>
    <row r="255" spans="1:3">
      <c r="A255" s="117">
        <v>44621</v>
      </c>
      <c r="B255" s="113" t="s">
        <v>1734</v>
      </c>
      <c r="C255" s="113" t="s">
        <v>1733</v>
      </c>
    </row>
    <row r="256" spans="1:3">
      <c r="A256" s="117">
        <v>44666</v>
      </c>
      <c r="B256" s="113" t="s">
        <v>1735</v>
      </c>
      <c r="C256" s="113" t="s">
        <v>1736</v>
      </c>
    </row>
    <row r="257" spans="1:3">
      <c r="A257" s="117">
        <v>44672</v>
      </c>
      <c r="B257" s="113" t="s">
        <v>1740</v>
      </c>
      <c r="C257" s="113" t="s">
        <v>1738</v>
      </c>
    </row>
    <row r="258" spans="1:3">
      <c r="A258" s="117">
        <v>44682</v>
      </c>
      <c r="B258" s="113" t="s">
        <v>1747</v>
      </c>
      <c r="C258" s="113" t="s">
        <v>1739</v>
      </c>
    </row>
    <row r="259" spans="1:3">
      <c r="A259" s="117">
        <v>44728</v>
      </c>
      <c r="B259" s="113" t="s">
        <v>1740</v>
      </c>
      <c r="C259" s="113" t="s">
        <v>1741</v>
      </c>
    </row>
    <row r="260" spans="1:3">
      <c r="A260" s="117">
        <v>44811</v>
      </c>
      <c r="B260" s="113" t="s">
        <v>1748</v>
      </c>
      <c r="C260" s="113" t="s">
        <v>1742</v>
      </c>
    </row>
    <row r="261" spans="1:3">
      <c r="A261" s="119">
        <v>44846</v>
      </c>
      <c r="B261" s="113" t="s">
        <v>1748</v>
      </c>
      <c r="C261" s="113" t="s">
        <v>1743</v>
      </c>
    </row>
    <row r="262" spans="1:3">
      <c r="A262" s="117">
        <v>44867</v>
      </c>
      <c r="B262" s="113" t="s">
        <v>1748</v>
      </c>
      <c r="C262" s="113" t="s">
        <v>1744</v>
      </c>
    </row>
    <row r="263" spans="1:3">
      <c r="A263" s="119">
        <v>44880</v>
      </c>
      <c r="B263" s="113" t="s">
        <v>1734</v>
      </c>
      <c r="C263" s="113" t="s">
        <v>1745</v>
      </c>
    </row>
    <row r="264" spans="1:3">
      <c r="A264" s="119">
        <v>44920</v>
      </c>
      <c r="B264" s="113" t="s">
        <v>1747</v>
      </c>
      <c r="C264" s="113" t="s">
        <v>1746</v>
      </c>
    </row>
    <row r="265" spans="1:3">
      <c r="A265" s="117">
        <v>44927</v>
      </c>
      <c r="B265" s="113" t="s">
        <v>1747</v>
      </c>
      <c r="C265" s="113" t="s">
        <v>1732</v>
      </c>
    </row>
    <row r="266" spans="1:3">
      <c r="A266" s="117">
        <v>44977</v>
      </c>
      <c r="B266" s="113" t="s">
        <v>1731</v>
      </c>
      <c r="C266" s="113" t="s">
        <v>1733</v>
      </c>
    </row>
    <row r="267" spans="1:3">
      <c r="A267" s="117">
        <v>44978</v>
      </c>
      <c r="B267" s="113" t="s">
        <v>1734</v>
      </c>
      <c r="C267" s="113" t="s">
        <v>1733</v>
      </c>
    </row>
    <row r="268" spans="1:3">
      <c r="A268" s="117">
        <v>45023</v>
      </c>
      <c r="B268" s="113" t="s">
        <v>1735</v>
      </c>
      <c r="C268" s="113" t="s">
        <v>1736</v>
      </c>
    </row>
    <row r="269" spans="1:3">
      <c r="A269" s="117">
        <v>45037</v>
      </c>
      <c r="B269" s="113" t="s">
        <v>1735</v>
      </c>
      <c r="C269" s="113" t="s">
        <v>1738</v>
      </c>
    </row>
    <row r="270" spans="1:3">
      <c r="A270" s="117">
        <v>45047</v>
      </c>
      <c r="B270" s="113" t="s">
        <v>1731</v>
      </c>
      <c r="C270" s="113" t="s">
        <v>1739</v>
      </c>
    </row>
    <row r="271" spans="1:3">
      <c r="A271" s="117">
        <v>45085</v>
      </c>
      <c r="B271" s="113" t="s">
        <v>1740</v>
      </c>
      <c r="C271" s="113" t="s">
        <v>1741</v>
      </c>
    </row>
    <row r="272" spans="1:3">
      <c r="A272" s="117">
        <v>45176</v>
      </c>
      <c r="B272" s="113" t="s">
        <v>1740</v>
      </c>
      <c r="C272" s="113" t="s">
        <v>1742</v>
      </c>
    </row>
    <row r="273" spans="1:3">
      <c r="A273" s="119">
        <v>45211</v>
      </c>
      <c r="B273" s="113" t="s">
        <v>1740</v>
      </c>
      <c r="C273" s="113" t="s">
        <v>1743</v>
      </c>
    </row>
    <row r="274" spans="1:3">
      <c r="A274" s="117">
        <v>45232</v>
      </c>
      <c r="B274" s="113" t="s">
        <v>1740</v>
      </c>
      <c r="C274" s="113" t="s">
        <v>1744</v>
      </c>
    </row>
    <row r="275" spans="1:3">
      <c r="A275" s="119">
        <v>45245</v>
      </c>
      <c r="B275" s="113" t="s">
        <v>1748</v>
      </c>
      <c r="C275" s="113" t="s">
        <v>1745</v>
      </c>
    </row>
    <row r="276" spans="1:3">
      <c r="A276" s="119">
        <v>45285</v>
      </c>
      <c r="B276" s="113" t="s">
        <v>1731</v>
      </c>
      <c r="C276" s="113" t="s">
        <v>1746</v>
      </c>
    </row>
    <row r="277" spans="1:3">
      <c r="A277" s="117">
        <v>45292</v>
      </c>
      <c r="B277" s="113" t="s">
        <v>1731</v>
      </c>
      <c r="C277" s="113" t="s">
        <v>1732</v>
      </c>
    </row>
    <row r="278" spans="1:3">
      <c r="A278" s="117">
        <v>45334</v>
      </c>
      <c r="B278" s="113" t="s">
        <v>1731</v>
      </c>
      <c r="C278" s="113" t="s">
        <v>1733</v>
      </c>
    </row>
    <row r="279" spans="1:3">
      <c r="A279" s="117">
        <v>45335</v>
      </c>
      <c r="B279" s="113" t="s">
        <v>1734</v>
      </c>
      <c r="C279" s="113" t="s">
        <v>1733</v>
      </c>
    </row>
    <row r="280" spans="1:3">
      <c r="A280" s="117">
        <v>45380</v>
      </c>
      <c r="B280" s="113" t="s">
        <v>1735</v>
      </c>
      <c r="C280" s="113" t="s">
        <v>1736</v>
      </c>
    </row>
    <row r="281" spans="1:3">
      <c r="A281" s="117">
        <v>45403</v>
      </c>
      <c r="B281" s="113" t="s">
        <v>1747</v>
      </c>
      <c r="C281" s="113" t="s">
        <v>1738</v>
      </c>
    </row>
    <row r="282" spans="1:3">
      <c r="A282" s="117">
        <v>45413</v>
      </c>
      <c r="B282" s="113" t="s">
        <v>1748</v>
      </c>
      <c r="C282" s="113" t="s">
        <v>1739</v>
      </c>
    </row>
    <row r="283" spans="1:3">
      <c r="A283" s="117">
        <v>45442</v>
      </c>
      <c r="B283" s="113" t="s">
        <v>1740</v>
      </c>
      <c r="C283" s="113" t="s">
        <v>1741</v>
      </c>
    </row>
    <row r="284" spans="1:3">
      <c r="A284" s="117">
        <v>45542</v>
      </c>
      <c r="B284" s="113" t="s">
        <v>1737</v>
      </c>
      <c r="C284" s="113" t="s">
        <v>1742</v>
      </c>
    </row>
    <row r="285" spans="1:3">
      <c r="A285" s="119">
        <v>45577</v>
      </c>
      <c r="B285" s="113" t="s">
        <v>1737</v>
      </c>
      <c r="C285" s="113" t="s">
        <v>1743</v>
      </c>
    </row>
    <row r="286" spans="1:3">
      <c r="A286" s="117">
        <v>45598</v>
      </c>
      <c r="B286" s="113" t="s">
        <v>1737</v>
      </c>
      <c r="C286" s="113" t="s">
        <v>1744</v>
      </c>
    </row>
    <row r="287" spans="1:3">
      <c r="A287" s="119">
        <v>45611</v>
      </c>
      <c r="B287" s="113" t="s">
        <v>1735</v>
      </c>
      <c r="C287" s="113" t="s">
        <v>1745</v>
      </c>
    </row>
    <row r="288" spans="1:3">
      <c r="A288" s="119">
        <v>45651</v>
      </c>
      <c r="B288" s="113" t="s">
        <v>1748</v>
      </c>
      <c r="C288" s="113" t="s">
        <v>1746</v>
      </c>
    </row>
    <row r="289" spans="1:3">
      <c r="A289" s="117">
        <v>45658</v>
      </c>
      <c r="B289" s="113" t="s">
        <v>1748</v>
      </c>
      <c r="C289" s="113" t="s">
        <v>1732</v>
      </c>
    </row>
    <row r="290" spans="1:3">
      <c r="A290" s="117">
        <v>45719</v>
      </c>
      <c r="B290" s="113" t="s">
        <v>1731</v>
      </c>
      <c r="C290" s="113" t="s">
        <v>1733</v>
      </c>
    </row>
    <row r="291" spans="1:3">
      <c r="A291" s="117">
        <v>45720</v>
      </c>
      <c r="B291" s="113" t="s">
        <v>1734</v>
      </c>
      <c r="C291" s="113" t="s">
        <v>1733</v>
      </c>
    </row>
    <row r="292" spans="1:3">
      <c r="A292" s="117">
        <v>45765</v>
      </c>
      <c r="B292" s="113" t="s">
        <v>1735</v>
      </c>
      <c r="C292" s="113" t="s">
        <v>1736</v>
      </c>
    </row>
    <row r="293" spans="1:3">
      <c r="A293" s="117">
        <v>45768</v>
      </c>
      <c r="B293" s="113" t="s">
        <v>1731</v>
      </c>
      <c r="C293" s="113" t="s">
        <v>1738</v>
      </c>
    </row>
    <row r="294" spans="1:3">
      <c r="A294" s="117">
        <v>45778</v>
      </c>
      <c r="B294" s="113" t="s">
        <v>1740</v>
      </c>
      <c r="C294" s="113" t="s">
        <v>1739</v>
      </c>
    </row>
    <row r="295" spans="1:3">
      <c r="A295" s="117">
        <v>45827</v>
      </c>
      <c r="B295" s="113" t="s">
        <v>1740</v>
      </c>
      <c r="C295" s="113" t="s">
        <v>1741</v>
      </c>
    </row>
    <row r="296" spans="1:3">
      <c r="A296" s="117">
        <v>45907</v>
      </c>
      <c r="B296" s="113" t="s">
        <v>1747</v>
      </c>
      <c r="C296" s="113" t="s">
        <v>1742</v>
      </c>
    </row>
    <row r="297" spans="1:3">
      <c r="A297" s="119">
        <v>45942</v>
      </c>
      <c r="B297" s="113" t="s">
        <v>1747</v>
      </c>
      <c r="C297" s="113" t="s">
        <v>1743</v>
      </c>
    </row>
    <row r="298" spans="1:3">
      <c r="A298" s="117">
        <v>45963</v>
      </c>
      <c r="B298" s="113" t="s">
        <v>1747</v>
      </c>
      <c r="C298" s="113" t="s">
        <v>1744</v>
      </c>
    </row>
    <row r="299" spans="1:3">
      <c r="A299" s="119">
        <v>45976</v>
      </c>
      <c r="B299" s="113" t="s">
        <v>1737</v>
      </c>
      <c r="C299" s="113" t="s">
        <v>1745</v>
      </c>
    </row>
    <row r="300" spans="1:3">
      <c r="A300" s="119">
        <v>46016</v>
      </c>
      <c r="B300" s="113" t="s">
        <v>1740</v>
      </c>
      <c r="C300" s="113" t="s">
        <v>1746</v>
      </c>
    </row>
    <row r="301" spans="1:3">
      <c r="A301" s="117">
        <v>46023</v>
      </c>
      <c r="B301" s="113" t="s">
        <v>1740</v>
      </c>
      <c r="C301" s="113" t="s">
        <v>1732</v>
      </c>
    </row>
    <row r="302" spans="1:3">
      <c r="A302" s="117">
        <v>46069</v>
      </c>
      <c r="B302" s="113" t="s">
        <v>1731</v>
      </c>
      <c r="C302" s="113" t="s">
        <v>1733</v>
      </c>
    </row>
    <row r="303" spans="1:3">
      <c r="A303" s="117">
        <v>46070</v>
      </c>
      <c r="B303" s="113" t="s">
        <v>1734</v>
      </c>
      <c r="C303" s="113" t="s">
        <v>1733</v>
      </c>
    </row>
    <row r="304" spans="1:3">
      <c r="A304" s="117">
        <v>46115</v>
      </c>
      <c r="B304" s="113" t="s">
        <v>1735</v>
      </c>
      <c r="C304" s="113" t="s">
        <v>1736</v>
      </c>
    </row>
    <row r="305" spans="1:3">
      <c r="A305" s="117">
        <v>46133</v>
      </c>
      <c r="B305" s="113" t="s">
        <v>1734</v>
      </c>
      <c r="C305" s="113" t="s">
        <v>1738</v>
      </c>
    </row>
    <row r="306" spans="1:3">
      <c r="A306" s="117">
        <v>46143</v>
      </c>
      <c r="B306" s="113" t="s">
        <v>1735</v>
      </c>
      <c r="C306" s="113" t="s">
        <v>1739</v>
      </c>
    </row>
    <row r="307" spans="1:3">
      <c r="A307" s="117">
        <v>46177</v>
      </c>
      <c r="B307" s="113" t="s">
        <v>1740</v>
      </c>
      <c r="C307" s="113" t="s">
        <v>1741</v>
      </c>
    </row>
    <row r="308" spans="1:3">
      <c r="A308" s="117">
        <v>46272</v>
      </c>
      <c r="B308" s="113" t="s">
        <v>1731</v>
      </c>
      <c r="C308" s="113" t="s">
        <v>1742</v>
      </c>
    </row>
    <row r="309" spans="1:3">
      <c r="A309" s="119">
        <v>46307</v>
      </c>
      <c r="B309" s="113" t="s">
        <v>1731</v>
      </c>
      <c r="C309" s="113" t="s">
        <v>1743</v>
      </c>
    </row>
    <row r="310" spans="1:3">
      <c r="A310" s="117">
        <v>46328</v>
      </c>
      <c r="B310" s="113" t="s">
        <v>1731</v>
      </c>
      <c r="C310" s="113" t="s">
        <v>1744</v>
      </c>
    </row>
    <row r="311" spans="1:3">
      <c r="A311" s="119">
        <v>46341</v>
      </c>
      <c r="B311" s="113" t="s">
        <v>1747</v>
      </c>
      <c r="C311" s="113" t="s">
        <v>1745</v>
      </c>
    </row>
    <row r="312" spans="1:3">
      <c r="A312" s="119">
        <v>46381</v>
      </c>
      <c r="B312" s="113" t="s">
        <v>1735</v>
      </c>
      <c r="C312" s="113" t="s">
        <v>1746</v>
      </c>
    </row>
    <row r="313" spans="1:3">
      <c r="A313" s="117">
        <v>46388</v>
      </c>
      <c r="B313" s="113" t="s">
        <v>1735</v>
      </c>
      <c r="C313" s="113" t="s">
        <v>1732</v>
      </c>
    </row>
    <row r="314" spans="1:3">
      <c r="A314" s="117">
        <v>46426</v>
      </c>
      <c r="B314" s="113" t="s">
        <v>1731</v>
      </c>
      <c r="C314" s="113" t="s">
        <v>1733</v>
      </c>
    </row>
    <row r="315" spans="1:3">
      <c r="A315" s="117">
        <v>46427</v>
      </c>
      <c r="B315" s="113" t="s">
        <v>1734</v>
      </c>
      <c r="C315" s="113" t="s">
        <v>1733</v>
      </c>
    </row>
    <row r="316" spans="1:3">
      <c r="A316" s="117">
        <v>46472</v>
      </c>
      <c r="B316" s="113" t="s">
        <v>1735</v>
      </c>
      <c r="C316" s="113" t="s">
        <v>1736</v>
      </c>
    </row>
    <row r="317" spans="1:3">
      <c r="A317" s="117">
        <v>46498</v>
      </c>
      <c r="B317" s="113" t="s">
        <v>1748</v>
      </c>
      <c r="C317" s="113" t="s">
        <v>1738</v>
      </c>
    </row>
    <row r="318" spans="1:3">
      <c r="A318" s="117">
        <v>46508</v>
      </c>
      <c r="B318" s="113" t="s">
        <v>1737</v>
      </c>
      <c r="C318" s="113" t="s">
        <v>1739</v>
      </c>
    </row>
    <row r="319" spans="1:3">
      <c r="A319" s="117">
        <v>46534</v>
      </c>
      <c r="B319" s="113" t="s">
        <v>1740</v>
      </c>
      <c r="C319" s="113" t="s">
        <v>1741</v>
      </c>
    </row>
    <row r="320" spans="1:3">
      <c r="A320" s="117">
        <v>46637</v>
      </c>
      <c r="B320" s="113" t="s">
        <v>1734</v>
      </c>
      <c r="C320" s="113" t="s">
        <v>1742</v>
      </c>
    </row>
    <row r="321" spans="1:3">
      <c r="A321" s="119">
        <v>46672</v>
      </c>
      <c r="B321" s="113" t="s">
        <v>1734</v>
      </c>
      <c r="C321" s="113" t="s">
        <v>1743</v>
      </c>
    </row>
    <row r="322" spans="1:3">
      <c r="A322" s="117">
        <v>46693</v>
      </c>
      <c r="B322" s="113" t="s">
        <v>1734</v>
      </c>
      <c r="C322" s="113" t="s">
        <v>1744</v>
      </c>
    </row>
    <row r="323" spans="1:3">
      <c r="A323" s="119">
        <v>46706</v>
      </c>
      <c r="B323" s="113" t="s">
        <v>1731</v>
      </c>
      <c r="C323" s="113" t="s">
        <v>1745</v>
      </c>
    </row>
    <row r="324" spans="1:3">
      <c r="A324" s="119">
        <v>46746</v>
      </c>
      <c r="B324" s="113" t="s">
        <v>1737</v>
      </c>
      <c r="C324" s="113" t="s">
        <v>1746</v>
      </c>
    </row>
    <row r="325" spans="1:3">
      <c r="A325" s="117">
        <v>46753</v>
      </c>
      <c r="B325" s="113" t="s">
        <v>1737</v>
      </c>
      <c r="C325" s="113" t="s">
        <v>1732</v>
      </c>
    </row>
    <row r="326" spans="1:3">
      <c r="A326" s="117">
        <v>46811</v>
      </c>
      <c r="B326" s="113" t="s">
        <v>1731</v>
      </c>
      <c r="C326" s="113" t="s">
        <v>1733</v>
      </c>
    </row>
    <row r="327" spans="1:3">
      <c r="A327" s="117">
        <v>46812</v>
      </c>
      <c r="B327" s="113" t="s">
        <v>1734</v>
      </c>
      <c r="C327" s="113" t="s">
        <v>1733</v>
      </c>
    </row>
    <row r="328" spans="1:3">
      <c r="A328" s="117">
        <v>46857</v>
      </c>
      <c r="B328" s="113" t="s">
        <v>1735</v>
      </c>
      <c r="C328" s="113" t="s">
        <v>1736</v>
      </c>
    </row>
    <row r="329" spans="1:3">
      <c r="A329" s="117">
        <v>46864</v>
      </c>
      <c r="B329" s="113" t="s">
        <v>1735</v>
      </c>
      <c r="C329" s="113" t="s">
        <v>1738</v>
      </c>
    </row>
    <row r="330" spans="1:3">
      <c r="A330" s="117">
        <v>46874</v>
      </c>
      <c r="B330" s="113" t="s">
        <v>1731</v>
      </c>
      <c r="C330" s="113" t="s">
        <v>1739</v>
      </c>
    </row>
    <row r="331" spans="1:3">
      <c r="A331" s="117">
        <v>46919</v>
      </c>
      <c r="B331" s="113" t="s">
        <v>1740</v>
      </c>
      <c r="C331" s="113" t="s">
        <v>1741</v>
      </c>
    </row>
    <row r="332" spans="1:3">
      <c r="A332" s="117">
        <v>47003</v>
      </c>
      <c r="B332" s="113" t="s">
        <v>1740</v>
      </c>
      <c r="C332" s="113" t="s">
        <v>1742</v>
      </c>
    </row>
    <row r="333" spans="1:3">
      <c r="A333" s="119">
        <v>47038</v>
      </c>
      <c r="B333" s="113" t="s">
        <v>1740</v>
      </c>
      <c r="C333" s="113" t="s">
        <v>1743</v>
      </c>
    </row>
    <row r="334" spans="1:3">
      <c r="A334" s="117">
        <v>47059</v>
      </c>
      <c r="B334" s="113" t="s">
        <v>1740</v>
      </c>
      <c r="C334" s="113" t="s">
        <v>1744</v>
      </c>
    </row>
    <row r="335" spans="1:3">
      <c r="A335" s="119">
        <v>47072</v>
      </c>
      <c r="B335" s="113" t="s">
        <v>1748</v>
      </c>
      <c r="C335" s="113" t="s">
        <v>1745</v>
      </c>
    </row>
    <row r="336" spans="1:3">
      <c r="A336" s="119">
        <v>47112</v>
      </c>
      <c r="B336" s="113" t="s">
        <v>1731</v>
      </c>
      <c r="C336" s="113" t="s">
        <v>1746</v>
      </c>
    </row>
    <row r="337" spans="1:3">
      <c r="A337" s="117">
        <v>47119</v>
      </c>
      <c r="B337" s="113" t="s">
        <v>1731</v>
      </c>
      <c r="C337" s="113" t="s">
        <v>1732</v>
      </c>
    </row>
    <row r="338" spans="1:3">
      <c r="A338" s="117">
        <v>47161</v>
      </c>
      <c r="B338" s="113" t="s">
        <v>1731</v>
      </c>
      <c r="C338" s="113" t="s">
        <v>1733</v>
      </c>
    </row>
    <row r="339" spans="1:3">
      <c r="A339" s="117">
        <v>47162</v>
      </c>
      <c r="B339" s="113" t="s">
        <v>1734</v>
      </c>
      <c r="C339" s="113" t="s">
        <v>1733</v>
      </c>
    </row>
    <row r="340" spans="1:3">
      <c r="A340" s="117">
        <v>47207</v>
      </c>
      <c r="B340" s="113" t="s">
        <v>1735</v>
      </c>
      <c r="C340" s="113" t="s">
        <v>1736</v>
      </c>
    </row>
    <row r="341" spans="1:3">
      <c r="A341" s="117">
        <v>47229</v>
      </c>
      <c r="B341" s="113" t="s">
        <v>1737</v>
      </c>
      <c r="C341" s="113" t="s">
        <v>1738</v>
      </c>
    </row>
    <row r="342" spans="1:3">
      <c r="A342" s="117">
        <v>47239</v>
      </c>
      <c r="B342" s="113" t="s">
        <v>1734</v>
      </c>
      <c r="C342" s="113" t="s">
        <v>1739</v>
      </c>
    </row>
    <row r="343" spans="1:3">
      <c r="A343" s="117">
        <v>47269</v>
      </c>
      <c r="B343" s="113" t="s">
        <v>1740</v>
      </c>
      <c r="C343" s="113" t="s">
        <v>1741</v>
      </c>
    </row>
    <row r="344" spans="1:3">
      <c r="A344" s="117">
        <v>47368</v>
      </c>
      <c r="B344" s="113" t="s">
        <v>1735</v>
      </c>
      <c r="C344" s="113" t="s">
        <v>1742</v>
      </c>
    </row>
    <row r="345" spans="1:3">
      <c r="A345" s="119">
        <v>47403</v>
      </c>
      <c r="B345" s="113" t="s">
        <v>1735</v>
      </c>
      <c r="C345" s="113" t="s">
        <v>1743</v>
      </c>
    </row>
    <row r="346" spans="1:3">
      <c r="A346" s="117">
        <v>47424</v>
      </c>
      <c r="B346" s="113" t="s">
        <v>1735</v>
      </c>
      <c r="C346" s="113" t="s">
        <v>1744</v>
      </c>
    </row>
    <row r="347" spans="1:3">
      <c r="A347" s="119">
        <v>47437</v>
      </c>
      <c r="B347" s="113" t="s">
        <v>1740</v>
      </c>
      <c r="C347" s="113" t="s">
        <v>1745</v>
      </c>
    </row>
    <row r="348" spans="1:3">
      <c r="A348" s="119">
        <v>47477</v>
      </c>
      <c r="B348" s="113" t="s">
        <v>1734</v>
      </c>
      <c r="C348" s="113" t="s">
        <v>1746</v>
      </c>
    </row>
    <row r="349" spans="1:3">
      <c r="A349" s="117">
        <v>47484</v>
      </c>
      <c r="B349" s="113" t="s">
        <v>1734</v>
      </c>
      <c r="C349" s="113" t="s">
        <v>1732</v>
      </c>
    </row>
    <row r="350" spans="1:3">
      <c r="A350" s="117">
        <v>47546</v>
      </c>
      <c r="B350" s="113" t="s">
        <v>1731</v>
      </c>
      <c r="C350" s="113" t="s">
        <v>1733</v>
      </c>
    </row>
    <row r="351" spans="1:3">
      <c r="A351" s="117">
        <v>47547</v>
      </c>
      <c r="B351" s="113" t="s">
        <v>1734</v>
      </c>
      <c r="C351" s="113" t="s">
        <v>1733</v>
      </c>
    </row>
    <row r="352" spans="1:3">
      <c r="A352" s="117">
        <v>47592</v>
      </c>
      <c r="B352" s="113" t="s">
        <v>1735</v>
      </c>
      <c r="C352" s="113" t="s">
        <v>1736</v>
      </c>
    </row>
    <row r="353" spans="1:3">
      <c r="A353" s="117">
        <v>47594</v>
      </c>
      <c r="B353" s="113" t="s">
        <v>1747</v>
      </c>
      <c r="C353" s="113" t="s">
        <v>1738</v>
      </c>
    </row>
    <row r="354" spans="1:3">
      <c r="A354" s="117">
        <v>47604</v>
      </c>
      <c r="B354" s="113" t="s">
        <v>1748</v>
      </c>
      <c r="C354" s="113" t="s">
        <v>1739</v>
      </c>
    </row>
    <row r="355" spans="1:3">
      <c r="A355" s="117">
        <v>47654</v>
      </c>
      <c r="B355" s="113" t="s">
        <v>1740</v>
      </c>
      <c r="C355" s="113" t="s">
        <v>1741</v>
      </c>
    </row>
    <row r="356" spans="1:3">
      <c r="A356" s="117">
        <v>47733</v>
      </c>
      <c r="B356" s="113" t="s">
        <v>1737</v>
      </c>
      <c r="C356" s="113" t="s">
        <v>1742</v>
      </c>
    </row>
    <row r="357" spans="1:3">
      <c r="A357" s="119">
        <v>47768</v>
      </c>
      <c r="B357" s="113" t="s">
        <v>1737</v>
      </c>
      <c r="C357" s="113" t="s">
        <v>1743</v>
      </c>
    </row>
    <row r="358" spans="1:3">
      <c r="A358" s="117">
        <v>47789</v>
      </c>
      <c r="B358" s="113" t="s">
        <v>1737</v>
      </c>
      <c r="C358" s="113" t="s">
        <v>1744</v>
      </c>
    </row>
    <row r="359" spans="1:3">
      <c r="A359" s="119">
        <v>47802</v>
      </c>
      <c r="B359" s="113" t="s">
        <v>1735</v>
      </c>
      <c r="C359" s="113" t="s">
        <v>1745</v>
      </c>
    </row>
    <row r="360" spans="1:3">
      <c r="A360" s="119">
        <v>47842</v>
      </c>
      <c r="B360" s="113" t="s">
        <v>1748</v>
      </c>
      <c r="C360" s="113" t="s">
        <v>1746</v>
      </c>
    </row>
    <row r="361" spans="1:3">
      <c r="A361" s="117">
        <v>47849</v>
      </c>
      <c r="B361" s="113" t="s">
        <v>1748</v>
      </c>
      <c r="C361" s="113" t="s">
        <v>1732</v>
      </c>
    </row>
    <row r="362" spans="1:3">
      <c r="A362" s="117">
        <v>47903</v>
      </c>
      <c r="B362" s="113" t="s">
        <v>1731</v>
      </c>
      <c r="C362" s="113" t="s">
        <v>1733</v>
      </c>
    </row>
    <row r="363" spans="1:3">
      <c r="A363" s="117">
        <v>47904</v>
      </c>
      <c r="B363" s="113" t="s">
        <v>1734</v>
      </c>
      <c r="C363" s="113" t="s">
        <v>1733</v>
      </c>
    </row>
    <row r="364" spans="1:3">
      <c r="A364" s="117">
        <v>47949</v>
      </c>
      <c r="B364" s="113" t="s">
        <v>1735</v>
      </c>
      <c r="C364" s="113" t="s">
        <v>1736</v>
      </c>
    </row>
    <row r="365" spans="1:3">
      <c r="A365" s="117">
        <v>47959</v>
      </c>
      <c r="B365" s="113" t="s">
        <v>1731</v>
      </c>
      <c r="C365" s="113" t="s">
        <v>1738</v>
      </c>
    </row>
    <row r="366" spans="1:3">
      <c r="A366" s="117">
        <v>47969</v>
      </c>
      <c r="B366" s="113" t="s">
        <v>1740</v>
      </c>
      <c r="C366" s="113" t="s">
        <v>1739</v>
      </c>
    </row>
    <row r="367" spans="1:3">
      <c r="A367" s="117">
        <v>48011</v>
      </c>
      <c r="B367" s="113" t="s">
        <v>1740</v>
      </c>
      <c r="C367" s="113" t="s">
        <v>1741</v>
      </c>
    </row>
    <row r="368" spans="1:3">
      <c r="A368" s="117">
        <v>48098</v>
      </c>
      <c r="B368" s="113" t="s">
        <v>1747</v>
      </c>
      <c r="C368" s="113" t="s">
        <v>1742</v>
      </c>
    </row>
    <row r="369" spans="1:3">
      <c r="A369" s="119">
        <v>48133</v>
      </c>
      <c r="B369" s="113" t="s">
        <v>1747</v>
      </c>
      <c r="C369" s="113" t="s">
        <v>1743</v>
      </c>
    </row>
    <row r="370" spans="1:3">
      <c r="A370" s="117">
        <v>48154</v>
      </c>
      <c r="B370" s="113" t="s">
        <v>1747</v>
      </c>
      <c r="C370" s="113" t="s">
        <v>1744</v>
      </c>
    </row>
    <row r="371" spans="1:3">
      <c r="A371" s="119">
        <v>48167</v>
      </c>
      <c r="B371" s="113" t="s">
        <v>1737</v>
      </c>
      <c r="C371" s="113" t="s">
        <v>1745</v>
      </c>
    </row>
    <row r="372" spans="1:3">
      <c r="A372" s="119">
        <v>48207</v>
      </c>
      <c r="B372" s="113" t="s">
        <v>1740</v>
      </c>
      <c r="C372" s="113" t="s">
        <v>1746</v>
      </c>
    </row>
    <row r="373" spans="1:3">
      <c r="A373" s="117">
        <v>48214</v>
      </c>
      <c r="B373" s="113" t="s">
        <v>1740</v>
      </c>
      <c r="C373" s="113" t="s">
        <v>1732</v>
      </c>
    </row>
    <row r="374" spans="1:3">
      <c r="A374" s="117">
        <v>48253</v>
      </c>
      <c r="B374" s="113" t="s">
        <v>1731</v>
      </c>
      <c r="C374" s="113" t="s">
        <v>1733</v>
      </c>
    </row>
    <row r="375" spans="1:3">
      <c r="A375" s="117">
        <v>48254</v>
      </c>
      <c r="B375" s="113" t="s">
        <v>1734</v>
      </c>
      <c r="C375" s="113" t="s">
        <v>1733</v>
      </c>
    </row>
    <row r="376" spans="1:3">
      <c r="A376" s="117">
        <v>48299</v>
      </c>
      <c r="B376" s="113" t="s">
        <v>1735</v>
      </c>
      <c r="C376" s="113" t="s">
        <v>1736</v>
      </c>
    </row>
    <row r="377" spans="1:3">
      <c r="A377" s="117">
        <v>48325</v>
      </c>
      <c r="B377" s="113" t="s">
        <v>1748</v>
      </c>
      <c r="C377" s="113" t="s">
        <v>1738</v>
      </c>
    </row>
    <row r="378" spans="1:3">
      <c r="A378" s="117">
        <v>48335</v>
      </c>
      <c r="B378" s="113" t="s">
        <v>1737</v>
      </c>
      <c r="C378" s="113" t="s">
        <v>1739</v>
      </c>
    </row>
    <row r="379" spans="1:3">
      <c r="A379" s="117">
        <v>48361</v>
      </c>
      <c r="B379" s="113" t="s">
        <v>1740</v>
      </c>
      <c r="C379" s="113" t="s">
        <v>1741</v>
      </c>
    </row>
    <row r="380" spans="1:3">
      <c r="A380" s="117">
        <v>48464</v>
      </c>
      <c r="B380" s="113" t="s">
        <v>1734</v>
      </c>
      <c r="C380" s="113" t="s">
        <v>1742</v>
      </c>
    </row>
    <row r="381" spans="1:3">
      <c r="A381" s="119">
        <v>48499</v>
      </c>
      <c r="B381" s="113" t="s">
        <v>1734</v>
      </c>
      <c r="C381" s="113" t="s">
        <v>1743</v>
      </c>
    </row>
    <row r="382" spans="1:3">
      <c r="A382" s="117">
        <v>48520</v>
      </c>
      <c r="B382" s="113" t="s">
        <v>1734</v>
      </c>
      <c r="C382" s="113" t="s">
        <v>1744</v>
      </c>
    </row>
    <row r="383" spans="1:3">
      <c r="A383" s="119">
        <v>48533</v>
      </c>
      <c r="B383" s="113" t="s">
        <v>1731</v>
      </c>
      <c r="C383" s="113" t="s">
        <v>1745</v>
      </c>
    </row>
    <row r="384" spans="1:3">
      <c r="A384" s="119">
        <v>48573</v>
      </c>
      <c r="B384" s="113" t="s">
        <v>1737</v>
      </c>
      <c r="C384" s="113" t="s">
        <v>1746</v>
      </c>
    </row>
    <row r="385" spans="1:3">
      <c r="A385" s="117">
        <v>48580</v>
      </c>
      <c r="B385" s="113" t="s">
        <v>1737</v>
      </c>
      <c r="C385" s="113" t="s">
        <v>1732</v>
      </c>
    </row>
    <row r="386" spans="1:3">
      <c r="A386" s="117">
        <v>48638</v>
      </c>
      <c r="B386" s="113" t="s">
        <v>1731</v>
      </c>
      <c r="C386" s="113" t="s">
        <v>1733</v>
      </c>
    </row>
    <row r="387" spans="1:3">
      <c r="A387" s="117">
        <v>48639</v>
      </c>
      <c r="B387" s="113" t="s">
        <v>1734</v>
      </c>
      <c r="C387" s="113" t="s">
        <v>1733</v>
      </c>
    </row>
    <row r="388" spans="1:3">
      <c r="A388" s="117">
        <v>48684</v>
      </c>
      <c r="B388" s="113" t="s">
        <v>1735</v>
      </c>
      <c r="C388" s="113" t="s">
        <v>1736</v>
      </c>
    </row>
    <row r="389" spans="1:3">
      <c r="A389" s="117">
        <v>48690</v>
      </c>
      <c r="B389" s="113" t="s">
        <v>1740</v>
      </c>
      <c r="C389" s="113" t="s">
        <v>1738</v>
      </c>
    </row>
    <row r="390" spans="1:3">
      <c r="A390" s="117">
        <v>48700</v>
      </c>
      <c r="B390" s="113" t="s">
        <v>1747</v>
      </c>
      <c r="C390" s="113" t="s">
        <v>1739</v>
      </c>
    </row>
    <row r="391" spans="1:3">
      <c r="A391" s="117">
        <v>48746</v>
      </c>
      <c r="B391" s="113" t="s">
        <v>1740</v>
      </c>
      <c r="C391" s="113" t="s">
        <v>1741</v>
      </c>
    </row>
    <row r="392" spans="1:3">
      <c r="A392" s="117">
        <v>48829</v>
      </c>
      <c r="B392" s="113" t="s">
        <v>1748</v>
      </c>
      <c r="C392" s="113" t="s">
        <v>1742</v>
      </c>
    </row>
    <row r="393" spans="1:3">
      <c r="A393" s="119">
        <v>48864</v>
      </c>
      <c r="B393" s="113" t="s">
        <v>1748</v>
      </c>
      <c r="C393" s="113" t="s">
        <v>1743</v>
      </c>
    </row>
    <row r="394" spans="1:3">
      <c r="A394" s="117">
        <v>48885</v>
      </c>
      <c r="B394" s="113" t="s">
        <v>1748</v>
      </c>
      <c r="C394" s="113" t="s">
        <v>1744</v>
      </c>
    </row>
    <row r="395" spans="1:3">
      <c r="A395" s="119">
        <v>48898</v>
      </c>
      <c r="B395" s="113" t="s">
        <v>1734</v>
      </c>
      <c r="C395" s="113" t="s">
        <v>1745</v>
      </c>
    </row>
    <row r="396" spans="1:3">
      <c r="A396" s="119">
        <v>48938</v>
      </c>
      <c r="B396" s="113" t="s">
        <v>1747</v>
      </c>
      <c r="C396" s="113" t="s">
        <v>1746</v>
      </c>
    </row>
    <row r="397" spans="1:3">
      <c r="A397" s="117">
        <v>48945</v>
      </c>
      <c r="B397" s="113" t="s">
        <v>1747</v>
      </c>
      <c r="C397" s="113" t="s">
        <v>1732</v>
      </c>
    </row>
    <row r="398" spans="1:3">
      <c r="A398" s="117">
        <v>48995</v>
      </c>
      <c r="B398" s="113" t="s">
        <v>1731</v>
      </c>
      <c r="C398" s="113" t="s">
        <v>1733</v>
      </c>
    </row>
    <row r="399" spans="1:3">
      <c r="A399" s="117">
        <v>48996</v>
      </c>
      <c r="B399" s="113" t="s">
        <v>1734</v>
      </c>
      <c r="C399" s="113" t="s">
        <v>1733</v>
      </c>
    </row>
    <row r="400" spans="1:3">
      <c r="A400" s="117">
        <v>49041</v>
      </c>
      <c r="B400" s="113" t="s">
        <v>1735</v>
      </c>
      <c r="C400" s="113" t="s">
        <v>1736</v>
      </c>
    </row>
    <row r="401" spans="1:3">
      <c r="A401" s="117">
        <v>49055</v>
      </c>
      <c r="B401" s="113" t="s">
        <v>1735</v>
      </c>
      <c r="C401" s="113" t="s">
        <v>1738</v>
      </c>
    </row>
    <row r="402" spans="1:3">
      <c r="A402" s="117">
        <v>49065</v>
      </c>
      <c r="B402" s="113" t="s">
        <v>1731</v>
      </c>
      <c r="C402" s="113" t="s">
        <v>1739</v>
      </c>
    </row>
    <row r="403" spans="1:3">
      <c r="A403" s="117">
        <v>49103</v>
      </c>
      <c r="B403" s="113" t="s">
        <v>1740</v>
      </c>
      <c r="C403" s="113" t="s">
        <v>1741</v>
      </c>
    </row>
    <row r="404" spans="1:3">
      <c r="A404" s="117">
        <v>49194</v>
      </c>
      <c r="B404" s="113" t="s">
        <v>1740</v>
      </c>
      <c r="C404" s="113" t="s">
        <v>1742</v>
      </c>
    </row>
    <row r="405" spans="1:3">
      <c r="A405" s="119">
        <v>49229</v>
      </c>
      <c r="B405" s="113" t="s">
        <v>1740</v>
      </c>
      <c r="C405" s="113" t="s">
        <v>1743</v>
      </c>
    </row>
    <row r="406" spans="1:3">
      <c r="A406" s="117">
        <v>49250</v>
      </c>
      <c r="B406" s="113" t="s">
        <v>1740</v>
      </c>
      <c r="C406" s="113" t="s">
        <v>1744</v>
      </c>
    </row>
    <row r="407" spans="1:3">
      <c r="A407" s="119">
        <v>49263</v>
      </c>
      <c r="B407" s="113" t="s">
        <v>1748</v>
      </c>
      <c r="C407" s="113" t="s">
        <v>1745</v>
      </c>
    </row>
    <row r="408" spans="1:3">
      <c r="A408" s="119">
        <v>49303</v>
      </c>
      <c r="B408" s="113" t="s">
        <v>1731</v>
      </c>
      <c r="C408" s="113" t="s">
        <v>1746</v>
      </c>
    </row>
    <row r="409" spans="1:3">
      <c r="A409" s="117">
        <v>49310</v>
      </c>
      <c r="B409" s="113" t="s">
        <v>1731</v>
      </c>
      <c r="C409" s="113" t="s">
        <v>1732</v>
      </c>
    </row>
    <row r="410" spans="1:3">
      <c r="A410" s="117">
        <v>49345</v>
      </c>
      <c r="B410" s="113" t="s">
        <v>1731</v>
      </c>
      <c r="C410" s="113" t="s">
        <v>1733</v>
      </c>
    </row>
    <row r="411" spans="1:3">
      <c r="A411" s="117">
        <v>49346</v>
      </c>
      <c r="B411" s="113" t="s">
        <v>1734</v>
      </c>
      <c r="C411" s="113" t="s">
        <v>1733</v>
      </c>
    </row>
    <row r="412" spans="1:3">
      <c r="A412" s="117">
        <v>49391</v>
      </c>
      <c r="B412" s="113" t="s">
        <v>1735</v>
      </c>
      <c r="C412" s="113" t="s">
        <v>1736</v>
      </c>
    </row>
    <row r="413" spans="1:3">
      <c r="A413" s="117">
        <v>49420</v>
      </c>
      <c r="B413" s="113" t="s">
        <v>1737</v>
      </c>
      <c r="C413" s="113" t="s">
        <v>1738</v>
      </c>
    </row>
    <row r="414" spans="1:3">
      <c r="A414" s="117">
        <v>49430</v>
      </c>
      <c r="B414" s="113" t="s">
        <v>1734</v>
      </c>
      <c r="C414" s="113" t="s">
        <v>1739</v>
      </c>
    </row>
    <row r="415" spans="1:3">
      <c r="A415" s="117">
        <v>49453</v>
      </c>
      <c r="B415" s="113" t="s">
        <v>1740</v>
      </c>
      <c r="C415" s="113" t="s">
        <v>1741</v>
      </c>
    </row>
    <row r="416" spans="1:3">
      <c r="A416" s="117">
        <v>49559</v>
      </c>
      <c r="B416" s="113" t="s">
        <v>1735</v>
      </c>
      <c r="C416" s="113" t="s">
        <v>1742</v>
      </c>
    </row>
    <row r="417" spans="1:3">
      <c r="A417" s="119">
        <v>49594</v>
      </c>
      <c r="B417" s="113" t="s">
        <v>1735</v>
      </c>
      <c r="C417" s="113" t="s">
        <v>1743</v>
      </c>
    </row>
    <row r="418" spans="1:3">
      <c r="A418" s="117">
        <v>49615</v>
      </c>
      <c r="B418" s="113" t="s">
        <v>1735</v>
      </c>
      <c r="C418" s="113" t="s">
        <v>1744</v>
      </c>
    </row>
    <row r="419" spans="1:3">
      <c r="A419" s="119">
        <v>49628</v>
      </c>
      <c r="B419" s="113" t="s">
        <v>1740</v>
      </c>
      <c r="C419" s="113" t="s">
        <v>1745</v>
      </c>
    </row>
    <row r="420" spans="1:3">
      <c r="A420" s="119">
        <v>49668</v>
      </c>
      <c r="B420" s="113" t="s">
        <v>1734</v>
      </c>
      <c r="C420" s="113" t="s">
        <v>1746</v>
      </c>
    </row>
    <row r="421" spans="1:3">
      <c r="A421" s="117">
        <v>49675</v>
      </c>
      <c r="B421" s="113" t="s">
        <v>1734</v>
      </c>
      <c r="C421" s="113" t="s">
        <v>1732</v>
      </c>
    </row>
    <row r="422" spans="1:3">
      <c r="A422" s="117">
        <v>49730</v>
      </c>
      <c r="B422" s="113" t="s">
        <v>1731</v>
      </c>
      <c r="C422" s="113" t="s">
        <v>1733</v>
      </c>
    </row>
    <row r="423" spans="1:3">
      <c r="A423" s="117">
        <v>49731</v>
      </c>
      <c r="B423" s="113" t="s">
        <v>1734</v>
      </c>
      <c r="C423" s="113" t="s">
        <v>1733</v>
      </c>
    </row>
    <row r="424" spans="1:3">
      <c r="A424" s="117">
        <v>49776</v>
      </c>
      <c r="B424" s="113" t="s">
        <v>1735</v>
      </c>
      <c r="C424" s="113" t="s">
        <v>1736</v>
      </c>
    </row>
    <row r="425" spans="1:3">
      <c r="A425" s="117">
        <v>49786</v>
      </c>
      <c r="B425" s="113" t="s">
        <v>1731</v>
      </c>
      <c r="C425" s="113" t="s">
        <v>1738</v>
      </c>
    </row>
    <row r="426" spans="1:3">
      <c r="A426" s="117">
        <v>49796</v>
      </c>
      <c r="B426" s="113" t="s">
        <v>1740</v>
      </c>
      <c r="C426" s="113" t="s">
        <v>1739</v>
      </c>
    </row>
    <row r="427" spans="1:3">
      <c r="A427" s="117">
        <v>49838</v>
      </c>
      <c r="B427" s="113" t="s">
        <v>1740</v>
      </c>
      <c r="C427" s="113" t="s">
        <v>1741</v>
      </c>
    </row>
    <row r="428" spans="1:3">
      <c r="A428" s="117">
        <v>49925</v>
      </c>
      <c r="B428" s="113" t="s">
        <v>1747</v>
      </c>
      <c r="C428" s="113" t="s">
        <v>1742</v>
      </c>
    </row>
    <row r="429" spans="1:3">
      <c r="A429" s="119">
        <v>49960</v>
      </c>
      <c r="B429" s="113" t="s">
        <v>1747</v>
      </c>
      <c r="C429" s="113" t="s">
        <v>1743</v>
      </c>
    </row>
    <row r="430" spans="1:3">
      <c r="A430" s="117">
        <v>49981</v>
      </c>
      <c r="B430" s="113" t="s">
        <v>1747</v>
      </c>
      <c r="C430" s="113" t="s">
        <v>1744</v>
      </c>
    </row>
    <row r="431" spans="1:3">
      <c r="A431" s="119">
        <v>49994</v>
      </c>
      <c r="B431" s="113" t="s">
        <v>1737</v>
      </c>
      <c r="C431" s="113" t="s">
        <v>1745</v>
      </c>
    </row>
    <row r="432" spans="1:3">
      <c r="A432" s="119">
        <v>50034</v>
      </c>
      <c r="B432" s="113" t="s">
        <v>1740</v>
      </c>
      <c r="C432" s="113" t="s">
        <v>1746</v>
      </c>
    </row>
    <row r="433" spans="1:3">
      <c r="A433" s="117">
        <v>50041</v>
      </c>
      <c r="B433" s="113" t="s">
        <v>1740</v>
      </c>
      <c r="C433" s="113" t="s">
        <v>1732</v>
      </c>
    </row>
    <row r="434" spans="1:3">
      <c r="A434" s="117">
        <v>50087</v>
      </c>
      <c r="B434" s="113" t="s">
        <v>1731</v>
      </c>
      <c r="C434" s="113" t="s">
        <v>1733</v>
      </c>
    </row>
    <row r="435" spans="1:3">
      <c r="A435" s="117">
        <v>50088</v>
      </c>
      <c r="B435" s="113" t="s">
        <v>1734</v>
      </c>
      <c r="C435" s="113" t="s">
        <v>1733</v>
      </c>
    </row>
    <row r="436" spans="1:3">
      <c r="A436" s="117">
        <v>50133</v>
      </c>
      <c r="B436" s="113" t="s">
        <v>1735</v>
      </c>
      <c r="C436" s="113" t="s">
        <v>1736</v>
      </c>
    </row>
    <row r="437" spans="1:3">
      <c r="A437" s="117">
        <v>50151</v>
      </c>
      <c r="B437" s="113" t="s">
        <v>1734</v>
      </c>
      <c r="C437" s="113" t="s">
        <v>1738</v>
      </c>
    </row>
    <row r="438" spans="1:3">
      <c r="A438" s="117">
        <v>50161</v>
      </c>
      <c r="B438" s="113" t="s">
        <v>1735</v>
      </c>
      <c r="C438" s="113" t="s">
        <v>1739</v>
      </c>
    </row>
    <row r="439" spans="1:3">
      <c r="A439" s="117">
        <v>50195</v>
      </c>
      <c r="B439" s="113" t="s">
        <v>1740</v>
      </c>
      <c r="C439" s="113" t="s">
        <v>1741</v>
      </c>
    </row>
    <row r="440" spans="1:3">
      <c r="A440" s="117">
        <v>50290</v>
      </c>
      <c r="B440" s="113" t="s">
        <v>1731</v>
      </c>
      <c r="C440" s="113" t="s">
        <v>1742</v>
      </c>
    </row>
    <row r="441" spans="1:3">
      <c r="A441" s="119">
        <v>50325</v>
      </c>
      <c r="B441" s="113" t="s">
        <v>1731</v>
      </c>
      <c r="C441" s="113" t="s">
        <v>1743</v>
      </c>
    </row>
    <row r="442" spans="1:3">
      <c r="A442" s="117">
        <v>50346</v>
      </c>
      <c r="B442" s="113" t="s">
        <v>1731</v>
      </c>
      <c r="C442" s="113" t="s">
        <v>1744</v>
      </c>
    </row>
    <row r="443" spans="1:3">
      <c r="A443" s="119">
        <v>50359</v>
      </c>
      <c r="B443" s="113" t="s">
        <v>1747</v>
      </c>
      <c r="C443" s="113" t="s">
        <v>1745</v>
      </c>
    </row>
    <row r="444" spans="1:3">
      <c r="A444" s="119">
        <v>50399</v>
      </c>
      <c r="B444" s="113" t="s">
        <v>1735</v>
      </c>
      <c r="C444" s="113" t="s">
        <v>1746</v>
      </c>
    </row>
    <row r="445" spans="1:3">
      <c r="A445" s="117">
        <v>50406</v>
      </c>
      <c r="B445" s="113" t="s">
        <v>1735</v>
      </c>
      <c r="C445" s="113" t="s">
        <v>1732</v>
      </c>
    </row>
    <row r="446" spans="1:3">
      <c r="A446" s="117">
        <v>50472</v>
      </c>
      <c r="B446" s="113" t="s">
        <v>1731</v>
      </c>
      <c r="C446" s="113" t="s">
        <v>1733</v>
      </c>
    </row>
    <row r="447" spans="1:3">
      <c r="A447" s="117">
        <v>50473</v>
      </c>
      <c r="B447" s="113" t="s">
        <v>1734</v>
      </c>
      <c r="C447" s="113" t="s">
        <v>1733</v>
      </c>
    </row>
    <row r="448" spans="1:3">
      <c r="A448" s="117">
        <v>50516</v>
      </c>
      <c r="B448" s="113" t="s">
        <v>1748</v>
      </c>
      <c r="C448" s="113" t="s">
        <v>1738</v>
      </c>
    </row>
    <row r="449" spans="1:3">
      <c r="A449" s="117">
        <v>50518</v>
      </c>
      <c r="B449" s="113" t="s">
        <v>1735</v>
      </c>
      <c r="C449" s="113" t="s">
        <v>1736</v>
      </c>
    </row>
    <row r="450" spans="1:3">
      <c r="A450" s="117">
        <v>50526</v>
      </c>
      <c r="B450" s="113" t="s">
        <v>1737</v>
      </c>
      <c r="C450" s="113" t="s">
        <v>1739</v>
      </c>
    </row>
    <row r="451" spans="1:3">
      <c r="A451" s="117">
        <v>50580</v>
      </c>
      <c r="B451" s="113" t="s">
        <v>1740</v>
      </c>
      <c r="C451" s="113" t="s">
        <v>1741</v>
      </c>
    </row>
    <row r="452" spans="1:3">
      <c r="A452" s="117">
        <v>50655</v>
      </c>
      <c r="B452" s="113" t="s">
        <v>1734</v>
      </c>
      <c r="C452" s="113" t="s">
        <v>1742</v>
      </c>
    </row>
    <row r="453" spans="1:3">
      <c r="A453" s="119">
        <v>50690</v>
      </c>
      <c r="B453" s="113" t="s">
        <v>1734</v>
      </c>
      <c r="C453" s="113" t="s">
        <v>1743</v>
      </c>
    </row>
    <row r="454" spans="1:3">
      <c r="A454" s="117">
        <v>50711</v>
      </c>
      <c r="B454" s="113" t="s">
        <v>1734</v>
      </c>
      <c r="C454" s="113" t="s">
        <v>1744</v>
      </c>
    </row>
    <row r="455" spans="1:3">
      <c r="A455" s="119">
        <v>50724</v>
      </c>
      <c r="B455" s="113" t="s">
        <v>1731</v>
      </c>
      <c r="C455" s="113" t="s">
        <v>1745</v>
      </c>
    </row>
    <row r="456" spans="1:3">
      <c r="A456" s="119">
        <v>50764</v>
      </c>
      <c r="B456" s="113" t="s">
        <v>1737</v>
      </c>
      <c r="C456" s="113" t="s">
        <v>1746</v>
      </c>
    </row>
    <row r="457" spans="1:3">
      <c r="A457" s="117">
        <v>50771</v>
      </c>
      <c r="B457" s="113" t="s">
        <v>1737</v>
      </c>
      <c r="C457" s="113" t="s">
        <v>1732</v>
      </c>
    </row>
    <row r="458" spans="1:3">
      <c r="A458" s="117">
        <v>50822</v>
      </c>
      <c r="B458" s="113" t="s">
        <v>1731</v>
      </c>
      <c r="C458" s="113" t="s">
        <v>1733</v>
      </c>
    </row>
    <row r="459" spans="1:3">
      <c r="A459" s="117">
        <v>50823</v>
      </c>
      <c r="B459" s="113" t="s">
        <v>1734</v>
      </c>
      <c r="C459" s="113" t="s">
        <v>1733</v>
      </c>
    </row>
    <row r="460" spans="1:3">
      <c r="A460" s="117">
        <v>50868</v>
      </c>
      <c r="B460" s="113" t="s">
        <v>1735</v>
      </c>
      <c r="C460" s="113" t="s">
        <v>1736</v>
      </c>
    </row>
    <row r="461" spans="1:3">
      <c r="A461" s="117">
        <v>50881</v>
      </c>
      <c r="B461" s="113" t="s">
        <v>1740</v>
      </c>
      <c r="C461" s="113" t="s">
        <v>1738</v>
      </c>
    </row>
    <row r="462" spans="1:3">
      <c r="A462" s="117">
        <v>50891</v>
      </c>
      <c r="B462" s="113" t="s">
        <v>1747</v>
      </c>
      <c r="C462" s="113" t="s">
        <v>1739</v>
      </c>
    </row>
    <row r="463" spans="1:3">
      <c r="A463" s="117">
        <v>50930</v>
      </c>
      <c r="B463" s="113" t="s">
        <v>1740</v>
      </c>
      <c r="C463" s="113" t="s">
        <v>1741</v>
      </c>
    </row>
    <row r="464" spans="1:3">
      <c r="A464" s="117">
        <v>51020</v>
      </c>
      <c r="B464" s="113" t="s">
        <v>1748</v>
      </c>
      <c r="C464" s="113" t="s">
        <v>1742</v>
      </c>
    </row>
    <row r="465" spans="1:3">
      <c r="A465" s="119">
        <v>51055</v>
      </c>
      <c r="B465" s="113" t="s">
        <v>1748</v>
      </c>
      <c r="C465" s="113" t="s">
        <v>1743</v>
      </c>
    </row>
    <row r="466" spans="1:3">
      <c r="A466" s="117">
        <v>51076</v>
      </c>
      <c r="B466" s="113" t="s">
        <v>1748</v>
      </c>
      <c r="C466" s="113" t="s">
        <v>1744</v>
      </c>
    </row>
    <row r="467" spans="1:3">
      <c r="A467" s="119">
        <v>51089</v>
      </c>
      <c r="B467" s="113" t="s">
        <v>1734</v>
      </c>
      <c r="C467" s="113" t="s">
        <v>1745</v>
      </c>
    </row>
    <row r="468" spans="1:3">
      <c r="A468" s="119">
        <v>51129</v>
      </c>
      <c r="B468" s="113" t="s">
        <v>1747</v>
      </c>
      <c r="C468" s="113" t="s">
        <v>1746</v>
      </c>
    </row>
    <row r="469" spans="1:3">
      <c r="A469" s="117">
        <v>51136</v>
      </c>
      <c r="B469" s="113" t="s">
        <v>1747</v>
      </c>
      <c r="C469" s="113" t="s">
        <v>1732</v>
      </c>
    </row>
    <row r="470" spans="1:3">
      <c r="A470" s="117">
        <v>51179</v>
      </c>
      <c r="B470" s="113" t="s">
        <v>1731</v>
      </c>
      <c r="C470" s="113" t="s">
        <v>1733</v>
      </c>
    </row>
    <row r="471" spans="1:3">
      <c r="A471" s="117">
        <v>51180</v>
      </c>
      <c r="B471" s="113" t="s">
        <v>1734</v>
      </c>
      <c r="C471" s="113" t="s">
        <v>1733</v>
      </c>
    </row>
    <row r="472" spans="1:3">
      <c r="A472" s="117">
        <v>51225</v>
      </c>
      <c r="B472" s="113" t="s">
        <v>1735</v>
      </c>
      <c r="C472" s="113" t="s">
        <v>1736</v>
      </c>
    </row>
    <row r="473" spans="1:3">
      <c r="A473" s="117">
        <v>51247</v>
      </c>
      <c r="B473" s="113" t="s">
        <v>1737</v>
      </c>
      <c r="C473" s="113" t="s">
        <v>1738</v>
      </c>
    </row>
    <row r="474" spans="1:3">
      <c r="A474" s="117">
        <v>51257</v>
      </c>
      <c r="B474" s="113" t="s">
        <v>1734</v>
      </c>
      <c r="C474" s="113" t="s">
        <v>1739</v>
      </c>
    </row>
    <row r="475" spans="1:3">
      <c r="A475" s="117">
        <v>51287</v>
      </c>
      <c r="B475" s="113" t="s">
        <v>1740</v>
      </c>
      <c r="C475" s="113" t="s">
        <v>1741</v>
      </c>
    </row>
    <row r="476" spans="1:3">
      <c r="A476" s="117">
        <v>51386</v>
      </c>
      <c r="B476" s="113" t="s">
        <v>1735</v>
      </c>
      <c r="C476" s="113" t="s">
        <v>1742</v>
      </c>
    </row>
    <row r="477" spans="1:3">
      <c r="A477" s="119">
        <v>51421</v>
      </c>
      <c r="B477" s="113" t="s">
        <v>1735</v>
      </c>
      <c r="C477" s="113" t="s">
        <v>1743</v>
      </c>
    </row>
    <row r="478" spans="1:3">
      <c r="A478" s="117">
        <v>51442</v>
      </c>
      <c r="B478" s="113" t="s">
        <v>1735</v>
      </c>
      <c r="C478" s="113" t="s">
        <v>1744</v>
      </c>
    </row>
    <row r="479" spans="1:3">
      <c r="A479" s="119">
        <v>51455</v>
      </c>
      <c r="B479" s="113" t="s">
        <v>1740</v>
      </c>
      <c r="C479" s="113" t="s">
        <v>1745</v>
      </c>
    </row>
    <row r="480" spans="1:3">
      <c r="A480" s="119">
        <v>51495</v>
      </c>
      <c r="B480" s="113" t="s">
        <v>1734</v>
      </c>
      <c r="C480" s="113" t="s">
        <v>1746</v>
      </c>
    </row>
    <row r="481" spans="1:3">
      <c r="A481" s="117">
        <v>51502</v>
      </c>
      <c r="B481" s="113" t="s">
        <v>1734</v>
      </c>
      <c r="C481" s="113" t="s">
        <v>1732</v>
      </c>
    </row>
    <row r="482" spans="1:3">
      <c r="A482" s="117">
        <v>51564</v>
      </c>
      <c r="B482" s="113" t="s">
        <v>1731</v>
      </c>
      <c r="C482" s="113" t="s">
        <v>1733</v>
      </c>
    </row>
    <row r="483" spans="1:3">
      <c r="A483" s="117">
        <v>51565</v>
      </c>
      <c r="B483" s="113" t="s">
        <v>1734</v>
      </c>
      <c r="C483" s="113" t="s">
        <v>1733</v>
      </c>
    </row>
    <row r="484" spans="1:3">
      <c r="A484" s="117">
        <v>51610</v>
      </c>
      <c r="B484" s="113" t="s">
        <v>1735</v>
      </c>
      <c r="C484" s="113" t="s">
        <v>1736</v>
      </c>
    </row>
    <row r="485" spans="1:3">
      <c r="A485" s="117">
        <v>51612</v>
      </c>
      <c r="B485" s="113" t="s">
        <v>1747</v>
      </c>
      <c r="C485" s="113" t="s">
        <v>1738</v>
      </c>
    </row>
    <row r="486" spans="1:3">
      <c r="A486" s="117">
        <v>51622</v>
      </c>
      <c r="B486" s="113" t="s">
        <v>1748</v>
      </c>
      <c r="C486" s="113" t="s">
        <v>1739</v>
      </c>
    </row>
    <row r="487" spans="1:3">
      <c r="A487" s="117">
        <v>51672</v>
      </c>
      <c r="B487" s="113" t="s">
        <v>1740</v>
      </c>
      <c r="C487" s="113" t="s">
        <v>1741</v>
      </c>
    </row>
    <row r="488" spans="1:3">
      <c r="A488" s="117">
        <v>51751</v>
      </c>
      <c r="B488" s="113" t="s">
        <v>1737</v>
      </c>
      <c r="C488" s="113" t="s">
        <v>1742</v>
      </c>
    </row>
    <row r="489" spans="1:3">
      <c r="A489" s="119">
        <v>51786</v>
      </c>
      <c r="B489" s="113" t="s">
        <v>1737</v>
      </c>
      <c r="C489" s="113" t="s">
        <v>1743</v>
      </c>
    </row>
    <row r="490" spans="1:3">
      <c r="A490" s="117">
        <v>51807</v>
      </c>
      <c r="B490" s="113" t="s">
        <v>1737</v>
      </c>
      <c r="C490" s="113" t="s">
        <v>1744</v>
      </c>
    </row>
    <row r="491" spans="1:3">
      <c r="A491" s="119">
        <v>51820</v>
      </c>
      <c r="B491" s="113" t="s">
        <v>1735</v>
      </c>
      <c r="C491" s="113" t="s">
        <v>1745</v>
      </c>
    </row>
    <row r="492" spans="1:3">
      <c r="A492" s="119">
        <v>51860</v>
      </c>
      <c r="B492" s="113" t="s">
        <v>1748</v>
      </c>
      <c r="C492" s="113" t="s">
        <v>1746</v>
      </c>
    </row>
    <row r="493" spans="1:3">
      <c r="A493" s="117">
        <v>51867</v>
      </c>
      <c r="B493" s="113" t="s">
        <v>1748</v>
      </c>
      <c r="C493" s="113" t="s">
        <v>1732</v>
      </c>
    </row>
    <row r="494" spans="1:3">
      <c r="A494" s="117">
        <v>51914</v>
      </c>
      <c r="B494" s="113" t="s">
        <v>1731</v>
      </c>
      <c r="C494" s="113" t="s">
        <v>1733</v>
      </c>
    </row>
    <row r="495" spans="1:3">
      <c r="A495" s="117">
        <v>51915</v>
      </c>
      <c r="B495" s="113" t="s">
        <v>1734</v>
      </c>
      <c r="C495" s="113" t="s">
        <v>1733</v>
      </c>
    </row>
    <row r="496" spans="1:3">
      <c r="A496" s="117">
        <v>51960</v>
      </c>
      <c r="B496" s="113" t="s">
        <v>1735</v>
      </c>
      <c r="C496" s="113" t="s">
        <v>1736</v>
      </c>
    </row>
    <row r="497" spans="1:3">
      <c r="A497" s="117">
        <v>51977</v>
      </c>
      <c r="B497" s="113" t="s">
        <v>1731</v>
      </c>
      <c r="C497" s="113" t="s">
        <v>1738</v>
      </c>
    </row>
    <row r="498" spans="1:3">
      <c r="A498" s="117">
        <v>51987</v>
      </c>
      <c r="B498" s="113" t="s">
        <v>1740</v>
      </c>
      <c r="C498" s="113" t="s">
        <v>1739</v>
      </c>
    </row>
    <row r="499" spans="1:3">
      <c r="A499" s="117">
        <v>52022</v>
      </c>
      <c r="B499" s="113" t="s">
        <v>1740</v>
      </c>
      <c r="C499" s="113" t="s">
        <v>1741</v>
      </c>
    </row>
    <row r="500" spans="1:3">
      <c r="A500" s="117">
        <v>52116</v>
      </c>
      <c r="B500" s="113" t="s">
        <v>1747</v>
      </c>
      <c r="C500" s="113" t="s">
        <v>1742</v>
      </c>
    </row>
    <row r="501" spans="1:3">
      <c r="A501" s="119">
        <v>52151</v>
      </c>
      <c r="B501" s="113" t="s">
        <v>1747</v>
      </c>
      <c r="C501" s="113" t="s">
        <v>1743</v>
      </c>
    </row>
    <row r="502" spans="1:3">
      <c r="A502" s="117">
        <v>52172</v>
      </c>
      <c r="B502" s="113" t="s">
        <v>1747</v>
      </c>
      <c r="C502" s="113" t="s">
        <v>1744</v>
      </c>
    </row>
    <row r="503" spans="1:3">
      <c r="A503" s="119">
        <v>52185</v>
      </c>
      <c r="B503" s="113" t="s">
        <v>1737</v>
      </c>
      <c r="C503" s="113" t="s">
        <v>1745</v>
      </c>
    </row>
    <row r="504" spans="1:3">
      <c r="A504" s="119">
        <v>52225</v>
      </c>
      <c r="B504" s="113" t="s">
        <v>1740</v>
      </c>
      <c r="C504" s="113" t="s">
        <v>1746</v>
      </c>
    </row>
    <row r="505" spans="1:3">
      <c r="A505" s="117">
        <v>52232</v>
      </c>
      <c r="B505" s="113" t="s">
        <v>1740</v>
      </c>
      <c r="C505" s="113" t="s">
        <v>1732</v>
      </c>
    </row>
    <row r="506" spans="1:3">
      <c r="A506" s="117">
        <v>52271</v>
      </c>
      <c r="B506" s="113" t="s">
        <v>1731</v>
      </c>
      <c r="C506" s="113" t="s">
        <v>1733</v>
      </c>
    </row>
    <row r="507" spans="1:3">
      <c r="A507" s="117">
        <v>52272</v>
      </c>
      <c r="B507" s="113" t="s">
        <v>1734</v>
      </c>
      <c r="C507" s="113" t="s">
        <v>1733</v>
      </c>
    </row>
    <row r="508" spans="1:3">
      <c r="A508" s="117">
        <v>52317</v>
      </c>
      <c r="B508" s="113" t="s">
        <v>1735</v>
      </c>
      <c r="C508" s="113" t="s">
        <v>1736</v>
      </c>
    </row>
    <row r="509" spans="1:3">
      <c r="A509" s="117">
        <v>52342</v>
      </c>
      <c r="B509" s="113" t="s">
        <v>1734</v>
      </c>
      <c r="C509" s="113" t="s">
        <v>1738</v>
      </c>
    </row>
    <row r="510" spans="1:3">
      <c r="A510" s="117">
        <v>52352</v>
      </c>
      <c r="B510" s="113" t="s">
        <v>1735</v>
      </c>
      <c r="C510" s="113" t="s">
        <v>1739</v>
      </c>
    </row>
    <row r="511" spans="1:3">
      <c r="A511" s="117">
        <v>52379</v>
      </c>
      <c r="B511" s="113" t="s">
        <v>1740</v>
      </c>
      <c r="C511" s="113" t="s">
        <v>1741</v>
      </c>
    </row>
    <row r="512" spans="1:3">
      <c r="A512" s="117">
        <v>52481</v>
      </c>
      <c r="B512" s="113" t="s">
        <v>1731</v>
      </c>
      <c r="C512" s="113" t="s">
        <v>1742</v>
      </c>
    </row>
    <row r="513" spans="1:3">
      <c r="A513" s="119">
        <v>52516</v>
      </c>
      <c r="B513" s="113" t="s">
        <v>1731</v>
      </c>
      <c r="C513" s="113" t="s">
        <v>1743</v>
      </c>
    </row>
    <row r="514" spans="1:3">
      <c r="A514" s="117">
        <v>52537</v>
      </c>
      <c r="B514" s="113" t="s">
        <v>1731</v>
      </c>
      <c r="C514" s="113" t="s">
        <v>1744</v>
      </c>
    </row>
    <row r="515" spans="1:3">
      <c r="A515" s="119">
        <v>52550</v>
      </c>
      <c r="B515" s="113" t="s">
        <v>1747</v>
      </c>
      <c r="C515" s="113" t="s">
        <v>1745</v>
      </c>
    </row>
    <row r="516" spans="1:3">
      <c r="A516" s="119">
        <v>52590</v>
      </c>
      <c r="B516" s="113" t="s">
        <v>1735</v>
      </c>
      <c r="C516" s="113" t="s">
        <v>1746</v>
      </c>
    </row>
    <row r="517" spans="1:3">
      <c r="A517" s="117">
        <v>52597</v>
      </c>
      <c r="B517" s="113" t="s">
        <v>1735</v>
      </c>
      <c r="C517" s="113" t="s">
        <v>1732</v>
      </c>
    </row>
    <row r="518" spans="1:3">
      <c r="A518" s="117">
        <v>52656</v>
      </c>
      <c r="B518" s="113" t="s">
        <v>1731</v>
      </c>
      <c r="C518" s="113" t="s">
        <v>1733</v>
      </c>
    </row>
    <row r="519" spans="1:3">
      <c r="A519" s="117">
        <v>52657</v>
      </c>
      <c r="B519" s="113" t="s">
        <v>1734</v>
      </c>
      <c r="C519" s="113" t="s">
        <v>1733</v>
      </c>
    </row>
    <row r="520" spans="1:3">
      <c r="A520" s="117">
        <v>52702</v>
      </c>
      <c r="B520" s="113" t="s">
        <v>1735</v>
      </c>
      <c r="C520" s="113" t="s">
        <v>1736</v>
      </c>
    </row>
    <row r="521" spans="1:3">
      <c r="A521" s="117">
        <v>52708</v>
      </c>
      <c r="B521" s="113" t="s">
        <v>1740</v>
      </c>
      <c r="C521" s="113" t="s">
        <v>1738</v>
      </c>
    </row>
    <row r="522" spans="1:3">
      <c r="A522" s="117">
        <v>52718</v>
      </c>
      <c r="B522" s="113" t="s">
        <v>1747</v>
      </c>
      <c r="C522" s="113" t="s">
        <v>1739</v>
      </c>
    </row>
    <row r="523" spans="1:3">
      <c r="A523" s="117">
        <v>52764</v>
      </c>
      <c r="B523" s="113" t="s">
        <v>1740</v>
      </c>
      <c r="C523" s="113" t="s">
        <v>1741</v>
      </c>
    </row>
    <row r="524" spans="1:3">
      <c r="A524" s="117">
        <v>52847</v>
      </c>
      <c r="B524" s="113" t="s">
        <v>1748</v>
      </c>
      <c r="C524" s="113" t="s">
        <v>1742</v>
      </c>
    </row>
    <row r="525" spans="1:3">
      <c r="A525" s="119">
        <v>52882</v>
      </c>
      <c r="B525" s="113" t="s">
        <v>1748</v>
      </c>
      <c r="C525" s="113" t="s">
        <v>1743</v>
      </c>
    </row>
    <row r="526" spans="1:3">
      <c r="A526" s="117">
        <v>52903</v>
      </c>
      <c r="B526" s="113" t="s">
        <v>1748</v>
      </c>
      <c r="C526" s="113" t="s">
        <v>1744</v>
      </c>
    </row>
    <row r="527" spans="1:3">
      <c r="A527" s="119">
        <v>52916</v>
      </c>
      <c r="B527" s="113" t="s">
        <v>1734</v>
      </c>
      <c r="C527" s="113" t="s">
        <v>1745</v>
      </c>
    </row>
    <row r="528" spans="1:3">
      <c r="A528" s="119">
        <v>52956</v>
      </c>
      <c r="B528" s="113" t="s">
        <v>1747</v>
      </c>
      <c r="C528" s="113" t="s">
        <v>1746</v>
      </c>
    </row>
    <row r="529" spans="1:3">
      <c r="A529" s="117">
        <v>52963</v>
      </c>
      <c r="B529" s="113" t="s">
        <v>1747</v>
      </c>
      <c r="C529" s="113" t="s">
        <v>1732</v>
      </c>
    </row>
    <row r="530" spans="1:3">
      <c r="A530" s="117">
        <v>53013</v>
      </c>
      <c r="B530" s="113" t="s">
        <v>1731</v>
      </c>
      <c r="C530" s="113" t="s">
        <v>1733</v>
      </c>
    </row>
    <row r="531" spans="1:3">
      <c r="A531" s="117">
        <v>53014</v>
      </c>
      <c r="B531" s="113" t="s">
        <v>1734</v>
      </c>
      <c r="C531" s="113" t="s">
        <v>1733</v>
      </c>
    </row>
    <row r="532" spans="1:3">
      <c r="A532" s="117">
        <v>53059</v>
      </c>
      <c r="B532" s="113" t="s">
        <v>1735</v>
      </c>
      <c r="C532" s="113" t="s">
        <v>1736</v>
      </c>
    </row>
    <row r="533" spans="1:3">
      <c r="A533" s="117">
        <v>53073</v>
      </c>
      <c r="B533" s="113" t="s">
        <v>1735</v>
      </c>
      <c r="C533" s="113" t="s">
        <v>1738</v>
      </c>
    </row>
    <row r="534" spans="1:3">
      <c r="A534" s="117">
        <v>53083</v>
      </c>
      <c r="B534" s="113" t="s">
        <v>1731</v>
      </c>
      <c r="C534" s="113" t="s">
        <v>1739</v>
      </c>
    </row>
    <row r="535" spans="1:3">
      <c r="A535" s="117">
        <v>53121</v>
      </c>
      <c r="B535" s="113" t="s">
        <v>1740</v>
      </c>
      <c r="C535" s="113" t="s">
        <v>1741</v>
      </c>
    </row>
    <row r="536" spans="1:3">
      <c r="A536" s="117">
        <v>53212</v>
      </c>
      <c r="B536" s="113" t="s">
        <v>1740</v>
      </c>
      <c r="C536" s="113" t="s">
        <v>1742</v>
      </c>
    </row>
    <row r="537" spans="1:3">
      <c r="A537" s="119">
        <v>53247</v>
      </c>
      <c r="B537" s="113" t="s">
        <v>1740</v>
      </c>
      <c r="C537" s="113" t="s">
        <v>1743</v>
      </c>
    </row>
    <row r="538" spans="1:3">
      <c r="A538" s="117">
        <v>53268</v>
      </c>
      <c r="B538" s="113" t="s">
        <v>1740</v>
      </c>
      <c r="C538" s="113" t="s">
        <v>1744</v>
      </c>
    </row>
    <row r="539" spans="1:3">
      <c r="A539" s="119">
        <v>53281</v>
      </c>
      <c r="B539" s="113" t="s">
        <v>1748</v>
      </c>
      <c r="C539" s="113" t="s">
        <v>1745</v>
      </c>
    </row>
    <row r="540" spans="1:3">
      <c r="A540" s="119">
        <v>53321</v>
      </c>
      <c r="B540" s="113" t="s">
        <v>1731</v>
      </c>
      <c r="C540" s="113" t="s">
        <v>1746</v>
      </c>
    </row>
    <row r="541" spans="1:3">
      <c r="A541" s="117">
        <v>53328</v>
      </c>
      <c r="B541" s="113" t="s">
        <v>1731</v>
      </c>
      <c r="C541" s="113" t="s">
        <v>1732</v>
      </c>
    </row>
    <row r="542" spans="1:3">
      <c r="A542" s="117">
        <v>53363</v>
      </c>
      <c r="B542" s="113" t="s">
        <v>1731</v>
      </c>
      <c r="C542" s="113" t="s">
        <v>1733</v>
      </c>
    </row>
    <row r="543" spans="1:3">
      <c r="A543" s="117">
        <v>53364</v>
      </c>
      <c r="B543" s="113" t="s">
        <v>1734</v>
      </c>
      <c r="C543" s="113" t="s">
        <v>1733</v>
      </c>
    </row>
    <row r="544" spans="1:3">
      <c r="A544" s="117">
        <v>53409</v>
      </c>
      <c r="B544" s="113" t="s">
        <v>1735</v>
      </c>
      <c r="C544" s="113" t="s">
        <v>1736</v>
      </c>
    </row>
    <row r="545" spans="1:3">
      <c r="A545" s="117">
        <v>53438</v>
      </c>
      <c r="B545" s="113" t="s">
        <v>1737</v>
      </c>
      <c r="C545" s="113" t="s">
        <v>1738</v>
      </c>
    </row>
    <row r="546" spans="1:3">
      <c r="A546" s="117">
        <v>53448</v>
      </c>
      <c r="B546" s="113" t="s">
        <v>1734</v>
      </c>
      <c r="C546" s="113" t="s">
        <v>1739</v>
      </c>
    </row>
    <row r="547" spans="1:3">
      <c r="A547" s="117">
        <v>53471</v>
      </c>
      <c r="B547" s="113" t="s">
        <v>1740</v>
      </c>
      <c r="C547" s="113" t="s">
        <v>1741</v>
      </c>
    </row>
    <row r="548" spans="1:3">
      <c r="A548" s="117">
        <v>53577</v>
      </c>
      <c r="B548" s="113" t="s">
        <v>1735</v>
      </c>
      <c r="C548" s="113" t="s">
        <v>1742</v>
      </c>
    </row>
    <row r="549" spans="1:3">
      <c r="A549" s="119">
        <v>53612</v>
      </c>
      <c r="B549" s="113" t="s">
        <v>1735</v>
      </c>
      <c r="C549" s="113" t="s">
        <v>1743</v>
      </c>
    </row>
    <row r="550" spans="1:3">
      <c r="A550" s="117">
        <v>53633</v>
      </c>
      <c r="B550" s="113" t="s">
        <v>1735</v>
      </c>
      <c r="C550" s="113" t="s">
        <v>1744</v>
      </c>
    </row>
    <row r="551" spans="1:3">
      <c r="A551" s="119">
        <v>53646</v>
      </c>
      <c r="B551" s="113" t="s">
        <v>1740</v>
      </c>
      <c r="C551" s="113" t="s">
        <v>1745</v>
      </c>
    </row>
    <row r="552" spans="1:3">
      <c r="A552" s="119">
        <v>53686</v>
      </c>
      <c r="B552" s="113" t="s">
        <v>1734</v>
      </c>
      <c r="C552" s="113" t="s">
        <v>1746</v>
      </c>
    </row>
    <row r="553" spans="1:3">
      <c r="A553" s="117">
        <v>53693</v>
      </c>
      <c r="B553" s="113" t="s">
        <v>1734</v>
      </c>
      <c r="C553" s="113" t="s">
        <v>1732</v>
      </c>
    </row>
    <row r="554" spans="1:3">
      <c r="A554" s="117">
        <v>53748</v>
      </c>
      <c r="B554" s="113" t="s">
        <v>1731</v>
      </c>
      <c r="C554" s="113" t="s">
        <v>1733</v>
      </c>
    </row>
    <row r="555" spans="1:3">
      <c r="A555" s="117">
        <v>53749</v>
      </c>
      <c r="B555" s="113" t="s">
        <v>1734</v>
      </c>
      <c r="C555" s="113" t="s">
        <v>1733</v>
      </c>
    </row>
    <row r="556" spans="1:3">
      <c r="A556" s="117">
        <v>53794</v>
      </c>
      <c r="B556" s="113" t="s">
        <v>1735</v>
      </c>
      <c r="C556" s="113" t="s">
        <v>1736</v>
      </c>
    </row>
    <row r="557" spans="1:3">
      <c r="A557" s="117">
        <v>53803</v>
      </c>
      <c r="B557" s="113" t="s">
        <v>1734</v>
      </c>
      <c r="C557" s="113" t="s">
        <v>1738</v>
      </c>
    </row>
    <row r="558" spans="1:3">
      <c r="A558" s="117">
        <v>53813</v>
      </c>
      <c r="B558" s="113" t="s">
        <v>1748</v>
      </c>
      <c r="C558" s="113" t="s">
        <v>1739</v>
      </c>
    </row>
    <row r="559" spans="1:3">
      <c r="A559" s="117">
        <v>53856</v>
      </c>
      <c r="B559" s="113" t="s">
        <v>1740</v>
      </c>
      <c r="C559" s="113" t="s">
        <v>1741</v>
      </c>
    </row>
    <row r="560" spans="1:3">
      <c r="A560" s="117">
        <v>53942</v>
      </c>
      <c r="B560" s="113" t="s">
        <v>1737</v>
      </c>
      <c r="C560" s="113" t="s">
        <v>1742</v>
      </c>
    </row>
    <row r="561" spans="1:3">
      <c r="A561" s="119">
        <v>53977</v>
      </c>
      <c r="B561" s="113" t="s">
        <v>1737</v>
      </c>
      <c r="C561" s="113" t="s">
        <v>1743</v>
      </c>
    </row>
    <row r="562" spans="1:3">
      <c r="A562" s="117">
        <v>53998</v>
      </c>
      <c r="B562" s="113" t="s">
        <v>1737</v>
      </c>
      <c r="C562" s="113" t="s">
        <v>1744</v>
      </c>
    </row>
    <row r="563" spans="1:3">
      <c r="A563" s="119">
        <v>54011</v>
      </c>
      <c r="B563" s="113" t="s">
        <v>1735</v>
      </c>
      <c r="C563" s="113" t="s">
        <v>1745</v>
      </c>
    </row>
    <row r="564" spans="1:3">
      <c r="A564" s="119">
        <v>54051</v>
      </c>
      <c r="B564" s="113" t="s">
        <v>1748</v>
      </c>
      <c r="C564" s="113" t="s">
        <v>1746</v>
      </c>
    </row>
    <row r="565" spans="1:3">
      <c r="A565" s="117">
        <v>54058</v>
      </c>
      <c r="B565" s="113" t="s">
        <v>1748</v>
      </c>
      <c r="C565" s="113" t="s">
        <v>1732</v>
      </c>
    </row>
    <row r="566" spans="1:3">
      <c r="A566" s="117">
        <v>54105</v>
      </c>
      <c r="B566" s="113" t="s">
        <v>1731</v>
      </c>
      <c r="C566" s="113" t="s">
        <v>1733</v>
      </c>
    </row>
    <row r="567" spans="1:3">
      <c r="A567" s="117">
        <v>54106</v>
      </c>
      <c r="B567" s="113" t="s">
        <v>1734</v>
      </c>
      <c r="C567" s="113" t="s">
        <v>1733</v>
      </c>
    </row>
    <row r="568" spans="1:3">
      <c r="A568" s="117">
        <v>54151</v>
      </c>
      <c r="B568" s="113" t="s">
        <v>1735</v>
      </c>
      <c r="C568" s="113" t="s">
        <v>1736</v>
      </c>
    </row>
    <row r="569" spans="1:3">
      <c r="A569" s="117">
        <v>54169</v>
      </c>
      <c r="B569" s="113" t="s">
        <v>1734</v>
      </c>
      <c r="C569" s="113" t="s">
        <v>1738</v>
      </c>
    </row>
    <row r="570" spans="1:3">
      <c r="A570" s="117">
        <v>54179</v>
      </c>
      <c r="B570" s="113" t="s">
        <v>1735</v>
      </c>
      <c r="C570" s="113" t="s">
        <v>1739</v>
      </c>
    </row>
    <row r="571" spans="1:3">
      <c r="A571" s="117">
        <v>54213</v>
      </c>
      <c r="B571" s="113" t="s">
        <v>1740</v>
      </c>
      <c r="C571" s="113" t="s">
        <v>1741</v>
      </c>
    </row>
    <row r="572" spans="1:3">
      <c r="A572" s="117">
        <v>54308</v>
      </c>
      <c r="B572" s="113" t="s">
        <v>1731</v>
      </c>
      <c r="C572" s="113" t="s">
        <v>1742</v>
      </c>
    </row>
    <row r="573" spans="1:3">
      <c r="A573" s="119">
        <v>54343</v>
      </c>
      <c r="B573" s="113" t="s">
        <v>1731</v>
      </c>
      <c r="C573" s="113" t="s">
        <v>1743</v>
      </c>
    </row>
    <row r="574" spans="1:3">
      <c r="A574" s="117">
        <v>54364</v>
      </c>
      <c r="B574" s="113" t="s">
        <v>1731</v>
      </c>
      <c r="C574" s="113" t="s">
        <v>1744</v>
      </c>
    </row>
    <row r="575" spans="1:3">
      <c r="A575" s="119">
        <v>54377</v>
      </c>
      <c r="B575" s="113" t="s">
        <v>1747</v>
      </c>
      <c r="C575" s="113" t="s">
        <v>1745</v>
      </c>
    </row>
    <row r="576" spans="1:3">
      <c r="A576" s="119">
        <v>54417</v>
      </c>
      <c r="B576" s="113" t="s">
        <v>1735</v>
      </c>
      <c r="C576" s="113" t="s">
        <v>1746</v>
      </c>
    </row>
    <row r="577" spans="1:3">
      <c r="A577" s="117">
        <v>54424</v>
      </c>
      <c r="B577" s="113" t="s">
        <v>1735</v>
      </c>
      <c r="C577" s="113" t="s">
        <v>1732</v>
      </c>
    </row>
    <row r="578" spans="1:3">
      <c r="A578" s="117">
        <v>54483</v>
      </c>
      <c r="B578" s="113" t="s">
        <v>1731</v>
      </c>
      <c r="C578" s="113" t="s">
        <v>1733</v>
      </c>
    </row>
    <row r="579" spans="1:3">
      <c r="A579" s="117">
        <v>54484</v>
      </c>
      <c r="B579" s="113" t="s">
        <v>1734</v>
      </c>
      <c r="C579" s="113" t="s">
        <v>1733</v>
      </c>
    </row>
    <row r="580" spans="1:3">
      <c r="A580" s="117">
        <v>54529</v>
      </c>
      <c r="B580" s="113" t="s">
        <v>1735</v>
      </c>
      <c r="C580" s="113" t="s">
        <v>1736</v>
      </c>
    </row>
    <row r="581" spans="1:3">
      <c r="A581" s="117">
        <v>54534</v>
      </c>
      <c r="B581" s="113" t="s">
        <v>1748</v>
      </c>
      <c r="C581" s="113" t="s">
        <v>1738</v>
      </c>
    </row>
    <row r="582" spans="1:3">
      <c r="A582" s="117">
        <v>54544</v>
      </c>
      <c r="B582" s="113" t="s">
        <v>1737</v>
      </c>
      <c r="C582" s="113" t="s">
        <v>1739</v>
      </c>
    </row>
    <row r="583" spans="1:3">
      <c r="A583" s="117">
        <v>54591</v>
      </c>
      <c r="B583" s="113" t="s">
        <v>1740</v>
      </c>
      <c r="C583" s="113" t="s">
        <v>1741</v>
      </c>
    </row>
    <row r="584" spans="1:3">
      <c r="A584" s="117">
        <v>54673</v>
      </c>
      <c r="B584" s="113" t="s">
        <v>1734</v>
      </c>
      <c r="C584" s="113" t="s">
        <v>1742</v>
      </c>
    </row>
    <row r="585" spans="1:3">
      <c r="A585" s="119">
        <v>54708</v>
      </c>
      <c r="B585" s="113" t="s">
        <v>1734</v>
      </c>
      <c r="C585" s="113" t="s">
        <v>1743</v>
      </c>
    </row>
    <row r="586" spans="1:3">
      <c r="A586" s="117">
        <v>54729</v>
      </c>
      <c r="B586" s="113" t="s">
        <v>1734</v>
      </c>
      <c r="C586" s="113" t="s">
        <v>1744</v>
      </c>
    </row>
    <row r="587" spans="1:3">
      <c r="A587" s="119">
        <v>54742</v>
      </c>
      <c r="B587" s="113" t="s">
        <v>1731</v>
      </c>
      <c r="C587" s="113" t="s">
        <v>1745</v>
      </c>
    </row>
    <row r="588" spans="1:3">
      <c r="A588" s="119">
        <v>54782</v>
      </c>
      <c r="B588" s="113" t="s">
        <v>1737</v>
      </c>
      <c r="C588" s="113" t="s">
        <v>1746</v>
      </c>
    </row>
    <row r="589" spans="1:3">
      <c r="A589" s="117">
        <v>54789</v>
      </c>
      <c r="B589" s="113" t="s">
        <v>1737</v>
      </c>
      <c r="C589" s="113" t="s">
        <v>1732</v>
      </c>
    </row>
    <row r="590" spans="1:3">
      <c r="A590" s="117">
        <v>54840</v>
      </c>
      <c r="B590" s="113" t="s">
        <v>1731</v>
      </c>
      <c r="C590" s="113" t="s">
        <v>1733</v>
      </c>
    </row>
    <row r="591" spans="1:3">
      <c r="A591" s="117">
        <v>54841</v>
      </c>
      <c r="B591" s="113" t="s">
        <v>1734</v>
      </c>
      <c r="C591" s="113" t="s">
        <v>1733</v>
      </c>
    </row>
    <row r="592" spans="1:3">
      <c r="A592" s="117">
        <v>54886</v>
      </c>
      <c r="B592" s="113" t="s">
        <v>1735</v>
      </c>
      <c r="C592" s="113" t="s">
        <v>1736</v>
      </c>
    </row>
    <row r="593" spans="1:3">
      <c r="A593" s="117">
        <v>54899</v>
      </c>
      <c r="B593" s="113" t="s">
        <v>1740</v>
      </c>
      <c r="C593" s="113" t="s">
        <v>1738</v>
      </c>
    </row>
    <row r="594" spans="1:3">
      <c r="A594" s="117">
        <v>54909</v>
      </c>
      <c r="B594" s="113" t="s">
        <v>1747</v>
      </c>
      <c r="C594" s="113" t="s">
        <v>1739</v>
      </c>
    </row>
    <row r="595" spans="1:3">
      <c r="A595" s="117">
        <v>54948</v>
      </c>
      <c r="B595" s="113" t="s">
        <v>1740</v>
      </c>
      <c r="C595" s="113" t="s">
        <v>1741</v>
      </c>
    </row>
    <row r="596" spans="1:3">
      <c r="A596" s="117">
        <v>55038</v>
      </c>
      <c r="B596" s="113" t="s">
        <v>1748</v>
      </c>
      <c r="C596" s="113" t="s">
        <v>1742</v>
      </c>
    </row>
    <row r="597" spans="1:3">
      <c r="A597" s="119">
        <v>55073</v>
      </c>
      <c r="B597" s="113" t="s">
        <v>1748</v>
      </c>
      <c r="C597" s="113" t="s">
        <v>1743</v>
      </c>
    </row>
    <row r="598" spans="1:3">
      <c r="A598" s="117">
        <v>55094</v>
      </c>
      <c r="B598" s="113" t="s">
        <v>1748</v>
      </c>
      <c r="C598" s="113" t="s">
        <v>1744</v>
      </c>
    </row>
    <row r="599" spans="1:3">
      <c r="A599" s="119">
        <v>55107</v>
      </c>
      <c r="B599" s="113" t="s">
        <v>1734</v>
      </c>
      <c r="C599" s="113" t="s">
        <v>1745</v>
      </c>
    </row>
    <row r="600" spans="1:3">
      <c r="A600" s="119">
        <v>55147</v>
      </c>
      <c r="B600" s="113" t="s">
        <v>1747</v>
      </c>
      <c r="C600" s="113" t="s">
        <v>1746</v>
      </c>
    </row>
    <row r="601" spans="1:3">
      <c r="A601" s="117">
        <v>55154</v>
      </c>
      <c r="B601" s="113" t="s">
        <v>1747</v>
      </c>
      <c r="C601" s="113" t="s">
        <v>1732</v>
      </c>
    </row>
    <row r="602" spans="1:3">
      <c r="A602" s="117">
        <v>55197</v>
      </c>
      <c r="B602" s="113" t="s">
        <v>1731</v>
      </c>
      <c r="C602" s="113" t="s">
        <v>1733</v>
      </c>
    </row>
    <row r="603" spans="1:3">
      <c r="A603" s="117">
        <v>55198</v>
      </c>
      <c r="B603" s="113" t="s">
        <v>1734</v>
      </c>
      <c r="C603" s="113" t="s">
        <v>1733</v>
      </c>
    </row>
    <row r="604" spans="1:3">
      <c r="A604" s="117">
        <v>55243</v>
      </c>
      <c r="B604" s="113" t="s">
        <v>1735</v>
      </c>
      <c r="C604" s="113" t="s">
        <v>1736</v>
      </c>
    </row>
    <row r="605" spans="1:3">
      <c r="A605" s="117">
        <v>55264</v>
      </c>
      <c r="B605" s="113" t="s">
        <v>1735</v>
      </c>
      <c r="C605" s="113" t="s">
        <v>1738</v>
      </c>
    </row>
    <row r="606" spans="1:3">
      <c r="A606" s="117">
        <v>55274</v>
      </c>
      <c r="B606" s="113" t="s">
        <v>1731</v>
      </c>
      <c r="C606" s="113" t="s">
        <v>1739</v>
      </c>
    </row>
    <row r="607" spans="1:3">
      <c r="A607" s="117">
        <v>55305</v>
      </c>
      <c r="B607" s="113" t="s">
        <v>1740</v>
      </c>
      <c r="C607" s="113" t="s">
        <v>1741</v>
      </c>
    </row>
    <row r="608" spans="1:3">
      <c r="A608" s="117">
        <v>55403</v>
      </c>
      <c r="B608" s="113" t="s">
        <v>1740</v>
      </c>
      <c r="C608" s="113" t="s">
        <v>1742</v>
      </c>
    </row>
    <row r="609" spans="1:3">
      <c r="A609" s="119">
        <v>55438</v>
      </c>
      <c r="B609" s="113" t="s">
        <v>1740</v>
      </c>
      <c r="C609" s="113" t="s">
        <v>1743</v>
      </c>
    </row>
    <row r="610" spans="1:3">
      <c r="A610" s="117">
        <v>55459</v>
      </c>
      <c r="B610" s="113" t="s">
        <v>1740</v>
      </c>
      <c r="C610" s="113" t="s">
        <v>1744</v>
      </c>
    </row>
    <row r="611" spans="1:3">
      <c r="A611" s="119">
        <v>55472</v>
      </c>
      <c r="B611" s="113" t="s">
        <v>1748</v>
      </c>
      <c r="C611" s="113" t="s">
        <v>1745</v>
      </c>
    </row>
    <row r="612" spans="1:3">
      <c r="A612" s="119">
        <v>55512</v>
      </c>
      <c r="B612" s="113" t="s">
        <v>1731</v>
      </c>
      <c r="C612" s="113" t="s">
        <v>1746</v>
      </c>
    </row>
    <row r="613" spans="1:3">
      <c r="A613" s="117">
        <v>55519</v>
      </c>
      <c r="B613" s="113" t="s">
        <v>1731</v>
      </c>
      <c r="C613" s="113" t="s">
        <v>1732</v>
      </c>
    </row>
    <row r="614" spans="1:3">
      <c r="A614" s="117">
        <v>55582</v>
      </c>
      <c r="B614" s="113" t="s">
        <v>1731</v>
      </c>
      <c r="C614" s="113" t="s">
        <v>1733</v>
      </c>
    </row>
    <row r="615" spans="1:3">
      <c r="A615" s="117">
        <v>55583</v>
      </c>
      <c r="B615" s="113" t="s">
        <v>1734</v>
      </c>
      <c r="C615" s="113" t="s">
        <v>1733</v>
      </c>
    </row>
    <row r="616" spans="1:3">
      <c r="A616" s="117">
        <v>55628</v>
      </c>
      <c r="B616" s="113" t="s">
        <v>1735</v>
      </c>
      <c r="C616" s="113" t="s">
        <v>1736</v>
      </c>
    </row>
    <row r="617" spans="1:3">
      <c r="A617" s="117">
        <v>55630</v>
      </c>
      <c r="B617" s="113" t="s">
        <v>1747</v>
      </c>
      <c r="C617" s="113" t="s">
        <v>1738</v>
      </c>
    </row>
    <row r="618" spans="1:3">
      <c r="A618" s="117">
        <v>55640</v>
      </c>
      <c r="B618" s="113" t="s">
        <v>1748</v>
      </c>
      <c r="C618" s="113" t="s">
        <v>1739</v>
      </c>
    </row>
    <row r="619" spans="1:3">
      <c r="A619" s="117">
        <v>55690</v>
      </c>
      <c r="B619" s="113" t="s">
        <v>1740</v>
      </c>
      <c r="C619" s="113" t="s">
        <v>1741</v>
      </c>
    </row>
    <row r="620" spans="1:3">
      <c r="A620" s="117">
        <v>55769</v>
      </c>
      <c r="B620" s="113" t="s">
        <v>1737</v>
      </c>
      <c r="C620" s="113" t="s">
        <v>1742</v>
      </c>
    </row>
    <row r="621" spans="1:3">
      <c r="A621" s="119">
        <v>55804</v>
      </c>
      <c r="B621" s="113" t="s">
        <v>1737</v>
      </c>
      <c r="C621" s="113" t="s">
        <v>1743</v>
      </c>
    </row>
    <row r="622" spans="1:3">
      <c r="A622" s="117">
        <v>55825</v>
      </c>
      <c r="B622" s="113" t="s">
        <v>1737</v>
      </c>
      <c r="C622" s="113" t="s">
        <v>1744</v>
      </c>
    </row>
    <row r="623" spans="1:3">
      <c r="A623" s="119">
        <v>55838</v>
      </c>
      <c r="B623" s="113" t="s">
        <v>1735</v>
      </c>
      <c r="C623" s="113" t="s">
        <v>1745</v>
      </c>
    </row>
    <row r="624" spans="1:3">
      <c r="A624" s="119">
        <v>55878</v>
      </c>
      <c r="B624" s="113" t="s">
        <v>1748</v>
      </c>
      <c r="C624" s="113" t="s">
        <v>1746</v>
      </c>
    </row>
    <row r="625" spans="1:3">
      <c r="A625" s="117">
        <v>55885</v>
      </c>
      <c r="B625" s="113" t="s">
        <v>1748</v>
      </c>
      <c r="C625" s="113" t="s">
        <v>1732</v>
      </c>
    </row>
    <row r="626" spans="1:3">
      <c r="A626" s="117">
        <v>55932</v>
      </c>
      <c r="B626" s="113" t="s">
        <v>1731</v>
      </c>
      <c r="C626" s="113" t="s">
        <v>1733</v>
      </c>
    </row>
    <row r="627" spans="1:3">
      <c r="A627" s="117">
        <v>55933</v>
      </c>
      <c r="B627" s="113" t="s">
        <v>1734</v>
      </c>
      <c r="C627" s="113" t="s">
        <v>1733</v>
      </c>
    </row>
    <row r="628" spans="1:3">
      <c r="A628" s="117">
        <v>55978</v>
      </c>
      <c r="B628" s="113" t="s">
        <v>1735</v>
      </c>
      <c r="C628" s="113" t="s">
        <v>1736</v>
      </c>
    </row>
    <row r="629" spans="1:3">
      <c r="A629" s="117">
        <v>55995</v>
      </c>
      <c r="B629" s="113" t="s">
        <v>1731</v>
      </c>
      <c r="C629" s="113" t="s">
        <v>1738</v>
      </c>
    </row>
    <row r="630" spans="1:3">
      <c r="A630" s="117">
        <v>56005</v>
      </c>
      <c r="B630" s="113" t="s">
        <v>1740</v>
      </c>
      <c r="C630" s="113" t="s">
        <v>1739</v>
      </c>
    </row>
    <row r="631" spans="1:3">
      <c r="A631" s="117">
        <v>56040</v>
      </c>
      <c r="B631" s="113" t="s">
        <v>1740</v>
      </c>
      <c r="C631" s="113" t="s">
        <v>1741</v>
      </c>
    </row>
    <row r="632" spans="1:3">
      <c r="A632" s="117">
        <v>56134</v>
      </c>
      <c r="B632" s="113" t="s">
        <v>1747</v>
      </c>
      <c r="C632" s="113" t="s">
        <v>1742</v>
      </c>
    </row>
    <row r="633" spans="1:3">
      <c r="A633" s="119">
        <v>56169</v>
      </c>
      <c r="B633" s="113" t="s">
        <v>1747</v>
      </c>
      <c r="C633" s="113" t="s">
        <v>1743</v>
      </c>
    </row>
    <row r="634" spans="1:3">
      <c r="A634" s="117">
        <v>56190</v>
      </c>
      <c r="B634" s="113" t="s">
        <v>1747</v>
      </c>
      <c r="C634" s="113" t="s">
        <v>1744</v>
      </c>
    </row>
    <row r="635" spans="1:3">
      <c r="A635" s="119">
        <v>56203</v>
      </c>
      <c r="B635" s="113" t="s">
        <v>1737</v>
      </c>
      <c r="C635" s="113" t="s">
        <v>1745</v>
      </c>
    </row>
    <row r="636" spans="1:3">
      <c r="A636" s="119">
        <v>56243</v>
      </c>
      <c r="B636" s="113" t="s">
        <v>1740</v>
      </c>
      <c r="C636" s="113" t="s">
        <v>1746</v>
      </c>
    </row>
    <row r="637" spans="1:3">
      <c r="A637" s="117">
        <v>56250</v>
      </c>
      <c r="B637" s="113" t="s">
        <v>1740</v>
      </c>
      <c r="C637" s="113" t="s">
        <v>1732</v>
      </c>
    </row>
    <row r="638" spans="1:3">
      <c r="A638" s="117">
        <v>56289</v>
      </c>
      <c r="B638" s="113" t="s">
        <v>1731</v>
      </c>
      <c r="C638" s="113" t="s">
        <v>1733</v>
      </c>
    </row>
    <row r="639" spans="1:3">
      <c r="A639" s="117">
        <v>56290</v>
      </c>
      <c r="B639" s="113" t="s">
        <v>1734</v>
      </c>
      <c r="C639" s="113" t="s">
        <v>1733</v>
      </c>
    </row>
    <row r="640" spans="1:3">
      <c r="A640" s="117">
        <v>56335</v>
      </c>
      <c r="B640" s="113" t="s">
        <v>1735</v>
      </c>
      <c r="C640" s="113" t="s">
        <v>1736</v>
      </c>
    </row>
    <row r="641" spans="1:3">
      <c r="A641" s="117">
        <v>56360</v>
      </c>
      <c r="B641" s="113" t="s">
        <v>1734</v>
      </c>
      <c r="C641" s="113" t="s">
        <v>1738</v>
      </c>
    </row>
    <row r="642" spans="1:3">
      <c r="A642" s="117">
        <v>56370</v>
      </c>
      <c r="B642" s="113" t="s">
        <v>1735</v>
      </c>
      <c r="C642" s="113" t="s">
        <v>1739</v>
      </c>
    </row>
    <row r="643" spans="1:3">
      <c r="A643" s="117">
        <v>56397</v>
      </c>
      <c r="B643" s="113" t="s">
        <v>1740</v>
      </c>
      <c r="C643" s="113" t="s">
        <v>1741</v>
      </c>
    </row>
    <row r="644" spans="1:3">
      <c r="A644" s="117">
        <v>56499</v>
      </c>
      <c r="B644" s="113" t="s">
        <v>1731</v>
      </c>
      <c r="C644" s="113" t="s">
        <v>1742</v>
      </c>
    </row>
    <row r="645" spans="1:3">
      <c r="A645" s="119">
        <v>56534</v>
      </c>
      <c r="B645" s="113" t="s">
        <v>1731</v>
      </c>
      <c r="C645" s="113" t="s">
        <v>1743</v>
      </c>
    </row>
    <row r="646" spans="1:3">
      <c r="A646" s="117">
        <v>56555</v>
      </c>
      <c r="B646" s="113" t="s">
        <v>1731</v>
      </c>
      <c r="C646" s="113" t="s">
        <v>1744</v>
      </c>
    </row>
    <row r="647" spans="1:3">
      <c r="A647" s="119">
        <v>56568</v>
      </c>
      <c r="B647" s="113" t="s">
        <v>1747</v>
      </c>
      <c r="C647" s="113" t="s">
        <v>1745</v>
      </c>
    </row>
    <row r="648" spans="1:3">
      <c r="A648" s="119">
        <v>56608</v>
      </c>
      <c r="B648" s="113" t="s">
        <v>1735</v>
      </c>
      <c r="C648" s="113" t="s">
        <v>1746</v>
      </c>
    </row>
    <row r="649" spans="1:3">
      <c r="A649" s="117">
        <v>56615</v>
      </c>
      <c r="B649" s="113" t="s">
        <v>1735</v>
      </c>
      <c r="C649" s="113" t="s">
        <v>1732</v>
      </c>
    </row>
    <row r="650" spans="1:3">
      <c r="A650" s="117">
        <v>56674</v>
      </c>
      <c r="B650" s="113" t="s">
        <v>1731</v>
      </c>
      <c r="C650" s="113" t="s">
        <v>1733</v>
      </c>
    </row>
    <row r="651" spans="1:3">
      <c r="A651" s="117">
        <v>56675</v>
      </c>
      <c r="B651" s="113" t="s">
        <v>1734</v>
      </c>
      <c r="C651" s="113" t="s">
        <v>1733</v>
      </c>
    </row>
    <row r="652" spans="1:3">
      <c r="A652" s="117">
        <v>56720</v>
      </c>
      <c r="B652" s="113" t="s">
        <v>1735</v>
      </c>
      <c r="C652" s="113" t="s">
        <v>1736</v>
      </c>
    </row>
    <row r="653" spans="1:3">
      <c r="A653" s="117">
        <v>56725</v>
      </c>
      <c r="B653" s="113" t="s">
        <v>1748</v>
      </c>
      <c r="C653" s="113" t="s">
        <v>1738</v>
      </c>
    </row>
    <row r="654" spans="1:3">
      <c r="A654" s="117">
        <v>56735</v>
      </c>
      <c r="B654" s="113" t="s">
        <v>1737</v>
      </c>
      <c r="C654" s="113" t="s">
        <v>1739</v>
      </c>
    </row>
    <row r="655" spans="1:3">
      <c r="A655" s="117">
        <v>56782</v>
      </c>
      <c r="B655" s="113" t="s">
        <v>1740</v>
      </c>
      <c r="C655" s="113" t="s">
        <v>1741</v>
      </c>
    </row>
    <row r="656" spans="1:3">
      <c r="A656" s="117">
        <v>56864</v>
      </c>
      <c r="B656" s="113" t="s">
        <v>1734</v>
      </c>
      <c r="C656" s="113" t="s">
        <v>1742</v>
      </c>
    </row>
    <row r="657" spans="1:3">
      <c r="A657" s="119">
        <v>56899</v>
      </c>
      <c r="B657" s="113" t="s">
        <v>1734</v>
      </c>
      <c r="C657" s="113" t="s">
        <v>1743</v>
      </c>
    </row>
    <row r="658" spans="1:3">
      <c r="A658" s="117">
        <v>56920</v>
      </c>
      <c r="B658" s="113" t="s">
        <v>1734</v>
      </c>
      <c r="C658" s="113" t="s">
        <v>1744</v>
      </c>
    </row>
    <row r="659" spans="1:3">
      <c r="A659" s="119">
        <v>56933</v>
      </c>
      <c r="B659" s="113" t="s">
        <v>1731</v>
      </c>
      <c r="C659" s="113" t="s">
        <v>1745</v>
      </c>
    </row>
    <row r="660" spans="1:3">
      <c r="A660" s="119">
        <v>56973</v>
      </c>
      <c r="B660" s="113" t="s">
        <v>1737</v>
      </c>
      <c r="C660" s="113" t="s">
        <v>1746</v>
      </c>
    </row>
    <row r="661" spans="1:3">
      <c r="A661" s="117">
        <v>56980</v>
      </c>
      <c r="B661" s="113" t="s">
        <v>1737</v>
      </c>
      <c r="C661" s="113" t="s">
        <v>1732</v>
      </c>
    </row>
    <row r="662" spans="1:3">
      <c r="A662" s="117">
        <v>57024</v>
      </c>
      <c r="B662" s="113" t="s">
        <v>1731</v>
      </c>
      <c r="C662" s="113" t="s">
        <v>1733</v>
      </c>
    </row>
    <row r="663" spans="1:3">
      <c r="A663" s="117">
        <v>57025</v>
      </c>
      <c r="B663" s="113" t="s">
        <v>1734</v>
      </c>
      <c r="C663" s="113" t="s">
        <v>1733</v>
      </c>
    </row>
    <row r="664" spans="1:3">
      <c r="A664" s="117">
        <v>57070</v>
      </c>
      <c r="B664" s="113" t="s">
        <v>1735</v>
      </c>
      <c r="C664" s="113" t="s">
        <v>1736</v>
      </c>
    </row>
    <row r="665" spans="1:3">
      <c r="A665" s="117">
        <v>57091</v>
      </c>
      <c r="B665" s="113" t="s">
        <v>1735</v>
      </c>
      <c r="C665" s="113" t="s">
        <v>1738</v>
      </c>
    </row>
    <row r="666" spans="1:3">
      <c r="A666" s="117">
        <v>57101</v>
      </c>
      <c r="B666" s="113" t="s">
        <v>1731</v>
      </c>
      <c r="C666" s="113" t="s">
        <v>1739</v>
      </c>
    </row>
    <row r="667" spans="1:3">
      <c r="A667" s="117">
        <v>57132</v>
      </c>
      <c r="B667" s="113" t="s">
        <v>1740</v>
      </c>
      <c r="C667" s="113" t="s">
        <v>1741</v>
      </c>
    </row>
    <row r="668" spans="1:3">
      <c r="A668" s="117">
        <v>57230</v>
      </c>
      <c r="B668" s="113" t="s">
        <v>1740</v>
      </c>
      <c r="C668" s="113" t="s">
        <v>1742</v>
      </c>
    </row>
    <row r="669" spans="1:3">
      <c r="A669" s="119">
        <v>57265</v>
      </c>
      <c r="B669" s="113" t="s">
        <v>1740</v>
      </c>
      <c r="C669" s="113" t="s">
        <v>1743</v>
      </c>
    </row>
    <row r="670" spans="1:3">
      <c r="A670" s="117">
        <v>57286</v>
      </c>
      <c r="B670" s="113" t="s">
        <v>1740</v>
      </c>
      <c r="C670" s="113" t="s">
        <v>1744</v>
      </c>
    </row>
    <row r="671" spans="1:3">
      <c r="A671" s="119">
        <v>57299</v>
      </c>
      <c r="B671" s="113" t="s">
        <v>1748</v>
      </c>
      <c r="C671" s="113" t="s">
        <v>1745</v>
      </c>
    </row>
    <row r="672" spans="1:3">
      <c r="A672" s="119">
        <v>57339</v>
      </c>
      <c r="B672" s="113" t="s">
        <v>1731</v>
      </c>
      <c r="C672" s="113" t="s">
        <v>1746</v>
      </c>
    </row>
    <row r="673" spans="1:3">
      <c r="A673" s="117">
        <v>57346</v>
      </c>
      <c r="B673" s="113" t="s">
        <v>1731</v>
      </c>
      <c r="C673" s="113" t="s">
        <v>1732</v>
      </c>
    </row>
    <row r="674" spans="1:3">
      <c r="A674" s="117">
        <v>57409</v>
      </c>
      <c r="B674" s="113" t="s">
        <v>1731</v>
      </c>
      <c r="C674" s="113" t="s">
        <v>1733</v>
      </c>
    </row>
    <row r="675" spans="1:3">
      <c r="A675" s="117">
        <v>57410</v>
      </c>
      <c r="B675" s="113" t="s">
        <v>1734</v>
      </c>
      <c r="C675" s="113" t="s">
        <v>1733</v>
      </c>
    </row>
    <row r="676" spans="1:3">
      <c r="A676" s="117">
        <v>57455</v>
      </c>
      <c r="B676" s="113" t="s">
        <v>1735</v>
      </c>
      <c r="C676" s="113" t="s">
        <v>1736</v>
      </c>
    </row>
    <row r="677" spans="1:3">
      <c r="A677" s="117">
        <v>57456</v>
      </c>
      <c r="B677" s="113" t="s">
        <v>1737</v>
      </c>
      <c r="C677" s="113" t="s">
        <v>1738</v>
      </c>
    </row>
    <row r="678" spans="1:3">
      <c r="A678" s="117">
        <v>57466</v>
      </c>
      <c r="B678" s="113" t="s">
        <v>1734</v>
      </c>
      <c r="C678" s="113" t="s">
        <v>1739</v>
      </c>
    </row>
    <row r="679" spans="1:3">
      <c r="A679" s="117">
        <v>57517</v>
      </c>
      <c r="B679" s="113" t="s">
        <v>1740</v>
      </c>
      <c r="C679" s="113" t="s">
        <v>1741</v>
      </c>
    </row>
    <row r="680" spans="1:3">
      <c r="A680" s="117">
        <v>57595</v>
      </c>
      <c r="B680" s="113" t="s">
        <v>1735</v>
      </c>
      <c r="C680" s="113" t="s">
        <v>1742</v>
      </c>
    </row>
    <row r="681" spans="1:3">
      <c r="A681" s="119">
        <v>57630</v>
      </c>
      <c r="B681" s="113" t="s">
        <v>1735</v>
      </c>
      <c r="C681" s="113" t="s">
        <v>1743</v>
      </c>
    </row>
    <row r="682" spans="1:3">
      <c r="A682" s="117">
        <v>57651</v>
      </c>
      <c r="B682" s="113" t="s">
        <v>1735</v>
      </c>
      <c r="C682" s="113" t="s">
        <v>1744</v>
      </c>
    </row>
    <row r="683" spans="1:3">
      <c r="A683" s="119">
        <v>57664</v>
      </c>
      <c r="B683" s="113" t="s">
        <v>1740</v>
      </c>
      <c r="C683" s="113" t="s">
        <v>1745</v>
      </c>
    </row>
    <row r="684" spans="1:3">
      <c r="A684" s="119">
        <v>57704</v>
      </c>
      <c r="B684" s="113" t="s">
        <v>1734</v>
      </c>
      <c r="C684" s="113" t="s">
        <v>1746</v>
      </c>
    </row>
    <row r="685" spans="1:3">
      <c r="A685" s="117">
        <v>57711</v>
      </c>
      <c r="B685" s="113" t="s">
        <v>1734</v>
      </c>
      <c r="C685" s="113" t="s">
        <v>1732</v>
      </c>
    </row>
    <row r="686" spans="1:3">
      <c r="A686" s="117">
        <v>57766</v>
      </c>
      <c r="B686" s="113" t="s">
        <v>1731</v>
      </c>
      <c r="C686" s="113" t="s">
        <v>1733</v>
      </c>
    </row>
    <row r="687" spans="1:3">
      <c r="A687" s="117">
        <v>57767</v>
      </c>
      <c r="B687" s="113" t="s">
        <v>1734</v>
      </c>
      <c r="C687" s="113" t="s">
        <v>1733</v>
      </c>
    </row>
    <row r="688" spans="1:3">
      <c r="A688" s="117">
        <v>57812</v>
      </c>
      <c r="B688" s="113" t="s">
        <v>1735</v>
      </c>
      <c r="C688" s="113" t="s">
        <v>1736</v>
      </c>
    </row>
    <row r="689" spans="1:3">
      <c r="A689" s="117">
        <v>57821</v>
      </c>
      <c r="B689" s="113" t="s">
        <v>1747</v>
      </c>
      <c r="C689" s="113" t="s">
        <v>1738</v>
      </c>
    </row>
    <row r="690" spans="1:3">
      <c r="A690" s="117">
        <v>57831</v>
      </c>
      <c r="B690" s="113" t="s">
        <v>1748</v>
      </c>
      <c r="C690" s="113" t="s">
        <v>1739</v>
      </c>
    </row>
    <row r="691" spans="1:3">
      <c r="A691" s="117">
        <v>57874</v>
      </c>
      <c r="B691" s="113" t="s">
        <v>1740</v>
      </c>
      <c r="C691" s="113" t="s">
        <v>1741</v>
      </c>
    </row>
    <row r="692" spans="1:3">
      <c r="A692" s="117">
        <v>57960</v>
      </c>
      <c r="B692" s="113" t="s">
        <v>1737</v>
      </c>
      <c r="C692" s="113" t="s">
        <v>1742</v>
      </c>
    </row>
    <row r="693" spans="1:3">
      <c r="A693" s="119">
        <v>57995</v>
      </c>
      <c r="B693" s="113" t="s">
        <v>1737</v>
      </c>
      <c r="C693" s="113" t="s">
        <v>1743</v>
      </c>
    </row>
    <row r="694" spans="1:3">
      <c r="A694" s="117">
        <v>58016</v>
      </c>
      <c r="B694" s="113" t="s">
        <v>1737</v>
      </c>
      <c r="C694" s="113" t="s">
        <v>1744</v>
      </c>
    </row>
    <row r="695" spans="1:3">
      <c r="A695" s="119">
        <v>58029</v>
      </c>
      <c r="B695" s="113" t="s">
        <v>1735</v>
      </c>
      <c r="C695" s="113" t="s">
        <v>1745</v>
      </c>
    </row>
    <row r="696" spans="1:3">
      <c r="A696" s="119">
        <v>58069</v>
      </c>
      <c r="B696" s="113" t="s">
        <v>1748</v>
      </c>
      <c r="C696" s="113" t="s">
        <v>1746</v>
      </c>
    </row>
    <row r="697" spans="1:3">
      <c r="A697" s="117">
        <v>58076</v>
      </c>
      <c r="B697" s="113" t="s">
        <v>1748</v>
      </c>
      <c r="C697" s="113" t="s">
        <v>1732</v>
      </c>
    </row>
    <row r="698" spans="1:3">
      <c r="A698" s="117">
        <v>58116</v>
      </c>
      <c r="B698" s="113" t="s">
        <v>1731</v>
      </c>
      <c r="C698" s="113" t="s">
        <v>1733</v>
      </c>
    </row>
    <row r="699" spans="1:3">
      <c r="A699" s="117">
        <v>58117</v>
      </c>
      <c r="B699" s="113" t="s">
        <v>1734</v>
      </c>
      <c r="C699" s="113" t="s">
        <v>1733</v>
      </c>
    </row>
    <row r="700" spans="1:3">
      <c r="A700" s="117">
        <v>58162</v>
      </c>
      <c r="B700" s="113" t="s">
        <v>1735</v>
      </c>
      <c r="C700" s="113" t="s">
        <v>1736</v>
      </c>
    </row>
    <row r="701" spans="1:3">
      <c r="A701" s="117">
        <v>58186</v>
      </c>
      <c r="B701" s="113" t="s">
        <v>1731</v>
      </c>
      <c r="C701" s="113" t="s">
        <v>1738</v>
      </c>
    </row>
    <row r="702" spans="1:3">
      <c r="A702" s="117">
        <v>58196</v>
      </c>
      <c r="B702" s="113" t="s">
        <v>1740</v>
      </c>
      <c r="C702" s="113" t="s">
        <v>1739</v>
      </c>
    </row>
    <row r="703" spans="1:3">
      <c r="A703" s="117">
        <v>58224</v>
      </c>
      <c r="B703" s="113" t="s">
        <v>1740</v>
      </c>
      <c r="C703" s="113" t="s">
        <v>1741</v>
      </c>
    </row>
    <row r="704" spans="1:3">
      <c r="A704" s="117">
        <v>58325</v>
      </c>
      <c r="B704" s="113" t="s">
        <v>1747</v>
      </c>
      <c r="C704" s="113" t="s">
        <v>1742</v>
      </c>
    </row>
    <row r="705" spans="1:3">
      <c r="A705" s="119">
        <v>58360</v>
      </c>
      <c r="B705" s="113" t="s">
        <v>1747</v>
      </c>
      <c r="C705" s="113" t="s">
        <v>1743</v>
      </c>
    </row>
    <row r="706" spans="1:3">
      <c r="A706" s="117">
        <v>58381</v>
      </c>
      <c r="B706" s="113" t="s">
        <v>1747</v>
      </c>
      <c r="C706" s="113" t="s">
        <v>1744</v>
      </c>
    </row>
    <row r="707" spans="1:3">
      <c r="A707" s="119">
        <v>58394</v>
      </c>
      <c r="B707" s="113" t="s">
        <v>1737</v>
      </c>
      <c r="C707" s="113" t="s">
        <v>1745</v>
      </c>
    </row>
    <row r="708" spans="1:3">
      <c r="A708" s="119">
        <v>58434</v>
      </c>
      <c r="B708" s="113" t="s">
        <v>1740</v>
      </c>
      <c r="C708" s="113" t="s">
        <v>1746</v>
      </c>
    </row>
    <row r="709" spans="1:3">
      <c r="A709" s="117">
        <v>58441</v>
      </c>
      <c r="B709" s="113" t="s">
        <v>1740</v>
      </c>
      <c r="C709" s="113" t="s">
        <v>1732</v>
      </c>
    </row>
    <row r="710" spans="1:3">
      <c r="A710" s="117">
        <v>58501</v>
      </c>
      <c r="B710" s="113" t="s">
        <v>1731</v>
      </c>
      <c r="C710" s="113" t="s">
        <v>1733</v>
      </c>
    </row>
    <row r="711" spans="1:3">
      <c r="A711" s="117">
        <v>58502</v>
      </c>
      <c r="B711" s="113" t="s">
        <v>1734</v>
      </c>
      <c r="C711" s="113" t="s">
        <v>1733</v>
      </c>
    </row>
    <row r="712" spans="1:3">
      <c r="A712" s="117">
        <v>58547</v>
      </c>
      <c r="B712" s="113" t="s">
        <v>1735</v>
      </c>
      <c r="C712" s="113" t="s">
        <v>1736</v>
      </c>
    </row>
    <row r="713" spans="1:3">
      <c r="A713" s="117">
        <v>58552</v>
      </c>
      <c r="B713" s="113" t="s">
        <v>1748</v>
      </c>
      <c r="C713" s="113" t="s">
        <v>1738</v>
      </c>
    </row>
    <row r="714" spans="1:3">
      <c r="A714" s="117">
        <v>58562</v>
      </c>
      <c r="B714" s="113" t="s">
        <v>1737</v>
      </c>
      <c r="C714" s="113" t="s">
        <v>1739</v>
      </c>
    </row>
    <row r="715" spans="1:3">
      <c r="A715" s="117">
        <v>58609</v>
      </c>
      <c r="B715" s="113" t="s">
        <v>1740</v>
      </c>
      <c r="C715" s="113" t="s">
        <v>1741</v>
      </c>
    </row>
    <row r="716" spans="1:3">
      <c r="A716" s="117">
        <v>58691</v>
      </c>
      <c r="B716" s="113" t="s">
        <v>1734</v>
      </c>
      <c r="C716" s="113" t="s">
        <v>1742</v>
      </c>
    </row>
    <row r="717" spans="1:3">
      <c r="A717" s="119">
        <v>58726</v>
      </c>
      <c r="B717" s="113" t="s">
        <v>1734</v>
      </c>
      <c r="C717" s="113" t="s">
        <v>1743</v>
      </c>
    </row>
    <row r="718" spans="1:3">
      <c r="A718" s="117">
        <v>58747</v>
      </c>
      <c r="B718" s="113" t="s">
        <v>1734</v>
      </c>
      <c r="C718" s="113" t="s">
        <v>1744</v>
      </c>
    </row>
    <row r="719" spans="1:3">
      <c r="A719" s="119">
        <v>58760</v>
      </c>
      <c r="B719" s="113" t="s">
        <v>1731</v>
      </c>
      <c r="C719" s="113" t="s">
        <v>1745</v>
      </c>
    </row>
    <row r="720" spans="1:3">
      <c r="A720" s="119">
        <v>58800</v>
      </c>
      <c r="B720" s="113" t="s">
        <v>1737</v>
      </c>
      <c r="C720" s="113" t="s">
        <v>1746</v>
      </c>
    </row>
    <row r="721" spans="1:3">
      <c r="A721" s="117">
        <v>58807</v>
      </c>
      <c r="B721" s="113" t="s">
        <v>1737</v>
      </c>
      <c r="C721" s="113" t="s">
        <v>1732</v>
      </c>
    </row>
    <row r="722" spans="1:3">
      <c r="A722" s="117">
        <v>58858</v>
      </c>
      <c r="B722" s="113" t="s">
        <v>1731</v>
      </c>
      <c r="C722" s="113" t="s">
        <v>1733</v>
      </c>
    </row>
    <row r="723" spans="1:3">
      <c r="A723" s="117">
        <v>58859</v>
      </c>
      <c r="B723" s="113" t="s">
        <v>1734</v>
      </c>
      <c r="C723" s="113" t="s">
        <v>1733</v>
      </c>
    </row>
    <row r="724" spans="1:3">
      <c r="A724" s="117">
        <v>58904</v>
      </c>
      <c r="B724" s="113" t="s">
        <v>1735</v>
      </c>
      <c r="C724" s="113" t="s">
        <v>1736</v>
      </c>
    </row>
    <row r="725" spans="1:3">
      <c r="A725" s="117">
        <v>58917</v>
      </c>
      <c r="B725" s="113" t="s">
        <v>1740</v>
      </c>
      <c r="C725" s="113" t="s">
        <v>1738</v>
      </c>
    </row>
    <row r="726" spans="1:3">
      <c r="A726" s="117">
        <v>58927</v>
      </c>
      <c r="B726" s="113" t="s">
        <v>1747</v>
      </c>
      <c r="C726" s="113" t="s">
        <v>1739</v>
      </c>
    </row>
    <row r="727" spans="1:3">
      <c r="A727" s="117">
        <v>58966</v>
      </c>
      <c r="B727" s="113" t="s">
        <v>1740</v>
      </c>
      <c r="C727" s="113" t="s">
        <v>1741</v>
      </c>
    </row>
    <row r="728" spans="1:3">
      <c r="A728" s="117">
        <v>59056</v>
      </c>
      <c r="B728" s="113" t="s">
        <v>1748</v>
      </c>
      <c r="C728" s="113" t="s">
        <v>1742</v>
      </c>
    </row>
    <row r="729" spans="1:3">
      <c r="A729" s="119">
        <v>59091</v>
      </c>
      <c r="B729" s="113" t="s">
        <v>1748</v>
      </c>
      <c r="C729" s="113" t="s">
        <v>1743</v>
      </c>
    </row>
    <row r="730" spans="1:3">
      <c r="A730" s="117">
        <v>59112</v>
      </c>
      <c r="B730" s="113" t="s">
        <v>1748</v>
      </c>
      <c r="C730" s="113" t="s">
        <v>1744</v>
      </c>
    </row>
    <row r="731" spans="1:3">
      <c r="A731" s="119">
        <v>59125</v>
      </c>
      <c r="B731" s="113" t="s">
        <v>1734</v>
      </c>
      <c r="C731" s="113" t="s">
        <v>1745</v>
      </c>
    </row>
    <row r="732" spans="1:3">
      <c r="A732" s="119">
        <v>59165</v>
      </c>
      <c r="B732" s="113" t="s">
        <v>1747</v>
      </c>
      <c r="C732" s="113" t="s">
        <v>1746</v>
      </c>
    </row>
    <row r="733" spans="1:3">
      <c r="A733" s="117">
        <v>59172</v>
      </c>
      <c r="B733" s="113" t="s">
        <v>1747</v>
      </c>
      <c r="C733" s="113" t="s">
        <v>1732</v>
      </c>
    </row>
    <row r="734" spans="1:3">
      <c r="A734" s="117">
        <v>59208</v>
      </c>
      <c r="B734" s="113" t="s">
        <v>1731</v>
      </c>
      <c r="C734" s="113" t="s">
        <v>1733</v>
      </c>
    </row>
    <row r="735" spans="1:3">
      <c r="A735" s="117">
        <v>59209</v>
      </c>
      <c r="B735" s="113" t="s">
        <v>1734</v>
      </c>
      <c r="C735" s="113" t="s">
        <v>1733</v>
      </c>
    </row>
    <row r="736" spans="1:3">
      <c r="A736" s="117">
        <v>59254</v>
      </c>
      <c r="B736" s="113" t="s">
        <v>1735</v>
      </c>
      <c r="C736" s="113" t="s">
        <v>1736</v>
      </c>
    </row>
    <row r="737" spans="1:3">
      <c r="A737" s="117">
        <v>59282</v>
      </c>
      <c r="B737" s="113" t="s">
        <v>1735</v>
      </c>
      <c r="C737" s="113" t="s">
        <v>1738</v>
      </c>
    </row>
    <row r="738" spans="1:3">
      <c r="A738" s="117">
        <v>59292</v>
      </c>
      <c r="B738" s="113" t="s">
        <v>1731</v>
      </c>
      <c r="C738" s="113" t="s">
        <v>1739</v>
      </c>
    </row>
    <row r="739" spans="1:3">
      <c r="A739" s="117">
        <v>59316</v>
      </c>
      <c r="B739" s="113" t="s">
        <v>1740</v>
      </c>
      <c r="C739" s="113" t="s">
        <v>1741</v>
      </c>
    </row>
    <row r="740" spans="1:3">
      <c r="A740" s="117">
        <v>59421</v>
      </c>
      <c r="B740" s="113" t="s">
        <v>1740</v>
      </c>
      <c r="C740" s="113" t="s">
        <v>1742</v>
      </c>
    </row>
    <row r="741" spans="1:3">
      <c r="A741" s="119">
        <v>59456</v>
      </c>
      <c r="B741" s="113" t="s">
        <v>1740</v>
      </c>
      <c r="C741" s="113" t="s">
        <v>1743</v>
      </c>
    </row>
    <row r="742" spans="1:3">
      <c r="A742" s="117">
        <v>59477</v>
      </c>
      <c r="B742" s="113" t="s">
        <v>1740</v>
      </c>
      <c r="C742" s="113" t="s">
        <v>1744</v>
      </c>
    </row>
    <row r="743" spans="1:3">
      <c r="A743" s="119">
        <v>59490</v>
      </c>
      <c r="B743" s="113" t="s">
        <v>1748</v>
      </c>
      <c r="C743" s="113" t="s">
        <v>1745</v>
      </c>
    </row>
    <row r="744" spans="1:3">
      <c r="A744" s="119">
        <v>59530</v>
      </c>
      <c r="B744" s="113" t="s">
        <v>1731</v>
      </c>
      <c r="C744" s="113" t="s">
        <v>1746</v>
      </c>
    </row>
    <row r="745" spans="1:3">
      <c r="A745" s="117">
        <v>59537</v>
      </c>
      <c r="B745" s="113" t="s">
        <v>1731</v>
      </c>
      <c r="C745" s="113" t="s">
        <v>1732</v>
      </c>
    </row>
    <row r="746" spans="1:3">
      <c r="A746" s="117">
        <v>59593</v>
      </c>
      <c r="B746" s="113" t="s">
        <v>1731</v>
      </c>
      <c r="C746" s="113" t="s">
        <v>1733</v>
      </c>
    </row>
    <row r="747" spans="1:3">
      <c r="A747" s="117">
        <v>59594</v>
      </c>
      <c r="B747" s="113" t="s">
        <v>1734</v>
      </c>
      <c r="C747" s="113" t="s">
        <v>1733</v>
      </c>
    </row>
    <row r="748" spans="1:3">
      <c r="A748" s="117">
        <v>59639</v>
      </c>
      <c r="B748" s="113" t="s">
        <v>1735</v>
      </c>
      <c r="C748" s="113" t="s">
        <v>1736</v>
      </c>
    </row>
    <row r="749" spans="1:3">
      <c r="A749" s="117">
        <v>59647</v>
      </c>
      <c r="B749" s="113" t="s">
        <v>1737</v>
      </c>
      <c r="C749" s="113" t="s">
        <v>1738</v>
      </c>
    </row>
    <row r="750" spans="1:3">
      <c r="A750" s="117">
        <v>59657</v>
      </c>
      <c r="B750" s="113" t="s">
        <v>1734</v>
      </c>
      <c r="C750" s="113" t="s">
        <v>1739</v>
      </c>
    </row>
    <row r="751" spans="1:3">
      <c r="A751" s="117">
        <v>59701</v>
      </c>
      <c r="B751" s="113" t="s">
        <v>1740</v>
      </c>
      <c r="C751" s="113" t="s">
        <v>1741</v>
      </c>
    </row>
    <row r="752" spans="1:3">
      <c r="A752" s="117">
        <v>59786</v>
      </c>
      <c r="B752" s="113" t="s">
        <v>1735</v>
      </c>
      <c r="C752" s="113" t="s">
        <v>1742</v>
      </c>
    </row>
    <row r="753" spans="1:3">
      <c r="A753" s="119">
        <v>59821</v>
      </c>
      <c r="B753" s="113" t="s">
        <v>1735</v>
      </c>
      <c r="C753" s="113" t="s">
        <v>1743</v>
      </c>
    </row>
    <row r="754" spans="1:3">
      <c r="A754" s="117">
        <v>59842</v>
      </c>
      <c r="B754" s="113" t="s">
        <v>1735</v>
      </c>
      <c r="C754" s="113" t="s">
        <v>1744</v>
      </c>
    </row>
    <row r="755" spans="1:3">
      <c r="A755" s="119">
        <v>59855</v>
      </c>
      <c r="B755" s="113" t="s">
        <v>1740</v>
      </c>
      <c r="C755" s="113" t="s">
        <v>1745</v>
      </c>
    </row>
    <row r="756" spans="1:3">
      <c r="A756" s="119">
        <v>59895</v>
      </c>
      <c r="B756" s="113" t="s">
        <v>1734</v>
      </c>
      <c r="C756" s="113" t="s">
        <v>1746</v>
      </c>
    </row>
    <row r="757" spans="1:3">
      <c r="A757" s="117">
        <v>59902</v>
      </c>
      <c r="B757" s="113" t="s">
        <v>1734</v>
      </c>
      <c r="C757" s="113" t="s">
        <v>1732</v>
      </c>
    </row>
    <row r="758" spans="1:3">
      <c r="A758" s="117">
        <v>59950</v>
      </c>
      <c r="B758" s="113" t="s">
        <v>1731</v>
      </c>
      <c r="C758" s="113" t="s">
        <v>1733</v>
      </c>
    </row>
    <row r="759" spans="1:3">
      <c r="A759" s="117">
        <v>59951</v>
      </c>
      <c r="B759" s="113" t="s">
        <v>1734</v>
      </c>
      <c r="C759" s="113" t="s">
        <v>1733</v>
      </c>
    </row>
    <row r="760" spans="1:3">
      <c r="A760" s="117">
        <v>59996</v>
      </c>
      <c r="B760" s="113" t="s">
        <v>1735</v>
      </c>
      <c r="C760" s="113" t="s">
        <v>1736</v>
      </c>
    </row>
    <row r="761" spans="1:3">
      <c r="A761" s="117">
        <v>60013</v>
      </c>
      <c r="B761" s="113" t="s">
        <v>1731</v>
      </c>
      <c r="C761" s="113" t="s">
        <v>1738</v>
      </c>
    </row>
    <row r="762" spans="1:3">
      <c r="A762" s="117">
        <v>60023</v>
      </c>
      <c r="B762" s="113" t="s">
        <v>1740</v>
      </c>
      <c r="C762" s="113" t="s">
        <v>1739</v>
      </c>
    </row>
    <row r="763" spans="1:3">
      <c r="A763" s="117">
        <v>60058</v>
      </c>
      <c r="B763" s="113" t="s">
        <v>1740</v>
      </c>
      <c r="C763" s="113" t="s">
        <v>1741</v>
      </c>
    </row>
    <row r="764" spans="1:3">
      <c r="A764" s="117">
        <v>60152</v>
      </c>
      <c r="B764" s="113" t="s">
        <v>1747</v>
      </c>
      <c r="C764" s="113" t="s">
        <v>1742</v>
      </c>
    </row>
    <row r="765" spans="1:3">
      <c r="A765" s="119">
        <v>60187</v>
      </c>
      <c r="B765" s="113" t="s">
        <v>1747</v>
      </c>
      <c r="C765" s="113" t="s">
        <v>1743</v>
      </c>
    </row>
    <row r="766" spans="1:3">
      <c r="A766" s="117">
        <v>60208</v>
      </c>
      <c r="B766" s="113" t="s">
        <v>1747</v>
      </c>
      <c r="C766" s="113" t="s">
        <v>1744</v>
      </c>
    </row>
    <row r="767" spans="1:3">
      <c r="A767" s="119">
        <v>60221</v>
      </c>
      <c r="B767" s="113" t="s">
        <v>1737</v>
      </c>
      <c r="C767" s="113" t="s">
        <v>1745</v>
      </c>
    </row>
    <row r="768" spans="1:3">
      <c r="A768" s="119">
        <v>60261</v>
      </c>
      <c r="B768" s="113" t="s">
        <v>1740</v>
      </c>
      <c r="C768" s="113" t="s">
        <v>1746</v>
      </c>
    </row>
    <row r="769" spans="1:3">
      <c r="A769" s="117">
        <v>60268</v>
      </c>
      <c r="B769" s="113" t="s">
        <v>1740</v>
      </c>
      <c r="C769" s="113" t="s">
        <v>1732</v>
      </c>
    </row>
    <row r="770" spans="1:3">
      <c r="A770" s="117">
        <v>60307</v>
      </c>
      <c r="B770" s="113" t="s">
        <v>1731</v>
      </c>
      <c r="C770" s="113" t="s">
        <v>1733</v>
      </c>
    </row>
    <row r="771" spans="1:3">
      <c r="A771" s="117">
        <v>60308</v>
      </c>
      <c r="B771" s="113" t="s">
        <v>1734</v>
      </c>
      <c r="C771" s="113" t="s">
        <v>1733</v>
      </c>
    </row>
    <row r="772" spans="1:3">
      <c r="A772" s="117">
        <v>60353</v>
      </c>
      <c r="B772" s="113" t="s">
        <v>1735</v>
      </c>
      <c r="C772" s="113" t="s">
        <v>1736</v>
      </c>
    </row>
    <row r="773" spans="1:3">
      <c r="A773" s="117">
        <v>60378</v>
      </c>
      <c r="B773" s="113" t="s">
        <v>1734</v>
      </c>
      <c r="C773" s="113" t="s">
        <v>1738</v>
      </c>
    </row>
    <row r="774" spans="1:3">
      <c r="A774" s="117">
        <v>60388</v>
      </c>
      <c r="B774" s="113" t="s">
        <v>1735</v>
      </c>
      <c r="C774" s="113" t="s">
        <v>1739</v>
      </c>
    </row>
    <row r="775" spans="1:3">
      <c r="A775" s="117">
        <v>60415</v>
      </c>
      <c r="B775" s="113" t="s">
        <v>1740</v>
      </c>
      <c r="C775" s="113" t="s">
        <v>1741</v>
      </c>
    </row>
    <row r="776" spans="1:3">
      <c r="A776" s="117">
        <v>60517</v>
      </c>
      <c r="B776" s="113" t="s">
        <v>1731</v>
      </c>
      <c r="C776" s="113" t="s">
        <v>1742</v>
      </c>
    </row>
    <row r="777" spans="1:3">
      <c r="A777" s="119">
        <v>60552</v>
      </c>
      <c r="B777" s="113" t="s">
        <v>1731</v>
      </c>
      <c r="C777" s="113" t="s">
        <v>1743</v>
      </c>
    </row>
    <row r="778" spans="1:3">
      <c r="A778" s="117">
        <v>60573</v>
      </c>
      <c r="B778" s="113" t="s">
        <v>1731</v>
      </c>
      <c r="C778" s="113" t="s">
        <v>1744</v>
      </c>
    </row>
    <row r="779" spans="1:3">
      <c r="A779" s="119">
        <v>60586</v>
      </c>
      <c r="B779" s="113" t="s">
        <v>1747</v>
      </c>
      <c r="C779" s="113" t="s">
        <v>1745</v>
      </c>
    </row>
    <row r="780" spans="1:3">
      <c r="A780" s="119">
        <v>60626</v>
      </c>
      <c r="B780" s="113" t="s">
        <v>1735</v>
      </c>
      <c r="C780" s="113" t="s">
        <v>1746</v>
      </c>
    </row>
    <row r="781" spans="1:3">
      <c r="A781" s="117">
        <v>60633</v>
      </c>
      <c r="B781" s="113" t="s">
        <v>1735</v>
      </c>
      <c r="C781" s="113" t="s">
        <v>1732</v>
      </c>
    </row>
    <row r="782" spans="1:3">
      <c r="A782" s="117">
        <v>60685</v>
      </c>
      <c r="B782" s="113" t="s">
        <v>1731</v>
      </c>
      <c r="C782" s="113" t="s">
        <v>1733</v>
      </c>
    </row>
    <row r="783" spans="1:3">
      <c r="A783" s="117">
        <v>60686</v>
      </c>
      <c r="B783" s="113" t="s">
        <v>1734</v>
      </c>
      <c r="C783" s="113" t="s">
        <v>1733</v>
      </c>
    </row>
    <row r="784" spans="1:3">
      <c r="A784" s="117">
        <v>60731</v>
      </c>
      <c r="B784" s="113" t="s">
        <v>1735</v>
      </c>
      <c r="C784" s="113" t="s">
        <v>1736</v>
      </c>
    </row>
    <row r="785" spans="1:3">
      <c r="A785" s="117">
        <v>60743</v>
      </c>
      <c r="B785" s="113" t="s">
        <v>1748</v>
      </c>
      <c r="C785" s="113" t="s">
        <v>1738</v>
      </c>
    </row>
    <row r="786" spans="1:3">
      <c r="A786" s="117">
        <v>60753</v>
      </c>
      <c r="B786" s="113" t="s">
        <v>1737</v>
      </c>
      <c r="C786" s="113" t="s">
        <v>1739</v>
      </c>
    </row>
    <row r="787" spans="1:3">
      <c r="A787" s="117">
        <v>60793</v>
      </c>
      <c r="B787" s="113" t="s">
        <v>1740</v>
      </c>
      <c r="C787" s="113" t="s">
        <v>1741</v>
      </c>
    </row>
    <row r="788" spans="1:3">
      <c r="A788" s="117">
        <v>60882</v>
      </c>
      <c r="B788" s="113" t="s">
        <v>1734</v>
      </c>
      <c r="C788" s="113" t="s">
        <v>1742</v>
      </c>
    </row>
    <row r="789" spans="1:3">
      <c r="A789" s="119">
        <v>60917</v>
      </c>
      <c r="B789" s="113" t="s">
        <v>1734</v>
      </c>
      <c r="C789" s="113" t="s">
        <v>1743</v>
      </c>
    </row>
    <row r="790" spans="1:3">
      <c r="A790" s="117">
        <v>60938</v>
      </c>
      <c r="B790" s="113" t="s">
        <v>1734</v>
      </c>
      <c r="C790" s="113" t="s">
        <v>1744</v>
      </c>
    </row>
    <row r="791" spans="1:3">
      <c r="A791" s="119">
        <v>60951</v>
      </c>
      <c r="B791" s="113" t="s">
        <v>1731</v>
      </c>
      <c r="C791" s="113" t="s">
        <v>1745</v>
      </c>
    </row>
    <row r="792" spans="1:3">
      <c r="A792" s="119">
        <v>60991</v>
      </c>
      <c r="B792" s="113" t="s">
        <v>1737</v>
      </c>
      <c r="C792" s="113" t="s">
        <v>1746</v>
      </c>
    </row>
    <row r="793" spans="1:3">
      <c r="A793" s="117">
        <v>60998</v>
      </c>
      <c r="B793" s="113" t="s">
        <v>1737</v>
      </c>
      <c r="C793" s="113" t="s">
        <v>1732</v>
      </c>
    </row>
    <row r="794" spans="1:3">
      <c r="A794" s="117">
        <v>61042</v>
      </c>
      <c r="B794" s="113" t="s">
        <v>1731</v>
      </c>
      <c r="C794" s="113" t="s">
        <v>1733</v>
      </c>
    </row>
    <row r="795" spans="1:3">
      <c r="A795" s="117">
        <v>61043</v>
      </c>
      <c r="B795" s="113" t="s">
        <v>1734</v>
      </c>
      <c r="C795" s="113" t="s">
        <v>1733</v>
      </c>
    </row>
    <row r="796" spans="1:3">
      <c r="A796" s="117">
        <v>61088</v>
      </c>
      <c r="B796" s="113" t="s">
        <v>1735</v>
      </c>
      <c r="C796" s="113" t="s">
        <v>1736</v>
      </c>
    </row>
    <row r="797" spans="1:3">
      <c r="A797" s="117">
        <v>61108</v>
      </c>
      <c r="B797" s="113" t="s">
        <v>1740</v>
      </c>
      <c r="C797" s="113" t="s">
        <v>1738</v>
      </c>
    </row>
    <row r="798" spans="1:3">
      <c r="A798" s="117">
        <v>61118</v>
      </c>
      <c r="B798" s="113" t="s">
        <v>1747</v>
      </c>
      <c r="C798" s="113" t="s">
        <v>1739</v>
      </c>
    </row>
    <row r="799" spans="1:3">
      <c r="A799" s="117">
        <v>61150</v>
      </c>
      <c r="B799" s="113" t="s">
        <v>1740</v>
      </c>
      <c r="C799" s="113" t="s">
        <v>1741</v>
      </c>
    </row>
    <row r="800" spans="1:3">
      <c r="A800" s="117">
        <v>61247</v>
      </c>
      <c r="B800" s="113" t="s">
        <v>1748</v>
      </c>
      <c r="C800" s="113" t="s">
        <v>1742</v>
      </c>
    </row>
    <row r="801" spans="1:3">
      <c r="A801" s="119">
        <v>61282</v>
      </c>
      <c r="B801" s="113" t="s">
        <v>1748</v>
      </c>
      <c r="C801" s="113" t="s">
        <v>1743</v>
      </c>
    </row>
    <row r="802" spans="1:3">
      <c r="A802" s="117">
        <v>61303</v>
      </c>
      <c r="B802" s="113" t="s">
        <v>1748</v>
      </c>
      <c r="C802" s="113" t="s">
        <v>1744</v>
      </c>
    </row>
    <row r="803" spans="1:3">
      <c r="A803" s="119">
        <v>61316</v>
      </c>
      <c r="B803" s="113" t="s">
        <v>1734</v>
      </c>
      <c r="C803" s="113" t="s">
        <v>1745</v>
      </c>
    </row>
    <row r="804" spans="1:3">
      <c r="A804" s="119">
        <v>61356</v>
      </c>
      <c r="B804" s="113" t="s">
        <v>1747</v>
      </c>
      <c r="C804" s="113" t="s">
        <v>1746</v>
      </c>
    </row>
    <row r="805" spans="1:3">
      <c r="A805" s="117">
        <v>61363</v>
      </c>
      <c r="B805" s="113" t="s">
        <v>1747</v>
      </c>
      <c r="C805" s="113" t="s">
        <v>1732</v>
      </c>
    </row>
    <row r="806" spans="1:3">
      <c r="A806" s="117">
        <v>61427</v>
      </c>
      <c r="B806" s="113" t="s">
        <v>1731</v>
      </c>
      <c r="C806" s="113" t="s">
        <v>1733</v>
      </c>
    </row>
    <row r="807" spans="1:3">
      <c r="A807" s="117">
        <v>61428</v>
      </c>
      <c r="B807" s="113" t="s">
        <v>1734</v>
      </c>
      <c r="C807" s="113" t="s">
        <v>1733</v>
      </c>
    </row>
    <row r="808" spans="1:3">
      <c r="A808" s="117">
        <v>61473</v>
      </c>
      <c r="B808" s="113" t="s">
        <v>1735</v>
      </c>
      <c r="C808" s="113" t="s">
        <v>1736</v>
      </c>
    </row>
    <row r="809" spans="1:3">
      <c r="A809" s="117">
        <v>61474</v>
      </c>
      <c r="B809" s="113" t="s">
        <v>1737</v>
      </c>
      <c r="C809" s="113" t="s">
        <v>1738</v>
      </c>
    </row>
    <row r="810" spans="1:3">
      <c r="A810" s="117">
        <v>61484</v>
      </c>
      <c r="B810" s="113" t="s">
        <v>1734</v>
      </c>
      <c r="C810" s="113" t="s">
        <v>1739</v>
      </c>
    </row>
    <row r="811" spans="1:3">
      <c r="A811" s="117">
        <v>61535</v>
      </c>
      <c r="B811" s="113" t="s">
        <v>1740</v>
      </c>
      <c r="C811" s="113" t="s">
        <v>1741</v>
      </c>
    </row>
    <row r="812" spans="1:3">
      <c r="A812" s="117">
        <v>61613</v>
      </c>
      <c r="B812" s="113" t="s">
        <v>1735</v>
      </c>
      <c r="C812" s="113" t="s">
        <v>1742</v>
      </c>
    </row>
    <row r="813" spans="1:3">
      <c r="A813" s="119">
        <v>61648</v>
      </c>
      <c r="B813" s="113" t="s">
        <v>1735</v>
      </c>
      <c r="C813" s="113" t="s">
        <v>1743</v>
      </c>
    </row>
    <row r="814" spans="1:3">
      <c r="A814" s="117">
        <v>61669</v>
      </c>
      <c r="B814" s="113" t="s">
        <v>1735</v>
      </c>
      <c r="C814" s="113" t="s">
        <v>1744</v>
      </c>
    </row>
    <row r="815" spans="1:3">
      <c r="A815" s="119">
        <v>61682</v>
      </c>
      <c r="B815" s="113" t="s">
        <v>1740</v>
      </c>
      <c r="C815" s="113" t="s">
        <v>1745</v>
      </c>
    </row>
    <row r="816" spans="1:3">
      <c r="A816" s="119">
        <v>61722</v>
      </c>
      <c r="B816" s="113" t="s">
        <v>1734</v>
      </c>
      <c r="C816" s="113" t="s">
        <v>1746</v>
      </c>
    </row>
    <row r="817" spans="1:3">
      <c r="A817" s="117">
        <v>61729</v>
      </c>
      <c r="B817" s="113" t="s">
        <v>1734</v>
      </c>
      <c r="C817" s="113" t="s">
        <v>1732</v>
      </c>
    </row>
    <row r="818" spans="1:3">
      <c r="A818" s="117">
        <v>61784</v>
      </c>
      <c r="B818" s="113" t="s">
        <v>1731</v>
      </c>
      <c r="C818" s="113" t="s">
        <v>1733</v>
      </c>
    </row>
    <row r="819" spans="1:3">
      <c r="A819" s="117">
        <v>61785</v>
      </c>
      <c r="B819" s="113" t="s">
        <v>1734</v>
      </c>
      <c r="C819" s="113" t="s">
        <v>1733</v>
      </c>
    </row>
    <row r="820" spans="1:3">
      <c r="A820" s="117">
        <v>61830</v>
      </c>
      <c r="B820" s="113" t="s">
        <v>1735</v>
      </c>
      <c r="C820" s="113" t="s">
        <v>1736</v>
      </c>
    </row>
    <row r="821" spans="1:3">
      <c r="A821" s="117">
        <v>61839</v>
      </c>
      <c r="B821" s="113" t="s">
        <v>1747</v>
      </c>
      <c r="C821" s="113" t="s">
        <v>1738</v>
      </c>
    </row>
    <row r="822" spans="1:3">
      <c r="A822" s="117">
        <v>61849</v>
      </c>
      <c r="B822" s="113" t="s">
        <v>1748</v>
      </c>
      <c r="C822" s="113" t="s">
        <v>1739</v>
      </c>
    </row>
    <row r="823" spans="1:3">
      <c r="A823" s="117">
        <v>61892</v>
      </c>
      <c r="B823" s="113" t="s">
        <v>1740</v>
      </c>
      <c r="C823" s="113" t="s">
        <v>1741</v>
      </c>
    </row>
    <row r="824" spans="1:3">
      <c r="A824" s="117">
        <v>61978</v>
      </c>
      <c r="B824" s="113" t="s">
        <v>1737</v>
      </c>
      <c r="C824" s="113" t="s">
        <v>1742</v>
      </c>
    </row>
    <row r="825" spans="1:3">
      <c r="A825" s="119">
        <v>62013</v>
      </c>
      <c r="B825" s="113" t="s">
        <v>1737</v>
      </c>
      <c r="C825" s="113" t="s">
        <v>1743</v>
      </c>
    </row>
    <row r="826" spans="1:3">
      <c r="A826" s="117">
        <v>62034</v>
      </c>
      <c r="B826" s="113" t="s">
        <v>1737</v>
      </c>
      <c r="C826" s="113" t="s">
        <v>1744</v>
      </c>
    </row>
    <row r="827" spans="1:3">
      <c r="A827" s="119">
        <v>62047</v>
      </c>
      <c r="B827" s="113" t="s">
        <v>1735</v>
      </c>
      <c r="C827" s="113" t="s">
        <v>1745</v>
      </c>
    </row>
    <row r="828" spans="1:3">
      <c r="A828" s="119">
        <v>62087</v>
      </c>
      <c r="B828" s="113" t="s">
        <v>1748</v>
      </c>
      <c r="C828" s="113" t="s">
        <v>1746</v>
      </c>
    </row>
    <row r="829" spans="1:3">
      <c r="A829" s="117">
        <v>62094</v>
      </c>
      <c r="B829" s="113" t="s">
        <v>1748</v>
      </c>
      <c r="C829" s="113" t="s">
        <v>1732</v>
      </c>
    </row>
    <row r="830" spans="1:3">
      <c r="A830" s="117">
        <v>62134</v>
      </c>
      <c r="B830" s="113" t="s">
        <v>1731</v>
      </c>
      <c r="C830" s="113" t="s">
        <v>1733</v>
      </c>
    </row>
    <row r="831" spans="1:3">
      <c r="A831" s="117">
        <v>62135</v>
      </c>
      <c r="B831" s="113" t="s">
        <v>1734</v>
      </c>
      <c r="C831" s="113" t="s">
        <v>1733</v>
      </c>
    </row>
    <row r="832" spans="1:3">
      <c r="A832" s="117">
        <v>62180</v>
      </c>
      <c r="B832" s="113" t="s">
        <v>1735</v>
      </c>
      <c r="C832" s="113" t="s">
        <v>1736</v>
      </c>
    </row>
    <row r="833" spans="1:3">
      <c r="A833" s="117">
        <v>62204</v>
      </c>
      <c r="B833" s="113" t="s">
        <v>1731</v>
      </c>
      <c r="C833" s="113" t="s">
        <v>1738</v>
      </c>
    </row>
    <row r="834" spans="1:3">
      <c r="A834" s="117">
        <v>62214</v>
      </c>
      <c r="B834" s="113" t="s">
        <v>1740</v>
      </c>
      <c r="C834" s="113" t="s">
        <v>1739</v>
      </c>
    </row>
    <row r="835" spans="1:3">
      <c r="A835" s="117">
        <v>62242</v>
      </c>
      <c r="B835" s="113" t="s">
        <v>1740</v>
      </c>
      <c r="C835" s="113" t="s">
        <v>1741</v>
      </c>
    </row>
    <row r="836" spans="1:3">
      <c r="A836" s="117">
        <v>62343</v>
      </c>
      <c r="B836" s="113" t="s">
        <v>1747</v>
      </c>
      <c r="C836" s="113" t="s">
        <v>1742</v>
      </c>
    </row>
    <row r="837" spans="1:3">
      <c r="A837" s="119">
        <v>62378</v>
      </c>
      <c r="B837" s="113" t="s">
        <v>1747</v>
      </c>
      <c r="C837" s="113" t="s">
        <v>1743</v>
      </c>
    </row>
    <row r="838" spans="1:3">
      <c r="A838" s="117">
        <v>62399</v>
      </c>
      <c r="B838" s="113" t="s">
        <v>1747</v>
      </c>
      <c r="C838" s="113" t="s">
        <v>1744</v>
      </c>
    </row>
    <row r="839" spans="1:3">
      <c r="A839" s="119">
        <v>62412</v>
      </c>
      <c r="B839" s="113" t="s">
        <v>1737</v>
      </c>
      <c r="C839" s="113" t="s">
        <v>1745</v>
      </c>
    </row>
    <row r="840" spans="1:3">
      <c r="A840" s="119">
        <v>62452</v>
      </c>
      <c r="B840" s="113" t="s">
        <v>1740</v>
      </c>
      <c r="C840" s="113" t="s">
        <v>1746</v>
      </c>
    </row>
    <row r="841" spans="1:3">
      <c r="A841" s="117">
        <v>62459</v>
      </c>
      <c r="B841" s="113" t="s">
        <v>1740</v>
      </c>
      <c r="C841" s="113" t="s">
        <v>1732</v>
      </c>
    </row>
    <row r="842" spans="1:3">
      <c r="A842" s="117">
        <v>62519</v>
      </c>
      <c r="B842" s="113" t="s">
        <v>1731</v>
      </c>
      <c r="C842" s="113" t="s">
        <v>1733</v>
      </c>
    </row>
    <row r="843" spans="1:3">
      <c r="A843" s="117">
        <v>62520</v>
      </c>
      <c r="B843" s="113" t="s">
        <v>1734</v>
      </c>
      <c r="C843" s="113" t="s">
        <v>1733</v>
      </c>
    </row>
    <row r="844" spans="1:3">
      <c r="A844" s="117">
        <v>62565</v>
      </c>
      <c r="B844" s="113" t="s">
        <v>1735</v>
      </c>
      <c r="C844" s="113" t="s">
        <v>1736</v>
      </c>
    </row>
    <row r="845" spans="1:3">
      <c r="A845" s="117">
        <v>62569</v>
      </c>
      <c r="B845" s="113" t="s">
        <v>1734</v>
      </c>
      <c r="C845" s="113" t="s">
        <v>1738</v>
      </c>
    </row>
    <row r="846" spans="1:3">
      <c r="A846" s="117">
        <v>62579</v>
      </c>
      <c r="B846" s="113" t="s">
        <v>1735</v>
      </c>
      <c r="C846" s="113" t="s">
        <v>1739</v>
      </c>
    </row>
    <row r="847" spans="1:3">
      <c r="A847" s="117">
        <v>62627</v>
      </c>
      <c r="B847" s="113" t="s">
        <v>1740</v>
      </c>
      <c r="C847" s="113" t="s">
        <v>1741</v>
      </c>
    </row>
    <row r="848" spans="1:3">
      <c r="A848" s="117">
        <v>62708</v>
      </c>
      <c r="B848" s="113" t="s">
        <v>1731</v>
      </c>
      <c r="C848" s="113" t="s">
        <v>1742</v>
      </c>
    </row>
    <row r="849" spans="1:3">
      <c r="A849" s="119">
        <v>62743</v>
      </c>
      <c r="B849" s="113" t="s">
        <v>1731</v>
      </c>
      <c r="C849" s="113" t="s">
        <v>1743</v>
      </c>
    </row>
    <row r="850" spans="1:3">
      <c r="A850" s="117">
        <v>62764</v>
      </c>
      <c r="B850" s="113" t="s">
        <v>1731</v>
      </c>
      <c r="C850" s="113" t="s">
        <v>1744</v>
      </c>
    </row>
    <row r="851" spans="1:3">
      <c r="A851" s="119">
        <v>62777</v>
      </c>
      <c r="B851" s="113" t="s">
        <v>1747</v>
      </c>
      <c r="C851" s="113" t="s">
        <v>1745</v>
      </c>
    </row>
    <row r="852" spans="1:3">
      <c r="A852" s="119">
        <v>62817</v>
      </c>
      <c r="B852" s="113" t="s">
        <v>1735</v>
      </c>
      <c r="C852" s="113" t="s">
        <v>1746</v>
      </c>
    </row>
    <row r="853" spans="1:3">
      <c r="A853" s="117">
        <v>62824</v>
      </c>
      <c r="B853" s="113" t="s">
        <v>1735</v>
      </c>
      <c r="C853" s="113" t="s">
        <v>1732</v>
      </c>
    </row>
    <row r="854" spans="1:3">
      <c r="A854" s="117">
        <v>62876</v>
      </c>
      <c r="B854" s="113" t="s">
        <v>1731</v>
      </c>
      <c r="C854" s="113" t="s">
        <v>1733</v>
      </c>
    </row>
    <row r="855" spans="1:3">
      <c r="A855" s="117">
        <v>62877</v>
      </c>
      <c r="B855" s="113" t="s">
        <v>1734</v>
      </c>
      <c r="C855" s="113" t="s">
        <v>1733</v>
      </c>
    </row>
    <row r="856" spans="1:3">
      <c r="A856" s="117">
        <v>62922</v>
      </c>
      <c r="B856" s="113" t="s">
        <v>1735</v>
      </c>
      <c r="C856" s="113" t="s">
        <v>1736</v>
      </c>
    </row>
    <row r="857" spans="1:3">
      <c r="A857" s="117">
        <v>62935</v>
      </c>
      <c r="B857" s="113" t="s">
        <v>1740</v>
      </c>
      <c r="C857" s="113" t="s">
        <v>1738</v>
      </c>
    </row>
    <row r="858" spans="1:3">
      <c r="A858" s="117">
        <v>62945</v>
      </c>
      <c r="B858" s="113" t="s">
        <v>1747</v>
      </c>
      <c r="C858" s="113" t="s">
        <v>1739</v>
      </c>
    </row>
    <row r="859" spans="1:3">
      <c r="A859" s="117">
        <v>62984</v>
      </c>
      <c r="B859" s="113" t="s">
        <v>1740</v>
      </c>
      <c r="C859" s="113" t="s">
        <v>1741</v>
      </c>
    </row>
    <row r="860" spans="1:3">
      <c r="A860" s="117">
        <v>63074</v>
      </c>
      <c r="B860" s="113" t="s">
        <v>1748</v>
      </c>
      <c r="C860" s="113" t="s">
        <v>1742</v>
      </c>
    </row>
    <row r="861" spans="1:3">
      <c r="A861" s="119">
        <v>63109</v>
      </c>
      <c r="B861" s="113" t="s">
        <v>1748</v>
      </c>
      <c r="C861" s="113" t="s">
        <v>1743</v>
      </c>
    </row>
    <row r="862" spans="1:3">
      <c r="A862" s="117">
        <v>63130</v>
      </c>
      <c r="B862" s="113" t="s">
        <v>1748</v>
      </c>
      <c r="C862" s="113" t="s">
        <v>1744</v>
      </c>
    </row>
    <row r="863" spans="1:3">
      <c r="A863" s="119">
        <v>63143</v>
      </c>
      <c r="B863" s="113" t="s">
        <v>1734</v>
      </c>
      <c r="C863" s="113" t="s">
        <v>1745</v>
      </c>
    </row>
    <row r="864" spans="1:3">
      <c r="A864" s="119">
        <v>63183</v>
      </c>
      <c r="B864" s="113" t="s">
        <v>1747</v>
      </c>
      <c r="C864" s="113" t="s">
        <v>1746</v>
      </c>
    </row>
    <row r="865" spans="1:3">
      <c r="A865" s="117">
        <v>63190</v>
      </c>
      <c r="B865" s="113" t="s">
        <v>1747</v>
      </c>
      <c r="C865" s="113" t="s">
        <v>1732</v>
      </c>
    </row>
    <row r="866" spans="1:3">
      <c r="A866" s="117">
        <v>63226</v>
      </c>
      <c r="B866" s="113" t="s">
        <v>1731</v>
      </c>
      <c r="C866" s="113" t="s">
        <v>1733</v>
      </c>
    </row>
    <row r="867" spans="1:3">
      <c r="A867" s="117">
        <v>63227</v>
      </c>
      <c r="B867" s="113" t="s">
        <v>1734</v>
      </c>
      <c r="C867" s="113" t="s">
        <v>1733</v>
      </c>
    </row>
    <row r="868" spans="1:3">
      <c r="A868" s="117">
        <v>63272</v>
      </c>
      <c r="B868" s="113" t="s">
        <v>1735</v>
      </c>
      <c r="C868" s="113" t="s">
        <v>1736</v>
      </c>
    </row>
    <row r="869" spans="1:3">
      <c r="A869" s="117">
        <v>63300</v>
      </c>
      <c r="B869" s="113" t="s">
        <v>1735</v>
      </c>
      <c r="C869" s="113" t="s">
        <v>1738</v>
      </c>
    </row>
    <row r="870" spans="1:3">
      <c r="A870" s="117">
        <v>63310</v>
      </c>
      <c r="B870" s="113" t="s">
        <v>1731</v>
      </c>
      <c r="C870" s="113" t="s">
        <v>1739</v>
      </c>
    </row>
    <row r="871" spans="1:3">
      <c r="A871" s="117">
        <v>63334</v>
      </c>
      <c r="B871" s="113" t="s">
        <v>1740</v>
      </c>
      <c r="C871" s="113" t="s">
        <v>1741</v>
      </c>
    </row>
    <row r="872" spans="1:3">
      <c r="A872" s="117">
        <v>63439</v>
      </c>
      <c r="B872" s="113" t="s">
        <v>1740</v>
      </c>
      <c r="C872" s="113" t="s">
        <v>1742</v>
      </c>
    </row>
    <row r="873" spans="1:3">
      <c r="A873" s="119">
        <v>63474</v>
      </c>
      <c r="B873" s="113" t="s">
        <v>1740</v>
      </c>
      <c r="C873" s="113" t="s">
        <v>1743</v>
      </c>
    </row>
    <row r="874" spans="1:3">
      <c r="A874" s="117">
        <v>63495</v>
      </c>
      <c r="B874" s="113" t="s">
        <v>1740</v>
      </c>
      <c r="C874" s="113" t="s">
        <v>1744</v>
      </c>
    </row>
    <row r="875" spans="1:3">
      <c r="A875" s="119">
        <v>63508</v>
      </c>
      <c r="B875" s="113" t="s">
        <v>1748</v>
      </c>
      <c r="C875" s="113" t="s">
        <v>1745</v>
      </c>
    </row>
    <row r="876" spans="1:3">
      <c r="A876" s="119">
        <v>63548</v>
      </c>
      <c r="B876" s="113" t="s">
        <v>1731</v>
      </c>
      <c r="C876" s="113" t="s">
        <v>1746</v>
      </c>
    </row>
    <row r="877" spans="1:3">
      <c r="A877" s="117">
        <v>63555</v>
      </c>
      <c r="B877" s="113" t="s">
        <v>1731</v>
      </c>
      <c r="C877" s="113" t="s">
        <v>1732</v>
      </c>
    </row>
    <row r="878" spans="1:3">
      <c r="A878" s="117">
        <v>63611</v>
      </c>
      <c r="B878" s="113" t="s">
        <v>1731</v>
      </c>
      <c r="C878" s="113" t="s">
        <v>1733</v>
      </c>
    </row>
    <row r="879" spans="1:3">
      <c r="A879" s="117">
        <v>63612</v>
      </c>
      <c r="B879" s="113" t="s">
        <v>1734</v>
      </c>
      <c r="C879" s="113" t="s">
        <v>1733</v>
      </c>
    </row>
    <row r="880" spans="1:3">
      <c r="A880" s="117">
        <v>63657</v>
      </c>
      <c r="B880" s="113" t="s">
        <v>1735</v>
      </c>
      <c r="C880" s="113" t="s">
        <v>1736</v>
      </c>
    </row>
    <row r="881" spans="1:3">
      <c r="A881" s="117">
        <v>63665</v>
      </c>
      <c r="B881" s="113" t="s">
        <v>1737</v>
      </c>
      <c r="C881" s="113" t="s">
        <v>1738</v>
      </c>
    </row>
    <row r="882" spans="1:3">
      <c r="A882" s="117">
        <v>63675</v>
      </c>
      <c r="B882" s="113" t="s">
        <v>1734</v>
      </c>
      <c r="C882" s="113" t="s">
        <v>1739</v>
      </c>
    </row>
    <row r="883" spans="1:3">
      <c r="A883" s="117">
        <v>63719</v>
      </c>
      <c r="B883" s="113" t="s">
        <v>1740</v>
      </c>
      <c r="C883" s="113" t="s">
        <v>1741</v>
      </c>
    </row>
    <row r="884" spans="1:3">
      <c r="A884" s="117">
        <v>63804</v>
      </c>
      <c r="B884" s="113" t="s">
        <v>1735</v>
      </c>
      <c r="C884" s="113" t="s">
        <v>1742</v>
      </c>
    </row>
    <row r="885" spans="1:3">
      <c r="A885" s="119">
        <v>63839</v>
      </c>
      <c r="B885" s="113" t="s">
        <v>1735</v>
      </c>
      <c r="C885" s="113" t="s">
        <v>1743</v>
      </c>
    </row>
    <row r="886" spans="1:3">
      <c r="A886" s="117">
        <v>63860</v>
      </c>
      <c r="B886" s="113" t="s">
        <v>1735</v>
      </c>
      <c r="C886" s="113" t="s">
        <v>1744</v>
      </c>
    </row>
    <row r="887" spans="1:3">
      <c r="A887" s="119">
        <v>63873</v>
      </c>
      <c r="B887" s="113" t="s">
        <v>1740</v>
      </c>
      <c r="C887" s="113" t="s">
        <v>1745</v>
      </c>
    </row>
    <row r="888" spans="1:3">
      <c r="A888" s="119">
        <v>63913</v>
      </c>
      <c r="B888" s="113" t="s">
        <v>1734</v>
      </c>
      <c r="C888" s="113" t="s">
        <v>1746</v>
      </c>
    </row>
    <row r="889" spans="1:3">
      <c r="A889" s="117">
        <v>63920</v>
      </c>
      <c r="B889" s="113" t="s">
        <v>1734</v>
      </c>
      <c r="C889" s="113" t="s">
        <v>1732</v>
      </c>
    </row>
    <row r="890" spans="1:3">
      <c r="A890" s="117">
        <v>63968</v>
      </c>
      <c r="B890" s="113" t="s">
        <v>1731</v>
      </c>
      <c r="C890" s="113" t="s">
        <v>1733</v>
      </c>
    </row>
    <row r="891" spans="1:3">
      <c r="A891" s="117">
        <v>63969</v>
      </c>
      <c r="B891" s="113" t="s">
        <v>1734</v>
      </c>
      <c r="C891" s="113" t="s">
        <v>1733</v>
      </c>
    </row>
    <row r="892" spans="1:3">
      <c r="A892" s="117">
        <v>64014</v>
      </c>
      <c r="B892" s="113" t="s">
        <v>1735</v>
      </c>
      <c r="C892" s="113" t="s">
        <v>1736</v>
      </c>
    </row>
    <row r="893" spans="1:3">
      <c r="A893" s="117">
        <v>64030</v>
      </c>
      <c r="B893" s="113" t="s">
        <v>1747</v>
      </c>
      <c r="C893" s="113" t="s">
        <v>1738</v>
      </c>
    </row>
    <row r="894" spans="1:3">
      <c r="A894" s="117">
        <v>64040</v>
      </c>
      <c r="B894" s="113" t="s">
        <v>1748</v>
      </c>
      <c r="C894" s="113" t="s">
        <v>1739</v>
      </c>
    </row>
    <row r="895" spans="1:3">
      <c r="A895" s="117">
        <v>64076</v>
      </c>
      <c r="B895" s="113" t="s">
        <v>1740</v>
      </c>
      <c r="C895" s="113" t="s">
        <v>1741</v>
      </c>
    </row>
    <row r="896" spans="1:3">
      <c r="A896" s="117">
        <v>64169</v>
      </c>
      <c r="B896" s="113" t="s">
        <v>1737</v>
      </c>
      <c r="C896" s="113" t="s">
        <v>1742</v>
      </c>
    </row>
    <row r="897" spans="1:3">
      <c r="A897" s="119">
        <v>64204</v>
      </c>
      <c r="B897" s="113" t="s">
        <v>1737</v>
      </c>
      <c r="C897" s="113" t="s">
        <v>1743</v>
      </c>
    </row>
    <row r="898" spans="1:3">
      <c r="A898" s="117">
        <v>64225</v>
      </c>
      <c r="B898" s="113" t="s">
        <v>1737</v>
      </c>
      <c r="C898" s="113" t="s">
        <v>1744</v>
      </c>
    </row>
    <row r="899" spans="1:3">
      <c r="A899" s="119">
        <v>64238</v>
      </c>
      <c r="B899" s="113" t="s">
        <v>1735</v>
      </c>
      <c r="C899" s="113" t="s">
        <v>1745</v>
      </c>
    </row>
    <row r="900" spans="1:3">
      <c r="A900" s="119">
        <v>64278</v>
      </c>
      <c r="B900" s="113" t="s">
        <v>1748</v>
      </c>
      <c r="C900" s="113" t="s">
        <v>1746</v>
      </c>
    </row>
    <row r="901" spans="1:3">
      <c r="A901" s="117">
        <v>64285</v>
      </c>
      <c r="B901" s="113" t="s">
        <v>1748</v>
      </c>
      <c r="C901" s="113" t="s">
        <v>1732</v>
      </c>
    </row>
    <row r="902" spans="1:3">
      <c r="A902" s="117">
        <v>64346</v>
      </c>
      <c r="B902" s="113" t="s">
        <v>1731</v>
      </c>
      <c r="C902" s="113" t="s">
        <v>1733</v>
      </c>
    </row>
    <row r="903" spans="1:3">
      <c r="A903" s="117">
        <v>64347</v>
      </c>
      <c r="B903" s="113" t="s">
        <v>1734</v>
      </c>
      <c r="C903" s="113" t="s">
        <v>1733</v>
      </c>
    </row>
    <row r="904" spans="1:3">
      <c r="A904" s="117">
        <v>64392</v>
      </c>
      <c r="B904" s="113" t="s">
        <v>1735</v>
      </c>
      <c r="C904" s="113" t="s">
        <v>1736</v>
      </c>
    </row>
    <row r="905" spans="1:3">
      <c r="A905" s="117">
        <v>64396</v>
      </c>
      <c r="B905" s="113" t="s">
        <v>1734</v>
      </c>
      <c r="C905" s="113" t="s">
        <v>1738</v>
      </c>
    </row>
    <row r="906" spans="1:3">
      <c r="A906" s="117">
        <v>64406</v>
      </c>
      <c r="B906" s="113" t="s">
        <v>1735</v>
      </c>
      <c r="C906" s="113" t="s">
        <v>1739</v>
      </c>
    </row>
    <row r="907" spans="1:3">
      <c r="A907" s="117">
        <v>64454</v>
      </c>
      <c r="B907" s="113" t="s">
        <v>1740</v>
      </c>
      <c r="C907" s="113" t="s">
        <v>1741</v>
      </c>
    </row>
    <row r="908" spans="1:3">
      <c r="A908" s="117">
        <v>64535</v>
      </c>
      <c r="B908" s="113" t="s">
        <v>1731</v>
      </c>
      <c r="C908" s="113" t="s">
        <v>1742</v>
      </c>
    </row>
    <row r="909" spans="1:3">
      <c r="A909" s="119">
        <v>64570</v>
      </c>
      <c r="B909" s="113" t="s">
        <v>1731</v>
      </c>
      <c r="C909" s="113" t="s">
        <v>1743</v>
      </c>
    </row>
    <row r="910" spans="1:3">
      <c r="A910" s="117">
        <v>64591</v>
      </c>
      <c r="B910" s="113" t="s">
        <v>1731</v>
      </c>
      <c r="C910" s="113" t="s">
        <v>1744</v>
      </c>
    </row>
    <row r="911" spans="1:3">
      <c r="A911" s="119">
        <v>64604</v>
      </c>
      <c r="B911" s="113" t="s">
        <v>1747</v>
      </c>
      <c r="C911" s="113" t="s">
        <v>1745</v>
      </c>
    </row>
    <row r="912" spans="1:3">
      <c r="A912" s="119">
        <v>64644</v>
      </c>
      <c r="B912" s="113" t="s">
        <v>1735</v>
      </c>
      <c r="C912" s="113" t="s">
        <v>1746</v>
      </c>
    </row>
    <row r="913" spans="1:3">
      <c r="A913" s="117">
        <v>64651</v>
      </c>
      <c r="B913" s="113" t="s">
        <v>1735</v>
      </c>
      <c r="C913" s="113" t="s">
        <v>1732</v>
      </c>
    </row>
    <row r="914" spans="1:3">
      <c r="A914" s="117">
        <v>64703</v>
      </c>
      <c r="B914" s="113" t="s">
        <v>1731</v>
      </c>
      <c r="C914" s="113" t="s">
        <v>1733</v>
      </c>
    </row>
    <row r="915" spans="1:3">
      <c r="A915" s="117">
        <v>64704</v>
      </c>
      <c r="B915" s="113" t="s">
        <v>1734</v>
      </c>
      <c r="C915" s="113" t="s">
        <v>1733</v>
      </c>
    </row>
    <row r="916" spans="1:3">
      <c r="A916" s="117">
        <v>64749</v>
      </c>
      <c r="B916" s="113" t="s">
        <v>1735</v>
      </c>
      <c r="C916" s="113" t="s">
        <v>1736</v>
      </c>
    </row>
    <row r="917" spans="1:3">
      <c r="A917" s="117">
        <v>64761</v>
      </c>
      <c r="B917" s="113" t="s">
        <v>1748</v>
      </c>
      <c r="C917" s="113" t="s">
        <v>1738</v>
      </c>
    </row>
    <row r="918" spans="1:3">
      <c r="A918" s="117">
        <v>64771</v>
      </c>
      <c r="B918" s="113" t="s">
        <v>1737</v>
      </c>
      <c r="C918" s="113" t="s">
        <v>1739</v>
      </c>
    </row>
    <row r="919" spans="1:3">
      <c r="A919" s="117">
        <v>64811</v>
      </c>
      <c r="B919" s="113" t="s">
        <v>1740</v>
      </c>
      <c r="C919" s="113" t="s">
        <v>1741</v>
      </c>
    </row>
    <row r="920" spans="1:3">
      <c r="A920" s="117">
        <v>64900</v>
      </c>
      <c r="B920" s="113" t="s">
        <v>1734</v>
      </c>
      <c r="C920" s="113" t="s">
        <v>1742</v>
      </c>
    </row>
    <row r="921" spans="1:3">
      <c r="A921" s="119">
        <v>64935</v>
      </c>
      <c r="B921" s="113" t="s">
        <v>1734</v>
      </c>
      <c r="C921" s="113" t="s">
        <v>1743</v>
      </c>
    </row>
    <row r="922" spans="1:3">
      <c r="A922" s="117">
        <v>64956</v>
      </c>
      <c r="B922" s="113" t="s">
        <v>1734</v>
      </c>
      <c r="C922" s="113" t="s">
        <v>1744</v>
      </c>
    </row>
    <row r="923" spans="1:3">
      <c r="A923" s="119">
        <v>64969</v>
      </c>
      <c r="B923" s="113" t="s">
        <v>1731</v>
      </c>
      <c r="C923" s="113" t="s">
        <v>1745</v>
      </c>
    </row>
    <row r="924" spans="1:3">
      <c r="A924" s="119">
        <v>65009</v>
      </c>
      <c r="B924" s="113" t="s">
        <v>1737</v>
      </c>
      <c r="C924" s="113" t="s">
        <v>1746</v>
      </c>
    </row>
    <row r="925" spans="1:3">
      <c r="A925" s="117">
        <v>65016</v>
      </c>
      <c r="B925" s="113" t="s">
        <v>1734</v>
      </c>
      <c r="C925" s="113" t="s">
        <v>1732</v>
      </c>
    </row>
    <row r="926" spans="1:3">
      <c r="A926" s="117">
        <v>65060</v>
      </c>
      <c r="B926" s="113" t="s">
        <v>1731</v>
      </c>
      <c r="C926" s="113" t="s">
        <v>1733</v>
      </c>
    </row>
    <row r="927" spans="1:3">
      <c r="A927" s="117">
        <v>65061</v>
      </c>
      <c r="B927" s="113" t="s">
        <v>1734</v>
      </c>
      <c r="C927" s="113" t="s">
        <v>1733</v>
      </c>
    </row>
    <row r="928" spans="1:3">
      <c r="A928" s="117">
        <v>65106</v>
      </c>
      <c r="B928" s="113" t="s">
        <v>1735</v>
      </c>
      <c r="C928" s="113" t="s">
        <v>1736</v>
      </c>
    </row>
    <row r="929" spans="1:3">
      <c r="A929" s="117">
        <v>65126</v>
      </c>
      <c r="B929" s="113" t="s">
        <v>1740</v>
      </c>
      <c r="C929" s="113" t="s">
        <v>1738</v>
      </c>
    </row>
    <row r="930" spans="1:3">
      <c r="A930" s="117">
        <v>65136</v>
      </c>
      <c r="B930" s="113" t="s">
        <v>1748</v>
      </c>
      <c r="C930" s="113" t="s">
        <v>1739</v>
      </c>
    </row>
    <row r="931" spans="1:3">
      <c r="A931" s="117">
        <v>65168</v>
      </c>
      <c r="B931" s="113" t="s">
        <v>1740</v>
      </c>
      <c r="C931" s="113" t="s">
        <v>1741</v>
      </c>
    </row>
    <row r="932" spans="1:3">
      <c r="A932" s="117">
        <v>65265</v>
      </c>
      <c r="B932" s="113" t="s">
        <v>1748</v>
      </c>
      <c r="C932" s="113" t="s">
        <v>1742</v>
      </c>
    </row>
    <row r="933" spans="1:3">
      <c r="A933" s="119">
        <v>65300</v>
      </c>
      <c r="B933" s="113" t="s">
        <v>1748</v>
      </c>
      <c r="C933" s="113" t="s">
        <v>1743</v>
      </c>
    </row>
    <row r="934" spans="1:3">
      <c r="A934" s="117">
        <v>65321</v>
      </c>
      <c r="B934" s="113" t="s">
        <v>1748</v>
      </c>
      <c r="C934" s="113" t="s">
        <v>1744</v>
      </c>
    </row>
    <row r="935" spans="1:3">
      <c r="A935" s="119">
        <v>65334</v>
      </c>
      <c r="B935" s="113" t="s">
        <v>1734</v>
      </c>
      <c r="C935" s="113" t="s">
        <v>1745</v>
      </c>
    </row>
    <row r="936" spans="1:3">
      <c r="A936" s="119">
        <v>65374</v>
      </c>
      <c r="B936" s="113" t="s">
        <v>1748</v>
      </c>
      <c r="C936" s="113" t="s">
        <v>1746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MODELOS</vt:lpstr>
      <vt:lpstr>CONTROLE DE COMPRA E VENDA </vt:lpstr>
      <vt:lpstr>Lista</vt:lpstr>
      <vt:lpstr>Ativos RV (base)</vt:lpstr>
      <vt:lpstr>Dados</vt:lpstr>
      <vt:lpstr>Validação de Dados RF</vt:lpstr>
      <vt:lpstr>Feriados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Souza</dc:creator>
  <cp:lastModifiedBy>Bruno Souza</cp:lastModifiedBy>
  <dcterms:created xsi:type="dcterms:W3CDTF">2022-08-12T16:53:53Z</dcterms:created>
  <dcterms:modified xsi:type="dcterms:W3CDTF">2022-08-12T16:53:53Z</dcterms:modified>
</cp:coreProperties>
</file>