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9721AE9F-3FE0-4298-B4E0-213CC517C0C6}" xr6:coauthVersionLast="47" xr6:coauthVersionMax="47" xr10:uidLastSave="{00000000-0000-0000-0000-000000000000}"/>
  <bookViews>
    <workbookView xWindow="28680" yWindow="-90" windowWidth="29040" windowHeight="16440" firstSheet="5" activeTab="7" xr2:uid="{00000000-000D-0000-FFFF-FFFF00000000}"/>
  </bookViews>
  <sheets>
    <sheet name="Instrucciones" sheetId="13" r:id="rId1"/>
    <sheet name="1.IS" sheetId="1" r:id="rId2"/>
    <sheet name="2.FCF" sheetId="2" r:id="rId3"/>
    <sheet name="3.ROIC" sheetId="3" r:id="rId4"/>
    <sheet name="4.Valoración" sheetId="5" r:id="rId5"/>
    <sheet name="6.TIKR_IS" sheetId="8" r:id="rId6"/>
    <sheet name="7.TIKR_BS" sheetId="10" r:id="rId7"/>
    <sheet name="8.TIKR_CF" sheetId="11" r:id="rId8"/>
    <sheet name="TIKR_Cálculos" sheetId="12" state="hidden" r:id="rId9"/>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2" i="12" l="1"/>
  <c r="D32" i="12"/>
  <c r="E32" i="12"/>
  <c r="F32" i="12"/>
  <c r="G32" i="12"/>
  <c r="H32" i="12"/>
  <c r="B32" i="12"/>
  <c r="C31" i="12"/>
  <c r="D31" i="12"/>
  <c r="E31" i="12"/>
  <c r="F31" i="12"/>
  <c r="G31" i="12"/>
  <c r="H31" i="12"/>
  <c r="B31" i="12"/>
  <c r="C30" i="12"/>
  <c r="D30" i="12"/>
  <c r="E30" i="12"/>
  <c r="F30" i="12"/>
  <c r="G30" i="12"/>
  <c r="H30" i="12"/>
  <c r="B30" i="1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B29" i="2" s="1"/>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29" i="2" s="1"/>
  <c r="F53" i="12"/>
  <c r="G13" i="2"/>
  <c r="G29" i="2" s="1"/>
  <c r="G53" i="12"/>
  <c r="D13" i="2"/>
  <c r="D29" i="2" s="1"/>
  <c r="C13" i="2"/>
  <c r="C29" i="2" s="1"/>
  <c r="H13" i="2"/>
  <c r="H29" i="2" s="1"/>
  <c r="E13" i="2"/>
  <c r="E29" i="2" s="1"/>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<sst xmlns="http://schemas.openxmlformats.org/spreadsheetml/2006/main" count="451" uniqueCount="389">
  <si>
    <t>Instrucciones</t>
  </si>
  <si>
    <r>
      <t xml:space="preserve">- Modifica solo las celdas con fondo </t>
    </r>
    <r>
      <rPr>
        <b/>
        <sz val="14"/>
        <color theme="3"/>
        <rFont val="Ebrima"/>
      </rPr>
      <t>AZUL FLOJO</t>
    </r>
    <r>
      <rPr>
        <sz val="12"/>
        <color theme="3"/>
        <rFont val="Ebrima"/>
      </rPr>
      <t xml:space="preserve">. Los datos "clave" para la valoración están marcados con números en </t>
    </r>
    <r>
      <rPr>
        <b/>
        <sz val="14"/>
        <color theme="9" tint="-0.249977111117893"/>
        <rFont val="Ebrima"/>
      </rPr>
      <t>NARANJA</t>
    </r>
    <r>
      <rPr>
        <sz val="12"/>
        <color theme="3"/>
        <rFont val="Ebrima"/>
      </rPr>
      <t xml:space="preserve"> (Hojas 1, 3 y 4)</t>
    </r>
  </si>
  <si>
    <r>
      <t xml:space="preserve">- Introducimos todas las partidas con el </t>
    </r>
    <r>
      <rPr>
        <b/>
        <sz val="12"/>
        <color theme="3"/>
        <rFont val="Ebrima"/>
      </rPr>
      <t>MISMO SIGNO QUE EN TIKR</t>
    </r>
    <r>
      <rPr>
        <sz val="12"/>
        <color theme="3"/>
        <rFont val="Ebrima"/>
      </rPr>
      <t xml:space="preserve"> (Gastos y salidas de caja = números </t>
    </r>
    <r>
      <rPr>
        <sz val="12"/>
        <color rgb="FFFF0000"/>
        <rFont val="Ebrima"/>
      </rPr>
      <t>negativos</t>
    </r>
    <r>
      <rPr>
        <sz val="12"/>
        <color theme="3"/>
        <rFont val="Ebrima"/>
      </rPr>
      <t>; Ingresos y entradas de caja = números positivos)</t>
    </r>
  </si>
  <si>
    <r>
      <t xml:space="preserve">- Opcional: Para que la plantilla obtenga los datos desde </t>
    </r>
    <r>
      <rPr>
        <b/>
        <sz val="14"/>
        <color theme="3"/>
        <rFont val="Ebrima"/>
      </rPr>
      <t>TIKR</t>
    </r>
    <r>
      <rPr>
        <sz val="12"/>
        <color theme="3"/>
        <rFont val="Ebrima"/>
      </rPr>
      <t xml:space="preserve"> debes darle a "Copy Table" de cada estado financiero en TIKR y pegarlos en la celda A1 de las </t>
    </r>
    <r>
      <rPr>
        <b/>
        <sz val="12"/>
        <color theme="3"/>
        <rFont val="Ebrima"/>
      </rPr>
      <t>hojas 6 (IS), 7 (BS) y 8 (CF)</t>
    </r>
  </si>
  <si>
    <r>
      <t xml:space="preserve">- </t>
    </r>
    <r>
      <rPr>
        <b/>
        <sz val="12"/>
        <color theme="3"/>
        <rFont val="Ebrima"/>
      </rPr>
      <t>OJO</t>
    </r>
    <r>
      <rPr>
        <sz val="12"/>
        <color theme="3"/>
        <rFont val="Ebrima"/>
      </rPr>
      <t xml:space="preserve">: Solo es válido para </t>
    </r>
    <r>
      <rPr>
        <b/>
        <sz val="12"/>
        <color theme="3"/>
        <rFont val="Ebrima"/>
      </rPr>
      <t>TIKR en INGLÉS</t>
    </r>
    <r>
      <rPr>
        <sz val="12"/>
        <color theme="3"/>
        <rFont val="Ebrima"/>
      </rPr>
      <t>, y es recomendable pegar los datos con "formato de destino"</t>
    </r>
  </si>
  <si>
    <t>- Si no captura bien los datos, revisa que el separador decimal y de miles de tu aplicación de hoja de cálculo coincida con TIKR. También puedes probar a  ocultar los decimales en TIKR ("Decimals to display": 0) y pegar de nuevo los datos</t>
  </si>
  <si>
    <t>Novedades plantilla 2022 v2</t>
  </si>
  <si>
    <r>
      <t xml:space="preserve">- Cambio </t>
    </r>
    <r>
      <rPr>
        <b/>
        <u/>
        <sz val="12"/>
        <color theme="3"/>
        <rFont val="Ebrima"/>
      </rPr>
      <t>MUY IMPORTANTE</t>
    </r>
    <r>
      <rPr>
        <u/>
        <sz val="12"/>
        <color theme="3"/>
        <rFont val="Ebrima"/>
      </rPr>
      <t xml:space="preserve"> en los </t>
    </r>
    <r>
      <rPr>
        <b/>
        <u/>
        <sz val="12"/>
        <color theme="3"/>
        <rFont val="Ebrima"/>
      </rPr>
      <t>signos</t>
    </r>
    <r>
      <rPr>
        <sz val="12"/>
        <color theme="3"/>
        <rFont val="Ebrima"/>
      </rPr>
      <t xml:space="preserve"> de la plantilla para hacerlos coincidir con el formato de </t>
    </r>
    <r>
      <rPr>
        <b/>
        <sz val="12"/>
        <color theme="3"/>
        <rFont val="Ebrima"/>
      </rPr>
      <t>TIKR</t>
    </r>
    <r>
      <rPr>
        <sz val="12"/>
        <color theme="3"/>
        <rFont val="Ebrima"/>
      </rPr>
      <t xml:space="preserve">. Número </t>
    </r>
    <r>
      <rPr>
        <sz val="12"/>
        <color rgb="FFFF0000"/>
        <rFont val="Ebrima"/>
      </rPr>
      <t>negativo = SALIDA DE CAJA</t>
    </r>
    <r>
      <rPr>
        <sz val="12"/>
        <color theme="3"/>
        <rFont val="Ebrima"/>
      </rPr>
      <t>. Número positivo = ENTRADA DE CAJA</t>
    </r>
  </si>
  <si>
    <r>
      <t xml:space="preserve">- Opcional: La plantilla puede obtener los datos directamente desde los estados financieros de </t>
    </r>
    <r>
      <rPr>
        <b/>
        <sz val="14"/>
        <color theme="3"/>
        <rFont val="Ebrima"/>
      </rPr>
      <t>TIKR</t>
    </r>
    <r>
      <rPr>
        <sz val="14"/>
        <color theme="3"/>
        <rFont val="Ebrima"/>
      </rPr>
      <t xml:space="preserve"> tras pegarlos en las hojas correspondientes</t>
    </r>
  </si>
  <si>
    <t xml:space="preserve">- Mejoras en las estimaciones: </t>
  </si>
  <si>
    <r>
      <t xml:space="preserve">- Hoja </t>
    </r>
    <r>
      <rPr>
        <b/>
        <sz val="12"/>
        <color theme="3"/>
        <rFont val="Ebrima"/>
      </rPr>
      <t>1.IS</t>
    </r>
    <r>
      <rPr>
        <sz val="12"/>
        <color theme="3"/>
        <rFont val="Ebrima"/>
      </rPr>
      <t>: Los gastos en intereses ahora se proyectan a futuro usando como referencia el tipo medio de interés histórico</t>
    </r>
  </si>
  <si>
    <r>
      <t xml:space="preserve">- Hoja </t>
    </r>
    <r>
      <rPr>
        <b/>
        <sz val="12"/>
        <color theme="3"/>
        <rFont val="Ebrima"/>
      </rPr>
      <t>2.FCF</t>
    </r>
    <r>
      <rPr>
        <sz val="12"/>
        <color theme="3"/>
        <rFont val="Ebrima"/>
      </rPr>
      <t>: hemos cambiado los campos de "Usos del FCF" por "Cambio neto en la posición de caja" (Net change in cash), que podemos obtener directamente desde los Cash Flows. Esto evita errores y simplifica el uso de la plantilla</t>
    </r>
  </si>
  <si>
    <r>
      <t xml:space="preserve">- Hoja </t>
    </r>
    <r>
      <rPr>
        <b/>
        <sz val="12"/>
        <color theme="3"/>
        <rFont val="Ebrima"/>
      </rPr>
      <t>3.ROIC</t>
    </r>
    <r>
      <rPr>
        <sz val="12"/>
        <color theme="3"/>
        <rFont val="Ebrima"/>
      </rPr>
      <t>: mejora en la proyección de la deuda, y se ha añadido una estimación de la "</t>
    </r>
    <r>
      <rPr>
        <b/>
        <sz val="12"/>
        <color theme="3"/>
        <rFont val="Ebrima"/>
      </rPr>
      <t>Tasa de reinversión</t>
    </r>
    <r>
      <rPr>
        <sz val="12"/>
        <color theme="3"/>
        <rFont val="Ebrima"/>
      </rPr>
      <t>" histórica</t>
    </r>
  </si>
  <si>
    <r>
      <t xml:space="preserve">- Hoja </t>
    </r>
    <r>
      <rPr>
        <b/>
        <sz val="12"/>
        <color theme="3"/>
        <rFont val="Ebrima"/>
      </rPr>
      <t>4.Valoración</t>
    </r>
    <r>
      <rPr>
        <sz val="12"/>
        <color theme="3"/>
        <rFont val="Ebrima"/>
      </rPr>
      <t>: el ratio Deuda Neta/EBITDA a futuro ahora se basa en la media histórica. Es importante cambiarlo si crees que la compañía reducirá su deuda, o aumentarlo si realizará inversiones significativas</t>
    </r>
  </si>
  <si>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</si>
  <si>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</si>
  <si>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</si>
  <si>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</si>
  <si>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</si>
  <si>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</si>
  <si>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</si>
  <si>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</si>
  <si>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</si>
  <si>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</si>
  <si>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</si>
  <si>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</si>
  <si>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</si>
  <si>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</si>
  <si>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</si>
  <si>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</si>
  <si>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</si>
  <si>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</si>
  <si>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</si>
  <si>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</si>
  <si>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</si>
  <si>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</si>
  <si>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</si>
  <si>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</si>
  <si>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</si>
  <si>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</si>
  <si>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</si>
  <si>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</si>
  <si>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</si>
  <si>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</si>
  <si>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</si>
  <si>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</si>
  <si>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</si>
  <si>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</si>
  <si>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</si>
  <si>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</si>
  <si>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</si>
  <si>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</si>
  <si>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</si>
  <si>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</si>
  <si>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</si>
  <si>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</si>
  <si>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</si>
  <si>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</si>
  <si>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</si>
  <si>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</si>
  <si>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</si>
  <si>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</si>
  <si>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</si>
  <si>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</si>
  <si>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</si>
  <si>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</si>
  <si>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</si>
  <si>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</si>
  <si>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</si>
  <si>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</si>
  <si>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</si>
  <si>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</si>
  <si>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</si>
  <si>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</si>
  <si>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</si>
  <si>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</si>
  <si>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</si>
  <si>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</si>
  <si>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</si>
  <si>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</si>
  <si>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</si>
  <si>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</si>
  <si>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</si>
  <si>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</si>
  <si>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</si>
  <si>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</si>
  <si>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</si>
  <si>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</si>
  <si>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</si>
  <si>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</si>
  <si>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</si>
  <si>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</si>
  <si>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</si>
  <si>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</si>
  <si>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</si>
  <si>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</si>
  <si>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</si>
  <si>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</si>
  <si>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</si>
  <si>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</si>
  <si>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</si>
  <si>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</si>
  <si>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</si>
  <si>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</si>
  <si>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</si>
  <si>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</si>
  <si>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</si>
  <si>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</si>
  <si>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</si>
  <si>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</si>
  <si>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</si>
  <si>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</si>
  <si>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</si>
  <si>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</si>
  <si>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</si>
  <si>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</si>
  <si>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</si>
  <si>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</si>
  <si>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</si>
  <si>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</si>
  <si>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</si>
  <si>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</si>
  <si>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</si>
  <si>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</si>
  <si>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</si>
  <si>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</si>
  <si>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</si>
  <si>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</si>
  <si>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Other Expenses</t>
  </si>
  <si>
    <t>(5,872.00)</t>
  </si>
  <si>
    <t>(6,456.00)</t>
  </si>
  <si>
    <t>Operating Expenses</t>
  </si>
  <si>
    <t>8.00</t>
  </si>
  <si>
    <t>(1,586.00)</t>
  </si>
  <si>
    <t>Operating Income</t>
  </si>
  <si>
    <t>(10,059.00)</t>
  </si>
  <si>
    <t>(10,825.00)</t>
  </si>
  <si>
    <t>401.00</t>
  </si>
  <si>
    <t>1,900.00</t>
  </si>
  <si>
    <t xml:space="preserve">   % Operating Margins</t>
  </si>
  <si>
    <t>(68.3%)</t>
  </si>
  <si>
    <t>373.8%</t>
  </si>
  <si>
    <t>Interest Expense</t>
  </si>
  <si>
    <t>1.8%</t>
  </si>
  <si>
    <t>7.4%</t>
  </si>
  <si>
    <t>Total Other Income/Expenses Net</t>
  </si>
  <si>
    <t>(106.00)</t>
  </si>
  <si>
    <t>(92.00)</t>
  </si>
  <si>
    <t>Earnings Before Tax</t>
  </si>
  <si>
    <t>(9.00)</t>
  </si>
  <si>
    <t>89.00</t>
  </si>
  <si>
    <t>492.00</t>
  </si>
  <si>
    <t>1,989.00</t>
  </si>
  <si>
    <t xml:space="preserve">   % EBT Margins</t>
  </si>
  <si>
    <t>(58.4%)</t>
  </si>
  <si>
    <t>304.3%</t>
  </si>
  <si>
    <t>Income Tax Expense</t>
  </si>
  <si>
    <t>2.2%</t>
  </si>
  <si>
    <t>7.7%</t>
  </si>
  <si>
    <t xml:space="preserve">   Effective Tax Rate %</t>
  </si>
  <si>
    <t>346.00</t>
  </si>
  <si>
    <t>(381.00)</t>
  </si>
  <si>
    <t>(70.3%)</t>
  </si>
  <si>
    <t>19.2%</t>
  </si>
  <si>
    <t>854.00</t>
  </si>
  <si>
    <t>1,641.00</t>
  </si>
  <si>
    <t xml:space="preserve">   % Net Income Margins</t>
  </si>
  <si>
    <t>(35.3%)</t>
  </si>
  <si>
    <t>92.2%</t>
  </si>
  <si>
    <t>Diluted Weighted Average Shares Outstanding</t>
  </si>
  <si>
    <t>3.8%</t>
  </si>
  <si>
    <t>6.4%</t>
  </si>
  <si>
    <t>1,625.00</t>
  </si>
  <si>
    <t>1,637.00</t>
  </si>
  <si>
    <t>EPS Diluted</t>
  </si>
  <si>
    <t>3.4%</t>
  </si>
  <si>
    <t>0.7%</t>
  </si>
  <si>
    <t>0.53</t>
  </si>
  <si>
    <t>1.00</t>
  </si>
  <si>
    <t>Supplementary Data:</t>
  </si>
  <si>
    <t>(36.9%)</t>
  </si>
  <si>
    <t>88.7%</t>
  </si>
  <si>
    <t>Basic EPS</t>
  </si>
  <si>
    <t>Basic Weighted Average Shares Out.</t>
  </si>
  <si>
    <t>(37.6%)</t>
  </si>
  <si>
    <t>90.6%</t>
  </si>
  <si>
    <t>1,614.00</t>
  </si>
  <si>
    <t>1,620.00</t>
  </si>
  <si>
    <t>0.4%</t>
  </si>
  <si>
    <t>4,149.00</t>
  </si>
  <si>
    <t xml:space="preserve">   % EBITDA Margins</t>
  </si>
  <si>
    <t>23.0%</t>
  </si>
  <si>
    <t>(54.2%)</t>
  </si>
  <si>
    <t>Depreciation and Amortization</t>
  </si>
  <si>
    <t>18.3%</t>
  </si>
  <si>
    <t>General and Administrative Expenses</t>
  </si>
  <si>
    <t>3,551.00</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</si>
  <si>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</si>
  <si>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</si>
  <si>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</si>
  <si>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</si>
  <si>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</si>
  <si>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</si>
  <si>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</si>
  <si>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</si>
  <si>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</si>
  <si>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</si>
  <si>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</si>
  <si>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</si>
  <si>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</si>
  <si>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</si>
  <si>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</si>
  <si>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</si>
  <si>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</si>
  <si>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</si>
  <si>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</si>
  <si>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</si>
  <si>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</si>
  <si>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</si>
  <si>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</si>
  <si>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</si>
  <si>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</si>
  <si>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</si>
  <si>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</si>
  <si>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</si>
  <si>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</si>
  <si>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</si>
  <si>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</si>
  <si>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</si>
  <si>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</si>
  <si>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</si>
  <si>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</si>
  <si>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</si>
  <si>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</si>
  <si>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</si>
  <si>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</si>
  <si>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</si>
  <si>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</si>
  <si>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</si>
  <si>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</si>
  <si>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Other Assets</t>
  </si>
  <si>
    <t>67,885.00</t>
  </si>
  <si>
    <t>69,226.00</t>
  </si>
  <si>
    <t>Total Assets</t>
  </si>
  <si>
    <t>751.00</t>
  </si>
  <si>
    <t>Short Term Debt</t>
  </si>
  <si>
    <t>Deferred Revenue</t>
  </si>
  <si>
    <t>544.00</t>
  </si>
  <si>
    <t>Other Current Liabilities</t>
  </si>
  <si>
    <t>3,339.00</t>
  </si>
  <si>
    <t>5,291.00</t>
  </si>
  <si>
    <t>Total Current Liabilities</t>
  </si>
  <si>
    <t>6,689.00</t>
  </si>
  <si>
    <t>7,281.00</t>
  </si>
  <si>
    <t>Long Term Debt</t>
  </si>
  <si>
    <t>2,252.00</t>
  </si>
  <si>
    <t>491.00</t>
  </si>
  <si>
    <t>Deferred Revenue Non Current</t>
  </si>
  <si>
    <t>Other Non Current Liabilities</t>
  </si>
  <si>
    <t>1,850.00</t>
  </si>
  <si>
    <t>3,537.00</t>
  </si>
  <si>
    <t>Total Non Current Liabilities</t>
  </si>
  <si>
    <t>5,304.00</t>
  </si>
  <si>
    <t>4,377.00</t>
  </si>
  <si>
    <t>Other Liabilities</t>
  </si>
  <si>
    <t>11,993.00</t>
  </si>
  <si>
    <t>11,658.00</t>
  </si>
  <si>
    <t>Total Liabilities</t>
  </si>
  <si>
    <t>Common Stock</t>
  </si>
  <si>
    <t>17.00</t>
  </si>
  <si>
    <t>Retained Earnings</t>
  </si>
  <si>
    <t>723.00</t>
  </si>
  <si>
    <t>2,364.00</t>
  </si>
  <si>
    <t>Accumulated Other Comprehensive Income Loss</t>
  </si>
  <si>
    <t>(10.00)</t>
  </si>
  <si>
    <t>(69.00)</t>
  </si>
  <si>
    <t>Other Total Stockholders Equity</t>
  </si>
  <si>
    <t>55,162.00</t>
  </si>
  <si>
    <t>55,256.00</t>
  </si>
  <si>
    <t>Total Stockholders Equity</t>
  </si>
  <si>
    <t>55,892.00</t>
  </si>
  <si>
    <t>57,568.00</t>
  </si>
  <si>
    <t>Total Liabilities And Stockholders Equity</t>
  </si>
  <si>
    <t>Total Debt</t>
  </si>
  <si>
    <t>3,003.00</t>
  </si>
  <si>
    <t>Net Debt</t>
  </si>
  <si>
    <t>(930.00)</t>
  </si>
  <si>
    <t>(3,296.00)</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</si>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</sst>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6" formatCode="#,##0.0"/>
    <numFmt numFmtId="167" formatCode="#,##0;[Red]\(#,##0\)"/>
    <numFmt numFmtId="168" formatCode="#,##0.00;[Red]\(#,##0.00\)"/>
    <numFmt numFmtId="169" formatCode="0.0%"/>
    <numFmt numFmtId="170" formatCode="#,##0.0;\(#,##0.0\)"/>
    <numFmt numFmtId="171" formatCode="#,##0;\(#,##0\)"/>
    <numFmt numFmtId="172" formatCode="0.00_);\(0.00\)"/>
  </numFmts>
  <fonts count="28">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sz val="14"/>
      <color theme="3"/>
      <name val="Ebrima"/>
    </font>
    <font>
      <b/>
      <sz val="14"/>
      <color theme="9" tint="-0.24997711111789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
      <b/>
      <sz val="16"/>
      <color theme="0"/>
      <name val="Ebrima"/>
    </font>
    <font>
      <b/>
      <u/>
      <sz val="12"/>
      <color theme="3"/>
      <name val="Ebrima"/>
    </font>
    <font>
      <u/>
      <sz val="12"/>
      <color theme="3"/>
      <name val="Ebrima"/>
    </font>
    <font>
      <sz val="14"/>
      <color theme="3"/>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9">
    <border>
      <left/>
      <right/>
      <top/>
      <bottom/>
      <diagonal/>
    </border>
    <border>
      <left/>
      <right/>
      <top style="thin">
        <color theme="4"/>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71">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2"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4"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5"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8" xfId="1" applyFont="1" applyFill="1" applyBorder="1" applyAlignment="1">
      <alignment horizontal="center" vertical="center"/>
    </xf>
    <xf numFmtId="0" fontId="8" fillId="4" borderId="11" xfId="0" applyFont="1" applyFill="1" applyBorder="1" applyAlignment="1">
      <alignment horizontal="left" vertical="center" indent="1"/>
    </xf>
    <xf numFmtId="0" fontId="8" fillId="4" borderId="12" xfId="0" applyFont="1" applyFill="1" applyBorder="1" applyAlignment="1">
      <alignment horizontal="center" vertical="center"/>
    </xf>
    <xf numFmtId="0" fontId="8" fillId="5" borderId="12" xfId="0" applyFont="1" applyFill="1" applyBorder="1" applyAlignment="1">
      <alignment horizontal="center" vertical="center"/>
    </xf>
    <xf numFmtId="0" fontId="10" fillId="0" borderId="7" xfId="0" applyFont="1" applyBorder="1" applyAlignment="1">
      <alignment horizontal="left" vertical="center" indent="1"/>
    </xf>
    <xf numFmtId="9" fontId="10" fillId="0" borderId="0" xfId="1" applyFont="1" applyFill="1" applyBorder="1" applyAlignment="1">
      <alignment horizontal="center" vertical="center"/>
    </xf>
    <xf numFmtId="0" fontId="8" fillId="4" borderId="16" xfId="0" applyFont="1" applyFill="1" applyBorder="1" applyAlignment="1">
      <alignment horizontal="center" vertical="center"/>
    </xf>
    <xf numFmtId="0" fontId="10" fillId="0" borderId="0" xfId="0" applyFont="1" applyBorder="1" applyAlignment="1">
      <alignment horizontal="center" vertical="center"/>
    </xf>
    <xf numFmtId="0" fontId="8" fillId="5" borderId="13"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14" fillId="6" borderId="14" xfId="0" applyFont="1" applyFill="1" applyBorder="1" applyAlignment="1">
      <alignment vertical="center"/>
    </xf>
    <xf numFmtId="0" fontId="14" fillId="3" borderId="14" xfId="0" applyFont="1" applyFill="1" applyBorder="1" applyAlignment="1">
      <alignment vertical="center"/>
    </xf>
    <xf numFmtId="0" fontId="14" fillId="3" borderId="15" xfId="0" applyFont="1" applyFill="1" applyBorder="1" applyAlignment="1">
      <alignment vertical="center"/>
    </xf>
    <xf numFmtId="0" fontId="8" fillId="4" borderId="10"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6"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21" fillId="0" borderId="0" xfId="0" applyFont="1"/>
    <xf numFmtId="14" fontId="21" fillId="0" borderId="0" xfId="0" applyNumberFormat="1" applyFont="1" applyAlignment="1">
      <alignment horizontal="center"/>
    </xf>
    <xf numFmtId="0" fontId="21" fillId="8" borderId="0" xfId="0" applyFont="1" applyFill="1" applyProtection="1"/>
    <xf numFmtId="0" fontId="0" fillId="0" borderId="0" xfId="0" applyProtection="1"/>
    <xf numFmtId="0" fontId="21" fillId="0" borderId="0" xfId="0" applyFont="1" applyProtection="1">
      <protection locked="0"/>
    </xf>
    <xf numFmtId="14" fontId="21"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21" fillId="8" borderId="0" xfId="0" applyFont="1" applyFill="1" applyAlignment="1" applyProtection="1">
      <alignment horizontal="center"/>
    </xf>
    <xf numFmtId="0" fontId="21" fillId="0" borderId="0" xfId="0" applyFont="1" applyProtection="1"/>
    <xf numFmtId="0" fontId="21" fillId="0" borderId="0" xfId="0" applyFont="1" applyFill="1" applyAlignment="1" applyProtection="1">
      <alignment horizontal="center"/>
    </xf>
    <xf numFmtId="167" fontId="9" fillId="2" borderId="0" xfId="0"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2" xfId="0" applyNumberFormat="1" applyFont="1" applyFill="1" applyBorder="1" applyAlignment="1">
      <alignment horizontal="center" vertical="center"/>
    </xf>
    <xf numFmtId="168" fontId="10" fillId="2" borderId="0" xfId="0" applyNumberFormat="1" applyFont="1" applyFill="1" applyBorder="1" applyAlignment="1">
      <alignment horizontal="center" vertical="center"/>
    </xf>
    <xf numFmtId="168" fontId="10" fillId="2" borderId="2" xfId="0" applyNumberFormat="1" applyFont="1" applyFill="1" applyBorder="1" applyAlignment="1">
      <alignment horizontal="center" vertical="center"/>
    </xf>
    <xf numFmtId="167" fontId="10" fillId="0" borderId="0" xfId="0" applyNumberFormat="1" applyFont="1" applyBorder="1" applyAlignment="1">
      <alignment horizontal="center" vertical="center"/>
    </xf>
    <xf numFmtId="167" fontId="10" fillId="0" borderId="0" xfId="0" applyNumberFormat="1" applyFont="1" applyFill="1" applyBorder="1" applyAlignment="1">
      <alignment horizontal="center" vertical="center"/>
    </xf>
    <xf numFmtId="167" fontId="9" fillId="0" borderId="0" xfId="0" applyNumberFormat="1" applyFont="1" applyBorder="1" applyAlignment="1">
      <alignment horizontal="center" vertical="center"/>
    </xf>
    <xf numFmtId="167" fontId="10" fillId="2" borderId="0" xfId="1" applyNumberFormat="1" applyFont="1" applyFill="1" applyBorder="1" applyAlignment="1">
      <alignment horizontal="center" vertical="center"/>
    </xf>
    <xf numFmtId="168" fontId="10" fillId="2" borderId="0" xfId="1" applyNumberFormat="1" applyFont="1" applyFill="1" applyBorder="1" applyAlignment="1">
      <alignment horizontal="center" vertical="center"/>
    </xf>
    <xf numFmtId="168" fontId="10" fillId="2" borderId="9" xfId="1" applyNumberFormat="1" applyFont="1" applyFill="1" applyBorder="1" applyAlignment="1">
      <alignment horizontal="center" vertical="center"/>
    </xf>
    <xf numFmtId="168" fontId="10" fillId="2" borderId="5" xfId="1"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2" borderId="0" xfId="0" applyNumberFormat="1" applyFont="1" applyFill="1" applyAlignment="1">
      <alignment horizontal="center" vertical="center"/>
    </xf>
    <xf numFmtId="167" fontId="10" fillId="2" borderId="3" xfId="0"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7" fontId="10" fillId="2" borderId="6" xfId="1" applyNumberFormat="1" applyFont="1" applyFill="1" applyBorder="1" applyAlignment="1">
      <alignment horizontal="center" vertical="center"/>
    </xf>
    <xf numFmtId="14" fontId="21"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0" borderId="0" xfId="0" quotePrefix="1" applyFont="1" applyAlignment="1">
      <alignment horizontal="left" vertical="center" indent="1"/>
    </xf>
    <xf numFmtId="0" fontId="10" fillId="0" borderId="0" xfId="0" quotePrefix="1" applyFont="1" applyAlignment="1">
      <alignment horizontal="left" vertical="center" indent="3"/>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6"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7" xfId="0" applyFont="1" applyFill="1" applyBorder="1" applyAlignment="1">
      <alignment horizontal="left" vertical="center" indent="3"/>
    </xf>
    <xf numFmtId="3" fontId="9" fillId="6" borderId="5" xfId="0" applyNumberFormat="1" applyFont="1" applyFill="1" applyBorder="1" applyAlignment="1">
      <alignment horizontal="center" vertical="center"/>
    </xf>
    <xf numFmtId="9" fontId="10" fillId="2" borderId="5" xfId="1" applyFont="1" applyFill="1" applyBorder="1" applyAlignment="1">
      <alignment horizontal="center" vertical="center"/>
    </xf>
    <xf numFmtId="167" fontId="9" fillId="2" borderId="5" xfId="0" applyNumberFormat="1" applyFont="1" applyFill="1" applyBorder="1" applyAlignment="1">
      <alignment horizontal="center" vertical="center"/>
    </xf>
    <xf numFmtId="167" fontId="10" fillId="6" borderId="5" xfId="0" applyNumberFormat="1" applyFont="1" applyFill="1" applyBorder="1" applyAlignment="1">
      <alignment horizontal="center" vertical="center"/>
    </xf>
    <xf numFmtId="167" fontId="9" fillId="6" borderId="5" xfId="0" applyNumberFormat="1" applyFont="1" applyFill="1" applyBorder="1" applyAlignment="1">
      <alignment horizontal="center" vertical="center"/>
    </xf>
    <xf numFmtId="167" fontId="10" fillId="2" borderId="5" xfId="0" applyNumberFormat="1" applyFont="1" applyFill="1" applyBorder="1" applyAlignment="1">
      <alignment horizontal="center" vertical="center"/>
    </xf>
    <xf numFmtId="168" fontId="10" fillId="2" borderId="5" xfId="0" applyNumberFormat="1" applyFont="1" applyFill="1" applyBorder="1" applyAlignment="1">
      <alignment horizontal="center" vertical="center"/>
    </xf>
    <xf numFmtId="3" fontId="10" fillId="6" borderId="5"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9" xfId="0" applyNumberFormat="1" applyFont="1" applyFill="1" applyBorder="1" applyAlignment="1">
      <alignment horizontal="center" vertical="center"/>
    </xf>
    <xf numFmtId="9" fontId="10" fillId="2" borderId="9" xfId="1" applyFont="1" applyFill="1" applyBorder="1" applyAlignment="1">
      <alignment horizontal="center" vertical="center"/>
    </xf>
    <xf numFmtId="0" fontId="9" fillId="2" borderId="0" xfId="0" applyFont="1" applyFill="1" applyBorder="1" applyAlignment="1">
      <alignment horizontal="left" vertical="center" indent="1"/>
    </xf>
    <xf numFmtId="167" fontId="9" fillId="2" borderId="9"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7" fontId="10" fillId="2" borderId="9" xfId="0" applyNumberFormat="1" applyFont="1" applyFill="1" applyBorder="1" applyAlignment="1">
      <alignment horizontal="center" vertical="center"/>
    </xf>
    <xf numFmtId="168" fontId="10" fillId="2" borderId="9" xfId="0" applyNumberFormat="1" applyFont="1" applyFill="1" applyBorder="1" applyAlignment="1">
      <alignment horizontal="center" vertical="center"/>
    </xf>
    <xf numFmtId="3" fontId="10" fillId="2" borderId="9" xfId="0" applyNumberFormat="1" applyFont="1" applyFill="1" applyBorder="1" applyAlignment="1">
      <alignment horizontal="center" vertical="center"/>
    </xf>
    <xf numFmtId="9" fontId="10" fillId="2" borderId="6" xfId="1" applyFont="1" applyFill="1" applyBorder="1" applyAlignment="1">
      <alignment horizontal="center" vertical="center"/>
    </xf>
    <xf numFmtId="9" fontId="10" fillId="2" borderId="4" xfId="1" applyFont="1" applyFill="1" applyBorder="1" applyAlignment="1">
      <alignment horizontal="center" vertical="center"/>
    </xf>
    <xf numFmtId="9" fontId="10" fillId="2" borderId="18" xfId="1" applyFont="1" applyFill="1" applyBorder="1" applyAlignment="1">
      <alignment horizontal="center" vertical="center"/>
    </xf>
    <xf numFmtId="9" fontId="10" fillId="2" borderId="21" xfId="1" applyFont="1" applyFill="1" applyBorder="1" applyAlignment="1">
      <alignment horizontal="center" vertical="center"/>
    </xf>
    <xf numFmtId="167" fontId="10" fillId="0" borderId="5" xfId="0" applyNumberFormat="1" applyFont="1" applyBorder="1" applyAlignment="1">
      <alignment horizontal="center" vertical="center"/>
    </xf>
    <xf numFmtId="167" fontId="10" fillId="0" borderId="5" xfId="0" applyNumberFormat="1" applyFont="1" applyFill="1" applyBorder="1" applyAlignment="1">
      <alignment horizontal="center" vertical="center"/>
    </xf>
    <xf numFmtId="167" fontId="9" fillId="0" borderId="5" xfId="0" applyNumberFormat="1" applyFont="1" applyBorder="1" applyAlignment="1">
      <alignment horizontal="center" vertical="center"/>
    </xf>
    <xf numFmtId="9" fontId="10" fillId="0" borderId="5" xfId="1" applyFont="1" applyBorder="1" applyAlignment="1">
      <alignment horizontal="center" vertical="center"/>
    </xf>
    <xf numFmtId="3" fontId="10" fillId="0" borderId="5" xfId="0" applyNumberFormat="1" applyFont="1" applyBorder="1" applyAlignment="1">
      <alignment horizontal="center" vertical="center"/>
    </xf>
    <xf numFmtId="167" fontId="10" fillId="0" borderId="9" xfId="0" applyNumberFormat="1" applyFont="1" applyBorder="1" applyAlignment="1">
      <alignment horizontal="center" vertical="center"/>
    </xf>
    <xf numFmtId="0" fontId="10" fillId="6" borderId="0" xfId="0" applyFont="1" applyFill="1" applyBorder="1" applyAlignment="1">
      <alignment horizontal="left" vertical="center" indent="4"/>
    </xf>
    <xf numFmtId="167" fontId="10" fillId="0" borderId="9"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7" fontId="9" fillId="0" borderId="9"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9" xfId="1" applyFont="1" applyBorder="1" applyAlignment="1">
      <alignment horizontal="center" vertical="center"/>
    </xf>
    <xf numFmtId="167" fontId="9" fillId="2" borderId="6" xfId="1" applyNumberFormat="1" applyFont="1" applyFill="1" applyBorder="1" applyAlignment="1">
      <alignment horizontal="center" vertical="center"/>
    </xf>
    <xf numFmtId="9" fontId="10" fillId="2" borderId="4" xfId="1" applyNumberFormat="1" applyFont="1" applyFill="1" applyBorder="1" applyAlignment="1">
      <alignment horizontal="center" vertical="center"/>
    </xf>
    <xf numFmtId="9" fontId="10" fillId="2" borderId="6" xfId="1" applyNumberFormat="1" applyFont="1" applyFill="1" applyBorder="1" applyAlignment="1">
      <alignment horizontal="center" vertical="center"/>
    </xf>
    <xf numFmtId="9" fontId="9" fillId="0" borderId="22" xfId="1" applyFont="1" applyBorder="1" applyAlignment="1">
      <alignment horizontal="center" vertical="center"/>
    </xf>
    <xf numFmtId="9" fontId="9" fillId="2" borderId="23" xfId="1" applyNumberFormat="1" applyFont="1" applyFill="1" applyBorder="1" applyAlignment="1">
      <alignment horizontal="center" vertical="center"/>
    </xf>
    <xf numFmtId="0" fontId="10" fillId="0" borderId="20" xfId="0" applyFont="1" applyBorder="1" applyAlignment="1">
      <alignment horizontal="left" vertical="center" indent="1"/>
    </xf>
    <xf numFmtId="167" fontId="10" fillId="0" borderId="4" xfId="0" applyNumberFormat="1" applyFont="1" applyBorder="1" applyAlignment="1">
      <alignment horizontal="center" vertical="center"/>
    </xf>
    <xf numFmtId="167" fontId="10" fillId="2" borderId="4" xfId="0" applyNumberFormat="1" applyFont="1" applyFill="1" applyBorder="1" applyAlignment="1">
      <alignment horizontal="center" vertical="center"/>
    </xf>
    <xf numFmtId="167" fontId="10" fillId="2" borderId="21" xfId="0" applyNumberFormat="1" applyFont="1" applyFill="1" applyBorder="1" applyAlignment="1">
      <alignment horizontal="center" vertical="center"/>
    </xf>
    <xf numFmtId="9" fontId="10" fillId="0" borderId="4" xfId="1" applyFont="1" applyBorder="1" applyAlignment="1">
      <alignment horizontal="center" vertical="center"/>
    </xf>
    <xf numFmtId="167" fontId="10" fillId="0" borderId="4" xfId="0" applyNumberFormat="1" applyFont="1" applyFill="1" applyBorder="1" applyAlignment="1">
      <alignment horizontal="center" vertical="center"/>
    </xf>
    <xf numFmtId="167" fontId="10" fillId="2" borderId="6" xfId="0" applyNumberFormat="1" applyFont="1" applyFill="1" applyBorder="1" applyAlignment="1">
      <alignment horizontal="center" vertical="center"/>
    </xf>
    <xf numFmtId="167" fontId="10" fillId="0" borderId="6" xfId="0" applyNumberFormat="1" applyFont="1" applyBorder="1" applyAlignment="1">
      <alignment horizontal="center" vertical="center"/>
    </xf>
    <xf numFmtId="9" fontId="10" fillId="0" borderId="6" xfId="1" applyFont="1" applyBorder="1" applyAlignment="1">
      <alignment horizontal="center" vertical="center"/>
    </xf>
    <xf numFmtId="9" fontId="9" fillId="0" borderId="23"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20" xfId="0" applyFont="1" applyFill="1" applyBorder="1" applyAlignment="1">
      <alignment horizontal="left" vertical="center" indent="1"/>
    </xf>
    <xf numFmtId="164" fontId="10" fillId="0" borderId="5" xfId="1" applyNumberFormat="1" applyFont="1" applyBorder="1" applyAlignment="1">
      <alignment horizontal="center" vertical="center"/>
    </xf>
    <xf numFmtId="167" fontId="10" fillId="0" borderId="21" xfId="0" applyNumberFormat="1" applyFont="1" applyBorder="1" applyAlignment="1">
      <alignment horizontal="center" vertical="center"/>
    </xf>
    <xf numFmtId="4" fontId="9" fillId="2" borderId="22" xfId="1" applyNumberFormat="1" applyFont="1" applyFill="1" applyBorder="1" applyAlignment="1">
      <alignment horizontal="center" vertical="center"/>
    </xf>
    <xf numFmtId="9" fontId="10" fillId="0" borderId="22" xfId="1" applyFont="1" applyBorder="1" applyAlignment="1">
      <alignment horizontal="center" vertical="center"/>
    </xf>
    <xf numFmtId="0" fontId="10" fillId="2" borderId="7" xfId="0" applyFont="1" applyFill="1" applyBorder="1" applyAlignment="1">
      <alignment horizontal="left" vertical="center" indent="1"/>
    </xf>
    <xf numFmtId="166"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7" xfId="0" applyFont="1" applyFill="1" applyBorder="1" applyAlignment="1">
      <alignment horizontal="left" vertical="center" indent="1"/>
    </xf>
    <xf numFmtId="4" fontId="9" fillId="0" borderId="28" xfId="0" applyNumberFormat="1" applyFont="1" applyBorder="1" applyAlignment="1">
      <alignment horizontal="center" vertical="center"/>
    </xf>
    <xf numFmtId="4" fontId="9" fillId="2" borderId="29" xfId="1" applyNumberFormat="1" applyFont="1" applyFill="1" applyBorder="1" applyAlignment="1">
      <alignment horizontal="center" vertical="center"/>
    </xf>
    <xf numFmtId="0" fontId="9" fillId="2" borderId="28" xfId="0" applyFont="1" applyFill="1" applyBorder="1" applyAlignment="1">
      <alignment horizontal="left" vertical="center" indent="1"/>
    </xf>
    <xf numFmtId="9" fontId="9" fillId="0" borderId="29" xfId="1" applyFont="1" applyBorder="1" applyAlignment="1">
      <alignment horizontal="center" vertical="center"/>
    </xf>
    <xf numFmtId="166" fontId="9" fillId="0" borderId="28" xfId="0" applyNumberFormat="1" applyFont="1" applyBorder="1" applyAlignment="1">
      <alignment horizontal="center" vertical="center"/>
    </xf>
    <xf numFmtId="9" fontId="0" fillId="0" borderId="0" xfId="1" applyFont="1" applyAlignment="1">
      <alignment horizontal="center"/>
    </xf>
    <xf numFmtId="164" fontId="10" fillId="0" borderId="4" xfId="0" applyNumberFormat="1" applyFont="1" applyBorder="1" applyAlignment="1">
      <alignment horizontal="center" vertical="center"/>
    </xf>
    <xf numFmtId="166" fontId="10" fillId="2" borderId="4" xfId="1" applyNumberFormat="1" applyFont="1" applyFill="1" applyBorder="1" applyAlignment="1">
      <alignment horizontal="center" vertical="center"/>
    </xf>
    <xf numFmtId="0" fontId="16" fillId="8" borderId="4" xfId="0" applyFont="1" applyFill="1" applyBorder="1" applyAlignment="1">
      <alignment horizontal="left" vertical="center" indent="2"/>
    </xf>
    <xf numFmtId="0" fontId="16" fillId="8" borderId="4" xfId="0" applyFont="1" applyFill="1" applyBorder="1" applyAlignment="1">
      <alignment horizontal="left" vertical="center" indent="1"/>
    </xf>
    <xf numFmtId="9" fontId="16" fillId="0" borderId="23" xfId="1" applyFont="1" applyBorder="1" applyAlignment="1">
      <alignment horizontal="center" vertical="center"/>
    </xf>
    <xf numFmtId="0" fontId="21"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4" xfId="0" applyFont="1" applyFill="1" applyBorder="1" applyAlignment="1">
      <alignment horizontal="left" vertical="center" indent="1"/>
    </xf>
    <xf numFmtId="9" fontId="9" fillId="0" borderId="0" xfId="1" applyFont="1" applyBorder="1" applyAlignment="1">
      <alignment horizontal="center" vertical="center"/>
    </xf>
    <xf numFmtId="0" fontId="9" fillId="0" borderId="20" xfId="0" applyFont="1" applyBorder="1" applyAlignment="1">
      <alignment horizontal="left" vertical="center" indent="1"/>
    </xf>
    <xf numFmtId="167" fontId="7" fillId="0" borderId="0" xfId="0" applyNumberFormat="1" applyFont="1" applyAlignment="1">
      <alignment horizontal="center"/>
    </xf>
    <xf numFmtId="9" fontId="7" fillId="0" borderId="0" xfId="0" applyNumberFormat="1" applyFont="1" applyBorder="1" applyAlignment="1">
      <alignment horizontal="center"/>
    </xf>
    <xf numFmtId="169" fontId="7" fillId="0" borderId="0" xfId="0" applyNumberFormat="1" applyFont="1" applyBorder="1" applyAlignment="1">
      <alignment horizontal="center"/>
    </xf>
    <xf numFmtId="9" fontId="9" fillId="0" borderId="5" xfId="1" applyFont="1" applyBorder="1" applyAlignment="1">
      <alignment horizontal="center" vertical="center"/>
    </xf>
    <xf numFmtId="0" fontId="0" fillId="0" borderId="19" xfId="0" applyFont="1" applyBorder="1"/>
    <xf numFmtId="0" fontId="0" fillId="0" borderId="0" xfId="0" applyFont="1" applyProtection="1"/>
    <xf numFmtId="0" fontId="0" fillId="0" borderId="19"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5"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9" fontId="0" fillId="0" borderId="0" xfId="0" applyNumberFormat="1" applyFont="1" applyAlignment="1">
      <alignment horizontal="center" vertical="center"/>
    </xf>
    <xf numFmtId="169" fontId="0" fillId="0" borderId="5"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5" xfId="0" applyFont="1" applyBorder="1" applyAlignment="1">
      <alignment horizontal="center" vertical="center"/>
    </xf>
    <xf numFmtId="9" fontId="0" fillId="0" borderId="0" xfId="1" applyFont="1" applyAlignment="1">
      <alignment horizontal="center" vertical="center"/>
    </xf>
    <xf numFmtId="9" fontId="9" fillId="2" borderId="9" xfId="1" applyNumberFormat="1" applyFont="1" applyFill="1" applyBorder="1" applyAlignment="1">
      <alignment horizontal="center" vertical="center"/>
    </xf>
    <xf numFmtId="9" fontId="9" fillId="2" borderId="21"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4" xfId="0" applyFont="1" applyBorder="1" applyAlignment="1">
      <alignment horizontal="left" vertical="center" indent="1"/>
    </xf>
    <xf numFmtId="9" fontId="9" fillId="0" borderId="6"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9" fillId="8" borderId="22" xfId="1" applyNumberFormat="1" applyFont="1" applyFill="1" applyBorder="1" applyAlignment="1">
      <alignment horizontal="center" vertical="center"/>
    </xf>
    <xf numFmtId="9" fontId="16" fillId="8" borderId="4" xfId="1" applyFont="1" applyFill="1" applyBorder="1" applyAlignment="1">
      <alignment horizontal="center" vertical="center"/>
    </xf>
    <xf numFmtId="9" fontId="19" fillId="8" borderId="23" xfId="1" applyFont="1" applyFill="1" applyBorder="1" applyAlignment="1">
      <alignment horizontal="center" vertical="center"/>
    </xf>
    <xf numFmtId="0" fontId="24" fillId="4" borderId="1" xfId="0" applyFont="1" applyFill="1" applyBorder="1" applyAlignment="1">
      <alignment horizontal="left" vertical="center" indent="1"/>
    </xf>
    <xf numFmtId="0" fontId="9" fillId="0" borderId="7" xfId="0" applyFont="1" applyBorder="1" applyAlignment="1">
      <alignment horizontal="left" vertical="center" indent="1"/>
    </xf>
    <xf numFmtId="0" fontId="0" fillId="0" borderId="0" xfId="0" applyAlignment="1">
      <alignment horizontal="left" vertical="center" indent="3"/>
    </xf>
    <xf numFmtId="4" fontId="13" fillId="6" borderId="30" xfId="1" applyNumberFormat="1" applyFont="1" applyFill="1" applyBorder="1" applyAlignment="1">
      <alignment horizontal="center" vertical="center"/>
    </xf>
    <xf numFmtId="0" fontId="8" fillId="5" borderId="31" xfId="0" applyFont="1" applyFill="1" applyBorder="1" applyAlignment="1">
      <alignment horizontal="center" vertical="center" wrapText="1"/>
    </xf>
    <xf numFmtId="9" fontId="13" fillId="6" borderId="32" xfId="1" applyFont="1" applyFill="1" applyBorder="1" applyAlignment="1">
      <alignment horizontal="center" vertical="center"/>
    </xf>
    <xf numFmtId="9" fontId="13" fillId="3" borderId="33" xfId="1" applyFont="1" applyFill="1" applyBorder="1" applyAlignment="1">
      <alignment horizontal="center" vertical="center"/>
    </xf>
    <xf numFmtId="171" fontId="13" fillId="6" borderId="34" xfId="1" applyNumberFormat="1" applyFont="1" applyFill="1" applyBorder="1" applyAlignment="1">
      <alignment horizontal="center" vertical="center"/>
    </xf>
    <xf numFmtId="171" fontId="13" fillId="6" borderId="35" xfId="0" applyNumberFormat="1" applyFont="1" applyFill="1" applyBorder="1" applyAlignment="1">
      <alignment horizontal="center" vertical="center"/>
    </xf>
    <xf numFmtId="171" fontId="13" fillId="6" borderId="36" xfId="0" applyNumberFormat="1" applyFont="1" applyFill="1" applyBorder="1" applyAlignment="1">
      <alignment horizontal="center" vertical="center"/>
    </xf>
    <xf numFmtId="0" fontId="8" fillId="5" borderId="37" xfId="0" applyFont="1" applyFill="1" applyBorder="1" applyAlignment="1">
      <alignment horizontal="center" vertical="center" wrapText="1"/>
    </xf>
    <xf numFmtId="166" fontId="20" fillId="6" borderId="32" xfId="1" applyNumberFormat="1" applyFont="1" applyFill="1" applyBorder="1" applyAlignment="1">
      <alignment horizontal="center" vertical="center"/>
    </xf>
    <xf numFmtId="166" fontId="20" fillId="6" borderId="38" xfId="0" applyNumberFormat="1" applyFont="1" applyFill="1" applyBorder="1" applyAlignment="1">
      <alignment horizontal="center" vertical="center"/>
    </xf>
    <xf numFmtId="166" fontId="20" fillId="6" borderId="33" xfId="1" applyNumberFormat="1" applyFont="1" applyFill="1" applyBorder="1" applyAlignment="1">
      <alignment horizontal="center" vertical="center"/>
    </xf>
    <xf numFmtId="170" fontId="13" fillId="9" borderId="34" xfId="0" applyNumberFormat="1" applyFont="1" applyFill="1" applyBorder="1" applyAlignment="1">
      <alignment horizontal="center" vertical="center"/>
    </xf>
    <xf numFmtId="170" fontId="13" fillId="9" borderId="35" xfId="0" applyNumberFormat="1" applyFont="1" applyFill="1" applyBorder="1" applyAlignment="1">
      <alignment horizontal="center" vertical="center"/>
    </xf>
    <xf numFmtId="170" fontId="13" fillId="9" borderId="36" xfId="0" applyNumberFormat="1" applyFont="1" applyFill="1" applyBorder="1" applyAlignment="1">
      <alignment horizontal="center" vertical="center"/>
    </xf>
    <xf numFmtId="4" fontId="0" fillId="0" borderId="0" xfId="0" applyNumberFormat="1" applyFont="1"/>
    <xf numFmtId="14" fontId="21" fillId="0" borderId="0" xfId="0" applyNumberFormat="1" applyFont="1" applyProtection="1">
      <protection locked="0"/>
    </xf>
    <xf numFmtId="3" fontId="0" fillId="0" borderId="0" xfId="0" applyNumberFormat="1" applyFont="1"/>
    <xf numFmtId="0" fontId="0" fillId="0" borderId="0" xfId="0" applyNumberFormat="1" applyFont="1"/>
    <xf numFmtId="172"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9" xfId="0" applyNumberFormat="1" applyFont="1" applyBorder="1" applyAlignment="1" applyProtection="1">
      <alignment horizontal="center"/>
    </xf>
    <xf numFmtId="39" fontId="0" fillId="0" borderId="0" xfId="0" applyNumberFormat="1" applyFont="1" applyAlignment="1" applyProtection="1">
      <alignment horizontal="center"/>
    </xf>
    <xf numFmtId="39" fontId="21" fillId="0" borderId="0" xfId="0" applyNumberFormat="1" applyFont="1" applyAlignment="1" applyProtection="1">
      <alignment horizontal="center"/>
    </xf>
    <xf numFmtId="39" fontId="0" fillId="0" borderId="0" xfId="0" applyNumberFormat="1" applyFont="1" applyAlignment="1">
      <alignment horizontal="center"/>
    </xf>
    <xf numFmtId="39" fontId="0" fillId="0" borderId="19" xfId="0" applyNumberFormat="1" applyFont="1" applyBorder="1" applyAlignment="1">
      <alignment horizontal="center"/>
    </xf>
    <xf numFmtId="39" fontId="21" fillId="0" borderId="0" xfId="0" applyNumberFormat="1" applyFont="1" applyAlignment="1">
      <alignment horizontal="center"/>
    </xf>
    <xf numFmtId="167" fontId="10" fillId="6" borderId="5" xfId="0" applyNumberFormat="1" applyFont="1" applyFill="1" applyBorder="1" applyAlignment="1">
      <alignment horizontal="center" vertical="center" wrapText="1"/>
    </xf>
    <xf numFmtId="10" fontId="0" fillId="0" borderId="0" xfId="0" applyNumberFormat="1" applyAlignment="1">
      <alignment horizontal="center"/>
    </xf>
    <xf numFmtId="0" fontId="21"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21" fillId="0" borderId="0" xfId="0" applyNumberFormat="1" applyFont="1" applyAlignment="1" applyProtection="1">
      <alignment wrapText="1"/>
      <protection locked="0"/>
    </xf>
    <xf numFmtId="14" fontId="21"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9" fillId="6" borderId="26"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7CDC-1735-4D2B-9DFA-DC9FA9A30865}">
  <dimension ref="A1:O26"/>
  <sheetViews>
    <sheetView showGridLines="0" zoomScale="85" zoomScaleNormal="85" workbookViewId="0"/>
  </sheetViews>
  <sheetFormatPr defaultColWidth="0" defaultRowHeight="15" zeroHeight="1"/>
  <cols>
    <col min="1" max="1" width="4.28515625" customWidth="1"/>
    <col min="2" max="2" width="246.42578125" customWidth="1"/>
    <col min="3" max="3" width="13.42578125" customWidth="1"/>
    <col min="4" max="15" width="0" hidden="1" customWidth="1"/>
    <col min="16" max="16384" width="11.42578125" hidden="1"/>
  </cols>
  <sheetData>
    <row r="1" spans="2:2" ht="87" customHeight="1"/>
    <row r="2" spans="2:2" ht="25.5">
      <c r="B2" s="226" t="s">
        <v>0</v>
      </c>
    </row>
    <row r="3" spans="2:2" ht="9.9499999999999993" customHeight="1">
      <c r="B3" s="22"/>
    </row>
    <row r="4" spans="2:2" ht="20.25">
      <c r="B4" s="102" t="s">
        <v>1</v>
      </c>
    </row>
    <row r="5" spans="2:2" ht="9.9499999999999993" customHeight="1">
      <c r="B5" s="102"/>
    </row>
    <row r="6" spans="2:2" ht="17.25">
      <c r="B6" s="102" t="s">
        <v>2</v>
      </c>
    </row>
    <row r="7" spans="2:2" ht="9.9499999999999993" customHeight="1">
      <c r="B7" s="102"/>
    </row>
    <row r="8" spans="2:2" ht="20.25">
      <c r="B8" s="102" t="s">
        <v>3</v>
      </c>
    </row>
    <row r="9" spans="2:2" ht="9.9499999999999993" customHeight="1">
      <c r="B9" s="102"/>
    </row>
    <row r="10" spans="2:2" ht="17.25">
      <c r="B10" s="103" t="s">
        <v>4</v>
      </c>
    </row>
    <row r="11" spans="2:2" ht="9.9499999999999993" customHeight="1">
      <c r="B11" s="103"/>
    </row>
    <row r="12" spans="2:2" ht="17.25">
      <c r="B12" s="103" t="s">
        <v>5</v>
      </c>
    </row>
    <row r="13" spans="2:2" ht="17.25">
      <c r="B13" s="37"/>
    </row>
    <row r="14" spans="2:2" ht="25.5">
      <c r="B14" s="226" t="s">
        <v>6</v>
      </c>
    </row>
    <row r="15" spans="2:2" ht="9.9499999999999993" customHeight="1">
      <c r="B15" s="37"/>
    </row>
    <row r="16" spans="2:2" ht="17.25">
      <c r="B16" s="37" t="s">
        <v>7</v>
      </c>
    </row>
    <row r="17" spans="2:2" ht="9.9499999999999993" customHeight="1">
      <c r="B17" s="37"/>
    </row>
    <row r="18" spans="2:2" ht="20.25">
      <c r="B18" s="37" t="s">
        <v>8</v>
      </c>
    </row>
    <row r="19" spans="2:2" ht="9.9499999999999993" customHeight="1">
      <c r="B19" s="37"/>
    </row>
    <row r="20" spans="2:2" ht="17.25">
      <c r="B20" s="37" t="s">
        <v>9</v>
      </c>
    </row>
    <row r="21" spans="2:2" ht="9.9499999999999993" customHeight="1">
      <c r="B21" s="37"/>
    </row>
    <row r="22" spans="2:2" s="228" customFormat="1" ht="24.95" customHeight="1">
      <c r="B22" s="103" t="s">
        <v>10</v>
      </c>
    </row>
    <row r="23" spans="2:2" s="228" customFormat="1" ht="24.95" customHeight="1">
      <c r="B23" s="103" t="s">
        <v>11</v>
      </c>
    </row>
    <row r="24" spans="2:2" s="228" customFormat="1" ht="24.95" customHeight="1">
      <c r="B24" s="103" t="s">
        <v>12</v>
      </c>
    </row>
    <row r="25" spans="2:2" s="228" customFormat="1" ht="24.95" customHeight="1">
      <c r="B25" s="103" t="s">
        <v>13</v>
      </c>
    </row>
    <row r="26" spans="2:2"/>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14</v>
      </c>
      <c r="C1" s="27"/>
      <c r="D1" s="27"/>
      <c r="E1" s="27"/>
      <c r="F1" s="27"/>
      <c r="G1" s="27"/>
      <c r="H1" s="27"/>
      <c r="I1" s="27"/>
      <c r="J1" s="27"/>
      <c r="K1" s="3"/>
      <c r="L1" s="3"/>
      <c r="M1" s="3"/>
      <c r="N1"/>
      <c r="O1" s="26"/>
      <c r="P1" s="27"/>
      <c r="Q1" s="27"/>
      <c r="R1" s="1"/>
      <c r="S1" s="1"/>
    </row>
    <row r="2" spans="1:20" ht="44.1" customHeight="1" thickTop="1">
      <c r="A2" s="110" t="s">
        <v>15</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16</v>
      </c>
      <c r="P2" s="52" t="str">
        <f>"Promedio "&amp;CHAR(10)&amp;B2&amp;" - "&amp;H2</f>
        <v>Promedio 
2018 - 2024</v>
      </c>
      <c r="Q2" s="230" t="str">
        <f>"Estimaciones "&amp;CHAR(10)&amp;I2&amp;" - "&amp;M2</f>
        <v>Estimaciones 
2025e - 2029e</v>
      </c>
      <c r="R2" s="33"/>
      <c r="S2" s="33"/>
      <c r="T2" s="33"/>
    </row>
    <row r="3" spans="1:20" ht="24.95" customHeight="1">
      <c r="A3" s="120" t="s">
        <v>17</v>
      </c>
      <c r="B3" s="112">
        <f>IFERROR(VALUE(VLOOKUP("Revenue*",'6.TIKR_IS'!$A:$H,COLUMN(B3),FALSE)),"0")</f>
        <v>2009.9</v>
      </c>
      <c r="C3" s="112">
        <f>IFERROR(VALUE(VLOOKUP("Revenue*",'6.TIKR_IS'!$A:$H,COLUMN(C3),FALSE)),"0")</f>
        <v>2384.6999999999998</v>
      </c>
      <c r="D3" s="112">
        <f>IFERROR(VALUE(VLOOKUP("Revenue*",'6.TIKR_IS'!$A:$H,COLUMN(D3),FALSE)),"0")</f>
        <v>2606.1</v>
      </c>
      <c r="E3" s="112">
        <f>IFERROR(VALUE(VLOOKUP("Revenue*",'6.TIKR_IS'!$A:$H,COLUMN(E3),FALSE)),"0")</f>
        <v>3047.5</v>
      </c>
      <c r="F3" s="112">
        <f>IFERROR(VALUE(VLOOKUP("Revenue*",'6.TIKR_IS'!$A:$H,COLUMN(F3),FALSE)),"0")</f>
        <v>3573.4</v>
      </c>
      <c r="G3" s="112">
        <f>IFERROR(VALUE(VLOOKUP("Revenue*",'6.TIKR_IS'!$A:$H,COLUMN(G3),FALSE)),"0")</f>
        <v>4257.1000000000004</v>
      </c>
      <c r="H3" s="112">
        <f>IFERROR(VALUE(VLOOKUP("Revenue*",'6.TIKR_IS'!$A:$H,COLUMN(H3),FALSE)),"0")</f>
        <v>4805</v>
      </c>
      <c r="I3" s="9">
        <f>IFERROR((H3*$Q$3)+H3,"")</f>
        <v>5558.8175025785176</v>
      </c>
      <c r="J3" s="9">
        <f>IFERROR((I3*$Q$3)+I3,"")</f>
        <v>6430.895322991315</v>
      </c>
      <c r="K3" s="9">
        <f>IFERROR((J3*$Q$3)+J3,"")</f>
        <v>7439.7863639322477</v>
      </c>
      <c r="L3" s="9">
        <f>IFERROR((K3*$Q$3)+K3,"")</f>
        <v>8606.9541426163505</v>
      </c>
      <c r="M3" s="121">
        <f>IFERROR((L3*$Q$3)+L3,"")</f>
        <v>9957.229413499781</v>
      </c>
      <c r="N3" s="6"/>
      <c r="O3" s="53" t="s">
        <v>18</v>
      </c>
      <c r="P3" s="41">
        <f>IFERROR(AVERAGE(C4:H4),"")</f>
        <v>0.1568818943971941</v>
      </c>
      <c r="Q3" s="231">
        <f>P3</f>
        <v>0.1568818943971941</v>
      </c>
      <c r="R3" s="33"/>
      <c r="S3" s="33"/>
      <c r="T3" s="33"/>
    </row>
    <row r="4" spans="1:20" ht="24.95" customHeight="1">
      <c r="A4" s="104" t="s">
        <v>19</v>
      </c>
      <c r="B4" s="113"/>
      <c r="C4" s="11">
        <f t="shared" ref="C4:H4" si="0">IFERROR((C3-B3)/B3,"")</f>
        <v>0.18647693915120142</v>
      </c>
      <c r="D4" s="11">
        <f t="shared" si="0"/>
        <v>9.2841866901497094E-2</v>
      </c>
      <c r="E4" s="11">
        <f t="shared" si="0"/>
        <v>0.16937185833237409</v>
      </c>
      <c r="F4" s="11">
        <f t="shared" si="0"/>
        <v>0.1725676784249385</v>
      </c>
      <c r="G4" s="11">
        <f t="shared" si="0"/>
        <v>0.19133038562713389</v>
      </c>
      <c r="H4" s="10">
        <f t="shared" si="0"/>
        <v>0.12870263794601949</v>
      </c>
      <c r="I4" s="11">
        <f>$Q$3</f>
        <v>0.1568818943971941</v>
      </c>
      <c r="J4" s="11">
        <f>$Q$3</f>
        <v>0.1568818943971941</v>
      </c>
      <c r="K4" s="11">
        <f>$Q$3</f>
        <v>0.1568818943971941</v>
      </c>
      <c r="L4" s="11">
        <f>$Q$3</f>
        <v>0.1568818943971941</v>
      </c>
      <c r="M4" s="122">
        <f>$Q$3</f>
        <v>0.1568818943971941</v>
      </c>
      <c r="N4" s="6"/>
      <c r="O4" s="54" t="s">
        <v>20</v>
      </c>
      <c r="P4" s="42">
        <f>IFERROR(AVERAGE(B9:H9),"")</f>
        <v>0.22659289199043892</v>
      </c>
      <c r="Q4" s="231">
        <f>P4</f>
        <v>0.22659289199043892</v>
      </c>
      <c r="R4" s="33"/>
      <c r="S4" s="33"/>
      <c r="T4" s="33"/>
    </row>
    <row r="5" spans="1:20" ht="24.95" customHeight="1">
      <c r="A5" s="123" t="s">
        <v>21</v>
      </c>
      <c r="B5" s="114">
        <f t="shared" ref="B5:H5" si="1">B8-B7</f>
        <v>608.75</v>
      </c>
      <c r="C5" s="78">
        <f t="shared" si="1"/>
        <v>701.09999999999991</v>
      </c>
      <c r="D5" s="78">
        <f t="shared" si="1"/>
        <v>808.2</v>
      </c>
      <c r="E5" s="78">
        <f t="shared" si="1"/>
        <v>1010.4</v>
      </c>
      <c r="F5" s="78">
        <f t="shared" si="1"/>
        <v>1159.7</v>
      </c>
      <c r="G5" s="78">
        <f t="shared" si="1"/>
        <v>1420.6</v>
      </c>
      <c r="H5" s="79">
        <f t="shared" si="1"/>
        <v>222</v>
      </c>
      <c r="I5" s="78">
        <f>IFERROR(I8-I7,"")</f>
        <v>1516.4163145125126</v>
      </c>
      <c r="J5" s="78">
        <f t="shared" ref="J5:M5" si="2">IFERROR(J8-J7,"")</f>
        <v>1754.3145786280468</v>
      </c>
      <c r="K5" s="78">
        <f t="shared" si="2"/>
        <v>2029.5347730918302</v>
      </c>
      <c r="L5" s="78">
        <f t="shared" si="2"/>
        <v>2347.9320330394557</v>
      </c>
      <c r="M5" s="124">
        <f t="shared" si="2"/>
        <v>2716.280058298541</v>
      </c>
      <c r="N5" s="6"/>
      <c r="O5" s="53" t="s">
        <v>22</v>
      </c>
      <c r="P5" s="41">
        <f>IFERROR(AVERAGE(B15:H15),"")</f>
        <v>0.26925035450116352</v>
      </c>
      <c r="Q5" s="231">
        <f>H15</f>
        <v>0.2813067150635209</v>
      </c>
      <c r="R5" s="33"/>
      <c r="S5" s="33"/>
      <c r="T5" s="33"/>
    </row>
    <row r="6" spans="1:20" ht="24.95" customHeight="1" thickBot="1">
      <c r="A6" s="104" t="s">
        <v>23</v>
      </c>
      <c r="B6" s="113">
        <f t="shared" ref="B6:H6" si="3">IFERROR((B5/B3),"")</f>
        <v>0.30287576496343099</v>
      </c>
      <c r="C6" s="11">
        <f t="shared" si="3"/>
        <v>0.29399924518807397</v>
      </c>
      <c r="D6" s="11">
        <f t="shared" si="3"/>
        <v>0.31011856797513526</v>
      </c>
      <c r="E6" s="11">
        <f t="shared" si="3"/>
        <v>0.33155045118949961</v>
      </c>
      <c r="F6" s="11">
        <f t="shared" si="3"/>
        <v>0.32453685565567808</v>
      </c>
      <c r="G6" s="11">
        <f t="shared" si="3"/>
        <v>0.33370134598670453</v>
      </c>
      <c r="H6" s="10">
        <f t="shared" si="3"/>
        <v>4.6201873048907389E-2</v>
      </c>
      <c r="I6" s="11">
        <f>IFERROR(I5/I3,"")</f>
        <v>0.2727947650393463</v>
      </c>
      <c r="J6" s="11">
        <f>IFERROR(J5/J3,"")</f>
        <v>0.2727947650393463</v>
      </c>
      <c r="K6" s="11">
        <f>IFERROR(K5/K3,"")</f>
        <v>0.2727947650393463</v>
      </c>
      <c r="L6" s="11">
        <f>IFERROR(L5/L3,"")</f>
        <v>0.2727947650393463</v>
      </c>
      <c r="M6" s="122">
        <f>IFERROR(M5/M3,"")</f>
        <v>0.27279476503934635</v>
      </c>
      <c r="N6" s="6"/>
      <c r="O6" s="55" t="s">
        <v>24</v>
      </c>
      <c r="P6" s="43">
        <f>IFERROR(AVERAGE(C23:H23),"")</f>
        <v>5.0629170818860501E-3</v>
      </c>
      <c r="Q6" s="232">
        <f>P6</f>
        <v>5.0629170818860501E-3</v>
      </c>
      <c r="R6" s="33"/>
      <c r="S6" s="33"/>
      <c r="T6" s="33"/>
    </row>
    <row r="7" spans="1:20" ht="24.95" customHeight="1" thickTop="1">
      <c r="A7" s="125" t="s">
        <v>25</v>
      </c>
      <c r="B7" s="115">
        <f>IFERROR(-VALUE(VLOOKUP("Depreciation And Amortization*",'8.TIKR_CF'!$A:$H,COLUMN(B7),FALSE))-IFERROR(VALUE(VLOOKUP("Amortization of Goodwill and Intangible Assets*",'8.TIKR_CF'!$A:$H,COLUMN(B7),FALSE)),"0"),"0")</f>
        <v>-109.3</v>
      </c>
      <c r="C7" s="115">
        <f>IFERROR(-VALUE(VLOOKUP("Depreciation And Amortization*",'8.TIKR_CF'!$A:$H,COLUMN(C7),FALSE))-IFERROR(VALUE(VLOOKUP("Amortization of Goodwill and Intangible Assets*",'8.TIKR_CF'!$A:$H,COLUMN(C7),FALSE)),"0"),"0")</f>
        <v>-128.69999999999999</v>
      </c>
      <c r="D7" s="115">
        <f>IFERROR(-VALUE(VLOOKUP("Depreciation And Amortization*",'8.TIKR_CF'!$A:$H,COLUMN(D7),FALSE))-IFERROR(VALUE(VLOOKUP("Amortization of Goodwill and Intangible Assets*",'8.TIKR_CF'!$A:$H,COLUMN(D7),FALSE)),"0"),"0")</f>
        <v>-134.80000000000001</v>
      </c>
      <c r="E7" s="115">
        <f>IFERROR(-VALUE(VLOOKUP("Depreciation And Amortization*",'8.TIKR_CF'!$A:$H,COLUMN(E7),FALSE))-IFERROR(VALUE(VLOOKUP("Amortization of Goodwill and Intangible Assets*",'8.TIKR_CF'!$A:$H,COLUMN(E7),FALSE)),"0"),"0")</f>
        <v>-152.9</v>
      </c>
      <c r="F7" s="115">
        <f>IFERROR(-VALUE(VLOOKUP("Depreciation And Amortization*",'8.TIKR_CF'!$A:$H,COLUMN(F7),FALSE))-IFERROR(VALUE(VLOOKUP("Amortization of Goodwill and Intangible Assets*",'8.TIKR_CF'!$A:$H,COLUMN(F7),FALSE)),"0"),"0")</f>
        <v>-185.8</v>
      </c>
      <c r="G7" s="115">
        <f>IFERROR(-VALUE(VLOOKUP("Depreciation And Amortization*",'8.TIKR_CF'!$A:$H,COLUMN(G7),FALSE))-IFERROR(VALUE(VLOOKUP("Amortization of Goodwill and Intangible Assets*",'8.TIKR_CF'!$A:$H,COLUMN(G7),FALSE)),"0"),"0")</f>
        <v>-206</v>
      </c>
      <c r="H7" s="115">
        <f>IFERROR(-VALUE(VLOOKUP("Depreciation And Amortization*",'8.TIKR_CF'!$A:$H,COLUMN(H7),FALSE))-IFERROR(VALUE(VLOOKUP("Amortization of Goodwill and Intangible Assets*",'8.TIKR_CF'!$A:$H,COLUMN(H7),FALSE)),"0"),"0")</f>
        <v>-222</v>
      </c>
      <c r="I7" s="80">
        <f>IFERROR((H7*$Q$3)+H7,"")</f>
        <v>-256.82778055617712</v>
      </c>
      <c r="J7" s="80">
        <f>IFERROR((I7*$Q$3)+I7,"")</f>
        <v>-297.11940930365705</v>
      </c>
      <c r="K7" s="80">
        <f>IFERROR((J7*$Q$3)+J7,"")</f>
        <v>-343.73206509739009</v>
      </c>
      <c r="L7" s="80">
        <f>IFERROR((K7*$Q$3)+K7,"")</f>
        <v>-397.6574026349283</v>
      </c>
      <c r="M7" s="126">
        <f>IFERROR((L7*$Q$3)+L7,"")</f>
        <v>-460.04264928136365</v>
      </c>
      <c r="N7" s="6"/>
      <c r="O7" s="6"/>
      <c r="P7" s="7"/>
      <c r="Q7" s="7"/>
      <c r="R7" s="33"/>
      <c r="S7" s="33"/>
      <c r="T7" s="33"/>
    </row>
    <row r="8" spans="1:20" ht="24.95" customHeight="1">
      <c r="A8" s="120" t="s">
        <v>26</v>
      </c>
      <c r="B8" s="116">
        <f>IFERROR(VALUE(VLOOKUP("Operating Income*",'6.TIKR_IS'!$A:$H,COLUMN(B2),FALSE)),"0")</f>
        <v>499.45</v>
      </c>
      <c r="C8" s="116">
        <f>IFERROR(VALUE(VLOOKUP("Operating Income*",'6.TIKR_IS'!$A:$H,COLUMN(C2),FALSE)),"0")</f>
        <v>572.4</v>
      </c>
      <c r="D8" s="116">
        <f>IFERROR(VALUE(VLOOKUP("Operating Income*",'6.TIKR_IS'!$A:$H,COLUMN(D2),FALSE)),"0")</f>
        <v>673.4</v>
      </c>
      <c r="E8" s="116">
        <f>IFERROR(VALUE(VLOOKUP("Operating Income*",'6.TIKR_IS'!$A:$H,COLUMN(E2),FALSE)),"0")</f>
        <v>857.5</v>
      </c>
      <c r="F8" s="116">
        <f>IFERROR(VALUE(VLOOKUP("Operating Income*",'6.TIKR_IS'!$A:$H,COLUMN(F2),FALSE)),"0")</f>
        <v>973.9</v>
      </c>
      <c r="G8" s="116">
        <f>IFERROR(VALUE(VLOOKUP("Operating Income*",'6.TIKR_IS'!$A:$H,COLUMN(G2),FALSE)),"0")</f>
        <v>1214.5999999999999</v>
      </c>
      <c r="H8" s="116">
        <f>IFERROR(VALUE(VLOOKUP("Operating Income*",'6.TIKR_IS'!$A:$H,COLUMN(H2),FALSE)),"0")</f>
        <v>0</v>
      </c>
      <c r="I8" s="78">
        <f>IFERROR(I3*$Q$4,"")</f>
        <v>1259.5885339563354</v>
      </c>
      <c r="J8" s="78">
        <f>IFERROR(J3*$Q$4,"")</f>
        <v>1457.1951693243898</v>
      </c>
      <c r="K8" s="78">
        <f>IFERROR(K3*$Q$4,"")</f>
        <v>1685.80270799444</v>
      </c>
      <c r="L8" s="78">
        <f>IFERROR(L3*$Q$4,"")</f>
        <v>1950.2746304045274</v>
      </c>
      <c r="M8" s="124">
        <f>IFERROR(M3*$Q$4,"")</f>
        <v>2256.2374090171775</v>
      </c>
      <c r="N8" s="6"/>
      <c r="O8" s="6"/>
      <c r="P8" s="6"/>
      <c r="Q8" s="6"/>
      <c r="R8" s="33"/>
      <c r="S8" s="33"/>
      <c r="T8" s="33"/>
    </row>
    <row r="9" spans="1:20" ht="24.95" customHeight="1">
      <c r="A9" s="104" t="s">
        <v>27</v>
      </c>
      <c r="B9" s="113">
        <f t="shared" ref="B9:M9" si="4">IFERROR((B8/B3),"")</f>
        <v>0.24849494999751229</v>
      </c>
      <c r="C9" s="11">
        <f t="shared" si="4"/>
        <v>0.24003019247704116</v>
      </c>
      <c r="D9" s="11">
        <f t="shared" si="4"/>
        <v>0.25839376846629064</v>
      </c>
      <c r="E9" s="11">
        <f t="shared" si="4"/>
        <v>0.28137817883511074</v>
      </c>
      <c r="F9" s="11">
        <f t="shared" si="4"/>
        <v>0.27254155706050259</v>
      </c>
      <c r="G9" s="11">
        <f t="shared" si="4"/>
        <v>0.28531159709661502</v>
      </c>
      <c r="H9" s="10">
        <f t="shared" si="4"/>
        <v>0</v>
      </c>
      <c r="I9" s="11">
        <f t="shared" si="4"/>
        <v>0.22659289199043889</v>
      </c>
      <c r="J9" s="11">
        <f t="shared" si="4"/>
        <v>0.22659289199043892</v>
      </c>
      <c r="K9" s="11">
        <f t="shared" si="4"/>
        <v>0.22659289199043889</v>
      </c>
      <c r="L9" s="11">
        <f t="shared" si="4"/>
        <v>0.22659289199043892</v>
      </c>
      <c r="M9" s="122">
        <f t="shared" si="4"/>
        <v>0.22659289199043894</v>
      </c>
      <c r="N9" s="6"/>
      <c r="O9" s="6"/>
      <c r="P9" s="6"/>
      <c r="Q9" s="6"/>
      <c r="R9" s="33"/>
      <c r="S9" s="33"/>
      <c r="T9" s="33"/>
    </row>
    <row r="10" spans="1:20" ht="24.95" customHeight="1">
      <c r="A10" s="125" t="s">
        <v>28</v>
      </c>
      <c r="B10" s="115">
        <f>IFERROR(VALUE(VLOOKUP("Interest Expense*",'6.TIKR_IS'!$A:$H,COLUMN(B10),FALSE)),"0")</f>
        <v>-40.6</v>
      </c>
      <c r="C10" s="115">
        <f>IFERROR(VALUE(VLOOKUP("Interest Expense*",'6.TIKR_IS'!$A:$H,COLUMN(C10),FALSE)),"0")</f>
        <v>-63.7</v>
      </c>
      <c r="D10" s="115">
        <f>IFERROR(VALUE(VLOOKUP("Interest Expense*",'6.TIKR_IS'!$A:$H,COLUMN(D10),FALSE)),"0")</f>
        <v>-59</v>
      </c>
      <c r="E10" s="115">
        <f>IFERROR(VALUE(VLOOKUP("Interest Expense*",'6.TIKR_IS'!$A:$H,COLUMN(E10),FALSE)),"0")</f>
        <v>-65</v>
      </c>
      <c r="F10" s="115">
        <f>IFERROR(VALUE(VLOOKUP("Interest Expense*",'6.TIKR_IS'!$A:$H,COLUMN(F10),FALSE)),"0")</f>
        <v>-141.19999999999999</v>
      </c>
      <c r="G10" s="115">
        <f>IFERROR(VALUE(VLOOKUP("Interest Expense*",'6.TIKR_IS'!$A:$H,COLUMN(G10),FALSE)),"0")</f>
        <v>-190</v>
      </c>
      <c r="H10" s="115">
        <f>IFERROR(VALUE(VLOOKUP("Interest Expense*",'6.TIKR_IS'!$A:$H,COLUMN(H10),FALSE)),"0")</f>
        <v>-201</v>
      </c>
      <c r="I10" s="80">
        <f>IFERROR(-TIKR_Cálculos!$B$26*SUM('3.ROIC'!I6:I7),"")</f>
        <v>-315.15825778505143</v>
      </c>
      <c r="J10" s="80">
        <f>IFERROR(-TIKR_Cálculos!$B$26*SUM('3.ROIC'!J6:J7),"")</f>
        <v>-371.36829046598939</v>
      </c>
      <c r="K10" s="80">
        <f>IFERROR(-TIKR_Cálculos!$B$26*SUM('3.ROIC'!K6:K7),"")</f>
        <v>-436.39665955804099</v>
      </c>
      <c r="L10" s="80">
        <f>IFERROR(-TIKR_Cálculos!$B$26*SUM('3.ROIC'!L6:L7),"")</f>
        <v>-511.62680238281371</v>
      </c>
      <c r="M10" s="126">
        <f>IFERROR(-TIKR_Cálculos!$B$26*SUM('3.ROIC'!M6:M7),"")</f>
        <v>-598.65919252970821</v>
      </c>
      <c r="N10" s="6"/>
      <c r="O10" s="6"/>
      <c r="P10" s="6"/>
      <c r="Q10" s="6"/>
      <c r="R10" s="33"/>
      <c r="S10" s="33"/>
      <c r="T10" s="33"/>
    </row>
    <row r="11" spans="1:20" ht="24.95" customHeight="1">
      <c r="A11" s="125" t="s">
        <v>29</v>
      </c>
      <c r="B11" s="115">
        <f>IFERROR(VALUE(VLOOKUP("Total Other Income/Expenses Net*",'6.TIKR_IS'!$A:$H,COLUMN(B11),FALSE)),"0")</f>
        <v>3.5</v>
      </c>
      <c r="C11" s="115">
        <f>IFERROR(VALUE(VLOOKUP("Total Other Income/Expenses Net*",'6.TIKR_IS'!$A:$H,COLUMN(C11),FALSE)),"0")</f>
        <v>-46.5</v>
      </c>
      <c r="D11" s="115">
        <f>IFERROR(VALUE(VLOOKUP("Total Other Income/Expenses Net*",'6.TIKR_IS'!$A:$H,COLUMN(D11),FALSE)),"0")</f>
        <v>-49.3</v>
      </c>
      <c r="E11" s="115">
        <f>IFERROR(VALUE(VLOOKUP("Total Other Income/Expenses Net*",'6.TIKR_IS'!$A:$H,COLUMN(E11),FALSE)),"0")</f>
        <v>-94.7</v>
      </c>
      <c r="F11" s="115">
        <f>IFERROR(VALUE(VLOOKUP("Total Other Income/Expenses Net*",'6.TIKR_IS'!$A:$H,COLUMN(F11),FALSE)),"0")</f>
        <v>-97.8</v>
      </c>
      <c r="G11" s="115">
        <f>IFERROR(VALUE(VLOOKUP("Total Other Income/Expenses Net*",'6.TIKR_IS'!$A:$H,COLUMN(G11),FALSE)),"0")</f>
        <v>-68.5</v>
      </c>
      <c r="H11" s="115">
        <f>IFERROR(VALUE(VLOOKUP("Total Other Income/Expenses Net*",'6.TIKR_IS'!$A:$H,COLUMN(H11),FALSE)),"0")</f>
        <v>1303</v>
      </c>
      <c r="I11" s="80">
        <f>IFERROR(TIKR_Cálculos!$B$25*'3.ROIC'!I5,"")</f>
        <v>162.58335506903802</v>
      </c>
      <c r="J11" s="80">
        <f>IFERROR(TIKR_Cálculos!$B$25*'3.ROIC'!J5,"")</f>
        <v>233.13394861143439</v>
      </c>
      <c r="K11" s="80">
        <f>IFERROR(TIKR_Cálculos!$B$25*'3.ROIC'!K5,"")</f>
        <v>314.75265291960829</v>
      </c>
      <c r="L11" s="80">
        <f>IFERROR(TIKR_Cálculos!$B$25*'3.ROIC'!L5,"")</f>
        <v>409.17585417789286</v>
      </c>
      <c r="M11" s="126">
        <f>IFERROR(TIKR_Cálculos!$B$25*'3.ROIC'!M5,"")</f>
        <v>518.41234612462472</v>
      </c>
      <c r="N11" s="6"/>
      <c r="O11" s="6"/>
      <c r="P11" s="6"/>
      <c r="Q11" s="6"/>
      <c r="R11" s="33"/>
      <c r="S11" s="33"/>
      <c r="T11" s="33"/>
    </row>
    <row r="12" spans="1:20" ht="24.95" customHeight="1">
      <c r="A12" s="104" t="s">
        <v>30</v>
      </c>
      <c r="B12" s="117">
        <f>B10+B11</f>
        <v>-37.1</v>
      </c>
      <c r="C12" s="80">
        <f t="shared" ref="C12:H12" si="5">C10+C11</f>
        <v>-110.2</v>
      </c>
      <c r="D12" s="80">
        <f t="shared" si="5"/>
        <v>-108.3</v>
      </c>
      <c r="E12" s="80">
        <f t="shared" si="5"/>
        <v>-159.69999999999999</v>
      </c>
      <c r="F12" s="80">
        <f t="shared" si="5"/>
        <v>-239</v>
      </c>
      <c r="G12" s="80">
        <f t="shared" si="5"/>
        <v>-258.5</v>
      </c>
      <c r="H12" s="81">
        <f t="shared" si="5"/>
        <v>1102</v>
      </c>
      <c r="I12" s="80">
        <f>IFERROR(SUM(I10:I11),"")</f>
        <v>-152.57490271601341</v>
      </c>
      <c r="J12" s="80">
        <f t="shared" ref="J12:M12" si="6">IFERROR(SUM(J10:J11),"")</f>
        <v>-138.234341854555</v>
      </c>
      <c r="K12" s="80">
        <f t="shared" si="6"/>
        <v>-121.6440066384327</v>
      </c>
      <c r="L12" s="80">
        <f t="shared" si="6"/>
        <v>-102.45094820492085</v>
      </c>
      <c r="M12" s="126">
        <f t="shared" si="6"/>
        <v>-80.246846405083488</v>
      </c>
      <c r="N12" s="6"/>
      <c r="O12" s="6"/>
      <c r="P12" s="7"/>
      <c r="Q12" s="7"/>
      <c r="R12" s="33"/>
      <c r="S12" s="33"/>
      <c r="T12" s="33"/>
    </row>
    <row r="13" spans="1:20" ht="24.95" customHeight="1" collapsed="1">
      <c r="A13" s="104" t="s">
        <v>31</v>
      </c>
      <c r="B13" s="117">
        <f t="shared" ref="B13:M13" si="7">IFERROR(B8+B12,"")</f>
        <v>462.34999999999997</v>
      </c>
      <c r="C13" s="80">
        <f t="shared" si="7"/>
        <v>462.2</v>
      </c>
      <c r="D13" s="80">
        <f t="shared" si="7"/>
        <v>565.1</v>
      </c>
      <c r="E13" s="80">
        <f t="shared" si="7"/>
        <v>697.8</v>
      </c>
      <c r="F13" s="80">
        <f t="shared" si="7"/>
        <v>734.9</v>
      </c>
      <c r="G13" s="80">
        <f t="shared" si="7"/>
        <v>956.09999999999991</v>
      </c>
      <c r="H13" s="81">
        <f t="shared" si="7"/>
        <v>1102</v>
      </c>
      <c r="I13" s="80">
        <f t="shared" si="7"/>
        <v>1107.013631240322</v>
      </c>
      <c r="J13" s="80">
        <f t="shared" si="7"/>
        <v>1318.9608274698348</v>
      </c>
      <c r="K13" s="80">
        <f t="shared" si="7"/>
        <v>1564.1587013560072</v>
      </c>
      <c r="L13" s="80">
        <f t="shared" si="7"/>
        <v>1847.8236821996065</v>
      </c>
      <c r="M13" s="126">
        <f t="shared" si="7"/>
        <v>2175.990562612094</v>
      </c>
      <c r="N13" s="6"/>
      <c r="O13" s="6"/>
      <c r="P13" s="7"/>
      <c r="Q13" s="7"/>
      <c r="R13" s="33"/>
      <c r="S13" s="33"/>
      <c r="T13" s="33"/>
    </row>
    <row r="14" spans="1:20" ht="24.95" customHeight="1">
      <c r="A14" s="125" t="s">
        <v>32</v>
      </c>
      <c r="B14" s="115">
        <f>IFERROR(VALUE(VLOOKUP("Income Tax Expense*",'6.TIKR_IS'!$A:$H,COLUMN(B14),FALSE)),"0")</f>
        <v>-118.2</v>
      </c>
      <c r="C14" s="115">
        <f>IFERROR(VALUE(VLOOKUP("Income Tax Expense*",'6.TIKR_IS'!$A:$H,COLUMN(C14),FALSE)),"0")</f>
        <v>-127.4</v>
      </c>
      <c r="D14" s="115">
        <f>IFERROR(VALUE(VLOOKUP("Income Tax Expense*",'6.TIKR_IS'!$A:$H,COLUMN(D14),FALSE)),"0")</f>
        <v>-143.6</v>
      </c>
      <c r="E14" s="115">
        <f>IFERROR(VALUE(VLOOKUP("Income Tax Expense*",'6.TIKR_IS'!$A:$H,COLUMN(E14),FALSE)),"0")</f>
        <v>-175.7</v>
      </c>
      <c r="F14" s="115">
        <f>IFERROR(VALUE(VLOOKUP("Income Tax Expense*",'6.TIKR_IS'!$A:$H,COLUMN(F14),FALSE)),"0")</f>
        <v>-204.3</v>
      </c>
      <c r="G14" s="115">
        <f>IFERROR(VALUE(VLOOKUP("Income Tax Expense*",'6.TIKR_IS'!$A:$H,COLUMN(G14),FALSE)),"0")</f>
        <v>-275.60000000000002</v>
      </c>
      <c r="H14" s="115">
        <f>IFERROR(VALUE(VLOOKUP("Income Tax Expense*",'6.TIKR_IS'!$A:$H,COLUMN(H14),FALSE)),"0")</f>
        <v>-310</v>
      </c>
      <c r="I14" s="80">
        <f>IFERROR(-I13*I15,"")</f>
        <v>-311.41036813475483</v>
      </c>
      <c r="J14" s="80">
        <f>IFERROR(-J13*J15,"")</f>
        <v>-371.03253767300259</v>
      </c>
      <c r="K14" s="80">
        <f>IFERROR(-K13*K15,"")</f>
        <v>-440.00834611648122</v>
      </c>
      <c r="L14" s="80">
        <f>IFERROR(-L13*L15,"")</f>
        <v>-519.80521005615071</v>
      </c>
      <c r="M14" s="126">
        <f>IFERROR(-M13*M15,"")</f>
        <v>-612.12075717763082</v>
      </c>
      <c r="N14" s="6"/>
      <c r="O14" s="6"/>
      <c r="P14" s="6"/>
      <c r="Q14" s="6"/>
      <c r="R14" s="33"/>
      <c r="S14" s="33"/>
      <c r="T14" s="33"/>
    </row>
    <row r="15" spans="1:20" ht="24.95" customHeight="1">
      <c r="A15" s="104" t="s">
        <v>33</v>
      </c>
      <c r="B15" s="113">
        <f t="shared" ref="B15:H15" si="8">IFERROR((ABS(B14)/B13),"")</f>
        <v>0.255650481237158</v>
      </c>
      <c r="C15" s="11">
        <f t="shared" si="8"/>
        <v>0.27563825183903073</v>
      </c>
      <c r="D15" s="11">
        <f t="shared" si="8"/>
        <v>0.25411431605025658</v>
      </c>
      <c r="E15" s="11">
        <f t="shared" si="8"/>
        <v>0.25179134422470623</v>
      </c>
      <c r="F15" s="11">
        <f t="shared" si="8"/>
        <v>0.27799700639542796</v>
      </c>
      <c r="G15" s="11">
        <f t="shared" si="8"/>
        <v>0.28825436669804416</v>
      </c>
      <c r="H15" s="10">
        <f t="shared" si="8"/>
        <v>0.2813067150635209</v>
      </c>
      <c r="I15" s="11">
        <f>$Q$5</f>
        <v>0.2813067150635209</v>
      </c>
      <c r="J15" s="11">
        <f>$Q$5</f>
        <v>0.2813067150635209</v>
      </c>
      <c r="K15" s="11">
        <f>$Q$5</f>
        <v>0.2813067150635209</v>
      </c>
      <c r="L15" s="11">
        <f>$Q$5</f>
        <v>0.2813067150635209</v>
      </c>
      <c r="M15" s="122">
        <f>$Q$5</f>
        <v>0.2813067150635209</v>
      </c>
      <c r="N15" s="6"/>
      <c r="O15" s="6"/>
      <c r="P15" s="7"/>
      <c r="Q15" s="7"/>
      <c r="R15" s="33"/>
      <c r="S15" s="33"/>
      <c r="T15" s="33"/>
    </row>
    <row r="16" spans="1:20" ht="24.95" customHeight="1">
      <c r="A16" s="104" t="s">
        <v>34</v>
      </c>
      <c r="B16" s="117">
        <f t="shared" ref="B16:H16" si="9">B13+B14</f>
        <v>344.15</v>
      </c>
      <c r="C16" s="80">
        <f t="shared" si="9"/>
        <v>334.79999999999995</v>
      </c>
      <c r="D16" s="80">
        <f t="shared" si="9"/>
        <v>421.5</v>
      </c>
      <c r="E16" s="80">
        <f t="shared" si="9"/>
        <v>522.09999999999991</v>
      </c>
      <c r="F16" s="80">
        <f t="shared" si="9"/>
        <v>530.59999999999991</v>
      </c>
      <c r="G16" s="80">
        <f t="shared" si="9"/>
        <v>680.49999999999989</v>
      </c>
      <c r="H16" s="81">
        <f t="shared" si="9"/>
        <v>792</v>
      </c>
      <c r="I16" s="80">
        <f>IFERROR(I13+I14,"")</f>
        <v>795.60326310556707</v>
      </c>
      <c r="J16" s="80">
        <f>IFERROR(J13+J14,"")</f>
        <v>947.92828979683225</v>
      </c>
      <c r="K16" s="80">
        <f>IFERROR(K13+K14,"")</f>
        <v>1124.1503552395261</v>
      </c>
      <c r="L16" s="80">
        <f>IFERROR(L13+L14,"")</f>
        <v>1328.0184721434557</v>
      </c>
      <c r="M16" s="126">
        <f>IFERROR(M13+M14,"")</f>
        <v>1563.8698054344632</v>
      </c>
      <c r="N16" s="6"/>
      <c r="O16" s="6"/>
      <c r="P16" s="7"/>
      <c r="Q16" s="7"/>
      <c r="R16" s="33"/>
      <c r="S16" s="33"/>
      <c r="T16" s="33"/>
    </row>
    <row r="17" spans="1:20" ht="24.95" customHeight="1">
      <c r="A17" s="125" t="s">
        <v>35</v>
      </c>
      <c r="B17" s="115" t="str">
        <f>IFERROR(VALUE(VLOOKUP("Minority Interest*",'6.TIKR_IS'!$A:$H,COLUMN(B17),FALSE)),"0")</f>
        <v>0</v>
      </c>
      <c r="C17" s="115" t="str">
        <f>IFERROR(VALUE(VLOOKUP("Minority Interest*",'6.TIKR_IS'!$A:$H,COLUMN(C17),FALSE)),"0")</f>
        <v>0</v>
      </c>
      <c r="D17" s="115" t="str">
        <f>IFERROR(VALUE(VLOOKUP("Minority Interest*",'6.TIKR_IS'!$A:$H,COLUMN(D17),FALSE)),"0")</f>
        <v>0</v>
      </c>
      <c r="E17" s="115" t="str">
        <f>IFERROR(VALUE(VLOOKUP("Minority Interest*",'6.TIKR_IS'!$A:$H,COLUMN(E17),FALSE)),"0")</f>
        <v>0</v>
      </c>
      <c r="F17" s="115" t="str">
        <f>IFERROR(VALUE(VLOOKUP("Minority Interest*",'6.TIKR_IS'!$A:$H,COLUMN(F17),FALSE)),"0")</f>
        <v>0</v>
      </c>
      <c r="G17" s="115" t="str">
        <f>IFERROR(VALUE(VLOOKUP("Minority Interest*",'6.TIKR_IS'!$A:$H,COLUMN(G17),FALSE)),"0")</f>
        <v>0</v>
      </c>
      <c r="H17" s="115" t="str">
        <f>IFERROR(VALUE(VLOOKUP("Minority Interest*",'6.TIKR_IS'!$A:$H,COLUMN(H17),FALSE)),"0")</f>
        <v>0</v>
      </c>
      <c r="I17" s="80">
        <f>IFERROR(H17/H16*I16,"")</f>
        <v>0</v>
      </c>
      <c r="J17" s="80">
        <f>IFERROR(I17/I16*J16,"")</f>
        <v>0</v>
      </c>
      <c r="K17" s="80">
        <f>IFERROR(J17/J16*K16,"")</f>
        <v>0</v>
      </c>
      <c r="L17" s="80">
        <f>IFERROR(K17/K16*L16,"")</f>
        <v>0</v>
      </c>
      <c r="M17" s="126">
        <f>IFERROR(L17/L16*M16,"")</f>
        <v>0</v>
      </c>
      <c r="N17" s="6"/>
      <c r="O17" s="6"/>
      <c r="P17" s="7"/>
      <c r="Q17" s="7"/>
      <c r="R17" s="33"/>
      <c r="S17" s="33"/>
      <c r="T17" s="33"/>
    </row>
    <row r="18" spans="1:20" ht="24.95" customHeight="1">
      <c r="A18" s="123" t="s">
        <v>36</v>
      </c>
      <c r="B18" s="114">
        <f t="shared" ref="B18:H18" si="10">B16+B17</f>
        <v>344.15</v>
      </c>
      <c r="C18" s="78">
        <f t="shared" si="10"/>
        <v>334.79999999999995</v>
      </c>
      <c r="D18" s="78">
        <f t="shared" si="10"/>
        <v>421.5</v>
      </c>
      <c r="E18" s="78">
        <f t="shared" si="10"/>
        <v>522.09999999999991</v>
      </c>
      <c r="F18" s="78">
        <f t="shared" si="10"/>
        <v>530.59999999999991</v>
      </c>
      <c r="G18" s="78">
        <f t="shared" si="10"/>
        <v>680.49999999999989</v>
      </c>
      <c r="H18" s="79">
        <f t="shared" si="10"/>
        <v>792</v>
      </c>
      <c r="I18" s="78">
        <f>IFERROR(I16+I17,"")</f>
        <v>795.60326310556707</v>
      </c>
      <c r="J18" s="78">
        <f>IFERROR(J16+J17,"")</f>
        <v>947.92828979683225</v>
      </c>
      <c r="K18" s="78">
        <f>IFERROR(K16+K17,"")</f>
        <v>1124.1503552395261</v>
      </c>
      <c r="L18" s="78">
        <f>IFERROR(L16+L17,"")</f>
        <v>1328.0184721434557</v>
      </c>
      <c r="M18" s="124">
        <f>IFERROR(M16+M17,"")</f>
        <v>1563.8698054344632</v>
      </c>
      <c r="N18" s="6"/>
      <c r="O18" s="6"/>
      <c r="P18" s="7"/>
      <c r="Q18" s="7"/>
      <c r="R18" s="33"/>
      <c r="S18" s="33"/>
      <c r="T18" s="33"/>
    </row>
    <row r="19" spans="1:20" ht="24.95" customHeight="1">
      <c r="A19" s="104" t="s">
        <v>37</v>
      </c>
      <c r="B19" s="113">
        <f t="shared" ref="B19:M19" si="11">IFERROR(B18/B3,"")</f>
        <v>0.17122742424996268</v>
      </c>
      <c r="C19" s="11">
        <f t="shared" si="11"/>
        <v>0.14039501824128819</v>
      </c>
      <c r="D19" s="11">
        <f t="shared" si="11"/>
        <v>0.16173592724761138</v>
      </c>
      <c r="E19" s="11">
        <f t="shared" si="11"/>
        <v>0.17132075471698111</v>
      </c>
      <c r="F19" s="11">
        <f t="shared" si="11"/>
        <v>0.148486035708289</v>
      </c>
      <c r="G19" s="11">
        <f t="shared" si="11"/>
        <v>0.15985060252284414</v>
      </c>
      <c r="H19" s="10">
        <f t="shared" si="11"/>
        <v>0.16482830385015609</v>
      </c>
      <c r="I19" s="11">
        <f t="shared" si="11"/>
        <v>0.1431245517120355</v>
      </c>
      <c r="J19" s="11">
        <f t="shared" si="11"/>
        <v>0.14740222662431796</v>
      </c>
      <c r="K19" s="11">
        <f t="shared" si="11"/>
        <v>0.15109981661427227</v>
      </c>
      <c r="L19" s="11">
        <f t="shared" si="11"/>
        <v>0.15429598556450114</v>
      </c>
      <c r="M19" s="122">
        <f t="shared" si="11"/>
        <v>0.15705872994291009</v>
      </c>
      <c r="N19" s="6"/>
      <c r="O19" s="6"/>
      <c r="P19" s="7"/>
      <c r="Q19" s="7"/>
      <c r="R19" s="33"/>
      <c r="S19" s="33"/>
      <c r="T19" s="33"/>
    </row>
    <row r="20" spans="1:20" ht="24.95" customHeight="1">
      <c r="A20" s="104" t="s">
        <v>38</v>
      </c>
      <c r="B20" s="118">
        <f t="shared" ref="B20:M20" si="12">IFERROR(B18/B22,"")</f>
        <v>1.2490019597880524</v>
      </c>
      <c r="C20" s="82">
        <f t="shared" si="12"/>
        <v>1.2191391741315269</v>
      </c>
      <c r="D20" s="82">
        <f t="shared" si="12"/>
        <v>1.5278935730597745</v>
      </c>
      <c r="E20" s="82">
        <f t="shared" si="12"/>
        <v>1.8820518366316998</v>
      </c>
      <c r="F20" s="82">
        <f t="shared" si="12"/>
        <v>1.9045226130653261</v>
      </c>
      <c r="G20" s="82">
        <f t="shared" si="12"/>
        <v>2.423433048433048</v>
      </c>
      <c r="H20" s="83">
        <f t="shared" si="12"/>
        <v>2.788732394366197</v>
      </c>
      <c r="I20" s="82">
        <f t="shared" si="12"/>
        <v>2.7873080310695793</v>
      </c>
      <c r="J20" s="82">
        <f t="shared" si="12"/>
        <v>3.3042328565267214</v>
      </c>
      <c r="K20" s="82">
        <f t="shared" si="12"/>
        <v>3.8987583104826533</v>
      </c>
      <c r="L20" s="82">
        <f t="shared" si="12"/>
        <v>4.582608727247611</v>
      </c>
      <c r="M20" s="127">
        <f t="shared" si="12"/>
        <v>5.3692794388425371</v>
      </c>
      <c r="N20" s="6"/>
      <c r="O20" s="6"/>
      <c r="P20" s="6"/>
      <c r="Q20" s="6"/>
      <c r="R20" s="33"/>
      <c r="S20" s="33"/>
      <c r="T20" s="33"/>
    </row>
    <row r="21" spans="1:20" ht="24.95" customHeight="1">
      <c r="A21" s="104" t="s">
        <v>19</v>
      </c>
      <c r="B21" s="113"/>
      <c r="C21" s="11">
        <f t="shared" ref="C21:M21" si="13">IFERROR((C20-B20)/B20,"")</f>
        <v>-2.3909318494258383E-2</v>
      </c>
      <c r="D21" s="11">
        <f t="shared" si="13"/>
        <v>0.25325607238254289</v>
      </c>
      <c r="E21" s="11">
        <f t="shared" si="13"/>
        <v>0.23179511309985065</v>
      </c>
      <c r="F21" s="11">
        <f t="shared" si="13"/>
        <v>1.1939509845723551E-2</v>
      </c>
      <c r="G21" s="11">
        <f t="shared" si="13"/>
        <v>0.27246220748859284</v>
      </c>
      <c r="H21" s="10">
        <f t="shared" si="13"/>
        <v>0.15073630615433986</v>
      </c>
      <c r="I21" s="11">
        <f t="shared" si="13"/>
        <v>-5.1075653565586701E-4</v>
      </c>
      <c r="J21" s="11">
        <f t="shared" si="13"/>
        <v>0.18545665555980245</v>
      </c>
      <c r="K21" s="11">
        <f t="shared" si="13"/>
        <v>0.17992843718068754</v>
      </c>
      <c r="L21" s="11">
        <f t="shared" si="13"/>
        <v>0.17540210556942662</v>
      </c>
      <c r="M21" s="122">
        <f t="shared" si="13"/>
        <v>0.17166438559711233</v>
      </c>
      <c r="N21" s="6"/>
      <c r="O21" s="6"/>
      <c r="P21" s="6"/>
      <c r="Q21" s="6"/>
      <c r="R21" s="33"/>
      <c r="S21" s="33"/>
      <c r="T21" s="33"/>
    </row>
    <row r="22" spans="1:20" ht="24.95" customHeight="1">
      <c r="A22" s="125" t="s">
        <v>39</v>
      </c>
      <c r="B22" s="119">
        <f>IFERROR(VALUE(VLOOKUP("*Diluted Weighted Average Shares Outstanding*",'6.TIKR_IS'!$A:$H,COLUMN(B22),FALSE)),"0")</f>
        <v>275.54000000000002</v>
      </c>
      <c r="C22" s="119">
        <f>IFERROR(VALUE(VLOOKUP("*Diluted Weighted Average Shares Outstanding*",'6.TIKR_IS'!$A:$H,COLUMN(C22),FALSE)),"0")</f>
        <v>274.62</v>
      </c>
      <c r="D22" s="119">
        <f>IFERROR(VALUE(VLOOKUP("*Diluted Weighted Average Shares Outstanding*",'6.TIKR_IS'!$A:$H,COLUMN(D22),FALSE)),"0")</f>
        <v>275.87</v>
      </c>
      <c r="E22" s="119">
        <f>IFERROR(VALUE(VLOOKUP("*Diluted Weighted Average Shares Outstanding*",'6.TIKR_IS'!$A:$H,COLUMN(E22),FALSE)),"0")</f>
        <v>277.41000000000003</v>
      </c>
      <c r="F22" s="119">
        <f>IFERROR(VALUE(VLOOKUP("*Diluted Weighted Average Shares Outstanding*",'6.TIKR_IS'!$A:$H,COLUMN(F22),FALSE)),"0")</f>
        <v>278.60000000000002</v>
      </c>
      <c r="G22" s="119">
        <f>IFERROR(VALUE(VLOOKUP("*Diluted Weighted Average Shares Outstanding*",'6.TIKR_IS'!$A:$H,COLUMN(G22),FALSE)),"0")</f>
        <v>280.8</v>
      </c>
      <c r="H22" s="119">
        <f>IFERROR(VALUE(VLOOKUP("*Diluted Weighted Average Shares Outstanding*",'6.TIKR_IS'!$A:$H,COLUMN(H22),FALSE)),"0")</f>
        <v>284</v>
      </c>
      <c r="I22" s="12">
        <f>IFERROR(H22*(1+$Q$6),"")</f>
        <v>285.43786845125567</v>
      </c>
      <c r="J22" s="12">
        <f>IFERROR(I22*(1+$Q$6),"")</f>
        <v>286.8830167112547</v>
      </c>
      <c r="K22" s="12">
        <f>IFERROR(J22*(1+$Q$6),"")</f>
        <v>288.33548163706513</v>
      </c>
      <c r="L22" s="12">
        <f>IFERROR(K22*(1+$Q$6),"")</f>
        <v>289.79530027235927</v>
      </c>
      <c r="M22" s="128">
        <f>IFERROR(L22*(1+$Q$6),"")</f>
        <v>291.26250984835849</v>
      </c>
      <c r="N22" s="6"/>
      <c r="O22" s="6"/>
      <c r="P22" s="7"/>
      <c r="Q22" s="7"/>
      <c r="R22" s="33"/>
      <c r="S22" s="33"/>
      <c r="T22" s="33"/>
    </row>
    <row r="23" spans="1:20" ht="24.95" customHeight="1">
      <c r="A23" s="28" t="s">
        <v>19</v>
      </c>
      <c r="B23" s="129"/>
      <c r="C23" s="130">
        <f t="shared" ref="C23:M23" si="14">IFERROR((C22-B22)/B22,"")</f>
        <v>-3.3388981636060674E-3</v>
      </c>
      <c r="D23" s="130">
        <f t="shared" si="14"/>
        <v>4.5517442283883186E-3</v>
      </c>
      <c r="E23" s="130">
        <f t="shared" si="14"/>
        <v>5.5823395077392269E-3</v>
      </c>
      <c r="F23" s="130">
        <f t="shared" si="14"/>
        <v>4.2896795357052651E-3</v>
      </c>
      <c r="G23" s="130">
        <f t="shared" si="14"/>
        <v>7.8966259870782065E-3</v>
      </c>
      <c r="H23" s="131">
        <f t="shared" si="14"/>
        <v>1.1396011396011355E-2</v>
      </c>
      <c r="I23" s="130">
        <f t="shared" si="14"/>
        <v>5.0629170818861525E-3</v>
      </c>
      <c r="J23" s="130">
        <f t="shared" si="14"/>
        <v>5.0629170818861351E-3</v>
      </c>
      <c r="K23" s="130">
        <f t="shared" si="14"/>
        <v>5.0629170818861169E-3</v>
      </c>
      <c r="L23" s="130">
        <f t="shared" si="14"/>
        <v>5.0629170818860588E-3</v>
      </c>
      <c r="M23" s="132">
        <f t="shared" si="14"/>
        <v>5.0629170818860345E-3</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40</v>
      </c>
    </row>
    <row r="2" spans="1:14" s="6" customFormat="1" ht="39.950000000000003" customHeight="1">
      <c r="A2" s="110" t="s">
        <v>41</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3" t="s">
        <v>21</v>
      </c>
      <c r="B3" s="114">
        <f>VALUE('1.IS'!B5)</f>
        <v>608.75</v>
      </c>
      <c r="C3" s="114">
        <f>VALUE('1.IS'!C5)</f>
        <v>701.09999999999991</v>
      </c>
      <c r="D3" s="114">
        <f>VALUE('1.IS'!D5)</f>
        <v>808.2</v>
      </c>
      <c r="E3" s="114">
        <f>VALUE('1.IS'!E5)</f>
        <v>1010.4</v>
      </c>
      <c r="F3" s="114">
        <f>VALUE('1.IS'!F5)</f>
        <v>1159.7</v>
      </c>
      <c r="G3" s="114">
        <f>VALUE('1.IS'!G5)</f>
        <v>1420.6</v>
      </c>
      <c r="H3" s="114">
        <f>VALUE('1.IS'!H5)</f>
        <v>222</v>
      </c>
      <c r="I3" s="114">
        <f>'1.IS'!I5</f>
        <v>1516.4163145125126</v>
      </c>
      <c r="J3" s="78">
        <f>'1.IS'!J5</f>
        <v>1754.3145786280468</v>
      </c>
      <c r="K3" s="78">
        <f>'1.IS'!K5</f>
        <v>2029.5347730918302</v>
      </c>
      <c r="L3" s="78">
        <f>'1.IS'!L5</f>
        <v>2347.9320330394557</v>
      </c>
      <c r="M3" s="124">
        <f>'1.IS'!M5</f>
        <v>2716.280058298541</v>
      </c>
      <c r="N3" s="9"/>
    </row>
    <row r="4" spans="1:14" s="6" customFormat="1" ht="24.95" customHeight="1">
      <c r="A4" s="125" t="s">
        <v>42</v>
      </c>
      <c r="B4" s="115">
        <f>IFERROR(VALUE(VLOOKUP("CapEx Mantenimiento",TIKR_Cálculos!$A:$H,COLUMN(B4),FALSE)),"0")</f>
        <v>-23.6</v>
      </c>
      <c r="C4" s="115">
        <f>IFERROR(VALUE(VLOOKUP("CapEx Mantenimiento",TIKR_Cálculos!$A:$H,COLUMN(C4),FALSE)),"0")</f>
        <v>-64.699999999999989</v>
      </c>
      <c r="D4" s="115">
        <f>IFERROR(VALUE(VLOOKUP("CapEx Mantenimiento",TIKR_Cálculos!$A:$H,COLUMN(D4),FALSE)),"0")</f>
        <v>-59.7</v>
      </c>
      <c r="E4" s="115">
        <f>IFERROR(VALUE(VLOOKUP("CapEx Mantenimiento",TIKR_Cálculos!$A:$H,COLUMN(E4),FALSE)),"0")</f>
        <v>-34.200000000000003</v>
      </c>
      <c r="F4" s="115">
        <f>IFERROR(VALUE(VLOOKUP("CapEx Mantenimiento",TIKR_Cálculos!$A:$H,COLUMN(F4),FALSE)),"0")</f>
        <v>-45.2</v>
      </c>
      <c r="G4" s="115">
        <f>IFERROR(VALUE(VLOOKUP("CapEx Mantenimiento",TIKR_Cálculos!$A:$H,COLUMN(G4),FALSE)),"0")</f>
        <v>-55.7</v>
      </c>
      <c r="H4" s="115">
        <f>IFERROR(VALUE(VLOOKUP("CapEx Mantenimiento",TIKR_Cálculos!$A:$H,COLUMN(H4),FALSE)),"0")</f>
        <v>11</v>
      </c>
      <c r="I4" s="133">
        <f>IFERROR((H4*'1.IS'!$Q$3)+'2.FCF'!H4,"")</f>
        <v>12.725700838369136</v>
      </c>
      <c r="J4" s="84">
        <f>IFERROR((I4*'1.IS'!$Q$3)+'2.FCF'!I4,"")</f>
        <v>14.722132893424448</v>
      </c>
      <c r="K4" s="84">
        <f>IFERROR((J4*'1.IS'!$Q$3)+'2.FCF'!J4,"")</f>
        <v>17.03176899131212</v>
      </c>
      <c r="L4" s="84">
        <f>IFERROR((K4*'1.IS'!$Q$3)+'2.FCF'!K4,"")</f>
        <v>19.703745175604553</v>
      </c>
      <c r="M4" s="138">
        <f>IFERROR((L4*'1.IS'!$Q$3)+'2.FCF'!L4,"")</f>
        <v>22.79490604547297</v>
      </c>
      <c r="N4" s="15"/>
    </row>
    <row r="5" spans="1:14" s="6" customFormat="1" ht="24.95" customHeight="1">
      <c r="A5" s="101" t="s">
        <v>43</v>
      </c>
      <c r="B5" s="133">
        <f>VALUE('1.IS'!B12)</f>
        <v>-37.1</v>
      </c>
      <c r="C5" s="133">
        <f>VALUE('1.IS'!C12)</f>
        <v>-110.2</v>
      </c>
      <c r="D5" s="133">
        <f>VALUE('1.IS'!D12)</f>
        <v>-108.3</v>
      </c>
      <c r="E5" s="133">
        <f>VALUE('1.IS'!E12)</f>
        <v>-159.69999999999999</v>
      </c>
      <c r="F5" s="133">
        <f>VALUE('1.IS'!F12)</f>
        <v>-239</v>
      </c>
      <c r="G5" s="133">
        <f>VALUE('1.IS'!G12)</f>
        <v>-258.5</v>
      </c>
      <c r="H5" s="133">
        <f>VALUE('1.IS'!H12)</f>
        <v>1102</v>
      </c>
      <c r="I5" s="133">
        <f>'1.IS'!I12</f>
        <v>-152.57490271601341</v>
      </c>
      <c r="J5" s="84">
        <f>'1.IS'!J12</f>
        <v>-138.234341854555</v>
      </c>
      <c r="K5" s="84">
        <f>'1.IS'!K12</f>
        <v>-121.6440066384327</v>
      </c>
      <c r="L5" s="84">
        <f>'1.IS'!L12</f>
        <v>-102.45094820492085</v>
      </c>
      <c r="M5" s="138">
        <f>'1.IS'!M12</f>
        <v>-80.246846405083488</v>
      </c>
      <c r="N5" s="15"/>
    </row>
    <row r="6" spans="1:14" s="6" customFormat="1" ht="24.95" customHeight="1">
      <c r="A6" s="101" t="s">
        <v>44</v>
      </c>
      <c r="B6" s="133">
        <f>'1.IS'!B14</f>
        <v>-118.2</v>
      </c>
      <c r="C6" s="84">
        <f>'1.IS'!C14</f>
        <v>-127.4</v>
      </c>
      <c r="D6" s="84">
        <f>'1.IS'!D14</f>
        <v>-143.6</v>
      </c>
      <c r="E6" s="84">
        <f>'1.IS'!E14</f>
        <v>-175.7</v>
      </c>
      <c r="F6" s="84">
        <f>'1.IS'!F14</f>
        <v>-204.3</v>
      </c>
      <c r="G6" s="84">
        <f>'1.IS'!G14</f>
        <v>-275.60000000000002</v>
      </c>
      <c r="H6" s="84">
        <f>'1.IS'!H14</f>
        <v>-310</v>
      </c>
      <c r="I6" s="133">
        <f>'1.IS'!I14</f>
        <v>-311.41036813475483</v>
      </c>
      <c r="J6" s="84">
        <f>'1.IS'!J14</f>
        <v>-371.03253767300259</v>
      </c>
      <c r="K6" s="84">
        <f>'1.IS'!K14</f>
        <v>-440.00834611648122</v>
      </c>
      <c r="L6" s="84">
        <f>'1.IS'!L14</f>
        <v>-519.80521005615071</v>
      </c>
      <c r="M6" s="138">
        <f>'1.IS'!M14</f>
        <v>-612.12075717763082</v>
      </c>
      <c r="N6" s="15"/>
    </row>
    <row r="7" spans="1:14" s="6" customFormat="1" ht="24.95" customHeight="1">
      <c r="A7" s="139" t="s">
        <v>45</v>
      </c>
      <c r="B7" s="115">
        <f>IFERROR(VALUE(VLOOKUP("Inventory*",'7.TIKR_BS'!$A:$H,COLUMN(B7),FALSE)),"0")</f>
        <v>676.5</v>
      </c>
      <c r="C7" s="115">
        <f>IFERROR(VALUE(VLOOKUP("Inventory*",'7.TIKR_BS'!$A:$H,COLUMN(C7),FALSE)),"0")</f>
        <v>786.8</v>
      </c>
      <c r="D7" s="115">
        <f>IFERROR(VALUE(VLOOKUP("Inventory*",'7.TIKR_BS'!$A:$H,COLUMN(D7),FALSE)),"0")</f>
        <v>832.1</v>
      </c>
      <c r="E7" s="115">
        <f>IFERROR(VALUE(VLOOKUP("Inventory*",'7.TIKR_BS'!$A:$H,COLUMN(E7),FALSE)),"0")</f>
        <v>975.4</v>
      </c>
      <c r="F7" s="115">
        <f>IFERROR(VALUE(VLOOKUP("Inventory*",'7.TIKR_BS'!$A:$H,COLUMN(F7),FALSE)),"0")</f>
        <v>1776.4</v>
      </c>
      <c r="G7" s="115">
        <f>IFERROR(VALUE(VLOOKUP("Inventory*",'7.TIKR_BS'!$A:$H,COLUMN(G7),FALSE)),"0")</f>
        <v>0</v>
      </c>
      <c r="H7" s="115">
        <f>IFERROR(VALUE(VLOOKUP("Inventory*",'7.TIKR_BS'!$A:$H,COLUMN(H7),FALSE)),"0")</f>
        <v>0</v>
      </c>
      <c r="I7" s="134"/>
      <c r="J7" s="85"/>
      <c r="K7" s="85"/>
      <c r="L7" s="85"/>
      <c r="M7" s="140"/>
      <c r="N7" s="15"/>
    </row>
    <row r="8" spans="1:14" s="6" customFormat="1" ht="24.95" customHeight="1">
      <c r="A8" s="139" t="s">
        <v>46</v>
      </c>
      <c r="B8" s="115">
        <f>IFERROR(VALUE(VLOOKUP("Net Receivables*",'7.TIKR_BS'!$A:$H,COLUMN(B8),FALSE)),"0")</f>
        <v>910.2</v>
      </c>
      <c r="C8" s="115">
        <f>IFERROR(VALUE(VLOOKUP("Net Receivables*",'7.TIKR_BS'!$A:$H,COLUMN(C8),FALSE)),"0")</f>
        <v>1001.4</v>
      </c>
      <c r="D8" s="115">
        <f>IFERROR(VALUE(VLOOKUP("Net Receivables*",'7.TIKR_BS'!$A:$H,COLUMN(D8),FALSE)),"0")</f>
        <v>1142.7</v>
      </c>
      <c r="E8" s="115">
        <f>IFERROR(VALUE(VLOOKUP("Net Receivables*",'7.TIKR_BS'!$A:$H,COLUMN(E8),FALSE)),"0")</f>
        <v>1279.3</v>
      </c>
      <c r="F8" s="115">
        <f>IFERROR(VALUE(VLOOKUP("Net Receivables*",'7.TIKR_BS'!$A:$H,COLUMN(F8),FALSE)),"0")</f>
        <v>2355.3000000000002</v>
      </c>
      <c r="G8" s="115">
        <f>IFERROR(VALUE(VLOOKUP("Net Receivables*",'7.TIKR_BS'!$A:$H,COLUMN(G8),FALSE)),"0")</f>
        <v>2039.5</v>
      </c>
      <c r="H8" s="115">
        <f>IFERROR(VALUE(VLOOKUP("Net Receivables*",'7.TIKR_BS'!$A:$H,COLUMN(H8),FALSE)),"0")</f>
        <v>3538</v>
      </c>
      <c r="I8" s="134"/>
      <c r="J8" s="85"/>
      <c r="K8" s="85"/>
      <c r="L8" s="85"/>
      <c r="M8" s="140"/>
      <c r="N8" s="15"/>
    </row>
    <row r="9" spans="1:14" s="6" customFormat="1" ht="24.95" customHeight="1">
      <c r="A9" s="139" t="s">
        <v>47</v>
      </c>
      <c r="B9" s="115">
        <f>IFERROR(VALUE(VLOOKUP("Other Current Liabilities*",'7.TIKR_BS'!$A:$H,COLUMN(B9),FALSE)),"0")+IFERROR(VALUE(VLOOKUP("Deferred Revenue*",'7.TIKR_BS'!$A:$H,COLUMN(B9),FALSE)),"0")+IFERROR(VALUE(VLOOKUP("Deferred Revenue Non Current*",'7.TIKR_BS'!$A:$H,COLUMN(B9),FALSE)),"0")</f>
        <v>788.1</v>
      </c>
      <c r="C9" s="115">
        <f>IFERROR(VALUE(VLOOKUP("Other Current Liabilities*",'7.TIKR_BS'!$A:$H,COLUMN(C9),FALSE)),"0")+IFERROR(VALUE(VLOOKUP("Deferred Revenue*",'7.TIKR_BS'!$A:$H,COLUMN(C9),FALSE)),"0")+IFERROR(VALUE(VLOOKUP("Deferred Revenue Non Current*",'7.TIKR_BS'!$A:$H,COLUMN(C9),FALSE)),"0")</f>
        <v>1283.2</v>
      </c>
      <c r="D9" s="115">
        <f>IFERROR(VALUE(VLOOKUP("Other Current Liabilities*",'7.TIKR_BS'!$A:$H,COLUMN(D9),FALSE)),"0")+IFERROR(VALUE(VLOOKUP("Deferred Revenue*",'7.TIKR_BS'!$A:$H,COLUMN(D9),FALSE)),"0")+IFERROR(VALUE(VLOOKUP("Deferred Revenue Non Current*",'7.TIKR_BS'!$A:$H,COLUMN(D9),FALSE)),"0")</f>
        <v>1326.97</v>
      </c>
      <c r="E9" s="115">
        <f>IFERROR(VALUE(VLOOKUP("Other Current Liabilities*",'7.TIKR_BS'!$A:$H,COLUMN(E9),FALSE)),"0")+IFERROR(VALUE(VLOOKUP("Deferred Revenue*",'7.TIKR_BS'!$A:$H,COLUMN(E9),FALSE)),"0")+IFERROR(VALUE(VLOOKUP("Deferred Revenue Non Current*",'7.TIKR_BS'!$A:$H,COLUMN(E9),FALSE)),"0")</f>
        <v>1493.5700000000002</v>
      </c>
      <c r="F9" s="115">
        <f>IFERROR(VALUE(VLOOKUP("Other Current Liabilities*",'7.TIKR_BS'!$A:$H,COLUMN(F9),FALSE)),"0")+IFERROR(VALUE(VLOOKUP("Deferred Revenue*",'7.TIKR_BS'!$A:$H,COLUMN(F9),FALSE)),"0")+IFERROR(VALUE(VLOOKUP("Deferred Revenue Non Current*",'7.TIKR_BS'!$A:$H,COLUMN(F9),FALSE)),"0")</f>
        <v>4551.7</v>
      </c>
      <c r="G9" s="115">
        <f>IFERROR(VALUE(VLOOKUP("Other Current Liabilities*",'7.TIKR_BS'!$A:$H,COLUMN(G9),FALSE)),"0")+IFERROR(VALUE(VLOOKUP("Deferred Revenue*",'7.TIKR_BS'!$A:$H,COLUMN(G9),FALSE)),"0")+IFERROR(VALUE(VLOOKUP("Deferred Revenue Non Current*",'7.TIKR_BS'!$A:$H,COLUMN(G9),FALSE)),"0")</f>
        <v>4391.7</v>
      </c>
      <c r="H9" s="115">
        <f>IFERROR(VALUE(VLOOKUP("Other Current Liabilities*",'7.TIKR_BS'!$A:$H,COLUMN(H9),FALSE)),"0")+IFERROR(VALUE(VLOOKUP("Deferred Revenue*",'7.TIKR_BS'!$A:$H,COLUMN(H9),FALSE)),"0")+IFERROR(VALUE(VLOOKUP("Deferred Revenue Non Current*",'7.TIKR_BS'!$A:$H,COLUMN(H9),FALSE)),"0")</f>
        <v>5716</v>
      </c>
      <c r="I9" s="134"/>
      <c r="J9" s="85"/>
      <c r="K9" s="85"/>
      <c r="L9" s="85"/>
      <c r="M9" s="140"/>
      <c r="N9" s="15"/>
    </row>
    <row r="10" spans="1:14" s="6" customFormat="1" ht="24.95" customHeight="1" thickBot="1">
      <c r="A10" s="141" t="s">
        <v>48</v>
      </c>
      <c r="B10" s="133">
        <f>B7+B8-B9</f>
        <v>798.6</v>
      </c>
      <c r="C10" s="84">
        <f t="shared" ref="C10:H10" si="0">C7+C8-C9</f>
        <v>504.99999999999977</v>
      </c>
      <c r="D10" s="84">
        <f t="shared" si="0"/>
        <v>647.83000000000015</v>
      </c>
      <c r="E10" s="84">
        <f t="shared" si="0"/>
        <v>761.12999999999965</v>
      </c>
      <c r="F10" s="84">
        <f t="shared" si="0"/>
        <v>-419.99999999999909</v>
      </c>
      <c r="G10" s="84">
        <f t="shared" si="0"/>
        <v>-2352.1999999999998</v>
      </c>
      <c r="H10" s="84">
        <f t="shared" si="0"/>
        <v>-2178</v>
      </c>
      <c r="I10" s="133">
        <f>IFERROR(IF(AND(I7&lt;&gt;"",I8&lt;&gt;"",I9&lt;&gt;""),I7+I8-I9,H10+I11),"")</f>
        <v>-2978.354853881493</v>
      </c>
      <c r="J10" s="84">
        <f>IFERROR(IF(AND(J7&lt;&gt;"",J8&lt;&gt;"",J9&lt;&gt;""),J7+J8-J9,I10+J11),"")</f>
        <v>-3904.2708934299044</v>
      </c>
      <c r="K10" s="84">
        <f>IFERROR(IF(AND(K7&lt;&gt;"",K8&lt;&gt;"",K9&lt;&gt;""),K7+K8-K9,J10+K11),"")</f>
        <v>-4975.4463953154172</v>
      </c>
      <c r="L10" s="84">
        <f>IFERROR(IF(AND(L7&lt;&gt;"",L8&lt;&gt;"",L9&lt;&gt;""),L7+L8-L9,K10+L11),"")</f>
        <v>-6214.6699391685952</v>
      </c>
      <c r="M10" s="138">
        <f>IFERROR(IF(AND(M7&lt;&gt;"",M8&lt;&gt;"",M9&lt;&gt;""),M7+M8-M9,L10+M11),"")</f>
        <v>-7648.3052201630635</v>
      </c>
      <c r="N10" s="15"/>
    </row>
    <row r="11" spans="1:14" s="6" customFormat="1" ht="24.95" customHeight="1" thickTop="1" thickBot="1">
      <c r="A11" s="101" t="s">
        <v>49</v>
      </c>
      <c r="B11" s="133"/>
      <c r="C11" s="84">
        <f>(C7+C8-C9)-(B7+B8-B9)</f>
        <v>-293.60000000000025</v>
      </c>
      <c r="D11" s="84">
        <f t="shared" ref="D11:H11" si="1">(D7+D8-D9)-(C7+C8-C9)</f>
        <v>142.83000000000038</v>
      </c>
      <c r="E11" s="84">
        <f t="shared" si="1"/>
        <v>113.2999999999995</v>
      </c>
      <c r="F11" s="84">
        <f t="shared" si="1"/>
        <v>-1181.1299999999987</v>
      </c>
      <c r="G11" s="84">
        <f t="shared" si="1"/>
        <v>-1932.2000000000007</v>
      </c>
      <c r="H11" s="84">
        <f t="shared" si="1"/>
        <v>174.19999999999982</v>
      </c>
      <c r="I11" s="233">
        <f>IFERROR((SUM(C11:H11)/SUM('1.IS'!C3:H3))*'1.IS'!I3,"")</f>
        <v>-800.35485388149323</v>
      </c>
      <c r="J11" s="234">
        <f>IFERROR(IF(AND(J7&lt;&gt;"",J8&lt;&gt;"",J9&lt;&gt;""),(J7+J8-J9)-(I7+I8-I9),(I11/'1.IS'!I3)*'1.IS'!J3),"")</f>
        <v>-925.91603954841139</v>
      </c>
      <c r="K11" s="234">
        <f>IFERROR(IF(AND(K7&lt;&gt;"",K8&lt;&gt;"",K9&lt;&gt;""),(K7+K8-K9)-(J7+J8-J9),(J11/'1.IS'!J3)*'1.IS'!K3),"")</f>
        <v>-1071.1755018855133</v>
      </c>
      <c r="L11" s="234">
        <f>IFERROR(IF(AND(L7&lt;&gt;"",L8&lt;&gt;"",L9&lt;&gt;""),(L7+L8-L9)-(K7+K8-K9),(K11/'1.IS'!K3)*'1.IS'!L3),"")</f>
        <v>-1239.2235438531777</v>
      </c>
      <c r="M11" s="235">
        <f>IFERROR(IF(AND(M7&lt;&gt;"",M8&lt;&gt;"",M9&lt;&gt;""),(M7+M8-M9)-(L7+L8-L9),(L11/'1.IS'!L3)*'1.IS'!M3),"")</f>
        <v>-1433.6352809944688</v>
      </c>
      <c r="N11" s="15"/>
    </row>
    <row r="12" spans="1:14" s="6" customFormat="1" ht="24.95" customHeight="1" thickTop="1">
      <c r="A12" s="142" t="s">
        <v>50</v>
      </c>
      <c r="B12" s="134" t="str">
        <f>'1.IS'!B17</f>
        <v>0</v>
      </c>
      <c r="C12" s="85" t="str">
        <f>'1.IS'!C17</f>
        <v>0</v>
      </c>
      <c r="D12" s="85" t="str">
        <f>'1.IS'!D17</f>
        <v>0</v>
      </c>
      <c r="E12" s="85" t="str">
        <f>'1.IS'!E17</f>
        <v>0</v>
      </c>
      <c r="F12" s="85" t="str">
        <f>'1.IS'!F17</f>
        <v>0</v>
      </c>
      <c r="G12" s="85" t="str">
        <f>'1.IS'!G17</f>
        <v>0</v>
      </c>
      <c r="H12" s="85" t="str">
        <f>'1.IS'!H17</f>
        <v>0</v>
      </c>
      <c r="I12" s="134">
        <f>'1.IS'!I17</f>
        <v>0</v>
      </c>
      <c r="J12" s="85">
        <f>'1.IS'!J17</f>
        <v>0</v>
      </c>
      <c r="K12" s="85">
        <f>'1.IS'!K17</f>
        <v>0</v>
      </c>
      <c r="L12" s="85">
        <f>'1.IS'!L17</f>
        <v>0</v>
      </c>
      <c r="M12" s="140">
        <f>'1.IS'!M17</f>
        <v>0</v>
      </c>
      <c r="N12" s="17"/>
    </row>
    <row r="13" spans="1:14" s="6" customFormat="1" ht="24.95" customHeight="1">
      <c r="A13" s="143" t="s">
        <v>51</v>
      </c>
      <c r="B13" s="135">
        <f>B3+B4+B5+B6-B11+B12</f>
        <v>429.84999999999997</v>
      </c>
      <c r="C13" s="86">
        <f t="shared" ref="C13:H13" si="2">C3+C4+C5+C6-C11+C12</f>
        <v>692.40000000000009</v>
      </c>
      <c r="D13" s="86">
        <f t="shared" si="2"/>
        <v>353.76999999999964</v>
      </c>
      <c r="E13" s="86">
        <f t="shared" si="2"/>
        <v>527.50000000000045</v>
      </c>
      <c r="F13" s="86">
        <f t="shared" si="2"/>
        <v>1852.3299999999988</v>
      </c>
      <c r="G13" s="86">
        <f t="shared" si="2"/>
        <v>2763.0000000000005</v>
      </c>
      <c r="H13" s="86">
        <f t="shared" si="2"/>
        <v>850.80000000000018</v>
      </c>
      <c r="I13" s="135">
        <f>IFERROR(I3+I4+I5+I6-I11+I12,"")</f>
        <v>1865.5115983816067</v>
      </c>
      <c r="J13" s="86">
        <f t="shared" ref="J13:M13" si="3">IFERROR(J3+J4+J5+J6-J11+J12,"")</f>
        <v>2185.685871542325</v>
      </c>
      <c r="K13" s="86">
        <f t="shared" si="3"/>
        <v>2556.0896912137418</v>
      </c>
      <c r="L13" s="86">
        <f t="shared" si="3"/>
        <v>2984.6031638071663</v>
      </c>
      <c r="M13" s="144">
        <f t="shared" si="3"/>
        <v>3480.3426417557685</v>
      </c>
      <c r="N13" s="15"/>
    </row>
    <row r="14" spans="1:14" s="6" customFormat="1" ht="24.95" customHeight="1">
      <c r="A14" s="145" t="s">
        <v>52</v>
      </c>
      <c r="B14" s="136">
        <f>IFERROR(B13/'1.IS'!B3,"")</f>
        <v>0.21386636151052288</v>
      </c>
      <c r="C14" s="24">
        <f>IFERROR(C13/'1.IS'!C3,"")</f>
        <v>0.29035098754560329</v>
      </c>
      <c r="D14" s="24">
        <f>IFERROR(D13/'1.IS'!D3,"")</f>
        <v>0.13574690150032603</v>
      </c>
      <c r="E14" s="24">
        <f>IFERROR(E13/'1.IS'!E3,"")</f>
        <v>0.17309269893355225</v>
      </c>
      <c r="F14" s="24">
        <f>IFERROR(F13/'1.IS'!F3,"")</f>
        <v>0.51836626182347312</v>
      </c>
      <c r="G14" s="24">
        <f>IFERROR(G13/'1.IS'!G3,"")</f>
        <v>0.64903337953066642</v>
      </c>
      <c r="H14" s="48">
        <f>IFERROR(H13/'1.IS'!H3,"")</f>
        <v>0.17706555671175861</v>
      </c>
      <c r="I14" s="39">
        <f>IFERROR(I13/'1.IS'!I3,"")</f>
        <v>0.33559504292347592</v>
      </c>
      <c r="J14" s="24">
        <f>IFERROR(J13/'1.IS'!J3,"")</f>
        <v>0.33987271783575829</v>
      </c>
      <c r="K14" s="24">
        <f>IFERROR(K13/'1.IS'!K3,"")</f>
        <v>0.34357030782571268</v>
      </c>
      <c r="L14" s="24">
        <f>IFERROR(L13/'1.IS'!L3,"")</f>
        <v>0.34676647677594152</v>
      </c>
      <c r="M14" s="146">
        <f>IFERROR(M13/'1.IS'!M3,"")</f>
        <v>0.34952922115435048</v>
      </c>
      <c r="N14" s="15"/>
    </row>
    <row r="15" spans="1:14" s="6" customFormat="1" ht="24.95" customHeight="1">
      <c r="A15" s="104" t="s">
        <v>19</v>
      </c>
      <c r="B15" s="137"/>
      <c r="C15" s="24">
        <f t="shared" ref="C15:M15" si="4">IFERROR((C13-B13)/B13,"")</f>
        <v>0.61079446318483221</v>
      </c>
      <c r="D15" s="24">
        <f t="shared" si="4"/>
        <v>-0.48906701328711788</v>
      </c>
      <c r="E15" s="24">
        <f t="shared" si="4"/>
        <v>0.49108177629533595</v>
      </c>
      <c r="F15" s="24">
        <f t="shared" si="4"/>
        <v>2.5115260663507057</v>
      </c>
      <c r="G15" s="24">
        <f t="shared" si="4"/>
        <v>0.49163485987918043</v>
      </c>
      <c r="H15" s="48">
        <f t="shared" si="4"/>
        <v>-0.6920738327904451</v>
      </c>
      <c r="I15" s="39">
        <f t="shared" si="4"/>
        <v>1.1926558514123253</v>
      </c>
      <c r="J15" s="24">
        <f t="shared" si="4"/>
        <v>0.17162813323620185</v>
      </c>
      <c r="K15" s="24">
        <f t="shared" si="4"/>
        <v>0.16946800292488604</v>
      </c>
      <c r="L15" s="24">
        <f t="shared" si="4"/>
        <v>0.16764414569112704</v>
      </c>
      <c r="M15" s="146">
        <f t="shared" si="4"/>
        <v>0.16609895880303088</v>
      </c>
      <c r="N15" s="15"/>
    </row>
    <row r="16" spans="1:14" s="6" customFormat="1" ht="24.95" customHeight="1" thickBot="1">
      <c r="A16" s="104" t="s">
        <v>53</v>
      </c>
      <c r="B16" s="90">
        <f>IFERROR(B13/'1.IS'!B22,"")</f>
        <v>1.5600275822022209</v>
      </c>
      <c r="C16" s="88">
        <f>IFERROR(C13/'1.IS'!C22,"")</f>
        <v>2.5213021629888575</v>
      </c>
      <c r="D16" s="88">
        <f>IFERROR(D13/'1.IS'!D22,"")</f>
        <v>1.282379381592778</v>
      </c>
      <c r="E16" s="88">
        <f>IFERROR(E13/'1.IS'!E22,"")</f>
        <v>1.9015176093147341</v>
      </c>
      <c r="F16" s="88">
        <f>IFERROR(F13/'1.IS'!F22,"")</f>
        <v>6.648707824838473</v>
      </c>
      <c r="G16" s="88">
        <f>IFERROR(G13/'1.IS'!G22,"")</f>
        <v>9.8397435897435912</v>
      </c>
      <c r="H16" s="88">
        <f>IFERROR(H13/'1.IS'!H22,"")</f>
        <v>2.9957746478873246</v>
      </c>
      <c r="I16" s="90">
        <f>IFERROR(I13/'1.IS'!I22,"")</f>
        <v>6.5356135417616494</v>
      </c>
      <c r="J16" s="88">
        <f>IFERROR(J13/'1.IS'!J22,"")</f>
        <v>7.6187356665389476</v>
      </c>
      <c r="K16" s="88">
        <f>IFERROR(K13/'1.IS'!K22,"")</f>
        <v>8.864984901272587</v>
      </c>
      <c r="L16" s="88">
        <f>IFERROR(L13/'1.IS'!L22,"")</f>
        <v>10.299004714714616</v>
      </c>
      <c r="M16" s="89">
        <f>IFERROR(M13/'1.IS'!M22,"")</f>
        <v>11.949161062876774</v>
      </c>
      <c r="N16" s="16"/>
    </row>
    <row r="17" spans="1:14" s="6" customFormat="1" ht="24.95" customHeight="1" thickTop="1" thickBot="1">
      <c r="A17" s="190" t="s">
        <v>54</v>
      </c>
      <c r="B17" s="147">
        <f>IFERROR(VALUE(VLOOKUP("Net Change in Cash*",'8.TIKR_CF'!$A:$H,COLUMN(B17),FALSE)),"0")</f>
        <v>-46.5</v>
      </c>
      <c r="C17" s="147">
        <f>IFERROR(VALUE(VLOOKUP("Net Change in Cash*",'8.TIKR_CF'!$A:$H,COLUMN(C17),FALSE)),"0")</f>
        <v>185.4</v>
      </c>
      <c r="D17" s="147">
        <f>IFERROR(VALUE(VLOOKUP("Net Change in Cash*",'8.TIKR_CF'!$A:$H,COLUMN(D17),FALSE)),"0")</f>
        <v>308.89999999999998</v>
      </c>
      <c r="E17" s="147">
        <f>IFERROR(VALUE(VLOOKUP("Net Change in Cash*",'8.TIKR_CF'!$A:$H,COLUMN(E17),FALSE)),"0")</f>
        <v>198.4</v>
      </c>
      <c r="F17" s="147">
        <f>IFERROR(VALUE(VLOOKUP("Net Change in Cash*",'8.TIKR_CF'!$A:$H,COLUMN(F17),FALSE)),"0")</f>
        <v>562.9</v>
      </c>
      <c r="G17" s="147">
        <f>IFERROR(VALUE(VLOOKUP("Net Change in Cash*",'8.TIKR_CF'!$A:$H,COLUMN(G17),FALSE)),"0")</f>
        <v>269.7</v>
      </c>
      <c r="H17" s="147">
        <f>IFERROR(VALUE(VLOOKUP("Net Change in Cash*",'8.TIKR_CF'!$A:$H,COLUMN(H17),FALSE)),"0")</f>
        <v>199</v>
      </c>
      <c r="I17" s="233">
        <f>IFERROR((SUM($B17:$H17)/SUM('1.IS'!$B3:$H3))*'1.IS'!I3,"")</f>
        <v>411.15796831320444</v>
      </c>
      <c r="J17" s="234">
        <f>IFERROR((SUM($B17:$H17)/SUM('1.IS'!$B3:$H3))*'1.IS'!J3,"")</f>
        <v>475.6612092786815</v>
      </c>
      <c r="K17" s="234">
        <f>IFERROR((SUM($B17:$H17)/SUM('1.IS'!$B3:$H3))*'1.IS'!K3,"")</f>
        <v>550.28384088158123</v>
      </c>
      <c r="L17" s="234">
        <f>IFERROR((SUM($B17:$H17)/SUM('1.IS'!$B3:$H3))*'1.IS'!L3,"")</f>
        <v>636.61341229524771</v>
      </c>
      <c r="M17" s="235">
        <f>IFERROR((SUM($B17:$H17)/SUM('1.IS'!$B3:$H3))*'1.IS'!M3,"")</f>
        <v>736.48653041478815</v>
      </c>
      <c r="N17" s="16"/>
    </row>
    <row r="18" spans="1:14" s="6" customFormat="1" ht="24.75" customHeight="1" thickTop="1">
      <c r="A18" s="20"/>
      <c r="B18" s="14"/>
      <c r="C18" s="14"/>
      <c r="D18" s="14"/>
      <c r="E18" s="14"/>
      <c r="F18" s="14"/>
      <c r="G18" s="14"/>
      <c r="H18" s="14"/>
      <c r="I18" s="14"/>
      <c r="J18" s="14"/>
      <c r="K18" s="14"/>
      <c r="L18" s="14"/>
      <c r="M18" s="14"/>
      <c r="N18" s="7"/>
    </row>
    <row r="19" spans="1:14" s="107" customFormat="1" ht="39.950000000000003" customHeight="1">
      <c r="A19" s="110" t="s">
        <v>55</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56</v>
      </c>
      <c r="B20" s="136">
        <f>IFERROR(ABS(B4)/'1.IS'!B$3,"")</f>
        <v>1.1741877705358476E-2</v>
      </c>
      <c r="C20" s="24">
        <f>IFERROR(ABS(C4)/'1.IS'!C$3,"")</f>
        <v>2.7131295341133056E-2</v>
      </c>
      <c r="D20" s="24">
        <f>IFERROR(ABS(D4)/'1.IS'!D$3,"")</f>
        <v>2.2907793254288017E-2</v>
      </c>
      <c r="E20" s="24">
        <f>IFERROR(ABS(E4)/'1.IS'!E$3,"")</f>
        <v>1.1222313371616079E-2</v>
      </c>
      <c r="F20" s="24">
        <f>IFERROR(ABS(F4)/'1.IS'!F$3,"")</f>
        <v>1.2649017742206302E-2</v>
      </c>
      <c r="G20" s="24">
        <f>IFERROR(ABS(G4)/'1.IS'!G$3,"")</f>
        <v>1.308402433581546E-2</v>
      </c>
      <c r="H20" s="24">
        <f>IFERROR(ABS(H4)/'1.IS'!H$3,"")</f>
        <v>2.2892819979188346E-3</v>
      </c>
      <c r="I20" s="136">
        <f>IFERROR(ABS(I4)/'1.IS'!I$3,"")</f>
        <v>2.2892819979188346E-3</v>
      </c>
      <c r="J20" s="24">
        <f>IFERROR(ABS(J4)/'1.IS'!J$3,"")</f>
        <v>2.2892819979188346E-3</v>
      </c>
      <c r="K20" s="24">
        <f>IFERROR(ABS(K4)/'1.IS'!K$3,"")</f>
        <v>2.289281997918835E-3</v>
      </c>
      <c r="L20" s="24">
        <f>IFERROR(ABS(L4)/'1.IS'!L$3,"")</f>
        <v>2.289281997918835E-3</v>
      </c>
      <c r="M20" s="24">
        <f>IFERROR(ABS(M4)/'1.IS'!M$3,"")</f>
        <v>2.289281997918835E-3</v>
      </c>
      <c r="N20" s="150">
        <f>IFERROR(AVERAGE(B20:H20),"")</f>
        <v>1.4432229106905173E-2</v>
      </c>
    </row>
    <row r="21" spans="1:14" s="6" customFormat="1" ht="24.75" customHeight="1">
      <c r="A21" s="101" t="s">
        <v>57</v>
      </c>
      <c r="B21" s="136">
        <f>IFERROR((B7+B8-B9)/'1.IS'!B$3,"")</f>
        <v>0.3973332006567491</v>
      </c>
      <c r="C21" s="24">
        <f>IFERROR((C7+C8-C9)/'1.IS'!C$3,"")</f>
        <v>0.21176667924686535</v>
      </c>
      <c r="D21" s="24">
        <f>IFERROR((D7+D8-D9)/'1.IS'!D$3,"")</f>
        <v>0.24858217259506549</v>
      </c>
      <c r="E21" s="24">
        <f>IFERROR((E7+E8-E9)/'1.IS'!E$3,"")</f>
        <v>0.24975553732567668</v>
      </c>
      <c r="F21" s="24">
        <f>IFERROR((F7+F8-F9)/'1.IS'!F$3,"")</f>
        <v>-0.11753512061342114</v>
      </c>
      <c r="G21" s="24">
        <f>IFERROR((G7+G8-G9)/'1.IS'!G$3,"")</f>
        <v>-0.55253576378285674</v>
      </c>
      <c r="H21" s="24">
        <f>IFERROR((H7+H8-H9)/'1.IS'!H$3,"")</f>
        <v>-0.45327783558792922</v>
      </c>
      <c r="I21" s="136">
        <f>IFERROR(I10/'1.IS'!I$3,"")</f>
        <v>-0.53578928477143761</v>
      </c>
      <c r="J21" s="24">
        <f>IFERROR(J10/'1.IS'!J$3,"")</f>
        <v>-0.6071115602630961</v>
      </c>
      <c r="K21" s="24">
        <f>IFERROR(K10/'1.IS'!K$3,"")</f>
        <v>-0.66876199825255189</v>
      </c>
      <c r="L21" s="24">
        <f>IFERROR(L10/'1.IS'!L$3,"")</f>
        <v>-0.72205217271896072</v>
      </c>
      <c r="M21" s="24">
        <f>IFERROR(M10/'1.IS'!M$3,"")</f>
        <v>-0.76811579833579691</v>
      </c>
      <c r="N21" s="150">
        <f>IFERROR(AVERAGE(B21:H21),"")</f>
        <v>-2.2730185942643833E-3</v>
      </c>
    </row>
    <row r="22" spans="1:14" s="6" customFormat="1" ht="24.95" customHeight="1">
      <c r="A22" s="101" t="s">
        <v>58</v>
      </c>
      <c r="B22" s="136">
        <f>IFERROR(B13/'1.IS'!B$3,"")</f>
        <v>0.21386636151052288</v>
      </c>
      <c r="C22" s="24">
        <f>IFERROR(C13/'1.IS'!C$3,"")</f>
        <v>0.29035098754560329</v>
      </c>
      <c r="D22" s="24">
        <f>IFERROR(D13/'1.IS'!D$3,"")</f>
        <v>0.13574690150032603</v>
      </c>
      <c r="E22" s="24">
        <f>IFERROR(E13/'1.IS'!E$3,"")</f>
        <v>0.17309269893355225</v>
      </c>
      <c r="F22" s="24">
        <f>IFERROR(F13/'1.IS'!F$3,"")</f>
        <v>0.51836626182347312</v>
      </c>
      <c r="G22" s="24">
        <f>IFERROR(G13/'1.IS'!G$3,"")</f>
        <v>0.64903337953066642</v>
      </c>
      <c r="H22" s="24">
        <f>IFERROR(H13/'1.IS'!H$3,"")</f>
        <v>0.17706555671175861</v>
      </c>
      <c r="I22" s="136">
        <f>IFERROR(I13/'1.IS'!I$3,"")</f>
        <v>0.33559504292347592</v>
      </c>
      <c r="J22" s="24">
        <f>IFERROR(J13/'1.IS'!J$3,"")</f>
        <v>0.33987271783575829</v>
      </c>
      <c r="K22" s="24">
        <f>IFERROR(K13/'1.IS'!K$3,"")</f>
        <v>0.34357030782571268</v>
      </c>
      <c r="L22" s="24">
        <f>IFERROR(L13/'1.IS'!L$3,"")</f>
        <v>0.34676647677594152</v>
      </c>
      <c r="M22" s="24">
        <f>IFERROR(M13/'1.IS'!M$3,"")</f>
        <v>0.34952922115435048</v>
      </c>
      <c r="N22" s="150">
        <f>IFERROR(AVERAGE(B22:H22),"")</f>
        <v>0.30821744965084324</v>
      </c>
    </row>
    <row r="23" spans="1:14" ht="24.95" customHeight="1">
      <c r="A23" s="28" t="s">
        <v>59</v>
      </c>
      <c r="B23" s="149">
        <f t="shared" ref="B23:M23" si="5">IFERROR(B13/B3,"")</f>
        <v>0.70611909650924021</v>
      </c>
      <c r="C23" s="148">
        <f t="shared" si="5"/>
        <v>0.98759092854086461</v>
      </c>
      <c r="D23" s="148">
        <f t="shared" si="5"/>
        <v>0.43772581044295922</v>
      </c>
      <c r="E23" s="148">
        <f t="shared" si="5"/>
        <v>0.52207046714172656</v>
      </c>
      <c r="F23" s="148">
        <f t="shared" si="5"/>
        <v>1.5972492886091219</v>
      </c>
      <c r="G23" s="148">
        <f t="shared" si="5"/>
        <v>1.944952836829509</v>
      </c>
      <c r="H23" s="148">
        <f t="shared" si="5"/>
        <v>3.8324324324324333</v>
      </c>
      <c r="I23" s="149">
        <f t="shared" si="5"/>
        <v>1.2302107149126253</v>
      </c>
      <c r="J23" s="148">
        <f t="shared" si="5"/>
        <v>1.2458916423368209</v>
      </c>
      <c r="K23" s="148">
        <f t="shared" si="5"/>
        <v>1.2594461179493606</v>
      </c>
      <c r="L23" s="148">
        <f t="shared" si="5"/>
        <v>1.2711625046247714</v>
      </c>
      <c r="M23" s="148">
        <f t="shared" si="5"/>
        <v>1.2812900610608726</v>
      </c>
      <c r="N23" s="151">
        <f>IFERROR(AVERAGE(B23:H23),"")</f>
        <v>1.4325915515008365</v>
      </c>
    </row>
    <row r="24" spans="1:14" ht="24.95" customHeight="1">
      <c r="A24" s="104"/>
      <c r="B24" s="105"/>
      <c r="C24" s="105"/>
      <c r="D24" s="105"/>
      <c r="E24" s="105"/>
      <c r="F24" s="105"/>
      <c r="G24" s="105"/>
      <c r="H24" s="105"/>
      <c r="I24" s="105"/>
      <c r="J24" s="105"/>
      <c r="K24" s="105"/>
      <c r="L24" s="105"/>
      <c r="M24" s="105"/>
      <c r="N24" s="106"/>
    </row>
    <row r="25" spans="1:14" ht="39.950000000000003" customHeight="1">
      <c r="A25" s="110" t="s">
        <v>60</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5"/>
      <c r="L25" s="105"/>
      <c r="M25" s="105"/>
      <c r="N25" s="106"/>
    </row>
    <row r="26" spans="1:14" ht="24.95" customHeight="1">
      <c r="A26" s="101" t="s">
        <v>61</v>
      </c>
      <c r="B26" s="136">
        <f>IFERROR(TIKR_Cálculos!B11/B13,"")</f>
        <v>2.149354425962545</v>
      </c>
      <c r="C26" s="24">
        <f>IFERROR(TIKR_Cálculos!C11/C13,"")</f>
        <v>0.50982091276718655</v>
      </c>
      <c r="D26" s="24">
        <f>IFERROR(TIKR_Cálculos!D11/D13,"")</f>
        <v>1.9639879017440729</v>
      </c>
      <c r="E26" s="24">
        <f>IFERROR(TIKR_Cálculos!E11/E13,"")</f>
        <v>0.69535545023696621</v>
      </c>
      <c r="F26" s="24">
        <f>IFERROR(TIKR_Cálculos!F11/F13,"")</f>
        <v>1.0406892940242836</v>
      </c>
      <c r="G26" s="24">
        <f>IFERROR(TIKR_Cálculos!G11/G13,"")</f>
        <v>0.18968512486427794</v>
      </c>
      <c r="H26" s="24">
        <f>IFERROR(TIKR_Cálculos!H11/H13,"")</f>
        <v>1.0460742830277383</v>
      </c>
      <c r="I26" s="196">
        <f>IFERROR(AVERAGE(B26:H26),"")</f>
        <v>1.0849953418038671</v>
      </c>
      <c r="J26" s="216">
        <f>IFERROR(TIKR_Cálculos!I29/SUM('2.FCF'!$B$13:$H$13),"")</f>
        <v>0.76045062352319071</v>
      </c>
      <c r="K26" s="6"/>
      <c r="L26" s="105"/>
      <c r="M26" s="105"/>
      <c r="N26" s="106"/>
    </row>
    <row r="27" spans="1:14" ht="24.95" customHeight="1">
      <c r="A27" s="101" t="s">
        <v>62</v>
      </c>
      <c r="B27" s="136">
        <f>IFERROR(ABS(VALUE(VLOOKUP("Dividends Paid*",'8.TIKR_CF'!$A:$H,COLUMN(B18),FALSE)))/B13,"0")</f>
        <v>0.19704548098173782</v>
      </c>
      <c r="C27" s="136">
        <f>IFERROR(ABS(VALUE(VLOOKUP("Dividends Paid*",'8.TIKR_CF'!$A:$H,COLUMN(C18),FALSE)))/C13,"0")</f>
        <v>0.13186019641825533</v>
      </c>
      <c r="D27" s="136">
        <f>IFERROR(ABS(VALUE(VLOOKUP("Dividends Paid*",'8.TIKR_CF'!$A:$H,COLUMN(D18),FALSE)))/D13,"0")</f>
        <v>0.28436554823755572</v>
      </c>
      <c r="E27" s="136">
        <f>IFERROR(ABS(VALUE(VLOOKUP("Dividends Paid*",'8.TIKR_CF'!$A:$H,COLUMN(E18),FALSE)))/E13,"0")</f>
        <v>0.20322274881516569</v>
      </c>
      <c r="F27" s="136">
        <f>IFERROR(ABS(VALUE(VLOOKUP("Dividends Paid*",'8.TIKR_CF'!$A:$H,COLUMN(F18),FALSE)))/F13,"0")</f>
        <v>6.4513342654926545E-2</v>
      </c>
      <c r="G27" s="136">
        <f>IFERROR(ABS(VALUE(VLOOKUP("Dividends Paid*",'8.TIKR_CF'!$A:$H,COLUMN(G18),FALSE)))/G13,"0")</f>
        <v>4.8859934853420189E-2</v>
      </c>
      <c r="H27" s="136">
        <f>IFERROR(ABS(VALUE(VLOOKUP("Dividends Paid*",'8.TIKR_CF'!$A:$H,COLUMN(H18),FALSE)))/H13,"0")</f>
        <v>0.18100611189468732</v>
      </c>
      <c r="I27" s="196">
        <f t="shared" ref="I27:I29" si="6">IFERROR(AVERAGE(B27:H27),"")</f>
        <v>0.15869619483653552</v>
      </c>
      <c r="J27" s="216">
        <f>IFERROR(TIKR_Cálculos!I30/SUM('2.FCF'!$B$13:$H$13),"")</f>
        <v>0.10606922680446876</v>
      </c>
      <c r="K27" s="6"/>
    </row>
    <row r="28" spans="1:14" ht="24.95" customHeight="1">
      <c r="A28" s="101" t="s">
        <v>63</v>
      </c>
      <c r="B28" s="136">
        <f>IFERROR(ABS(VALUE(VLOOKUP("Common Stock Repurchased*",'8.TIKR_CF'!$A:$H,COLUMN(B19),FALSE))/B13),"0")</f>
        <v>0.21239967430499013</v>
      </c>
      <c r="C28" s="136">
        <f>IFERROR(ABS(VALUE(VLOOKUP("Common Stock Repurchased*",'8.TIKR_CF'!$A:$H,COLUMN(C19),FALSE))/C13),"0")</f>
        <v>0.10051993067590986</v>
      </c>
      <c r="D28" s="136">
        <f>IFERROR(ABS(VALUE(VLOOKUP("Common Stock Repurchased*",'8.TIKR_CF'!$A:$H,COLUMN(D19),FALSE))/D13),"0")</f>
        <v>0.27249342793340336</v>
      </c>
      <c r="E28" s="136">
        <f>IFERROR(ABS(VALUE(VLOOKUP("Common Stock Repurchased*",'8.TIKR_CF'!$A:$H,COLUMN(E19),FALSE))/E13),"0")</f>
        <v>0.25099526066350691</v>
      </c>
      <c r="F28" s="136">
        <f>IFERROR(ABS(VALUE(VLOOKUP("Common Stock Repurchased*",'8.TIKR_CF'!$A:$H,COLUMN(F19),FALSE))/F13),"0")</f>
        <v>6.6348868722095999E-2</v>
      </c>
      <c r="G28" s="136">
        <f>IFERROR(ABS(VALUE(VLOOKUP("Common Stock Repurchased*",'8.TIKR_CF'!$A:$H,COLUMN(G19),FALSE))/G13),"0")</f>
        <v>3.6192544335866809E-5</v>
      </c>
      <c r="H28" s="136">
        <f>IFERROR(ABS(VALUE(VLOOKUP("Common Stock Repurchased*",'8.TIKR_CF'!$A:$H,COLUMN(H19),FALSE))/H13),"0")</f>
        <v>6.4645039962388323E-2</v>
      </c>
      <c r="I28" s="196">
        <f t="shared" si="6"/>
        <v>0.13820548497237578</v>
      </c>
      <c r="J28" s="216">
        <f>IFERROR(TIKR_Cálculos!I31/SUM('2.FCF'!$B$13:$H$13),"")</f>
        <v>7.6000883575535666E-2</v>
      </c>
      <c r="K28" s="6"/>
    </row>
    <row r="29" spans="1:14" ht="24.95" customHeight="1">
      <c r="A29" s="219" t="s">
        <v>64</v>
      </c>
      <c r="B29" s="160">
        <f>IFERROR((ABS(VLOOKUP("Cash Acquisitions*",'8.TIKR_CF'!$A:$H,COLUMN(B20),FALSE))-IFERROR(VLOOKUP("Sales / Maturities Of Investments*",'8.TIKR_CF'!$A:$H,COLUMN(B20),FALSE),"0"))/B13,"0")</f>
        <v>2.1077119925555428</v>
      </c>
      <c r="C29" s="160">
        <f>IFERROR((ABS(VLOOKUP("Cash Acquisitions*",'8.TIKR_CF'!$A:$H,COLUMN(C20),FALSE))-IFERROR(VLOOKUP("Sales / Maturities Of Investments*",'8.TIKR_CF'!$A:$H,COLUMN(C20),FALSE),"0"))/C13,"0")</f>
        <v>0.49768919699595604</v>
      </c>
      <c r="D29" s="160">
        <f>IFERROR((ABS(VLOOKUP("Cash Acquisitions*",'8.TIKR_CF'!$A:$H,COLUMN(D20),FALSE))-IFERROR(VLOOKUP("Sales / Maturities Of Investments*",'8.TIKR_CF'!$A:$H,COLUMN(D20),FALSE),"0"))/D13,"0")</f>
        <v>1.9328942533284355</v>
      </c>
      <c r="E29" s="160">
        <f>IFERROR((ABS(VLOOKUP("Cash Acquisitions*",'8.TIKR_CF'!$A:$H,COLUMN(E20),FALSE))-IFERROR(VLOOKUP("Sales / Maturities Of Investments*",'8.TIKR_CF'!$A:$H,COLUMN(E20),FALSE),"0"))/E13,"0")</f>
        <v>0.67488151658767714</v>
      </c>
      <c r="F29" s="160">
        <f>IFERROR((ABS(VLOOKUP("Cash Acquisitions*",'8.TIKR_CF'!$A:$H,COLUMN(F20),FALSE))-IFERROR(VLOOKUP("Sales / Maturities Of Investments*",'8.TIKR_CF'!$A:$H,COLUMN(F20),FALSE),"0"))/F13,"0")</f>
        <v>1.03669432552515</v>
      </c>
      <c r="G29" s="160">
        <f>IFERROR((ABS(VLOOKUP("Cash Acquisitions*",'8.TIKR_CF'!$A:$H,COLUMN(G20),FALSE))-IFERROR(VLOOKUP("Sales / Maturities Of Investments*",'8.TIKR_CF'!$A:$H,COLUMN(G20),FALSE),"0"))/G13,"0")</f>
        <v>0.18490770901194353</v>
      </c>
      <c r="H29" s="160">
        <f>IFERROR((ABS(VLOOKUP("Cash Acquisitions*",'8.TIKR_CF'!$A:$H,COLUMN(H20),FALSE))-IFERROR(VLOOKUP("Sales / Maturities Of Investments*",'8.TIKR_CF'!$A:$H,COLUMN(H20),FALSE),"0"))/H13,"0")</f>
        <v>1.0331452750352608</v>
      </c>
      <c r="I29" s="220">
        <f t="shared" si="6"/>
        <v>1.0668463241485664</v>
      </c>
      <c r="J29" s="217">
        <f>IFERROR(TIKR_Cálculos!I32/SUM('2.FCF'!$B$13:$H$13),"")</f>
        <v>0.74978077955459765</v>
      </c>
      <c r="K29" s="4"/>
    </row>
    <row r="30" spans="1:14" ht="24.95" customHeight="1">
      <c r="A30" s="218" t="s">
        <v>65</v>
      </c>
      <c r="B30" s="106">
        <f>SUM(B26:B29)</f>
        <v>4.6665115738048151</v>
      </c>
      <c r="C30" s="106">
        <f t="shared" ref="C30:J30" si="7">SUM(C26:C29)</f>
        <v>1.2398902368573077</v>
      </c>
      <c r="D30" s="106">
        <f t="shared" si="7"/>
        <v>4.4537411312434676</v>
      </c>
      <c r="E30" s="106">
        <f t="shared" si="7"/>
        <v>1.824454976303316</v>
      </c>
      <c r="F30" s="106">
        <f t="shared" si="7"/>
        <v>2.2082458309264563</v>
      </c>
      <c r="G30" s="106">
        <f t="shared" si="7"/>
        <v>0.4234889612739775</v>
      </c>
      <c r="H30" s="106">
        <f t="shared" si="7"/>
        <v>2.3248707099200745</v>
      </c>
      <c r="I30" s="106">
        <f t="shared" si="7"/>
        <v>2.4487433457613448</v>
      </c>
      <c r="J30" s="106">
        <f t="shared" si="7"/>
        <v>1.6923015134577928</v>
      </c>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B15" sqref="B15"/>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66</v>
      </c>
      <c r="S1" s="25"/>
    </row>
    <row r="2" spans="1:19" s="6" customFormat="1" ht="39.950000000000003" customHeight="1">
      <c r="A2" s="110" t="s">
        <v>67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68</v>
      </c>
      <c r="B3" s="133">
        <f>IFERROR(('1.IS'!B8)*PRODUCT(1-'1.IS'!$Q$5),"")</f>
        <v>358.95136116152446</v>
      </c>
      <c r="C3" s="84">
        <f>IFERROR(('1.IS'!C8)*PRODUCT(1-'1.IS'!$Q$5),"")</f>
        <v>411.38003629764063</v>
      </c>
      <c r="D3" s="84">
        <f>IFERROR(('1.IS'!D8)*PRODUCT(1-'1.IS'!$Q$5),"")</f>
        <v>483.96805807622502</v>
      </c>
      <c r="E3" s="84">
        <f>IFERROR(('1.IS'!E8)*PRODUCT(1-'1.IS'!$Q$5),"")</f>
        <v>616.27949183303087</v>
      </c>
      <c r="F3" s="84">
        <f>IFERROR(('1.IS'!F8)*PRODUCT(1-'1.IS'!$Q$5),"")</f>
        <v>699.93539019963703</v>
      </c>
      <c r="G3" s="84">
        <f>IFERROR(('1.IS'!G8)*PRODUCT(1-'1.IS'!$Q$5),"")</f>
        <v>872.92486388384748</v>
      </c>
      <c r="H3" s="85">
        <f>IFERROR('1.IS'!H8*PRODUCT(1-'1.IS'!$Q$5),"")</f>
        <v>0</v>
      </c>
      <c r="I3" s="117">
        <f>IFERROR('1.IS'!I8*PRODUCT(1-'1.IS'!$Q$5),"")</f>
        <v>905.25782113740252</v>
      </c>
      <c r="J3" s="80">
        <f>IFERROR('1.IS'!J8*PRODUCT(1-'1.IS'!$Q$5),"")</f>
        <v>1047.2763830353147</v>
      </c>
      <c r="K3" s="80">
        <f>IFERROR('1.IS'!K8*PRODUCT(1-'1.IS'!$Q$5),"")</f>
        <v>1211.5750859633361</v>
      </c>
      <c r="L3" s="80">
        <f>IFERROR('1.IS'!L8*PRODUCT(1-'1.IS'!$Q$5),"")</f>
        <v>1401.6492806537076</v>
      </c>
      <c r="M3" s="126">
        <f>IFERROR('1.IS'!M8*PRODUCT(1-'1.IS'!$Q$5),"")</f>
        <v>1621.5426750831257</v>
      </c>
      <c r="N3" s="80"/>
      <c r="O3" s="80"/>
      <c r="S3" s="13"/>
    </row>
    <row r="4" spans="1:19" s="6" customFormat="1" ht="24.95" customHeight="1">
      <c r="A4" s="111" t="s">
        <v>69</v>
      </c>
      <c r="B4" s="115">
        <f>IFERROR(VALUE(VLOOKUP("Cash And Cash Equivalents*",'7.TIKR_BS'!$A:$H,COLUMN(B4),FALSE)),"0")</f>
        <v>439</v>
      </c>
      <c r="C4" s="115">
        <f>IFERROR(VALUE(VLOOKUP("Cash And Cash Equivalents*",'7.TIKR_BS'!$A:$H,COLUMN(C4),FALSE)),"0")</f>
        <v>542.20000000000005</v>
      </c>
      <c r="D4" s="115">
        <f>IFERROR(VALUE(VLOOKUP("Cash And Cash Equivalents*",'7.TIKR_BS'!$A:$H,COLUMN(D4),FALSE)),"0")</f>
        <v>817.4</v>
      </c>
      <c r="E4" s="115">
        <f>IFERROR(VALUE(VLOOKUP("Cash And Cash Equivalents*",'7.TIKR_BS'!$A:$H,COLUMN(E4),FALSE)),"0")</f>
        <v>887.1</v>
      </c>
      <c r="F4" s="115">
        <f>IFERROR(VALUE(VLOOKUP("Cash And Cash Equivalents*",'7.TIKR_BS'!$A:$H,COLUMN(F4),FALSE)),"0")</f>
        <v>650</v>
      </c>
      <c r="G4" s="115">
        <f>IFERROR(VALUE(VLOOKUP("Cash And Cash Equivalents*",'7.TIKR_BS'!$A:$H,COLUMN(G4),FALSE)),"0")</f>
        <v>2302.9</v>
      </c>
      <c r="H4" s="115">
        <f>IFERROR(VALUE(VLOOKUP("Cash And Cash Equivalents*",'7.TIKR_BS'!$A:$H,COLUMN(H4),FALSE)),"0")</f>
        <v>675</v>
      </c>
      <c r="I4" s="117">
        <f>IFERROR(((H4+H5)+'2.FCF'!I17)*(1-(SUM($B$5:$H$5)/SUM($B$4:$H$5))),0)</f>
        <v>1080.8531858101278</v>
      </c>
      <c r="J4" s="80">
        <f>IFERROR(((I4+I5)+'2.FCF'!J17)*(1-(SUM($B$5:$H$5)/SUM($B$4:$H$5))),0)</f>
        <v>1549.8731156714246</v>
      </c>
      <c r="K4" s="80">
        <f>IFERROR(((J4+J5)+'2.FCF'!K17)*(1-(SUM($B$5:$H$5)/SUM($B$4:$H$5))),0)</f>
        <v>2092.4737806394005</v>
      </c>
      <c r="L4" s="80">
        <f>IFERROR(((K4+K5)+'2.FCF'!L17)*(1-(SUM($B$5:$H$5)/SUM($B$4:$H$5))),0)</f>
        <v>2720.1986658287296</v>
      </c>
      <c r="M4" s="126">
        <f>IFERROR(((L4+L5)+'2.FCF'!M17)*(1-(SUM($B$5:$H$5)/SUM($B$4:$H$5))),0)</f>
        <v>3446.4022201668217</v>
      </c>
      <c r="N4" s="80"/>
      <c r="O4" s="80"/>
      <c r="S4" s="13"/>
    </row>
    <row r="5" spans="1:19" s="6" customFormat="1" ht="24.95" customHeight="1">
      <c r="A5" s="111" t="s">
        <v>70</v>
      </c>
      <c r="B5" s="115">
        <f>IFERROR(VALUE(VLOOKUP("Total Cash And Short Term Investments*",'7.TIKR_BS'!$A:$H,COLUMN(B5),FALSE))-B4,"0")</f>
        <v>12.899999999999977</v>
      </c>
      <c r="C5" s="115">
        <f>IFERROR(VALUE(VLOOKUP("Total Cash And Short Term Investments*",'7.TIKR_BS'!$A:$H,COLUMN(C5),FALSE))-C4,"0")</f>
        <v>12.299999999999955</v>
      </c>
      <c r="D5" s="115">
        <f>IFERROR(VALUE(VLOOKUP("Total Cash And Short Term Investments*",'7.TIKR_BS'!$A:$H,COLUMN(D5),FALSE))-D4,"0")</f>
        <v>18.300000000000068</v>
      </c>
      <c r="E5" s="115">
        <f>IFERROR(VALUE(VLOOKUP("Total Cash And Short Term Investments*",'7.TIKR_BS'!$A:$H,COLUMN(E5),FALSE))-E4,"0")</f>
        <v>12.899999999999977</v>
      </c>
      <c r="F5" s="115">
        <f>IFERROR(VALUE(VLOOKUP("Total Cash And Short Term Investments*",'7.TIKR_BS'!$A:$H,COLUMN(F5),FALSE))-F4,"0")</f>
        <v>12</v>
      </c>
      <c r="G5" s="115">
        <f>IFERROR(VALUE(VLOOKUP("Total Cash And Short Term Investments*",'7.TIKR_BS'!$A:$H,COLUMN(G5),FALSE))-G4,"0")</f>
        <v>11</v>
      </c>
      <c r="H5" s="115">
        <f>IFERROR(VALUE(VLOOKUP("Total Cash And Short Term Investments*",'7.TIKR_BS'!$A:$H,COLUMN(H5),FALSE))-H4,"0")</f>
        <v>10</v>
      </c>
      <c r="I5" s="117">
        <f>IFERROR(((H4+H5)+'2.FCF'!I17)*(SUM($B$5:$H$5)/SUM($B$4:$H$5)),0)</f>
        <v>15.304782503076755</v>
      </c>
      <c r="J5" s="80">
        <f>IFERROR(((I4+I5)+'2.FCF'!J17)*(SUM($B$5:$H$5)/SUM($B$4:$H$5)),0)</f>
        <v>21.946061920461439</v>
      </c>
      <c r="K5" s="80">
        <f>IFERROR(((J4+J5)+'2.FCF'!K17)*(SUM($B$5:$H$5)/SUM($B$4:$H$5)),0)</f>
        <v>29.629237834066522</v>
      </c>
      <c r="L5" s="80">
        <f>IFERROR(((K4+K5)+'2.FCF'!L17)*(SUM($B$5:$H$5)/SUM($B$4:$H$5)),0)</f>
        <v>38.517764939984851</v>
      </c>
      <c r="M5" s="126">
        <f>IFERROR(((L4+L5)+'2.FCF'!M17)*(SUM($B$5:$H$5)/SUM($B$4:$H$5)),0)</f>
        <v>48.800741016680469</v>
      </c>
      <c r="N5" s="80"/>
      <c r="O5" s="80"/>
      <c r="S5" s="13"/>
    </row>
    <row r="6" spans="1:19" s="6" customFormat="1" ht="24.75" customHeight="1">
      <c r="A6" s="111" t="s">
        <v>71</v>
      </c>
      <c r="B6" s="257">
        <f>IFERROR(VALUE(VLOOKUP("Short Term Debt*",'7.TIKR_BS'!$A:$H,COLUMN(B6),FALSE)),"0")+IFERROR(VALUE(VLOOKUP("Other Current Liabilities*",'7.TIKR_BS'!$A:$H,COLUMN(B6),FALSE)),"0")</f>
        <v>394.6</v>
      </c>
      <c r="C6" s="257">
        <f>IFERROR(VALUE(VLOOKUP("Short Term Debt*",'7.TIKR_BS'!$A:$H,COLUMN(C6),FALSE)),"0")+IFERROR(VALUE(VLOOKUP("Other Current Liabilities*",'7.TIKR_BS'!$A:$H,COLUMN(C6),FALSE)),"0")</f>
        <v>451.2</v>
      </c>
      <c r="D6" s="257">
        <f>IFERROR(VALUE(VLOOKUP("Short Term Debt*",'7.TIKR_BS'!$A:$H,COLUMN(D6),FALSE)),"0")+IFERROR(VALUE(VLOOKUP("Other Current Liabilities*",'7.TIKR_BS'!$A:$H,COLUMN(D6),FALSE)),"0")</f>
        <v>485.3</v>
      </c>
      <c r="E6" s="257">
        <f>IFERROR(VALUE(VLOOKUP("Short Term Debt*",'7.TIKR_BS'!$A:$H,COLUMN(E6),FALSE)),"0")+IFERROR(VALUE(VLOOKUP("Other Current Liabilities*",'7.TIKR_BS'!$A:$H,COLUMN(E6),FALSE)),"0")</f>
        <v>561.79999999999995</v>
      </c>
      <c r="F6" s="257">
        <f>IFERROR(VALUE(VLOOKUP("Short Term Debt*",'7.TIKR_BS'!$A:$H,COLUMN(F6),FALSE)),"0")+IFERROR(VALUE(VLOOKUP("Other Current Liabilities*",'7.TIKR_BS'!$A:$H,COLUMN(F6),FALSE)),"0")</f>
        <v>3897.7999999999997</v>
      </c>
      <c r="G6" s="257">
        <f>IFERROR(VALUE(VLOOKUP("Short Term Debt*",'7.TIKR_BS'!$A:$H,COLUMN(G6),FALSE)),"0")+IFERROR(VALUE(VLOOKUP("Other Current Liabilities*",'7.TIKR_BS'!$A:$H,COLUMN(G6),FALSE)),"0")</f>
        <v>4035.6000000000004</v>
      </c>
      <c r="H6" s="257">
        <f>IFERROR(VALUE(VLOOKUP("Short Term Debt*",'7.TIKR_BS'!$A:$H,COLUMN(H6),FALSE)),"0")+IFERROR(VALUE(VLOOKUP("Other Current Liabilities*",'7.TIKR_BS'!$A:$H,COLUMN(H6),FALSE)),"0")</f>
        <v>5941</v>
      </c>
      <c r="I6" s="117">
        <f>IFERROR(IF((I4+I5+'4.Valoración'!I4)*TIKR_Cálculos!$B$17&gt;0,(I4+I5+'4.Valoración'!I4)*TIKR_Cálculos!$B$17,0),"0")</f>
        <v>6534.1154476978854</v>
      </c>
      <c r="J6" s="80">
        <f>IFERROR(IF((J4+J5+'4.Valoración'!J4)*TIKR_Cálculos!$B$17&gt;0,(J4+J5+'4.Valoración'!J4)*TIKR_Cálculos!$B$17,0),"0")</f>
        <v>7699.5072271721156</v>
      </c>
      <c r="K6" s="80">
        <f>IFERROR(IF((K4+K5+'4.Valoración'!K4)*TIKR_Cálculos!$B$17&gt;0,(K4+K5+'4.Valoración'!K4)*TIKR_Cálculos!$B$17,0),"0")</f>
        <v>9047.727876725181</v>
      </c>
      <c r="L6" s="80">
        <f>IFERROR(IF((L4+L5+'4.Valoración'!L4)*TIKR_Cálculos!$B$17&gt;0,(L4+L5+'4.Valoración'!L4)*TIKR_Cálculos!$B$17,0),"0")</f>
        <v>10607.459935845547</v>
      </c>
      <c r="M6" s="126">
        <f>IFERROR(IF((M4+M5+'4.Valoración'!M4)*TIKR_Cálculos!$B$17&gt;0,(M4+M5+'4.Valoración'!M4)*TIKR_Cálculos!$B$17,0),"0")</f>
        <v>12411.885715152752</v>
      </c>
      <c r="N6" s="80"/>
      <c r="O6" s="80"/>
      <c r="S6" s="13"/>
    </row>
    <row r="7" spans="1:19" s="6" customFormat="1" ht="24.95" customHeight="1">
      <c r="A7" s="111" t="s">
        <v>72</v>
      </c>
      <c r="B7" s="115">
        <f>IFERROR(VALUE(VLOOKUP("Long Term Debt*",'7.TIKR_BS'!$A:$H,COLUMN(B7),FALSE)),"0")+IFERROR(VALUE(VLOOKUP("Other Non Current Liabilities*",'7.TIKR_BS'!$A:$H,COLUMN(B7),FALSE)),"0")</f>
        <v>1589.4</v>
      </c>
      <c r="C7" s="115">
        <f>IFERROR(VALUE(VLOOKUP("Long Term Debt*",'7.TIKR_BS'!$A:$H,COLUMN(C7),FALSE)),"0")+IFERROR(VALUE(VLOOKUP("Other Non Current Liabilities*",'7.TIKR_BS'!$A:$H,COLUMN(C7),FALSE)),"0")</f>
        <v>1491.7</v>
      </c>
      <c r="D7" s="115">
        <f>IFERROR(VALUE(VLOOKUP("Long Term Debt*",'7.TIKR_BS'!$A:$H,COLUMN(D7),FALSE)),"0")+IFERROR(VALUE(VLOOKUP("Other Non Current Liabilities*",'7.TIKR_BS'!$A:$H,COLUMN(D7),FALSE)),"0")</f>
        <v>2082.13</v>
      </c>
      <c r="E7" s="115">
        <f>IFERROR(VALUE(VLOOKUP("Long Term Debt*",'7.TIKR_BS'!$A:$H,COLUMN(E7),FALSE)),"0")+IFERROR(VALUE(VLOOKUP("Other Non Current Liabilities*",'7.TIKR_BS'!$A:$H,COLUMN(E7),FALSE)),"0")</f>
        <v>2084.63</v>
      </c>
      <c r="F7" s="115">
        <f>IFERROR(VALUE(VLOOKUP("Long Term Debt*",'7.TIKR_BS'!$A:$H,COLUMN(F7),FALSE)),"0")+IFERROR(VALUE(VLOOKUP("Other Non Current Liabilities*",'7.TIKR_BS'!$A:$H,COLUMN(F7),FALSE)),"0")</f>
        <v>3694.1</v>
      </c>
      <c r="G7" s="115">
        <f>IFERROR(VALUE(VLOOKUP("Long Term Debt*",'7.TIKR_BS'!$A:$H,COLUMN(G7),FALSE)),"0")+IFERROR(VALUE(VLOOKUP("Other Non Current Liabilities*",'7.TIKR_BS'!$A:$H,COLUMN(G7),FALSE)),"0")</f>
        <v>3268.9</v>
      </c>
      <c r="H7" s="115">
        <f>IFERROR(VALUE(VLOOKUP("Long Term Debt*",'7.TIKR_BS'!$A:$H,COLUMN(H7),FALSE)),"0")+IFERROR(VALUE(VLOOKUP("Other Non Current Liabilities*",'7.TIKR_BS'!$A:$H,COLUMN(H7),FALSE)),"0")</f>
        <v>4150</v>
      </c>
      <c r="I7" s="117">
        <f>IFERROR(IF((I4+I5+'4.Valoración'!I4)*TIKR_Cálculos!$B$18&gt;0,(I4+I5+'4.Valoración'!I4)*TIKR_Cálculos!$B$18,0),"0")</f>
        <v>7608.9107811114272</v>
      </c>
      <c r="J7" s="80">
        <f>IFERROR(IF((J4+J5+'4.Valoración'!J4)*TIKR_Cálculos!$B$18&gt;0,(J4+J5+'4.Valoración'!J4)*TIKR_Cálculos!$B$18,0),"0")</f>
        <v>8965.9976195731306</v>
      </c>
      <c r="K7" s="80">
        <f>IFERROR(IF((K4+K5+'4.Valoración'!K4)*TIKR_Cálculos!$B$18&gt;0,(K4+K5+'4.Valoración'!K4)*TIKR_Cálculos!$B$18,0),"0")</f>
        <v>10535.986812114206</v>
      </c>
      <c r="L7" s="80">
        <f>IFERROR(IF((L4+L5+'4.Valoración'!L4)*TIKR_Cálculos!$B$18&gt;0,(L4+L5+'4.Valoración'!L4)*TIKR_Cálculos!$B$18,0),"0")</f>
        <v>12352.278883364246</v>
      </c>
      <c r="M7" s="126">
        <f>IFERROR(IF((M4+M5+'4.Valoración'!M4)*TIKR_Cálculos!$B$18&gt;0,(M4+M5+'4.Valoración'!M4)*TIKR_Cálculos!$B$18,0),"0")</f>
        <v>14453.514295530596</v>
      </c>
      <c r="N7" s="80"/>
      <c r="O7" s="80"/>
      <c r="P7" s="80"/>
      <c r="Q7" s="80"/>
      <c r="R7" s="80"/>
      <c r="S7" s="12"/>
    </row>
    <row r="8" spans="1:19" s="6" customFormat="1" ht="24.95" customHeight="1">
      <c r="A8" s="111" t="s">
        <v>73</v>
      </c>
      <c r="B8" s="115">
        <f>IFERROR(VALUE(VLOOKUP("Other Current Liabilities*",'7.TIKR_BS'!$A:$H,COLUMN(B8),FALSE)),"0")</f>
        <v>344.6</v>
      </c>
      <c r="C8" s="115">
        <f>IFERROR(VALUE(VLOOKUP("Other Current Liabilities*",'7.TIKR_BS'!$A:$H,COLUMN(C8),FALSE)),"0")</f>
        <v>396.2</v>
      </c>
      <c r="D8" s="115">
        <f>IFERROR(VALUE(VLOOKUP("Other Current Liabilities*",'7.TIKR_BS'!$A:$H,COLUMN(D8),FALSE)),"0")</f>
        <v>415.3</v>
      </c>
      <c r="E8" s="115">
        <f>IFERROR(VALUE(VLOOKUP("Other Current Liabilities*",'7.TIKR_BS'!$A:$H,COLUMN(E8),FALSE)),"0")</f>
        <v>519.29999999999995</v>
      </c>
      <c r="F8" s="115">
        <f>IFERROR(VALUE(VLOOKUP("Other Current Liabilities*",'7.TIKR_BS'!$A:$H,COLUMN(F8),FALSE)),"0")</f>
        <v>3647.2</v>
      </c>
      <c r="G8" s="115">
        <f>IFERROR(VALUE(VLOOKUP("Other Current Liabilities*",'7.TIKR_BS'!$A:$H,COLUMN(G8),FALSE)),"0")</f>
        <v>3466.9</v>
      </c>
      <c r="H8" s="115">
        <f>IFERROR(VALUE(VLOOKUP("Other Current Liabilities*",'7.TIKR_BS'!$A:$H,COLUMN(H8),FALSE)),"0")</f>
        <v>5716</v>
      </c>
      <c r="I8" s="117">
        <f>IFERROR(H8*'1.IS'!$Q$3+H8,"")</f>
        <v>6612.7369083743615</v>
      </c>
      <c r="J8" s="80">
        <f>IFERROR(I8*'1.IS'!$Q$3+I8,"")</f>
        <v>7650.1556017103758</v>
      </c>
      <c r="K8" s="80">
        <f>IFERROR(J8*'1.IS'!$Q$3+J8,"")</f>
        <v>8850.3265049400052</v>
      </c>
      <c r="L8" s="80">
        <f>IFERROR(K8*'1.IS'!$Q$3+K8,"")</f>
        <v>10238.782493068691</v>
      </c>
      <c r="M8" s="126">
        <f>IFERROR(L8*'1.IS'!$Q$3+L8,"")</f>
        <v>11845.062086902133</v>
      </c>
      <c r="N8" s="80"/>
      <c r="O8" s="80"/>
      <c r="P8" s="80"/>
      <c r="Q8" s="80"/>
      <c r="R8" s="80"/>
      <c r="S8" s="12"/>
    </row>
    <row r="9" spans="1:19" s="6" customFormat="1" ht="24.95" customHeight="1">
      <c r="A9" s="111" t="s">
        <v>74</v>
      </c>
      <c r="B9" s="115">
        <f>IFERROR(VALUE(VLOOKUP("Other Non Current Liabilities*",'7.TIKR_BS'!$A:$H,COLUMN(B9),FALSE)),"0")</f>
        <v>132.4</v>
      </c>
      <c r="C9" s="115">
        <f>IFERROR(VALUE(VLOOKUP("Other Non Current Liabilities*",'7.TIKR_BS'!$A:$H,COLUMN(C9),FALSE)),"0")</f>
        <v>-176.5</v>
      </c>
      <c r="D9" s="115">
        <f>IFERROR(VALUE(VLOOKUP("Other Non Current Liabilities*",'7.TIKR_BS'!$A:$H,COLUMN(D9),FALSE)),"0")</f>
        <v>-116.67</v>
      </c>
      <c r="E9" s="115">
        <f>IFERROR(VALUE(VLOOKUP("Other Non Current Liabilities*",'7.TIKR_BS'!$A:$H,COLUMN(E9),FALSE)),"0")</f>
        <v>-75.77</v>
      </c>
      <c r="F9" s="115">
        <f>IFERROR(VALUE(VLOOKUP("Other Non Current Liabilities*",'7.TIKR_BS'!$A:$H,COLUMN(F9),FALSE)),"0")</f>
        <v>-193.3</v>
      </c>
      <c r="G9" s="115">
        <f>IFERROR(VALUE(VLOOKUP("Other Non Current Liabilities*",'7.TIKR_BS'!$A:$H,COLUMN(G9),FALSE)),"0")</f>
        <v>42</v>
      </c>
      <c r="H9" s="115">
        <f>IFERROR(VALUE(VLOOKUP("Other Non Current Liabilities*",'7.TIKR_BS'!$A:$H,COLUMN(H9),FALSE)),"0")</f>
        <v>3961</v>
      </c>
      <c r="I9" s="117">
        <f>IFERROR(H9*'1.IS'!$Q$3+H9,"")</f>
        <v>4582.4091837072856</v>
      </c>
      <c r="J9" s="80">
        <f>IFERROR(I9*'1.IS'!$Q$3+I9,"")</f>
        <v>5301.306217350384</v>
      </c>
      <c r="K9" s="80">
        <f>IFERROR(J9*'1.IS'!$Q$3+J9,"")</f>
        <v>6132.9851795079358</v>
      </c>
      <c r="L9" s="80">
        <f>IFERROR(K9*'1.IS'!$Q$3+K9,"")</f>
        <v>7095.1395127790565</v>
      </c>
      <c r="M9" s="126">
        <f>IFERROR(L9*'1.IS'!$Q$3+L9,"")</f>
        <v>8208.2384405562188</v>
      </c>
      <c r="N9" s="80"/>
      <c r="O9" s="80"/>
      <c r="P9" s="80"/>
      <c r="Q9" s="80"/>
      <c r="R9" s="80"/>
      <c r="S9" s="12"/>
    </row>
    <row r="10" spans="1:19" s="6" customFormat="1" ht="24.95" customHeight="1">
      <c r="A10" s="111" t="s">
        <v>75</v>
      </c>
      <c r="B10" s="115">
        <f>IFERROR(VALUE(VLOOKUP("Total Stockholders Equity*",'7.TIKR_BS'!$A:$H,COLUMN(B10),FALSE)),"0")</f>
        <v>3000.6</v>
      </c>
      <c r="C10" s="115">
        <f>IFERROR(VALUE(VLOOKUP("Total Stockholders Equity*",'7.TIKR_BS'!$A:$H,COLUMN(C10),FALSE)),"0")</f>
        <v>3350.3</v>
      </c>
      <c r="D10" s="115">
        <f>IFERROR(VALUE(VLOOKUP("Total Stockholders Equity*",'7.TIKR_BS'!$A:$H,COLUMN(D10),FALSE)),"0")</f>
        <v>3754.2</v>
      </c>
      <c r="E10" s="115">
        <f>IFERROR(VALUE(VLOOKUP("Total Stockholders Equity*",'7.TIKR_BS'!$A:$H,COLUMN(E10),FALSE)),"0")</f>
        <v>4196.8999999999996</v>
      </c>
      <c r="F10" s="115">
        <f>IFERROR(VALUE(VLOOKUP("Total Stockholders Equity*",'7.TIKR_BS'!$A:$H,COLUMN(F10),FALSE)),"0")</f>
        <v>4606.6000000000004</v>
      </c>
      <c r="G10" s="115">
        <f>IFERROR(VALUE(VLOOKUP("Total Stockholders Equity*",'7.TIKR_BS'!$A:$H,COLUMN(G10),FALSE)),"0")</f>
        <v>5578.8</v>
      </c>
      <c r="H10" s="115">
        <f>IFERROR(VALUE(VLOOKUP("Total Stockholders Equity*",'7.TIKR_BS'!$A:$H,COLUMN(H10),FALSE)),"0")</f>
        <v>6437</v>
      </c>
      <c r="I10" s="117">
        <f>IFERROR(H10*'1.IS'!$Q$3+H10,"")</f>
        <v>7446.8487542347384</v>
      </c>
      <c r="J10" s="80">
        <f>IFERROR(I10*'1.IS'!$Q$3+I10,"")</f>
        <v>8615.1244940884699</v>
      </c>
      <c r="K10" s="80">
        <f>IFERROR(J10*'1.IS'!$Q$3+J10,"")</f>
        <v>9966.6815451887378</v>
      </c>
      <c r="L10" s="80">
        <f>IFERROR(K10*'1.IS'!$Q$3+K10,"")</f>
        <v>11530.273426851501</v>
      </c>
      <c r="M10" s="126">
        <f>IFERROR(L10*'1.IS'!$Q$3+L10,"")</f>
        <v>13339.164564973591</v>
      </c>
      <c r="N10" s="80"/>
      <c r="O10" s="80"/>
      <c r="P10" s="80"/>
      <c r="Q10" s="80"/>
      <c r="R10" s="80"/>
      <c r="S10" s="12"/>
    </row>
    <row r="11" spans="1:19" s="6" customFormat="1" ht="24.95" customHeight="1">
      <c r="A11" s="152" t="s">
        <v>76</v>
      </c>
      <c r="B11" s="159">
        <f t="shared" ref="B11:H11" si="0">B10+B6+B7+B8+B9-B5</f>
        <v>5448.7000000000007</v>
      </c>
      <c r="C11" s="153">
        <f t="shared" si="0"/>
        <v>5500.5999999999995</v>
      </c>
      <c r="D11" s="153">
        <f t="shared" si="0"/>
        <v>6601.96</v>
      </c>
      <c r="E11" s="153">
        <f t="shared" si="0"/>
        <v>7273.96</v>
      </c>
      <c r="F11" s="153">
        <f t="shared" si="0"/>
        <v>15640.400000000001</v>
      </c>
      <c r="G11" s="153">
        <f t="shared" si="0"/>
        <v>16381.2</v>
      </c>
      <c r="H11" s="157">
        <f t="shared" si="0"/>
        <v>26195</v>
      </c>
      <c r="I11" s="158">
        <f>IFERROR(I10+I6+I7+I8+I9-I5,"")</f>
        <v>32769.716292622623</v>
      </c>
      <c r="J11" s="154">
        <f>IFERROR(J10+J6+J7+J8+J9-J5,"")</f>
        <v>38210.145097974018</v>
      </c>
      <c r="K11" s="154">
        <f>IFERROR(K10+K6+K7+K8+K9-K5,"")</f>
        <v>44504.078680642</v>
      </c>
      <c r="L11" s="154">
        <f>IFERROR(L10+L6+L7+L8+L9-L5,"")</f>
        <v>51785.416486969058</v>
      </c>
      <c r="M11" s="155">
        <f>IFERROR(M10+M6+M7+M8+M9-M5,"")</f>
        <v>60209.064362098616</v>
      </c>
      <c r="N11" s="80"/>
      <c r="O11" s="80"/>
      <c r="P11" s="80"/>
      <c r="Q11" s="80"/>
      <c r="R11" s="80"/>
      <c r="S11" s="12"/>
    </row>
    <row r="12" spans="1:19" s="162" customFormat="1" ht="30" customHeight="1">
      <c r="A12" s="4"/>
      <c r="B12" s="5"/>
      <c r="C12" s="5"/>
      <c r="D12" s="5"/>
      <c r="E12" s="5"/>
      <c r="F12" s="5"/>
      <c r="G12" s="5"/>
      <c r="H12" s="5"/>
      <c r="I12" s="5"/>
      <c r="J12" s="5"/>
      <c r="K12" s="5"/>
      <c r="L12" s="5"/>
      <c r="M12" s="5"/>
      <c r="N12" s="5"/>
      <c r="O12" s="5"/>
      <c r="P12" s="5"/>
      <c r="Q12" s="5"/>
      <c r="R12" s="5"/>
      <c r="S12" s="23"/>
    </row>
    <row r="13" spans="1:19" s="163" customFormat="1" ht="39.950000000000003" customHeight="1">
      <c r="A13" s="44" t="s">
        <v>77</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7" t="s">
        <v>78</v>
      </c>
      <c r="B14" s="136">
        <f>IFERROR('1.IS'!B18/B10,"")</f>
        <v>0.11469372792108244</v>
      </c>
      <c r="C14" s="24">
        <f>IFERROR('1.IS'!C18/C10,"")</f>
        <v>9.9931349431394187E-2</v>
      </c>
      <c r="D14" s="24">
        <f>IFERROR('1.IS'!D18/D10,"")</f>
        <v>0.11227425283682277</v>
      </c>
      <c r="E14" s="24">
        <f>IFERROR('1.IS'!E18/E10,"")</f>
        <v>0.12440134384903141</v>
      </c>
      <c r="F14" s="24">
        <f>IFERROR('1.IS'!F18/F10,"")</f>
        <v>0.11518256414709327</v>
      </c>
      <c r="G14" s="24">
        <f>IFERROR('1.IS'!G18/G10,"")</f>
        <v>0.12197963719796369</v>
      </c>
      <c r="H14" s="48">
        <f>IFERROR('1.IS'!H18/H10,"")</f>
        <v>0.12303868261612552</v>
      </c>
      <c r="I14" s="113">
        <f>IFERROR('1.IS'!I18/I10,"")</f>
        <v>0.10683757510895302</v>
      </c>
      <c r="J14" s="24">
        <f>IFERROR('1.IS'!J18/J10,"")</f>
        <v>0.11003071289884228</v>
      </c>
      <c r="K14" s="24">
        <f>IFERROR('1.IS'!K18/K10,"")</f>
        <v>0.1127908371650735</v>
      </c>
      <c r="L14" s="24">
        <f>IFERROR('1.IS'!L18/L10,"")</f>
        <v>0.11517666780137141</v>
      </c>
      <c r="M14" s="24">
        <f>IFERROR('1.IS'!M18/M10,"")</f>
        <v>0.11723896184180252</v>
      </c>
      <c r="N14" s="150">
        <f>IFERROR(AVERAGE(B14:H14),"")</f>
        <v>0.11592879399993047</v>
      </c>
      <c r="O14" s="191"/>
      <c r="P14" s="191"/>
      <c r="Q14" s="191"/>
      <c r="R14" s="191"/>
    </row>
    <row r="15" spans="1:19" s="50" customFormat="1" ht="24.95" customHeight="1">
      <c r="A15" s="143" t="s">
        <v>79</v>
      </c>
      <c r="B15" s="136">
        <f t="shared" ref="B15:M15" si="1">IFERROR(B3/B11,"")</f>
        <v>6.5878349177147646E-2</v>
      </c>
      <c r="C15" s="24">
        <f t="shared" si="1"/>
        <v>7.4788211521950448E-2</v>
      </c>
      <c r="D15" s="24">
        <f t="shared" si="1"/>
        <v>7.3306723772368354E-2</v>
      </c>
      <c r="E15" s="24">
        <f t="shared" si="1"/>
        <v>8.4724069397278903E-2</v>
      </c>
      <c r="F15" s="24">
        <f t="shared" si="1"/>
        <v>4.4751757640446345E-2</v>
      </c>
      <c r="G15" s="24">
        <f t="shared" si="1"/>
        <v>5.3288212333885643E-2</v>
      </c>
      <c r="H15" s="48">
        <f t="shared" si="1"/>
        <v>0</v>
      </c>
      <c r="I15" s="113">
        <f t="shared" si="1"/>
        <v>2.7624829371537808E-2</v>
      </c>
      <c r="J15" s="24">
        <f t="shared" si="1"/>
        <v>2.7408333057883191E-2</v>
      </c>
      <c r="K15" s="24">
        <f t="shared" si="1"/>
        <v>2.7223911198286113E-2</v>
      </c>
      <c r="L15" s="24">
        <f t="shared" si="1"/>
        <v>2.7066486585203182E-2</v>
      </c>
      <c r="M15" s="24">
        <f t="shared" si="1"/>
        <v>2.6931869682131796E-2</v>
      </c>
      <c r="N15" s="150">
        <f>IFERROR(AVERAGE(B15:H15),"")</f>
        <v>5.6676760549011052E-2</v>
      </c>
      <c r="O15" s="191"/>
      <c r="P15" s="191"/>
      <c r="Q15" s="191"/>
      <c r="R15" s="191"/>
    </row>
    <row r="16" spans="1:19" s="50" customFormat="1" ht="24.95" customHeight="1">
      <c r="A16" s="192" t="s">
        <v>80</v>
      </c>
      <c r="B16" s="160">
        <f>IFERROR(TIKR_Cálculos!B11/'2.FCF'!B13,"")</f>
        <v>2.149354425962545</v>
      </c>
      <c r="C16" s="156">
        <f>IFERROR(TIKR_Cálculos!C11/'2.FCF'!C13,"")</f>
        <v>0.50982091276718655</v>
      </c>
      <c r="D16" s="156">
        <f>IFERROR(TIKR_Cálculos!D11/'2.FCF'!D13,"")</f>
        <v>1.9639879017440729</v>
      </c>
      <c r="E16" s="156">
        <f>IFERROR(TIKR_Cálculos!E11/'2.FCF'!E13,"")</f>
        <v>0.69535545023696621</v>
      </c>
      <c r="F16" s="156">
        <f>IFERROR(TIKR_Cálculos!F11/'2.FCF'!F13,"")</f>
        <v>1.0406892940242836</v>
      </c>
      <c r="G16" s="156">
        <f>IFERROR(TIKR_Cálculos!G11/'2.FCF'!G13,"")</f>
        <v>0.18968512486427794</v>
      </c>
      <c r="H16" s="156">
        <f>IFERROR(TIKR_Cálculos!H11/'2.FCF'!H13,"")</f>
        <v>1.0460742830277383</v>
      </c>
      <c r="I16" s="129"/>
      <c r="J16" s="156"/>
      <c r="K16" s="156"/>
      <c r="L16" s="156"/>
      <c r="M16" s="156"/>
      <c r="N16" s="161">
        <f>IFERROR(AVERAGE(B16:H16),"")</f>
        <v>1.0849953418038671</v>
      </c>
      <c r="O16" s="191"/>
      <c r="P16" s="191"/>
      <c r="Q16" s="191"/>
      <c r="R16" s="191"/>
    </row>
    <row r="17" spans="1:13" ht="37.5" customHeight="1">
      <c r="A17" s="162"/>
      <c r="B17" s="194"/>
      <c r="C17" s="194"/>
      <c r="D17" s="194"/>
      <c r="E17" s="194"/>
      <c r="F17" s="195"/>
      <c r="G17" s="195"/>
      <c r="H17" s="194"/>
    </row>
    <row r="18" spans="1:13">
      <c r="I18" s="193"/>
      <c r="M18" s="193"/>
    </row>
    <row r="19" spans="1:13">
      <c r="I19" s="193"/>
      <c r="J19" s="193"/>
      <c r="K19" s="193"/>
      <c r="L19" s="193"/>
      <c r="M19" s="193"/>
    </row>
  </sheetData>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B11" zoomScale="90" zoomScaleNormal="90" workbookViewId="0">
      <selection activeCell="K15" sqref="K15"/>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81</v>
      </c>
      <c r="N1" s="26"/>
    </row>
    <row r="2" spans="1:14" s="6" customFormat="1" ht="39.950000000000003" customHeight="1">
      <c r="A2" s="110" t="s">
        <v>82</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83</v>
      </c>
      <c r="B3" s="133"/>
      <c r="C3" s="84"/>
      <c r="D3" s="84"/>
      <c r="E3" s="84"/>
      <c r="F3" s="84"/>
      <c r="G3" s="84"/>
      <c r="H3" s="80">
        <f>$D$12*'1.IS'!H22</f>
        <v>33228</v>
      </c>
      <c r="I3" s="117">
        <f>IFERROR($D$12*'1.IS'!I22,"")</f>
        <v>33396.230608796912</v>
      </c>
      <c r="J3" s="84">
        <f>IFERROR($D$12*'1.IS'!J22,"")</f>
        <v>33565.312955216803</v>
      </c>
      <c r="K3" s="84">
        <f>IFERROR($D$12*'1.IS'!K22,"")</f>
        <v>33735.251351536623</v>
      </c>
      <c r="L3" s="84">
        <f>IFERROR($D$12*'1.IS'!L22,"")</f>
        <v>33906.050131866032</v>
      </c>
      <c r="M3" s="138">
        <f>IFERROR($D$12*'1.IS'!M22,"")</f>
        <v>34077.713652257946</v>
      </c>
      <c r="N3" s="107"/>
    </row>
    <row r="4" spans="1:14" s="6" customFormat="1" ht="24.95" customHeight="1" thickBot="1">
      <c r="A4" s="47" t="s">
        <v>84</v>
      </c>
      <c r="B4" s="133">
        <f>('3.ROIC'!B7+'3.ROIC'!B6)-('3.ROIC'!B4+'3.ROIC'!B5)</f>
        <v>1532.1</v>
      </c>
      <c r="C4" s="84">
        <f>('3.ROIC'!C7+'3.ROIC'!C6)-('3.ROIC'!C4+'3.ROIC'!C5)</f>
        <v>1388.4</v>
      </c>
      <c r="D4" s="84">
        <f>('3.ROIC'!D7+'3.ROIC'!D6)-('3.ROIC'!D4+'3.ROIC'!D5)</f>
        <v>1731.7300000000002</v>
      </c>
      <c r="E4" s="84">
        <f>('3.ROIC'!E7+'3.ROIC'!E6)-('3.ROIC'!E4+'3.ROIC'!E5)</f>
        <v>1746.4300000000003</v>
      </c>
      <c r="F4" s="84">
        <f>('3.ROIC'!F7+'3.ROIC'!F6)-('3.ROIC'!F4+'3.ROIC'!F5)</f>
        <v>6929.9</v>
      </c>
      <c r="G4" s="84">
        <f>('3.ROIC'!G7+'3.ROIC'!G6)-('3.ROIC'!G4+'3.ROIC'!G5)</f>
        <v>4990.6000000000004</v>
      </c>
      <c r="H4" s="80">
        <f>('3.ROIC'!H7+'3.ROIC'!H6)-('3.ROIC'!H4+'3.ROIC'!H5)</f>
        <v>9406</v>
      </c>
      <c r="I4" s="117">
        <f>IFERROR(I5*'1.IS'!I5,"")</f>
        <v>13046.868260496109</v>
      </c>
      <c r="J4" s="80">
        <f>IFERROR(J5*'1.IS'!J5,"")</f>
        <v>15093.685669153361</v>
      </c>
      <c r="K4" s="80">
        <f>IFERROR(K5*'1.IS'!K5,"")</f>
        <v>17461.611670365921</v>
      </c>
      <c r="L4" s="80">
        <f>IFERROR(L5*'1.IS'!L5,"")</f>
        <v>20201.022388441077</v>
      </c>
      <c r="M4" s="126">
        <f>IFERROR(M5*'1.IS'!M5,"")</f>
        <v>23370.197049499846</v>
      </c>
      <c r="N4" s="107"/>
    </row>
    <row r="5" spans="1:14" s="6" customFormat="1" ht="24.95" customHeight="1" thickTop="1" thickBot="1">
      <c r="A5" s="101" t="s">
        <v>85</v>
      </c>
      <c r="B5" s="167">
        <f>IFERROR('4.Valoración'!B4/'1.IS'!B5,"")</f>
        <v>2.5167967145790553</v>
      </c>
      <c r="C5" s="100">
        <f>IFERROR('4.Valoración'!C4/'1.IS'!C5,"")</f>
        <v>1.9803166452717162</v>
      </c>
      <c r="D5" s="100">
        <f>IFERROR('4.Valoración'!D4/'1.IS'!D5,"")</f>
        <v>2.1426998267755506</v>
      </c>
      <c r="E5" s="100">
        <f>IFERROR('4.Valoración'!E4/'1.IS'!E5,"")</f>
        <v>1.7284540775930328</v>
      </c>
      <c r="F5" s="100">
        <f>IFERROR('4.Valoración'!F4/'1.IS'!F5,"")</f>
        <v>5.9755971371906522</v>
      </c>
      <c r="G5" s="100">
        <f>IFERROR('4.Valoración'!G4/'1.IS'!G5,"")</f>
        <v>3.5130226664789532</v>
      </c>
      <c r="H5" s="108">
        <f>IFERROR('4.Valoración'!H4/'1.IS'!H5,"")</f>
        <v>42.369369369369366</v>
      </c>
      <c r="I5" s="240">
        <f>IFERROR(AVERAGE('4.Valoración'!B5:H5),"")</f>
        <v>8.6037509196083324</v>
      </c>
      <c r="J5" s="241">
        <f>I5</f>
        <v>8.6037509196083324</v>
      </c>
      <c r="K5" s="241">
        <f t="shared" ref="K5:M5" si="0">J5</f>
        <v>8.6037509196083324</v>
      </c>
      <c r="L5" s="241">
        <f t="shared" si="0"/>
        <v>8.6037509196083324</v>
      </c>
      <c r="M5" s="242">
        <f t="shared" si="0"/>
        <v>8.6037509196083324</v>
      </c>
      <c r="N5" s="109"/>
    </row>
    <row r="6" spans="1:14" s="6" customFormat="1" ht="24.95" customHeight="1" thickTop="1">
      <c r="A6" s="166" t="s">
        <v>86</v>
      </c>
      <c r="B6" s="159"/>
      <c r="C6" s="153"/>
      <c r="D6" s="153"/>
      <c r="E6" s="153"/>
      <c r="F6" s="153"/>
      <c r="G6" s="153"/>
      <c r="H6" s="153">
        <f>H3+H4</f>
        <v>42634</v>
      </c>
      <c r="I6" s="159">
        <f>IFERROR((I3+I4),"")</f>
        <v>46443.098869293019</v>
      </c>
      <c r="J6" s="153">
        <f>IFERROR((J3+J4),"")</f>
        <v>48658.998624370164</v>
      </c>
      <c r="K6" s="153">
        <f>IFERROR((K3+K4),"")</f>
        <v>51196.863021902544</v>
      </c>
      <c r="L6" s="153">
        <f>IFERROR((L3+L4),"")</f>
        <v>54107.072520307105</v>
      </c>
      <c r="M6" s="168">
        <f>IFERROR((M3+M4),"")</f>
        <v>57447.910701757792</v>
      </c>
    </row>
    <row r="7" spans="1:14" s="6" customFormat="1" ht="24.95" customHeight="1">
      <c r="A7" s="20" t="s">
        <v>21</v>
      </c>
      <c r="B7" s="91">
        <f>'1.IS'!B5</f>
        <v>608.75</v>
      </c>
      <c r="C7" s="91">
        <f>'1.IS'!C5</f>
        <v>701.09999999999991</v>
      </c>
      <c r="D7" s="91">
        <f>'1.IS'!D5</f>
        <v>808.2</v>
      </c>
      <c r="E7" s="91">
        <f>'1.IS'!E5</f>
        <v>1010.4</v>
      </c>
      <c r="F7" s="91">
        <f>'1.IS'!F5</f>
        <v>1159.7</v>
      </c>
      <c r="G7" s="91">
        <f>'1.IS'!G5</f>
        <v>1420.6</v>
      </c>
      <c r="H7" s="92">
        <f>'1.IS'!H5</f>
        <v>222</v>
      </c>
      <c r="I7" s="93">
        <f>'1.IS'!I5</f>
        <v>1516.4163145125126</v>
      </c>
      <c r="J7" s="91">
        <f>'1.IS'!J5</f>
        <v>1754.3145786280468</v>
      </c>
      <c r="K7" s="91">
        <f>'1.IS'!K5</f>
        <v>2029.5347730918302</v>
      </c>
      <c r="L7" s="91">
        <f>'1.IS'!L5</f>
        <v>2347.9320330394557</v>
      </c>
      <c r="M7" s="91">
        <f>'1.IS'!M5</f>
        <v>2716.280058298541</v>
      </c>
      <c r="N7" s="29"/>
    </row>
    <row r="8" spans="1:14" s="6" customFormat="1" ht="24.95" customHeight="1">
      <c r="A8" s="20" t="s">
        <v>87</v>
      </c>
      <c r="B8" s="91">
        <f>'1.IS'!B8</f>
        <v>499.45</v>
      </c>
      <c r="C8" s="91">
        <f>'1.IS'!C8</f>
        <v>572.4</v>
      </c>
      <c r="D8" s="91">
        <f>'1.IS'!D8</f>
        <v>673.4</v>
      </c>
      <c r="E8" s="91">
        <f>'1.IS'!E8</f>
        <v>857.5</v>
      </c>
      <c r="F8" s="91">
        <f>'1.IS'!F8</f>
        <v>973.9</v>
      </c>
      <c r="G8" s="91">
        <f>'1.IS'!G8</f>
        <v>1214.5999999999999</v>
      </c>
      <c r="H8" s="92">
        <f>'1.IS'!H8</f>
        <v>0</v>
      </c>
      <c r="I8" s="93">
        <f>'1.IS'!I8</f>
        <v>1259.5885339563354</v>
      </c>
      <c r="J8" s="91">
        <f>'1.IS'!J8</f>
        <v>1457.1951693243898</v>
      </c>
      <c r="K8" s="91">
        <f>'1.IS'!K8</f>
        <v>1685.80270799444</v>
      </c>
      <c r="L8" s="91">
        <f>'1.IS'!L8</f>
        <v>1950.2746304045274</v>
      </c>
      <c r="M8" s="91">
        <f>'1.IS'!M8</f>
        <v>2256.2374090171775</v>
      </c>
      <c r="N8" s="29"/>
    </row>
    <row r="9" spans="1:14" s="6" customFormat="1" ht="24.95" customHeight="1">
      <c r="A9" s="20" t="s">
        <v>88</v>
      </c>
      <c r="B9" s="91">
        <f>'1.IS'!B18</f>
        <v>344.15</v>
      </c>
      <c r="C9" s="91">
        <f>'1.IS'!C18</f>
        <v>334.79999999999995</v>
      </c>
      <c r="D9" s="91">
        <f>'1.IS'!D18</f>
        <v>421.5</v>
      </c>
      <c r="E9" s="91">
        <f>'1.IS'!E18</f>
        <v>522.09999999999991</v>
      </c>
      <c r="F9" s="91">
        <f>'1.IS'!F18</f>
        <v>530.59999999999991</v>
      </c>
      <c r="G9" s="91">
        <f>'1.IS'!G18</f>
        <v>680.49999999999989</v>
      </c>
      <c r="H9" s="92">
        <f>'1.IS'!H18</f>
        <v>792</v>
      </c>
      <c r="I9" s="93">
        <f>'1.IS'!I18</f>
        <v>795.60326310556707</v>
      </c>
      <c r="J9" s="91">
        <f>'1.IS'!J18</f>
        <v>947.92828979683225</v>
      </c>
      <c r="K9" s="91">
        <f>'1.IS'!K18</f>
        <v>1124.1503552395261</v>
      </c>
      <c r="L9" s="91">
        <f>'1.IS'!L18</f>
        <v>1328.0184721434557</v>
      </c>
      <c r="M9" s="91">
        <f>'1.IS'!M18</f>
        <v>1563.8698054344632</v>
      </c>
      <c r="N9" s="29"/>
    </row>
    <row r="10" spans="1:14" s="6" customFormat="1" ht="24.95" customHeight="1">
      <c r="A10" s="28" t="s">
        <v>89</v>
      </c>
      <c r="B10" s="94">
        <f>'2.FCF'!B13</f>
        <v>429.84999999999997</v>
      </c>
      <c r="C10" s="94">
        <f>'2.FCF'!C13</f>
        <v>692.40000000000009</v>
      </c>
      <c r="D10" s="94">
        <f>'2.FCF'!D13</f>
        <v>353.76999999999964</v>
      </c>
      <c r="E10" s="94">
        <f>'2.FCF'!E13</f>
        <v>527.50000000000045</v>
      </c>
      <c r="F10" s="94">
        <f>'2.FCF'!F13</f>
        <v>1852.3299999999988</v>
      </c>
      <c r="G10" s="94">
        <f>'2.FCF'!G13</f>
        <v>2763.0000000000005</v>
      </c>
      <c r="H10" s="94">
        <f>'2.FCF'!H13</f>
        <v>850.80000000000018</v>
      </c>
      <c r="I10" s="95">
        <f>'2.FCF'!I13</f>
        <v>1865.5115983816067</v>
      </c>
      <c r="J10" s="94">
        <f>'2.FCF'!J13</f>
        <v>2185.685871542325</v>
      </c>
      <c r="K10" s="94">
        <f>'2.FCF'!K13</f>
        <v>2556.0896912137418</v>
      </c>
      <c r="L10" s="94">
        <f>'2.FCF'!L13</f>
        <v>2984.6031638071663</v>
      </c>
      <c r="M10" s="94">
        <f>'2.FCF'!M13</f>
        <v>3480.3426417557685</v>
      </c>
      <c r="N10" s="29"/>
    </row>
    <row r="11" spans="1:14" s="6" customFormat="1" ht="20.100000000000001" customHeight="1" thickBot="1">
      <c r="A11" s="104"/>
      <c r="B11" s="87"/>
      <c r="C11" s="87"/>
      <c r="D11" s="87"/>
      <c r="E11" s="87"/>
      <c r="F11" s="87"/>
      <c r="G11" s="87"/>
      <c r="H11" s="87"/>
      <c r="I11" s="87"/>
      <c r="J11" s="87"/>
      <c r="K11" s="87"/>
      <c r="L11" s="87"/>
      <c r="M11" s="87"/>
      <c r="N11" s="29"/>
    </row>
    <row r="12" spans="1:14" s="6" customFormat="1" ht="24.95" customHeight="1" thickTop="1" thickBot="1">
      <c r="A12" s="267" t="s">
        <v>90</v>
      </c>
      <c r="B12" s="268"/>
      <c r="C12" s="269"/>
      <c r="D12" s="229">
        <v>117</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10" t="s">
        <v>91</v>
      </c>
      <c r="B14" s="164" t="s">
        <v>92</v>
      </c>
      <c r="C14" s="164" t="s">
        <v>93</v>
      </c>
      <c r="D14" s="236" t="s">
        <v>94</v>
      </c>
      <c r="E14" s="59"/>
      <c r="G14" s="7"/>
      <c r="H14" s="7"/>
      <c r="I14" s="7"/>
      <c r="J14" s="7"/>
      <c r="K14" s="7"/>
      <c r="L14" s="7"/>
      <c r="M14" s="7"/>
    </row>
    <row r="15" spans="1:14" s="6" customFormat="1" ht="24.95" customHeight="1" thickBot="1">
      <c r="A15" s="171" t="s">
        <v>95</v>
      </c>
      <c r="B15" s="172">
        <f>IF(D12&lt;&gt;"",IFERROR(D12/'1.IS'!H20,""),"")</f>
        <v>41.95454545454546</v>
      </c>
      <c r="C15" s="172">
        <f>IF(D12&lt;&gt;"",IFERROR(D12/'1.IS'!I20,""),"")</f>
        <v>41.97598496320601</v>
      </c>
      <c r="D15" s="237">
        <v>24</v>
      </c>
      <c r="E15" s="60"/>
      <c r="G15" s="7"/>
      <c r="H15" s="7"/>
      <c r="I15" s="7"/>
      <c r="J15" s="7"/>
      <c r="K15" s="7"/>
      <c r="L15" s="7"/>
      <c r="M15" s="7"/>
    </row>
    <row r="16" spans="1:14" s="6" customFormat="1" ht="24.95" customHeight="1" thickBot="1">
      <c r="A16" s="174" t="s">
        <v>96</v>
      </c>
      <c r="B16" s="179">
        <f>IF(D12&lt;&gt;"",IFERROR(H6/H10,""),"")</f>
        <v>50.110484250117523</v>
      </c>
      <c r="C16" s="179">
        <f>IF(D12&lt;&gt;"",IFERROR(I6/I10,""),"")</f>
        <v>24.895636622996044</v>
      </c>
      <c r="D16" s="238">
        <v>17</v>
      </c>
      <c r="E16" s="61"/>
      <c r="G16" s="7"/>
      <c r="H16" s="7"/>
      <c r="I16" s="7"/>
      <c r="J16" s="7"/>
      <c r="K16" s="7"/>
      <c r="L16" s="7"/>
      <c r="M16" s="7"/>
    </row>
    <row r="17" spans="1:14" s="6" customFormat="1" ht="24.95" customHeight="1">
      <c r="A17" s="47" t="s">
        <v>97</v>
      </c>
      <c r="B17" s="173">
        <f>IF(D12&lt;&gt;"",IFERROR(H6/H7,""),"")</f>
        <v>192.04504504504504</v>
      </c>
      <c r="C17" s="62">
        <f>IF(D12&lt;&gt;"",IFERROR(I6/I7,""),"")</f>
        <v>30.626878928180904</v>
      </c>
      <c r="D17" s="237">
        <v>15</v>
      </c>
      <c r="E17" s="60"/>
      <c r="G17" s="7"/>
      <c r="H17" s="7"/>
      <c r="I17" s="7"/>
      <c r="J17" s="7"/>
      <c r="K17" s="7"/>
      <c r="L17" s="7"/>
      <c r="M17" s="7"/>
    </row>
    <row r="18" spans="1:14" s="6" customFormat="1" ht="24.95" customHeight="1" thickBot="1">
      <c r="A18" s="28" t="s">
        <v>98</v>
      </c>
      <c r="B18" s="181" t="str">
        <f>IF(D12&lt;&gt;"",IFERROR(H6/H8,""),"")</f>
        <v/>
      </c>
      <c r="C18" s="182">
        <f>IF(D12&lt;&gt;"",IFERROR(I6/I8,""),"")</f>
        <v>36.871643093968501</v>
      </c>
      <c r="D18" s="239">
        <v>18</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5" t="s">
        <v>99</v>
      </c>
      <c r="B20" s="164" t="str">
        <f>I2</f>
        <v>2025e</v>
      </c>
      <c r="C20" s="164" t="str">
        <f>J2</f>
        <v>2026e</v>
      </c>
      <c r="D20" s="164" t="str">
        <f>K2</f>
        <v>2027e</v>
      </c>
      <c r="E20" s="164" t="str">
        <f>L2</f>
        <v>2028e</v>
      </c>
      <c r="F20" s="99" t="str">
        <f>M2</f>
        <v>2029e</v>
      </c>
      <c r="H20" s="270" t="str">
        <f>"Retorno Anualizado"&amp;CHAR(10)&amp;"valorando por..."</f>
        <v>Retorno Anualizado
valorando por...</v>
      </c>
      <c r="I20" s="270"/>
      <c r="J20" s="164" t="str">
        <f>"CAGR"&amp;CHAR(10)&amp;"5 años"</f>
        <v>CAGR
5 años</v>
      </c>
      <c r="L20" s="7"/>
      <c r="M20" s="7"/>
    </row>
    <row r="21" spans="1:14" s="6" customFormat="1" ht="24.95" customHeight="1" thickBot="1">
      <c r="A21" s="57" t="s">
        <v>100</v>
      </c>
      <c r="B21" s="16">
        <f>IF(D12&lt;&gt;"",IFERROR(IF(--I4&lt;0,(I9*$D$15-I4),IF(--I4&gt;0,I9*$D$15))/'1.IS'!I22,""),"")</f>
        <v>66.895392745669909</v>
      </c>
      <c r="C21" s="16">
        <f>IF(D12&lt;&gt;"",IFERROR(IF(--J4&lt;0,(J9*$D$15-J4),IF(--J4&gt;0,J9*$D$15))/'1.IS'!J22,""),"")</f>
        <v>79.301588556641306</v>
      </c>
      <c r="D21" s="16">
        <f>IF(D12&lt;&gt;"",IFERROR(IF(--K4&lt;0,(K9*$D$15-K4),IF(--K4&gt;0,K9*$D$15))/'1.IS'!K22,""),"")</f>
        <v>93.570199451583676</v>
      </c>
      <c r="E21" s="16">
        <f>IF(D12&lt;&gt;"",IFERROR(IF(--L4&lt;0,(L9*$D$15-L4),IF(--L4&gt;0,L9*$D$15))/'1.IS'!L22,""),"")</f>
        <v>109.98260945394267</v>
      </c>
      <c r="F21" s="169">
        <f>IF(D12&lt;&gt;"",IFERROR(IF(--M4&lt;0,(M9*$D$15-M4),IF(--M4&gt;0,M9*$D$15))/'1.IS'!M22,""),"")</f>
        <v>128.8627065322209</v>
      </c>
      <c r="H21" s="57" t="s">
        <v>100</v>
      </c>
      <c r="I21" s="57"/>
      <c r="J21" s="170">
        <f>IFERROR((F21/$D$12)^(1/5)-1,"")</f>
        <v>1.9502458465005645E-2</v>
      </c>
      <c r="L21" s="7"/>
      <c r="M21" s="7"/>
    </row>
    <row r="22" spans="1:14" s="6" customFormat="1" ht="24.95" customHeight="1" thickBot="1">
      <c r="A22" s="174" t="s">
        <v>101</v>
      </c>
      <c r="B22" s="175">
        <f>IF(D12&lt;&gt;"",IFERROR(((I10*$D$16)-I4)/'1.IS'!I22,""),"")</f>
        <v>65.39717036591783</v>
      </c>
      <c r="C22" s="175">
        <f>IF(D12&lt;&gt;"",IFERROR(((J10*$D$16)-J4)/'1.IS'!J22,""),"")</f>
        <v>76.905821752677525</v>
      </c>
      <c r="D22" s="175">
        <f>IF(D12&lt;&gt;"",IFERROR(((K10*$D$16)-K4)/'1.IS'!K22,""),"")</f>
        <v>90.144691637307204</v>
      </c>
      <c r="E22" s="175">
        <f>IF(D12&lt;&gt;"",IFERROR(((L10*$D$16)-L4)/'1.IS'!L22,""),"")</f>
        <v>105.37517816051827</v>
      </c>
      <c r="F22" s="176">
        <f>IF(D12&lt;&gt;"",IFERROR(((M10*$D$16)-M4)/'1.IS'!M22,""),"")</f>
        <v>122.89816454230476</v>
      </c>
      <c r="H22" s="174" t="s">
        <v>96</v>
      </c>
      <c r="I22" s="177"/>
      <c r="J22" s="178">
        <f>IFERROR((F22/$D$12)^(1/5)-1,"")</f>
        <v>9.8849661039892567E-3</v>
      </c>
      <c r="L22" s="7"/>
      <c r="M22" s="7"/>
    </row>
    <row r="23" spans="1:14" s="6" customFormat="1" ht="24.95" customHeight="1">
      <c r="A23" s="20" t="s">
        <v>97</v>
      </c>
      <c r="B23" s="16">
        <f>IF(D12&lt;&gt;"",IFERROR(((I7*$D$17)-I4)/'1.IS'!I22,""),"")</f>
        <v>33.980692575301887</v>
      </c>
      <c r="C23" s="16">
        <f>IF(D12&lt;&gt;"",IFERROR(((J7*$D$17)-J4)/'1.IS'!J22,""),"")</f>
        <v>39.11361898972644</v>
      </c>
      <c r="D23" s="16">
        <f>IF(D12&lt;&gt;"",IFERROR(((K7*$D$17)-K4)/'1.IS'!K22,""),"")</f>
        <v>45.021895509729703</v>
      </c>
      <c r="E23" s="16">
        <f>IF(D12&lt;&gt;"",IFERROR(((L7*$D$17)-L4)/'1.IS'!L22,""),"")</f>
        <v>51.822642027101139</v>
      </c>
      <c r="F23" s="169">
        <f>IF(D12&lt;&gt;"",IFERROR(((M7*$D$17)-M4)/'1.IS'!M22,""),"")</f>
        <v>59.650669885471302</v>
      </c>
      <c r="H23" s="20" t="s">
        <v>97</v>
      </c>
      <c r="I23" s="20"/>
      <c r="J23" s="170">
        <f>IFERROR((F23/$D$12)^(1/5)-1,"")</f>
        <v>-0.12605139657866304</v>
      </c>
      <c r="L23" s="7"/>
      <c r="M23" s="7"/>
    </row>
    <row r="24" spans="1:14" s="6" customFormat="1" ht="24.95" customHeight="1">
      <c r="A24" s="57" t="s">
        <v>98</v>
      </c>
      <c r="B24" s="58">
        <f>IF(D12&lt;&gt;"",IFERROR(((I8*$D$18)-I4)/'1.IS'!I22,""),"")</f>
        <v>33.722664070278107</v>
      </c>
      <c r="C24" s="58">
        <f>IF(D12&lt;&gt;"",IFERROR(((J8*$D$18)-J4)/'1.IS'!J22,""),"")</f>
        <v>38.816614194676326</v>
      </c>
      <c r="D24" s="58">
        <f>IF(D12&lt;&gt;"",IFERROR(((K8*$D$18)-K4)/'1.IS'!K22,""),"")</f>
        <v>44.680026892250254</v>
      </c>
      <c r="E24" s="58">
        <f>IF(D12&lt;&gt;"",IFERROR(((L8*$D$18)-L4)/'1.IS'!L22,""),"")</f>
        <v>51.42913271827809</v>
      </c>
      <c r="F24" s="169">
        <f>IF(D12&lt;&gt;"",IFERROR(((M8*$D$18)-M4)/'1.IS'!M22,""),"")</f>
        <v>59.197719341861671</v>
      </c>
      <c r="H24" s="57" t="s">
        <v>98</v>
      </c>
      <c r="I24" s="57"/>
      <c r="J24" s="170">
        <f>IFERROR((F24/$D$12)^(1/5)-1,"")</f>
        <v>-0.12738269212453679</v>
      </c>
      <c r="L24" s="7"/>
      <c r="M24" s="7"/>
    </row>
    <row r="25" spans="1:14" s="6" customFormat="1" ht="24.95" customHeight="1">
      <c r="A25" s="221" t="s">
        <v>102</v>
      </c>
      <c r="B25" s="222">
        <f>IFERROR(AVERAGE(B21:B24),"")</f>
        <v>49.998979939291935</v>
      </c>
      <c r="C25" s="222">
        <f>IFERROR(AVERAGE(C21:C24),"")</f>
        <v>58.534410873430403</v>
      </c>
      <c r="D25" s="222">
        <f>IFERROR(AVERAGE(D21:D24),"")</f>
        <v>68.354203372717706</v>
      </c>
      <c r="E25" s="222">
        <f>IFERROR(AVERAGE(E21:E24),"")</f>
        <v>79.652390589960049</v>
      </c>
      <c r="F25" s="223">
        <f>IFERROR(AVERAGE(F21:F24),"")</f>
        <v>92.652315075464657</v>
      </c>
      <c r="H25" s="183" t="s">
        <v>102</v>
      </c>
      <c r="I25" s="184"/>
      <c r="J25" s="185">
        <f>IFERROR(AVERAGE(J21:J24),"")</f>
        <v>-5.6011666033551233E-2</v>
      </c>
      <c r="L25" s="7"/>
      <c r="M25" s="7"/>
    </row>
    <row r="26" spans="1:14" s="6" customFormat="1" ht="24.95" customHeight="1">
      <c r="A26" s="183" t="s">
        <v>103</v>
      </c>
      <c r="B26" s="224">
        <f>IFERROR((B25/$D$12)-1,"")</f>
        <v>-0.57265829111716293</v>
      </c>
      <c r="C26" s="224">
        <f t="shared" ref="C26:F26" si="1">IFERROR((C25/$D$12)-1,"")</f>
        <v>-0.49970588997068033</v>
      </c>
      <c r="D26" s="224">
        <f t="shared" si="1"/>
        <v>-0.41577603954942133</v>
      </c>
      <c r="E26" s="224">
        <f t="shared" si="1"/>
        <v>-0.31921033683794831</v>
      </c>
      <c r="F26" s="225">
        <f t="shared" si="1"/>
        <v>-0.20809987114987472</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80"/>
      <c r="C42" s="180"/>
      <c r="D42" s="180"/>
      <c r="E42" s="180"/>
      <c r="F42" s="180"/>
      <c r="G42" s="180"/>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workbookViewId="0"/>
  </sheetViews>
  <sheetFormatPr defaultColWidth="0" defaultRowHeight="15"/>
  <cols>
    <col min="1" max="1" width="48.42578125" bestFit="1" customWidth="1"/>
    <col min="2" max="8" width="11.42578125" style="3" customWidth="1"/>
    <col min="9" max="16384" width="11.42578125" hidden="1"/>
  </cols>
  <sheetData>
    <row r="1" spans="1:10">
      <c r="A1" s="66" t="s">
        <v>104</v>
      </c>
      <c r="B1" s="67">
        <v>43465</v>
      </c>
      <c r="C1" s="67">
        <v>43830</v>
      </c>
      <c r="D1" s="67">
        <v>44196</v>
      </c>
      <c r="E1" s="67">
        <v>44561</v>
      </c>
      <c r="F1" s="67">
        <v>44926</v>
      </c>
      <c r="G1" s="67">
        <v>45291</v>
      </c>
      <c r="H1" s="67">
        <v>45657</v>
      </c>
      <c r="I1" t="s">
        <v>105</v>
      </c>
      <c r="J1" t="s">
        <v>106</v>
      </c>
    </row>
    <row r="2" spans="1:10" s="66" customFormat="1">
      <c r="A2" s="66" t="s">
        <v>107</v>
      </c>
      <c r="B2" s="67"/>
      <c r="C2" s="67"/>
      <c r="D2" s="67"/>
      <c r="E2" s="67"/>
      <c r="F2" s="67"/>
      <c r="G2" s="67"/>
      <c r="H2" s="67"/>
      <c r="I2" s="96"/>
    </row>
    <row r="3" spans="1:10">
      <c r="A3" t="s">
        <v>108</v>
      </c>
      <c r="B3" s="65">
        <v>2009.9</v>
      </c>
      <c r="C3" s="65">
        <v>2384.6999999999998</v>
      </c>
      <c r="D3" s="65">
        <v>2606.1</v>
      </c>
      <c r="E3" s="65">
        <v>3047.5</v>
      </c>
      <c r="F3" s="65">
        <v>3573.4</v>
      </c>
      <c r="G3" s="65">
        <v>4257.1000000000004</v>
      </c>
      <c r="H3" s="65">
        <v>4805</v>
      </c>
      <c r="I3" t="s">
        <v>109</v>
      </c>
      <c r="J3" t="s">
        <v>110</v>
      </c>
    </row>
    <row r="4" spans="1:10">
      <c r="A4" t="s">
        <v>111</v>
      </c>
      <c r="B4" s="65">
        <v>8.2000000000000003E-2</v>
      </c>
      <c r="C4" s="65">
        <v>0.186</v>
      </c>
      <c r="D4" s="65">
        <v>9.2999999999999999E-2</v>
      </c>
      <c r="E4" s="65">
        <v>0.16900000000000001</v>
      </c>
      <c r="F4" s="65">
        <v>0.17299999999999999</v>
      </c>
      <c r="G4" s="65">
        <v>0.191</v>
      </c>
      <c r="H4" s="65">
        <v>0.129</v>
      </c>
      <c r="I4" s="97" t="s">
        <v>112</v>
      </c>
      <c r="J4" t="s">
        <v>113</v>
      </c>
    </row>
    <row r="5" spans="1:10">
      <c r="A5" t="s">
        <v>114</v>
      </c>
      <c r="B5" s="65">
        <v>-1068.9000000000001</v>
      </c>
      <c r="C5" s="65">
        <v>-1308.2</v>
      </c>
      <c r="D5" s="65">
        <v>-1436.4</v>
      </c>
      <c r="E5" s="65">
        <v>-1636.9</v>
      </c>
      <c r="F5" s="65">
        <v>-1816.9</v>
      </c>
      <c r="G5" s="65">
        <v>-206</v>
      </c>
      <c r="H5" s="65">
        <v>-2406</v>
      </c>
      <c r="I5" s="97" t="s">
        <v>115</v>
      </c>
      <c r="J5" t="s">
        <v>116</v>
      </c>
    </row>
    <row r="6" spans="1:10">
      <c r="A6" t="s">
        <v>117</v>
      </c>
      <c r="B6" s="65">
        <v>941</v>
      </c>
      <c r="C6" s="65">
        <v>1076.5</v>
      </c>
      <c r="D6" s="65">
        <v>1169.7</v>
      </c>
      <c r="E6" s="65">
        <v>1410.6</v>
      </c>
      <c r="F6" s="65">
        <v>1756.5</v>
      </c>
      <c r="G6" s="65">
        <v>4051.1</v>
      </c>
      <c r="H6" s="65">
        <v>2399</v>
      </c>
      <c r="I6" s="97" t="s">
        <v>118</v>
      </c>
      <c r="J6" t="s">
        <v>119</v>
      </c>
    </row>
    <row r="7" spans="1:10">
      <c r="A7" t="s">
        <v>111</v>
      </c>
      <c r="B7" s="65">
        <v>9.0999999999999998E-2</v>
      </c>
      <c r="C7" s="65">
        <v>0.14399999999999999</v>
      </c>
      <c r="D7" s="65">
        <v>8.6999999999999994E-2</v>
      </c>
      <c r="E7" s="65">
        <v>0.20599999999999999</v>
      </c>
      <c r="F7" s="65">
        <v>0.245</v>
      </c>
      <c r="G7" s="65">
        <v>1.306</v>
      </c>
      <c r="H7" s="65">
        <v>-0.40799999999999997</v>
      </c>
      <c r="I7" s="97" t="s">
        <v>120</v>
      </c>
      <c r="J7" t="s">
        <v>121</v>
      </c>
    </row>
    <row r="8" spans="1:10">
      <c r="A8" t="s">
        <v>122</v>
      </c>
      <c r="B8" s="65">
        <v>0.46800000000000003</v>
      </c>
      <c r="C8" s="65">
        <v>0.45100000000000001</v>
      </c>
      <c r="D8" s="65">
        <v>0.44900000000000001</v>
      </c>
      <c r="E8" s="65">
        <v>0.46300000000000002</v>
      </c>
      <c r="F8" s="65">
        <v>0.49199999999999999</v>
      </c>
      <c r="G8" s="65">
        <v>0.95199999999999996</v>
      </c>
      <c r="H8" s="65">
        <v>0.499</v>
      </c>
      <c r="I8" s="97" t="s">
        <v>123</v>
      </c>
      <c r="J8" t="s">
        <v>124</v>
      </c>
    </row>
    <row r="9" spans="1:10">
      <c r="A9" t="s">
        <v>125</v>
      </c>
      <c r="B9" s="65"/>
      <c r="C9" s="65"/>
      <c r="D9" s="65"/>
      <c r="E9" s="65"/>
      <c r="F9" s="65"/>
      <c r="G9" s="65"/>
      <c r="H9" s="65"/>
      <c r="I9" s="97" t="s">
        <v>126</v>
      </c>
      <c r="J9" t="s">
        <v>127</v>
      </c>
    </row>
    <row r="10" spans="1:10">
      <c r="A10" t="s">
        <v>128</v>
      </c>
      <c r="B10" s="65">
        <v>-1.6</v>
      </c>
      <c r="C10" s="65">
        <v>-505.8</v>
      </c>
      <c r="D10" s="65">
        <v>-500.8</v>
      </c>
      <c r="E10" s="65">
        <v>-555.9</v>
      </c>
      <c r="F10" s="65">
        <v>-782.6</v>
      </c>
      <c r="G10" s="65">
        <v>2836.5</v>
      </c>
      <c r="H10" s="65">
        <v>-2299</v>
      </c>
      <c r="I10" s="97" t="s">
        <v>129</v>
      </c>
      <c r="J10" t="s">
        <v>130</v>
      </c>
    </row>
    <row r="11" spans="1:10">
      <c r="A11" t="s">
        <v>131</v>
      </c>
      <c r="B11" s="65">
        <v>-441.4</v>
      </c>
      <c r="C11" s="65">
        <v>-505.8</v>
      </c>
      <c r="D11" s="65">
        <v>-500.8</v>
      </c>
      <c r="E11" s="65">
        <v>-555.9</v>
      </c>
      <c r="F11" s="65">
        <v>-782.6</v>
      </c>
      <c r="G11" s="65">
        <v>-2836.5</v>
      </c>
      <c r="H11" s="65">
        <v>-2299</v>
      </c>
      <c r="I11" s="97" t="s">
        <v>132</v>
      </c>
      <c r="J11" t="s">
        <v>133</v>
      </c>
    </row>
    <row r="12" spans="1:10">
      <c r="A12" t="s">
        <v>134</v>
      </c>
      <c r="B12" s="65">
        <v>499.45</v>
      </c>
      <c r="C12" s="65">
        <v>572.4</v>
      </c>
      <c r="D12" s="65">
        <v>673.4</v>
      </c>
      <c r="E12" s="65">
        <v>857.5</v>
      </c>
      <c r="F12" s="65">
        <v>973.9</v>
      </c>
      <c r="G12" s="65">
        <v>1214.5999999999999</v>
      </c>
      <c r="H12" s="65"/>
      <c r="I12" s="97" t="s">
        <v>135</v>
      </c>
      <c r="J12" t="s">
        <v>136</v>
      </c>
    </row>
    <row r="13" spans="1:10">
      <c r="A13" t="s">
        <v>111</v>
      </c>
      <c r="B13" s="65">
        <v>0.06</v>
      </c>
      <c r="C13" s="65">
        <v>0.14599999999999999</v>
      </c>
      <c r="D13" s="65">
        <v>0.17599999999999999</v>
      </c>
      <c r="E13" s="65">
        <v>0.27300000000000002</v>
      </c>
      <c r="F13" s="65">
        <v>0.13600000000000001</v>
      </c>
      <c r="G13" s="65">
        <v>0.247</v>
      </c>
      <c r="H13" s="65"/>
      <c r="I13" s="97" t="s">
        <v>137</v>
      </c>
      <c r="J13" t="s">
        <v>138</v>
      </c>
    </row>
    <row r="14" spans="1:10">
      <c r="A14" t="s">
        <v>139</v>
      </c>
      <c r="B14" s="65">
        <v>0.248</v>
      </c>
      <c r="C14" s="65">
        <v>0.24</v>
      </c>
      <c r="D14" s="65">
        <v>0.25800000000000001</v>
      </c>
      <c r="E14" s="65">
        <v>0.28100000000000003</v>
      </c>
      <c r="F14" s="65">
        <v>0.27300000000000002</v>
      </c>
      <c r="G14" s="65">
        <v>0.28499999999999998</v>
      </c>
      <c r="H14" s="65"/>
      <c r="I14" s="97" t="s">
        <v>140</v>
      </c>
      <c r="J14" t="s">
        <v>141</v>
      </c>
    </row>
    <row r="15" spans="1:10">
      <c r="A15" t="s">
        <v>142</v>
      </c>
      <c r="B15" s="65">
        <v>-40.6</v>
      </c>
      <c r="C15" s="65">
        <v>-63.7</v>
      </c>
      <c r="D15" s="65">
        <v>-59</v>
      </c>
      <c r="E15" s="65">
        <v>-65</v>
      </c>
      <c r="F15" s="65">
        <v>-141.19999999999999</v>
      </c>
      <c r="G15" s="65">
        <v>-190</v>
      </c>
      <c r="H15" s="65">
        <v>-201</v>
      </c>
      <c r="I15" s="97" t="s">
        <v>143</v>
      </c>
      <c r="J15" t="s">
        <v>144</v>
      </c>
    </row>
    <row r="16" spans="1:10">
      <c r="A16" t="s">
        <v>145</v>
      </c>
      <c r="B16" s="65">
        <v>3.5</v>
      </c>
      <c r="C16" s="65">
        <v>-46.5</v>
      </c>
      <c r="D16" s="65">
        <v>-49.3</v>
      </c>
      <c r="E16" s="65">
        <v>-94.7</v>
      </c>
      <c r="F16" s="65">
        <v>-97.8</v>
      </c>
      <c r="G16" s="65">
        <v>-68.5</v>
      </c>
      <c r="H16" s="65">
        <v>1303</v>
      </c>
      <c r="I16" t="s">
        <v>146</v>
      </c>
      <c r="J16" t="s">
        <v>147</v>
      </c>
    </row>
    <row r="17" spans="1:10">
      <c r="A17" t="s">
        <v>148</v>
      </c>
      <c r="B17" s="65">
        <v>462.5</v>
      </c>
      <c r="C17" s="65">
        <v>525.9</v>
      </c>
      <c r="D17" s="65">
        <v>624.1</v>
      </c>
      <c r="E17" s="65">
        <v>762.8</v>
      </c>
      <c r="F17" s="65">
        <v>876.1</v>
      </c>
      <c r="G17" s="65">
        <v>1146.0999999999999</v>
      </c>
      <c r="H17" s="65">
        <v>1303</v>
      </c>
      <c r="I17" t="s">
        <v>149</v>
      </c>
      <c r="J17" t="s">
        <v>150</v>
      </c>
    </row>
    <row r="18" spans="1:10">
      <c r="A18" t="s">
        <v>111</v>
      </c>
      <c r="B18" s="65">
        <v>2.8000000000000001E-2</v>
      </c>
      <c r="C18" s="65">
        <v>0.13700000000000001</v>
      </c>
      <c r="D18" s="65">
        <v>0.187</v>
      </c>
      <c r="E18" s="65">
        <v>0.222</v>
      </c>
      <c r="F18" s="65">
        <v>0.14899999999999999</v>
      </c>
      <c r="G18" s="65">
        <v>0.308</v>
      </c>
      <c r="H18" s="65">
        <v>0.13700000000000001</v>
      </c>
      <c r="I18" s="97" t="s">
        <v>151</v>
      </c>
      <c r="J18" t="s">
        <v>152</v>
      </c>
    </row>
    <row r="19" spans="1:10">
      <c r="A19" t="s">
        <v>153</v>
      </c>
      <c r="B19" s="65">
        <v>0.23</v>
      </c>
      <c r="C19" s="65">
        <v>0.221</v>
      </c>
      <c r="D19" s="65">
        <v>0.23899999999999999</v>
      </c>
      <c r="E19" s="65">
        <v>0.25</v>
      </c>
      <c r="F19" s="65">
        <v>0.245</v>
      </c>
      <c r="G19" s="65">
        <v>0.26900000000000002</v>
      </c>
      <c r="H19" s="65">
        <v>0.27100000000000002</v>
      </c>
      <c r="I19" s="97" t="s">
        <v>154</v>
      </c>
      <c r="J19" t="s">
        <v>155</v>
      </c>
    </row>
    <row r="20" spans="1:10">
      <c r="A20" t="s">
        <v>156</v>
      </c>
      <c r="B20" s="65">
        <v>-118.2</v>
      </c>
      <c r="C20" s="65">
        <v>-127.4</v>
      </c>
      <c r="D20" s="65">
        <v>-143.6</v>
      </c>
      <c r="E20" s="65">
        <v>-175.7</v>
      </c>
      <c r="F20" s="65">
        <v>-204.3</v>
      </c>
      <c r="G20" s="65">
        <v>-275.60000000000002</v>
      </c>
      <c r="H20" s="65">
        <v>-310</v>
      </c>
      <c r="I20" t="s">
        <v>157</v>
      </c>
      <c r="J20" t="s">
        <v>158</v>
      </c>
    </row>
    <row r="21" spans="1:10">
      <c r="A21" t="s">
        <v>159</v>
      </c>
      <c r="B21" s="65">
        <v>0.25600000000000001</v>
      </c>
      <c r="C21" s="65">
        <v>0.24199999999999999</v>
      </c>
      <c r="D21" s="65">
        <v>0.23</v>
      </c>
      <c r="E21" s="65">
        <v>0.23</v>
      </c>
      <c r="F21" s="65">
        <v>0.23300000000000001</v>
      </c>
      <c r="G21" s="65">
        <v>0.24</v>
      </c>
      <c r="H21" s="65">
        <v>0.23799999999999999</v>
      </c>
      <c r="I21" s="97" t="s">
        <v>160</v>
      </c>
      <c r="J21" t="s">
        <v>161</v>
      </c>
    </row>
    <row r="22" spans="1:10">
      <c r="A22" t="s">
        <v>36</v>
      </c>
      <c r="B22" s="65">
        <v>344.3</v>
      </c>
      <c r="C22" s="65">
        <v>398.5</v>
      </c>
      <c r="D22" s="65">
        <v>480.5</v>
      </c>
      <c r="E22" s="65">
        <v>587.1</v>
      </c>
      <c r="F22" s="65">
        <v>671.8</v>
      </c>
      <c r="G22" s="65">
        <v>870.5</v>
      </c>
      <c r="H22" s="65">
        <v>993</v>
      </c>
      <c r="I22" s="97" t="s">
        <v>162</v>
      </c>
      <c r="J22" t="s">
        <v>163</v>
      </c>
    </row>
    <row r="23" spans="1:10">
      <c r="A23" t="s">
        <v>111</v>
      </c>
      <c r="B23" s="65">
        <v>-0.13800000000000001</v>
      </c>
      <c r="C23" s="65">
        <v>0.157</v>
      </c>
      <c r="D23" s="65">
        <v>0.20599999999999999</v>
      </c>
      <c r="E23" s="65">
        <v>0.222</v>
      </c>
      <c r="F23" s="65">
        <v>0.14399999999999999</v>
      </c>
      <c r="G23" s="65">
        <v>0.29599999999999999</v>
      </c>
      <c r="H23" s="65">
        <v>0.14099999999999999</v>
      </c>
      <c r="I23" s="97" t="s">
        <v>164</v>
      </c>
      <c r="J23" t="s">
        <v>165</v>
      </c>
    </row>
    <row r="24" spans="1:10">
      <c r="A24" t="s">
        <v>166</v>
      </c>
      <c r="B24" s="65">
        <v>0.17100000000000001</v>
      </c>
      <c r="C24" s="65">
        <v>0.16700000000000001</v>
      </c>
      <c r="D24" s="65">
        <v>0.184</v>
      </c>
      <c r="E24" s="65">
        <v>0.193</v>
      </c>
      <c r="F24" s="65">
        <v>0.188</v>
      </c>
      <c r="G24" s="65">
        <v>0.20399999999999999</v>
      </c>
      <c r="H24" s="65">
        <v>0.20699999999999999</v>
      </c>
      <c r="I24" s="97" t="s">
        <v>167</v>
      </c>
      <c r="J24" t="s">
        <v>168</v>
      </c>
    </row>
    <row r="25" spans="1:10">
      <c r="A25" t="s">
        <v>169</v>
      </c>
      <c r="B25" s="65">
        <v>275.54000000000002</v>
      </c>
      <c r="C25" s="65">
        <v>274.62</v>
      </c>
      <c r="D25" s="65">
        <v>275.87</v>
      </c>
      <c r="E25" s="65">
        <v>277.41000000000003</v>
      </c>
      <c r="F25" s="65">
        <v>278.60000000000002</v>
      </c>
      <c r="G25" s="65">
        <v>280.8</v>
      </c>
      <c r="H25" s="65">
        <v>284</v>
      </c>
      <c r="I25" s="97" t="s">
        <v>170</v>
      </c>
      <c r="J25" t="s">
        <v>171</v>
      </c>
    </row>
    <row r="26" spans="1:10">
      <c r="A26" t="s">
        <v>111</v>
      </c>
      <c r="B26" s="65">
        <v>-7.0000000000000001E-3</v>
      </c>
      <c r="C26" s="65">
        <v>-3.0000000000000001E-3</v>
      </c>
      <c r="D26" s="65">
        <v>5.0000000000000001E-3</v>
      </c>
      <c r="E26" s="65">
        <v>6.0000000000000001E-3</v>
      </c>
      <c r="F26" s="65">
        <v>4.0000000000000001E-3</v>
      </c>
      <c r="G26" s="65">
        <v>8.0000000000000002E-3</v>
      </c>
      <c r="H26" s="65">
        <v>1.0999999999999999E-2</v>
      </c>
      <c r="I26" s="97" t="s">
        <v>172</v>
      </c>
      <c r="J26" t="s">
        <v>173</v>
      </c>
    </row>
    <row r="27" spans="1:10">
      <c r="A27" t="s">
        <v>174</v>
      </c>
      <c r="B27" s="65">
        <v>1.25</v>
      </c>
      <c r="C27" s="65">
        <v>1.4</v>
      </c>
      <c r="D27" s="65">
        <v>1.69</v>
      </c>
      <c r="E27" s="65">
        <v>2.0699999999999998</v>
      </c>
      <c r="F27" s="65">
        <v>2.37</v>
      </c>
      <c r="G27" s="65">
        <v>3.05</v>
      </c>
      <c r="H27" s="65">
        <v>3.54</v>
      </c>
      <c r="I27" s="97" t="s">
        <v>175</v>
      </c>
      <c r="J27" t="s">
        <v>176</v>
      </c>
    </row>
    <row r="28" spans="1:10">
      <c r="A28" t="s">
        <v>111</v>
      </c>
      <c r="B28" s="65">
        <v>-0.113</v>
      </c>
      <c r="C28" s="65">
        <v>0.12</v>
      </c>
      <c r="D28" s="65">
        <v>0.20699999999999999</v>
      </c>
      <c r="E28" s="65">
        <v>0.22500000000000001</v>
      </c>
      <c r="F28" s="65">
        <v>0.14499999999999999</v>
      </c>
      <c r="G28" s="65">
        <v>0.28699999999999998</v>
      </c>
      <c r="H28" s="65">
        <v>0.161</v>
      </c>
      <c r="I28" s="97" t="s">
        <v>177</v>
      </c>
      <c r="J28" t="s">
        <v>178</v>
      </c>
    </row>
    <row r="29" spans="1:10">
      <c r="A29" t="s">
        <v>179</v>
      </c>
      <c r="B29" s="65"/>
      <c r="C29" s="65"/>
      <c r="D29" s="65"/>
      <c r="E29" s="65"/>
      <c r="F29" s="65"/>
      <c r="G29" s="65"/>
      <c r="H29" s="65"/>
      <c r="I29" s="97" t="s">
        <v>180</v>
      </c>
      <c r="J29" t="s">
        <v>181</v>
      </c>
    </row>
    <row r="30" spans="1:10">
      <c r="A30" t="s">
        <v>182</v>
      </c>
      <c r="B30" s="65">
        <v>1.27</v>
      </c>
      <c r="C30" s="65">
        <v>1.42</v>
      </c>
      <c r="D30" s="65">
        <v>1.7</v>
      </c>
      <c r="E30" s="65">
        <v>2.08</v>
      </c>
      <c r="F30" s="65">
        <v>2.38</v>
      </c>
      <c r="G30" s="65">
        <v>3.07</v>
      </c>
      <c r="H30" s="65">
        <v>3.56</v>
      </c>
      <c r="I30" s="97"/>
    </row>
    <row r="31" spans="1:10">
      <c r="A31" t="s">
        <v>111</v>
      </c>
      <c r="B31" s="65">
        <v>-0.112</v>
      </c>
      <c r="C31" s="65">
        <v>0.11799999999999999</v>
      </c>
      <c r="D31" s="65">
        <v>0.19700000000000001</v>
      </c>
      <c r="E31" s="65">
        <v>0.224</v>
      </c>
      <c r="F31" s="65">
        <v>0.14399999999999999</v>
      </c>
      <c r="G31" s="65">
        <v>0.28999999999999998</v>
      </c>
      <c r="H31" s="65">
        <v>0.16</v>
      </c>
      <c r="I31" s="97" t="s">
        <v>177</v>
      </c>
      <c r="J31">
        <v>45658</v>
      </c>
    </row>
    <row r="32" spans="1:10">
      <c r="A32" t="s">
        <v>183</v>
      </c>
      <c r="B32" s="65">
        <v>270.99</v>
      </c>
      <c r="C32" s="65">
        <v>272.47000000000003</v>
      </c>
      <c r="D32" s="65">
        <v>274.33</v>
      </c>
      <c r="E32" s="65">
        <v>276.02</v>
      </c>
      <c r="F32" s="65">
        <v>277.5</v>
      </c>
      <c r="G32" s="65">
        <v>279.60000000000002</v>
      </c>
      <c r="H32" s="65">
        <v>282</v>
      </c>
      <c r="I32" s="97" t="s">
        <v>184</v>
      </c>
      <c r="J32" t="s">
        <v>185</v>
      </c>
    </row>
    <row r="33" spans="1:10">
      <c r="A33" t="s">
        <v>111</v>
      </c>
      <c r="B33" s="65">
        <v>-6.0000000000000001E-3</v>
      </c>
      <c r="C33" s="65">
        <v>5.0000000000000001E-3</v>
      </c>
      <c r="D33" s="65">
        <v>7.0000000000000001E-3</v>
      </c>
      <c r="E33" s="65">
        <v>6.0000000000000001E-3</v>
      </c>
      <c r="F33" s="65">
        <v>5.0000000000000001E-3</v>
      </c>
      <c r="G33" s="65">
        <v>8.0000000000000002E-3</v>
      </c>
      <c r="H33" s="65">
        <v>8.9999999999999993E-3</v>
      </c>
      <c r="I33" t="s">
        <v>186</v>
      </c>
      <c r="J33" t="s">
        <v>187</v>
      </c>
    </row>
    <row r="34" spans="1:10">
      <c r="A34" t="s">
        <v>21</v>
      </c>
      <c r="B34" s="65">
        <v>610.5</v>
      </c>
      <c r="C34" s="65">
        <v>701.1</v>
      </c>
      <c r="D34" s="65">
        <v>808.2</v>
      </c>
      <c r="E34" s="65">
        <v>1010.4</v>
      </c>
      <c r="F34" s="65">
        <v>1159.7</v>
      </c>
      <c r="G34" s="65">
        <v>1420.6</v>
      </c>
      <c r="H34" s="65">
        <v>1726</v>
      </c>
      <c r="I34" s="97" t="s">
        <v>175</v>
      </c>
      <c r="J34" t="s">
        <v>188</v>
      </c>
    </row>
    <row r="35" spans="1:10">
      <c r="A35" t="s">
        <v>111</v>
      </c>
      <c r="B35" s="65">
        <v>1.4999999999999999E-2</v>
      </c>
      <c r="C35" s="65">
        <v>0.14799999999999999</v>
      </c>
      <c r="D35" s="65">
        <v>0.153</v>
      </c>
      <c r="E35" s="65">
        <v>0.25</v>
      </c>
      <c r="F35" s="65">
        <v>0.14799999999999999</v>
      </c>
      <c r="G35" s="65">
        <v>0.22500000000000001</v>
      </c>
      <c r="H35" s="65">
        <v>0.215</v>
      </c>
      <c r="I35" t="s">
        <v>189</v>
      </c>
      <c r="J35" t="s">
        <v>138</v>
      </c>
    </row>
    <row r="36" spans="1:10">
      <c r="A36" t="s">
        <v>190</v>
      </c>
      <c r="B36" s="258">
        <v>0.30399999999999999</v>
      </c>
      <c r="C36" s="258">
        <v>0.29399999999999998</v>
      </c>
      <c r="D36" s="65">
        <v>0.31</v>
      </c>
      <c r="E36" s="65">
        <v>0.33200000000000002</v>
      </c>
      <c r="F36" s="65">
        <v>0.32500000000000001</v>
      </c>
      <c r="G36" s="65">
        <v>0.33400000000000002</v>
      </c>
      <c r="H36" s="65">
        <v>0.35899999999999999</v>
      </c>
      <c r="I36" s="97" t="s">
        <v>191</v>
      </c>
      <c r="J36" t="s">
        <v>192</v>
      </c>
    </row>
    <row r="37" spans="1:10">
      <c r="A37" t="s">
        <v>193</v>
      </c>
      <c r="B37" s="258">
        <v>109.3</v>
      </c>
      <c r="C37" s="65">
        <v>128.69999999999999</v>
      </c>
      <c r="D37" s="65">
        <v>134.80000000000001</v>
      </c>
      <c r="E37" s="65">
        <v>152.9</v>
      </c>
      <c r="F37" s="65">
        <v>185.8</v>
      </c>
      <c r="G37" s="65">
        <v>206</v>
      </c>
      <c r="H37" s="65">
        <v>222</v>
      </c>
      <c r="I37" t="s">
        <v>194</v>
      </c>
      <c r="J37" t="s">
        <v>144</v>
      </c>
    </row>
    <row r="38" spans="1:10">
      <c r="A38" t="s">
        <v>195</v>
      </c>
      <c r="B38" s="65"/>
      <c r="C38" s="65"/>
      <c r="D38" s="65"/>
      <c r="E38" s="65"/>
      <c r="F38" s="65"/>
      <c r="G38" s="65"/>
      <c r="H38" s="65"/>
      <c r="I38" t="s">
        <v>196</v>
      </c>
    </row>
    <row r="39" spans="1:10">
      <c r="A39" t="s">
        <v>195</v>
      </c>
      <c r="B39" s="65">
        <v>4754</v>
      </c>
      <c r="C39" s="65">
        <v>4885</v>
      </c>
      <c r="D39" s="65">
        <v>5111</v>
      </c>
      <c r="E39" s="65">
        <v>5107</v>
      </c>
      <c r="F39" s="65">
        <v>5900</v>
      </c>
      <c r="G39" s="65">
        <v>7575</v>
      </c>
      <c r="H39" s="65">
        <v>7609</v>
      </c>
      <c r="I39" s="97"/>
    </row>
    <row r="40" spans="1:10">
      <c r="A40" t="s">
        <v>197</v>
      </c>
      <c r="B40" s="65">
        <v>17469</v>
      </c>
      <c r="C40" s="65">
        <v>18213</v>
      </c>
      <c r="D40" s="65">
        <v>19598</v>
      </c>
      <c r="E40" s="65">
        <v>20117</v>
      </c>
      <c r="F40" s="65">
        <v>21825</v>
      </c>
      <c r="G40" s="65">
        <v>22759</v>
      </c>
      <c r="H40" s="65">
        <v>24456</v>
      </c>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7"/>
    </sheetView>
  </sheetViews>
  <sheetFormatPr defaultColWidth="0" defaultRowHeight="15"/>
  <cols>
    <col min="1" max="1" width="40.28515625" bestFit="1" customWidth="1"/>
    <col min="2" max="8" width="11.42578125" style="3" customWidth="1"/>
    <col min="9" max="16384" width="11.42578125" hidden="1"/>
  </cols>
  <sheetData>
    <row r="1" spans="1:10">
      <c r="A1" s="259" t="s">
        <v>198</v>
      </c>
      <c r="B1" s="67">
        <v>43465</v>
      </c>
      <c r="C1" s="67">
        <v>43830</v>
      </c>
      <c r="D1" s="67">
        <v>44196</v>
      </c>
      <c r="E1" s="67">
        <v>44561</v>
      </c>
      <c r="F1" s="67">
        <v>44926</v>
      </c>
      <c r="G1" s="67">
        <v>45291</v>
      </c>
      <c r="H1" s="67">
        <v>45657</v>
      </c>
      <c r="I1" t="s">
        <v>105</v>
      </c>
      <c r="J1" t="s">
        <v>106</v>
      </c>
    </row>
    <row r="2" spans="1:10">
      <c r="A2" s="259" t="s">
        <v>107</v>
      </c>
      <c r="B2" s="67"/>
      <c r="C2" s="67"/>
      <c r="D2" s="67"/>
      <c r="E2" s="67"/>
      <c r="F2" s="67"/>
      <c r="G2" s="67"/>
      <c r="H2" s="67"/>
      <c r="I2" s="98"/>
    </row>
    <row r="3" spans="1:10">
      <c r="A3" s="260" t="s">
        <v>199</v>
      </c>
      <c r="B3" s="65">
        <v>439</v>
      </c>
      <c r="C3" s="65">
        <v>542.20000000000005</v>
      </c>
      <c r="D3" s="65">
        <v>817.4</v>
      </c>
      <c r="E3" s="65">
        <v>887.1</v>
      </c>
      <c r="F3" s="65">
        <v>650</v>
      </c>
      <c r="G3" s="65">
        <v>2302.9</v>
      </c>
      <c r="H3" s="65">
        <v>675</v>
      </c>
      <c r="I3" t="s">
        <v>200</v>
      </c>
      <c r="J3" t="s">
        <v>201</v>
      </c>
    </row>
    <row r="4" spans="1:10">
      <c r="A4" s="260" t="s">
        <v>202</v>
      </c>
      <c r="B4" s="65">
        <v>12.9</v>
      </c>
      <c r="C4" s="65">
        <v>12.3</v>
      </c>
      <c r="D4" s="65">
        <v>18.3</v>
      </c>
      <c r="E4" s="65">
        <v>12.9</v>
      </c>
      <c r="F4" s="65">
        <v>12</v>
      </c>
      <c r="G4" s="65">
        <v>11</v>
      </c>
      <c r="H4" s="65">
        <v>10</v>
      </c>
      <c r="I4" s="97" t="s">
        <v>203</v>
      </c>
      <c r="J4" t="s">
        <v>204</v>
      </c>
    </row>
    <row r="5" spans="1:10">
      <c r="A5" s="260" t="s">
        <v>205</v>
      </c>
      <c r="B5" s="65">
        <v>451.9</v>
      </c>
      <c r="C5" s="65">
        <v>554.5</v>
      </c>
      <c r="D5" s="65">
        <v>835.7</v>
      </c>
      <c r="E5" s="65">
        <v>900</v>
      </c>
      <c r="F5" s="65">
        <v>662</v>
      </c>
      <c r="G5" s="65">
        <v>2313.9</v>
      </c>
      <c r="H5" s="65">
        <v>685</v>
      </c>
      <c r="I5" s="97" t="s">
        <v>206</v>
      </c>
      <c r="J5" t="s">
        <v>207</v>
      </c>
    </row>
    <row r="6" spans="1:10">
      <c r="A6" s="260" t="s">
        <v>208</v>
      </c>
      <c r="B6" s="65">
        <v>910.2</v>
      </c>
      <c r="C6" s="65">
        <v>1001.4</v>
      </c>
      <c r="D6" s="65">
        <v>1142.7</v>
      </c>
      <c r="E6" s="65">
        <v>1279.3</v>
      </c>
      <c r="F6" s="65">
        <v>2355.3000000000002</v>
      </c>
      <c r="G6" s="65">
        <v>2039.5</v>
      </c>
      <c r="H6" s="65">
        <v>3538</v>
      </c>
      <c r="I6" s="97" t="s">
        <v>209</v>
      </c>
      <c r="J6" t="s">
        <v>210</v>
      </c>
    </row>
    <row r="7" spans="1:10">
      <c r="A7" s="260" t="s">
        <v>211</v>
      </c>
      <c r="B7" s="65">
        <v>676.5</v>
      </c>
      <c r="C7" s="65">
        <v>786.8</v>
      </c>
      <c r="D7" s="65">
        <v>832.1</v>
      </c>
      <c r="E7" s="65">
        <v>975.4</v>
      </c>
      <c r="F7" s="65">
        <v>1776.4</v>
      </c>
      <c r="G7" s="65">
        <v>0</v>
      </c>
      <c r="H7" s="65"/>
      <c r="I7" s="97" t="s">
        <v>212</v>
      </c>
      <c r="J7" t="s">
        <v>213</v>
      </c>
    </row>
    <row r="8" spans="1:10">
      <c r="A8" s="260" t="s">
        <v>214</v>
      </c>
      <c r="B8" s="65">
        <v>128.69999999999999</v>
      </c>
      <c r="C8" s="65">
        <v>152.1</v>
      </c>
      <c r="D8" s="65">
        <v>147.69999999999999</v>
      </c>
      <c r="E8" s="65">
        <v>175.6</v>
      </c>
      <c r="F8" s="65">
        <v>202.3</v>
      </c>
      <c r="G8" s="65">
        <v>-4353.3999999999996</v>
      </c>
      <c r="H8" s="65">
        <v>2701</v>
      </c>
      <c r="I8" s="97" t="s">
        <v>215</v>
      </c>
      <c r="J8" t="s">
        <v>216</v>
      </c>
    </row>
    <row r="9" spans="1:10">
      <c r="A9" s="260" t="s">
        <v>217</v>
      </c>
      <c r="B9" s="65">
        <v>2167.3000000000002</v>
      </c>
      <c r="C9" s="65">
        <v>2494.8000000000002</v>
      </c>
      <c r="D9" s="65">
        <v>2958.2</v>
      </c>
      <c r="E9" s="65">
        <v>3330.3</v>
      </c>
      <c r="F9" s="65">
        <v>4996</v>
      </c>
      <c r="G9" s="65">
        <v>5129.8999999999996</v>
      </c>
      <c r="H9" s="65">
        <v>6924</v>
      </c>
      <c r="I9" s="97" t="s">
        <v>218</v>
      </c>
      <c r="J9" t="s">
        <v>219</v>
      </c>
    </row>
    <row r="10" spans="1:10">
      <c r="A10" s="260" t="s">
        <v>220</v>
      </c>
      <c r="B10" s="65">
        <v>100.4</v>
      </c>
      <c r="C10" s="65">
        <v>332.9</v>
      </c>
      <c r="D10" s="65">
        <v>388.1</v>
      </c>
      <c r="E10" s="65">
        <v>409</v>
      </c>
      <c r="F10" s="65">
        <v>454.8</v>
      </c>
      <c r="G10" s="65">
        <v>469.1</v>
      </c>
      <c r="H10" s="65">
        <v>519</v>
      </c>
      <c r="I10" s="97" t="s">
        <v>221</v>
      </c>
      <c r="J10" t="s">
        <v>222</v>
      </c>
    </row>
    <row r="11" spans="1:10">
      <c r="A11" s="260" t="s">
        <v>223</v>
      </c>
      <c r="B11" s="65">
        <v>3432.8</v>
      </c>
      <c r="C11" s="65">
        <v>3746.1</v>
      </c>
      <c r="D11" s="65">
        <v>4395.8999999999996</v>
      </c>
      <c r="E11" s="65">
        <v>4736.8</v>
      </c>
      <c r="F11" s="65">
        <v>6674.2</v>
      </c>
      <c r="G11" s="65">
        <v>7340.8</v>
      </c>
      <c r="H11" s="65">
        <v>7970</v>
      </c>
      <c r="I11" t="s">
        <v>224</v>
      </c>
      <c r="J11" t="s">
        <v>225</v>
      </c>
    </row>
    <row r="12" spans="1:10">
      <c r="A12" s="260" t="s">
        <v>226</v>
      </c>
      <c r="B12" s="65">
        <v>898.8</v>
      </c>
      <c r="C12" s="65">
        <v>916.8</v>
      </c>
      <c r="D12" s="65">
        <v>1049.7</v>
      </c>
      <c r="E12" s="65">
        <v>1081.5</v>
      </c>
      <c r="F12" s="65">
        <v>1595.2</v>
      </c>
      <c r="G12" s="65">
        <v>1620.8</v>
      </c>
      <c r="H12" s="65">
        <v>1814</v>
      </c>
      <c r="I12" t="s">
        <v>227</v>
      </c>
      <c r="J12" t="s">
        <v>228</v>
      </c>
    </row>
    <row r="13" spans="1:10">
      <c r="A13" s="260" t="s">
        <v>229</v>
      </c>
      <c r="B13" s="65">
        <v>17.399999999999999</v>
      </c>
      <c r="C13" s="65">
        <v>27.4</v>
      </c>
      <c r="D13" s="65">
        <v>25</v>
      </c>
      <c r="E13" s="65">
        <v>31</v>
      </c>
      <c r="F13" s="65">
        <v>22.4</v>
      </c>
      <c r="G13" s="65">
        <v>21</v>
      </c>
      <c r="H13" s="65">
        <v>19</v>
      </c>
      <c r="I13" s="97" t="s">
        <v>230</v>
      </c>
    </row>
    <row r="14" spans="1:10">
      <c r="A14" s="260" t="s">
        <v>231</v>
      </c>
      <c r="B14" s="65">
        <v>315.73</v>
      </c>
      <c r="C14" s="65">
        <v>328.28</v>
      </c>
      <c r="D14" s="65">
        <v>344.22</v>
      </c>
      <c r="E14" s="65">
        <v>386.79</v>
      </c>
      <c r="F14" s="65">
        <v>584</v>
      </c>
      <c r="G14" s="65">
        <v>616.20000000000005</v>
      </c>
      <c r="H14" s="65"/>
      <c r="I14" s="97" t="s">
        <v>232</v>
      </c>
      <c r="J14" t="s">
        <v>233</v>
      </c>
    </row>
    <row r="15" spans="1:10">
      <c r="A15" s="260" t="s">
        <v>234</v>
      </c>
      <c r="B15" s="65">
        <v>-243.73</v>
      </c>
      <c r="C15" s="65">
        <v>-223.48</v>
      </c>
      <c r="D15" s="65">
        <v>-194.62</v>
      </c>
      <c r="E15" s="65">
        <v>-179.99</v>
      </c>
      <c r="F15" s="65">
        <v>-353.1</v>
      </c>
      <c r="G15" s="65">
        <v>-314.39999999999998</v>
      </c>
      <c r="H15" s="65">
        <v>366</v>
      </c>
      <c r="I15" s="97" t="s">
        <v>235</v>
      </c>
      <c r="J15" t="s">
        <v>236</v>
      </c>
    </row>
    <row r="16" spans="1:10">
      <c r="A16" s="260" t="s">
        <v>237</v>
      </c>
      <c r="B16" s="65">
        <v>4521.3999999999996</v>
      </c>
      <c r="C16" s="65">
        <v>5128</v>
      </c>
      <c r="D16" s="65">
        <v>6008.3</v>
      </c>
      <c r="E16" s="65">
        <v>6465.1</v>
      </c>
      <c r="F16" s="65">
        <v>8977.5</v>
      </c>
      <c r="G16" s="65">
        <v>9753.5</v>
      </c>
      <c r="H16" s="65">
        <v>10688</v>
      </c>
      <c r="I16" s="97" t="s">
        <v>238</v>
      </c>
      <c r="J16" t="s">
        <v>239</v>
      </c>
    </row>
    <row r="17" spans="1:10">
      <c r="A17" s="260" t="s">
        <v>240</v>
      </c>
      <c r="B17" s="65"/>
      <c r="C17" s="65"/>
      <c r="D17" s="65"/>
      <c r="E17" s="65"/>
      <c r="F17" s="65"/>
      <c r="G17" s="65">
        <v>32.4</v>
      </c>
      <c r="H17" s="65"/>
      <c r="I17" s="97" t="s">
        <v>241</v>
      </c>
      <c r="J17" t="s">
        <v>242</v>
      </c>
    </row>
    <row r="18" spans="1:10">
      <c r="A18" s="260" t="s">
        <v>243</v>
      </c>
      <c r="B18" s="65">
        <v>6688.7</v>
      </c>
      <c r="C18" s="65">
        <v>7622.8</v>
      </c>
      <c r="D18" s="65">
        <v>8966.5</v>
      </c>
      <c r="E18" s="65">
        <v>9795.4</v>
      </c>
      <c r="F18" s="65">
        <v>13973.5</v>
      </c>
      <c r="G18" s="65">
        <v>14915.8</v>
      </c>
      <c r="H18" s="65">
        <v>17612</v>
      </c>
      <c r="I18" s="97" t="s">
        <v>244</v>
      </c>
    </row>
    <row r="19" spans="1:10">
      <c r="A19" s="260" t="s">
        <v>245</v>
      </c>
      <c r="B19" s="65">
        <v>50</v>
      </c>
      <c r="C19" s="65">
        <v>55</v>
      </c>
      <c r="D19" s="65">
        <v>70</v>
      </c>
      <c r="E19" s="65">
        <v>42.5</v>
      </c>
      <c r="F19" s="65">
        <v>250.6</v>
      </c>
      <c r="G19" s="65">
        <v>568.70000000000005</v>
      </c>
      <c r="H19" s="65">
        <v>225</v>
      </c>
      <c r="I19" s="97"/>
    </row>
    <row r="20" spans="1:10">
      <c r="A20" s="260" t="s">
        <v>246</v>
      </c>
      <c r="B20" s="65">
        <v>443.5</v>
      </c>
      <c r="C20" s="65">
        <v>479.8</v>
      </c>
      <c r="D20" s="65">
        <v>480.1</v>
      </c>
      <c r="E20" s="65">
        <v>514.6</v>
      </c>
      <c r="F20" s="65">
        <v>412.3</v>
      </c>
      <c r="G20" s="65">
        <v>462.4</v>
      </c>
      <c r="H20" s="65"/>
      <c r="I20" s="97" t="s">
        <v>247</v>
      </c>
    </row>
    <row r="21" spans="1:10">
      <c r="A21" s="260" t="s">
        <v>248</v>
      </c>
      <c r="B21" s="65">
        <v>344.6</v>
      </c>
      <c r="C21" s="65">
        <v>396.2</v>
      </c>
      <c r="D21" s="65">
        <v>415.3</v>
      </c>
      <c r="E21" s="65">
        <v>519.29999999999995</v>
      </c>
      <c r="F21" s="65">
        <v>3647.2</v>
      </c>
      <c r="G21" s="65">
        <v>3466.9</v>
      </c>
      <c r="H21" s="65">
        <v>5716</v>
      </c>
      <c r="I21" s="97" t="s">
        <v>249</v>
      </c>
      <c r="J21" t="s">
        <v>250</v>
      </c>
    </row>
    <row r="22" spans="1:10">
      <c r="A22" s="260" t="s">
        <v>251</v>
      </c>
      <c r="B22" s="65">
        <v>1783</v>
      </c>
      <c r="C22" s="65">
        <v>2045.3</v>
      </c>
      <c r="D22" s="65">
        <v>2354.4</v>
      </c>
      <c r="E22" s="65">
        <v>2667.4</v>
      </c>
      <c r="F22" s="65">
        <v>4596.6000000000004</v>
      </c>
      <c r="G22" s="65">
        <v>4956.8999999999996</v>
      </c>
      <c r="H22" s="65">
        <v>6314</v>
      </c>
      <c r="I22" s="97" t="s">
        <v>252</v>
      </c>
      <c r="J22" t="s">
        <v>253</v>
      </c>
    </row>
    <row r="23" spans="1:10">
      <c r="A23" s="260" t="s">
        <v>254</v>
      </c>
      <c r="B23" s="65">
        <v>1457</v>
      </c>
      <c r="C23" s="65">
        <v>1668.2</v>
      </c>
      <c r="D23" s="65">
        <v>2198.8000000000002</v>
      </c>
      <c r="E23" s="65">
        <v>2160.4</v>
      </c>
      <c r="F23" s="65">
        <v>3887.4</v>
      </c>
      <c r="G23" s="65">
        <v>3226.9</v>
      </c>
      <c r="H23" s="65">
        <v>189</v>
      </c>
      <c r="I23" s="97" t="s">
        <v>255</v>
      </c>
      <c r="J23" t="s">
        <v>256</v>
      </c>
    </row>
    <row r="24" spans="1:10">
      <c r="A24" s="261" t="s">
        <v>257</v>
      </c>
      <c r="B24" s="65"/>
      <c r="C24" s="65">
        <v>407.2</v>
      </c>
      <c r="D24" s="65">
        <v>431.57</v>
      </c>
      <c r="E24" s="65">
        <v>459.67</v>
      </c>
      <c r="F24" s="65">
        <v>492.2</v>
      </c>
      <c r="G24" s="65">
        <v>462.4</v>
      </c>
      <c r="H24" s="65"/>
      <c r="I24" s="97"/>
    </row>
    <row r="25" spans="1:10">
      <c r="A25" s="260" t="s">
        <v>258</v>
      </c>
      <c r="B25" s="65">
        <v>132.4</v>
      </c>
      <c r="C25" s="65">
        <v>-176.5</v>
      </c>
      <c r="D25" s="65">
        <v>-116.67</v>
      </c>
      <c r="E25" s="65">
        <v>-75.77</v>
      </c>
      <c r="F25" s="65">
        <v>-193.3</v>
      </c>
      <c r="G25" s="65">
        <v>42</v>
      </c>
      <c r="H25" s="65">
        <v>3961</v>
      </c>
      <c r="I25" s="97" t="s">
        <v>259</v>
      </c>
      <c r="J25" t="s">
        <v>260</v>
      </c>
    </row>
    <row r="26" spans="1:10">
      <c r="A26" s="260" t="s">
        <v>261</v>
      </c>
      <c r="B26" s="65">
        <v>1905.1</v>
      </c>
      <c r="C26" s="65">
        <v>2227.1999999999998</v>
      </c>
      <c r="D26" s="65">
        <v>2857.9</v>
      </c>
      <c r="E26" s="65">
        <v>2931.1</v>
      </c>
      <c r="F26" s="65">
        <v>4770.3</v>
      </c>
      <c r="G26" s="65">
        <v>4347.7</v>
      </c>
      <c r="H26" s="65">
        <v>4861</v>
      </c>
      <c r="I26" s="97" t="s">
        <v>262</v>
      </c>
      <c r="J26" t="s">
        <v>263</v>
      </c>
    </row>
    <row r="27" spans="1:10">
      <c r="A27" s="260" t="s">
        <v>264</v>
      </c>
      <c r="B27" s="65"/>
      <c r="C27" s="65"/>
      <c r="D27" s="65"/>
      <c r="E27" s="65"/>
      <c r="F27" s="65"/>
      <c r="G27" s="65">
        <v>32.4</v>
      </c>
      <c r="H27" s="65"/>
      <c r="I27" s="97" t="s">
        <v>265</v>
      </c>
      <c r="J27" t="s">
        <v>266</v>
      </c>
    </row>
    <row r="28" spans="1:10">
      <c r="A28" s="260" t="s">
        <v>267</v>
      </c>
      <c r="B28" s="65">
        <v>3688.1</v>
      </c>
      <c r="C28" s="65">
        <v>4272.5</v>
      </c>
      <c r="D28" s="65">
        <v>5212.3</v>
      </c>
      <c r="E28" s="65">
        <v>5598.5</v>
      </c>
      <c r="F28" s="65">
        <v>9366.9</v>
      </c>
      <c r="G28" s="65">
        <v>9337</v>
      </c>
      <c r="H28" s="65">
        <v>11175</v>
      </c>
      <c r="I28" s="97"/>
    </row>
    <row r="29" spans="1:10">
      <c r="A29" s="260" t="s">
        <v>268</v>
      </c>
      <c r="B29" s="65">
        <v>29.3</v>
      </c>
      <c r="C29" s="65">
        <v>29.7</v>
      </c>
      <c r="D29" s="65">
        <v>30</v>
      </c>
      <c r="E29" s="65">
        <v>30.1</v>
      </c>
      <c r="F29" s="65">
        <v>30.3</v>
      </c>
      <c r="G29" s="65">
        <v>30.4</v>
      </c>
      <c r="H29" s="65">
        <v>31</v>
      </c>
      <c r="I29" s="97" t="s">
        <v>269</v>
      </c>
      <c r="J29" t="s">
        <v>269</v>
      </c>
    </row>
    <row r="30" spans="1:10">
      <c r="A30" s="260" t="s">
        <v>270</v>
      </c>
      <c r="B30" s="65">
        <v>2833.6</v>
      </c>
      <c r="C30" s="65">
        <v>3140.8</v>
      </c>
      <c r="D30" s="65">
        <v>3520.6</v>
      </c>
      <c r="E30" s="65">
        <v>4000.7</v>
      </c>
      <c r="F30" s="65">
        <v>4553</v>
      </c>
      <c r="G30" s="65">
        <v>5288.5</v>
      </c>
      <c r="H30" s="65">
        <v>6128</v>
      </c>
      <c r="I30" s="97" t="s">
        <v>271</v>
      </c>
      <c r="J30" t="s">
        <v>272</v>
      </c>
    </row>
    <row r="31" spans="1:10" ht="30.75">
      <c r="A31" s="260" t="s">
        <v>273</v>
      </c>
      <c r="B31" s="65"/>
      <c r="C31" s="65">
        <v>0</v>
      </c>
      <c r="D31" s="65">
        <v>0</v>
      </c>
      <c r="E31" s="65">
        <v>-9.4</v>
      </c>
      <c r="F31" s="65">
        <v>-148.4</v>
      </c>
      <c r="G31" s="65">
        <v>-19.100000000000001</v>
      </c>
      <c r="H31" s="65">
        <v>-109</v>
      </c>
      <c r="I31" s="97" t="s">
        <v>274</v>
      </c>
      <c r="J31" t="s">
        <v>275</v>
      </c>
    </row>
    <row r="32" spans="1:10">
      <c r="A32" s="260" t="s">
        <v>276</v>
      </c>
      <c r="B32" s="65">
        <v>137.69999999999999</v>
      </c>
      <c r="C32" s="65">
        <v>179.8</v>
      </c>
      <c r="D32" s="65">
        <v>203.6</v>
      </c>
      <c r="E32" s="65">
        <v>175.5</v>
      </c>
      <c r="F32" s="65">
        <v>171.7</v>
      </c>
      <c r="G32" s="65">
        <v>279</v>
      </c>
      <c r="H32" s="65">
        <v>387</v>
      </c>
      <c r="I32" s="97" t="s">
        <v>277</v>
      </c>
      <c r="J32" t="s">
        <v>278</v>
      </c>
    </row>
    <row r="33" spans="1:10">
      <c r="A33" s="260" t="s">
        <v>279</v>
      </c>
      <c r="B33" s="65">
        <v>3000.6</v>
      </c>
      <c r="C33" s="65">
        <v>3350.3</v>
      </c>
      <c r="D33" s="65">
        <v>3754.2</v>
      </c>
      <c r="E33" s="65">
        <v>4196.8999999999996</v>
      </c>
      <c r="F33" s="65">
        <v>4606.6000000000004</v>
      </c>
      <c r="G33" s="65">
        <v>5578.8</v>
      </c>
      <c r="H33" s="65">
        <v>6437</v>
      </c>
      <c r="I33" s="97" t="s">
        <v>280</v>
      </c>
      <c r="J33" t="s">
        <v>281</v>
      </c>
    </row>
    <row r="34" spans="1:10">
      <c r="A34" s="260" t="s">
        <v>282</v>
      </c>
      <c r="B34" s="65">
        <v>6688.7</v>
      </c>
      <c r="C34" s="65">
        <v>7622.8</v>
      </c>
      <c r="D34" s="65">
        <v>8966.5</v>
      </c>
      <c r="E34" s="65">
        <v>9795.4</v>
      </c>
      <c r="F34" s="65">
        <v>13973.5</v>
      </c>
      <c r="G34" s="65">
        <v>14915.8</v>
      </c>
      <c r="H34" s="65">
        <v>17612</v>
      </c>
      <c r="I34" s="97" t="s">
        <v>241</v>
      </c>
      <c r="J34" t="s">
        <v>281</v>
      </c>
    </row>
    <row r="35" spans="1:10">
      <c r="A35" s="260" t="s">
        <v>179</v>
      </c>
      <c r="B35" s="65"/>
      <c r="C35" s="65"/>
      <c r="D35" s="65"/>
      <c r="E35" s="65"/>
      <c r="F35" s="65"/>
      <c r="G35" s="65"/>
      <c r="H35" s="65"/>
      <c r="I35" s="97"/>
    </row>
    <row r="36" spans="1:10">
      <c r="A36" s="260" t="s">
        <v>283</v>
      </c>
      <c r="B36" s="65">
        <v>1507</v>
      </c>
      <c r="C36" s="65">
        <v>1723.2</v>
      </c>
      <c r="D36" s="65">
        <v>2268.8000000000002</v>
      </c>
      <c r="E36" s="65">
        <v>2202.9</v>
      </c>
      <c r="F36" s="65">
        <v>4138</v>
      </c>
      <c r="G36" s="65">
        <v>3974.2</v>
      </c>
      <c r="H36" s="65">
        <v>414</v>
      </c>
      <c r="I36" s="97" t="s">
        <v>284</v>
      </c>
      <c r="J36" t="s">
        <v>256</v>
      </c>
    </row>
    <row r="37" spans="1:10">
      <c r="A37" s="260" t="s">
        <v>285</v>
      </c>
      <c r="B37" s="65">
        <v>1068</v>
      </c>
      <c r="C37" s="65">
        <v>1181</v>
      </c>
      <c r="D37" s="65">
        <v>1451.4</v>
      </c>
      <c r="E37" s="65">
        <v>1315.8</v>
      </c>
      <c r="F37" s="65">
        <v>3488</v>
      </c>
      <c r="G37" s="65">
        <v>1671.3</v>
      </c>
      <c r="H37" s="65">
        <v>-261</v>
      </c>
      <c r="I37" s="97" t="s">
        <v>286</v>
      </c>
      <c r="J37" t="s">
        <v>287</v>
      </c>
    </row>
    <row r="38" spans="1:10">
      <c r="A38" t="s">
        <v>285</v>
      </c>
      <c r="B38" s="65">
        <v>69862</v>
      </c>
      <c r="C38" s="65">
        <v>67010</v>
      </c>
      <c r="D38" s="65">
        <v>57422</v>
      </c>
      <c r="E38" s="65">
        <v>53551</v>
      </c>
      <c r="F38" s="65">
        <v>47339</v>
      </c>
      <c r="G38" s="65">
        <v>25261</v>
      </c>
      <c r="H38" s="65">
        <v>48812</v>
      </c>
      <c r="I38" s="97"/>
    </row>
    <row r="39" spans="1:10">
      <c r="B39" s="65"/>
      <c r="C39" s="65"/>
      <c r="D39" s="65"/>
      <c r="E39" s="65"/>
      <c r="F39" s="65"/>
      <c r="G39" s="65"/>
      <c r="H39" s="65"/>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tabSelected="1" workbookViewId="0">
      <selection sqref="A1:H29"/>
    </sheetView>
  </sheetViews>
  <sheetFormatPr defaultColWidth="0" defaultRowHeight="15"/>
  <cols>
    <col min="1" max="1" width="43.5703125" bestFit="1" customWidth="1"/>
    <col min="2" max="8" width="11.42578125" style="3" customWidth="1"/>
    <col min="9" max="16384" width="11.42578125" hidden="1"/>
  </cols>
  <sheetData>
    <row r="1" spans="1:10">
      <c r="A1" s="70" t="s">
        <v>288</v>
      </c>
      <c r="B1" s="262">
        <v>43465</v>
      </c>
      <c r="C1" s="262">
        <v>43830</v>
      </c>
      <c r="D1" s="262">
        <v>44196</v>
      </c>
      <c r="E1" s="262">
        <v>44561</v>
      </c>
      <c r="F1" s="244">
        <v>44926</v>
      </c>
      <c r="G1" s="244">
        <v>45291</v>
      </c>
      <c r="H1" s="244">
        <v>45657</v>
      </c>
      <c r="I1" t="s">
        <v>105</v>
      </c>
      <c r="J1" t="s">
        <v>106</v>
      </c>
    </row>
    <row r="2" spans="1:10">
      <c r="A2" s="70" t="s">
        <v>107</v>
      </c>
      <c r="B2" s="263"/>
      <c r="C2" s="263"/>
      <c r="D2" s="263"/>
      <c r="E2" s="263"/>
      <c r="F2" s="71"/>
      <c r="G2" s="71"/>
      <c r="H2" s="71"/>
    </row>
    <row r="3" spans="1:10">
      <c r="A3" s="72" t="s">
        <v>36</v>
      </c>
      <c r="B3" s="266">
        <v>344.3</v>
      </c>
      <c r="C3" s="264">
        <v>398.5</v>
      </c>
      <c r="D3" s="264">
        <v>480.5</v>
      </c>
      <c r="E3" s="264">
        <v>587.1</v>
      </c>
      <c r="F3" s="249">
        <v>671.8</v>
      </c>
      <c r="G3" s="249">
        <v>870.5</v>
      </c>
      <c r="H3" s="249">
        <v>1002</v>
      </c>
      <c r="I3" t="s">
        <v>164</v>
      </c>
      <c r="J3" t="s">
        <v>165</v>
      </c>
    </row>
    <row r="4" spans="1:10">
      <c r="A4" s="72" t="s">
        <v>289</v>
      </c>
      <c r="B4" s="264">
        <v>109.3</v>
      </c>
      <c r="C4" s="264">
        <v>128.69999999999999</v>
      </c>
      <c r="D4" s="264">
        <v>134.80000000000001</v>
      </c>
      <c r="E4" s="264">
        <v>152.9</v>
      </c>
      <c r="F4" s="249">
        <v>185.8</v>
      </c>
      <c r="G4" s="249">
        <v>206</v>
      </c>
      <c r="H4" s="249">
        <v>222</v>
      </c>
      <c r="I4" s="97" t="s">
        <v>196</v>
      </c>
      <c r="J4" t="s">
        <v>290</v>
      </c>
    </row>
    <row r="5" spans="1:10">
      <c r="A5" s="72" t="s">
        <v>291</v>
      </c>
      <c r="B5" s="264">
        <v>14.9</v>
      </c>
      <c r="C5" s="264">
        <v>12.3</v>
      </c>
      <c r="D5" s="264">
        <v>15.9</v>
      </c>
      <c r="E5" s="264">
        <v>33.6</v>
      </c>
      <c r="F5" s="249">
        <v>42.8</v>
      </c>
      <c r="G5" s="249">
        <v>12.5</v>
      </c>
      <c r="H5" s="249">
        <v>13</v>
      </c>
      <c r="I5" s="97" t="s">
        <v>292</v>
      </c>
      <c r="J5" t="s">
        <v>293</v>
      </c>
    </row>
    <row r="6" spans="1:10">
      <c r="A6" s="72" t="s">
        <v>294</v>
      </c>
      <c r="B6" s="264">
        <v>33.5</v>
      </c>
      <c r="C6" s="264">
        <v>47</v>
      </c>
      <c r="D6" s="264">
        <v>59.7</v>
      </c>
      <c r="E6" s="264">
        <v>61</v>
      </c>
      <c r="F6" s="249">
        <v>66.099999999999994</v>
      </c>
      <c r="G6" s="249">
        <v>89.4</v>
      </c>
      <c r="H6" s="249">
        <v>101</v>
      </c>
      <c r="I6" t="s">
        <v>295</v>
      </c>
      <c r="J6" t="s">
        <v>296</v>
      </c>
    </row>
    <row r="7" spans="1:10">
      <c r="A7" s="72" t="s">
        <v>297</v>
      </c>
      <c r="B7" s="264">
        <v>75.2</v>
      </c>
      <c r="C7" s="264">
        <v>101</v>
      </c>
      <c r="D7" s="264">
        <v>38.200000000000003</v>
      </c>
      <c r="E7" s="264">
        <v>97.7</v>
      </c>
      <c r="F7" s="249">
        <v>-15.9</v>
      </c>
      <c r="G7" s="249">
        <v>-25.8</v>
      </c>
      <c r="H7" s="249">
        <v>-105</v>
      </c>
      <c r="I7" s="97" t="s">
        <v>298</v>
      </c>
      <c r="J7" t="s">
        <v>299</v>
      </c>
    </row>
    <row r="8" spans="1:10">
      <c r="A8" s="72" t="s">
        <v>300</v>
      </c>
      <c r="B8" s="264">
        <v>-9.6999999999999993</v>
      </c>
      <c r="C8" s="264">
        <v>-9.3000000000000007</v>
      </c>
      <c r="D8" s="264">
        <v>-7.5</v>
      </c>
      <c r="E8" s="264">
        <v>15.7</v>
      </c>
      <c r="F8" s="249">
        <v>-69.2</v>
      </c>
      <c r="G8" s="249">
        <v>-143.1</v>
      </c>
      <c r="H8" s="249">
        <v>-59</v>
      </c>
      <c r="I8" s="97" t="s">
        <v>301</v>
      </c>
      <c r="J8" t="s">
        <v>302</v>
      </c>
    </row>
    <row r="9" spans="1:10">
      <c r="A9" s="72" t="s">
        <v>303</v>
      </c>
      <c r="B9" s="264">
        <v>567.5</v>
      </c>
      <c r="C9" s="264">
        <v>678.2</v>
      </c>
      <c r="D9" s="264">
        <v>721.6</v>
      </c>
      <c r="E9" s="264">
        <v>948</v>
      </c>
      <c r="F9" s="249">
        <v>881.4</v>
      </c>
      <c r="G9" s="249">
        <v>1009.5</v>
      </c>
      <c r="H9" s="249">
        <v>1174</v>
      </c>
      <c r="I9" t="s">
        <v>304</v>
      </c>
      <c r="J9" t="s">
        <v>305</v>
      </c>
    </row>
    <row r="10" spans="1:10">
      <c r="A10" s="72" t="s">
        <v>306</v>
      </c>
      <c r="B10" s="264">
        <v>-41.5</v>
      </c>
      <c r="C10" s="264">
        <v>-73.099999999999994</v>
      </c>
      <c r="D10" s="264">
        <v>-70.7</v>
      </c>
      <c r="E10" s="264">
        <v>-45</v>
      </c>
      <c r="F10" s="249">
        <v>-52.6</v>
      </c>
      <c r="G10" s="249">
        <v>-68.900000000000006</v>
      </c>
      <c r="H10" s="249"/>
      <c r="I10" s="97" t="s">
        <v>307</v>
      </c>
      <c r="J10" t="s">
        <v>308</v>
      </c>
    </row>
    <row r="11" spans="1:10">
      <c r="A11" s="72" t="s">
        <v>309</v>
      </c>
      <c r="B11" s="264">
        <v>-923.9</v>
      </c>
      <c r="C11" s="264">
        <v>-353</v>
      </c>
      <c r="D11" s="264">
        <v>-694.8</v>
      </c>
      <c r="E11" s="264">
        <v>-366.8</v>
      </c>
      <c r="F11" s="249">
        <v>-1927.7</v>
      </c>
      <c r="G11" s="249">
        <v>-524.1</v>
      </c>
      <c r="H11" s="249">
        <v>-890</v>
      </c>
      <c r="I11" s="97" t="s">
        <v>310</v>
      </c>
      <c r="J11" t="s">
        <v>311</v>
      </c>
    </row>
    <row r="12" spans="1:10">
      <c r="A12" s="72" t="s">
        <v>312</v>
      </c>
      <c r="B12" s="264">
        <v>-9.3000000000000007</v>
      </c>
      <c r="C12" s="264">
        <v>-17.5</v>
      </c>
      <c r="D12" s="264">
        <v>-14.2</v>
      </c>
      <c r="E12" s="264">
        <v>-12.4</v>
      </c>
      <c r="F12" s="249">
        <v>-0.1</v>
      </c>
      <c r="G12" s="249">
        <v>-7.2</v>
      </c>
      <c r="H12" s="249">
        <v>-7</v>
      </c>
      <c r="I12" t="s">
        <v>313</v>
      </c>
      <c r="J12" t="s">
        <v>314</v>
      </c>
    </row>
    <row r="13" spans="1:10">
      <c r="A13" s="72" t="s">
        <v>315</v>
      </c>
      <c r="B13" s="264">
        <v>17.899999999999999</v>
      </c>
      <c r="C13" s="264">
        <v>8.4</v>
      </c>
      <c r="D13" s="264">
        <v>11</v>
      </c>
      <c r="E13" s="264">
        <v>10.8</v>
      </c>
      <c r="F13" s="249">
        <v>7.4</v>
      </c>
      <c r="G13" s="249">
        <v>13.2</v>
      </c>
      <c r="H13" s="249">
        <v>11</v>
      </c>
      <c r="I13" s="97" t="s">
        <v>316</v>
      </c>
      <c r="J13" t="s">
        <v>317</v>
      </c>
    </row>
    <row r="14" spans="1:10">
      <c r="A14" s="72" t="s">
        <v>318</v>
      </c>
      <c r="B14" s="264">
        <v>5</v>
      </c>
      <c r="C14" s="264">
        <v>21.6</v>
      </c>
      <c r="D14" s="264">
        <v>9.6</v>
      </c>
      <c r="E14" s="264">
        <v>16.7</v>
      </c>
      <c r="F14" s="249">
        <v>60.3</v>
      </c>
      <c r="G14" s="249">
        <v>112.6</v>
      </c>
      <c r="H14" s="249">
        <v>-12</v>
      </c>
      <c r="I14" s="97" t="s">
        <v>319</v>
      </c>
      <c r="J14" t="s">
        <v>320</v>
      </c>
    </row>
    <row r="15" spans="1:10">
      <c r="A15" s="72" t="s">
        <v>321</v>
      </c>
      <c r="B15" s="264">
        <v>-951.8</v>
      </c>
      <c r="C15" s="264">
        <v>-413.6</v>
      </c>
      <c r="D15" s="264">
        <v>-759.1</v>
      </c>
      <c r="E15" s="264">
        <v>-396.7</v>
      </c>
      <c r="F15" s="249">
        <v>-1912.7</v>
      </c>
      <c r="G15" s="249">
        <v>-587</v>
      </c>
      <c r="H15" s="249">
        <v>-898</v>
      </c>
      <c r="I15" s="97" t="s">
        <v>322</v>
      </c>
      <c r="J15" t="s">
        <v>323</v>
      </c>
    </row>
    <row r="16" spans="1:10" s="189" customFormat="1">
      <c r="A16" s="187" t="s">
        <v>324</v>
      </c>
      <c r="B16" s="265">
        <v>-370</v>
      </c>
      <c r="C16" s="265">
        <v>-400</v>
      </c>
      <c r="D16" s="265">
        <v>-405</v>
      </c>
      <c r="E16" s="265">
        <v>-73.099999999999994</v>
      </c>
      <c r="F16" s="250">
        <v>-411.3</v>
      </c>
      <c r="G16" s="250">
        <v>-150.6</v>
      </c>
      <c r="H16" s="250">
        <v>30</v>
      </c>
      <c r="J16" s="189" t="s">
        <v>325</v>
      </c>
    </row>
    <row r="17" spans="1:10">
      <c r="A17" s="72" t="s">
        <v>326</v>
      </c>
      <c r="B17" s="264">
        <v>19.5</v>
      </c>
      <c r="C17" s="264">
        <v>25</v>
      </c>
      <c r="D17" s="264">
        <v>980.1</v>
      </c>
      <c r="E17" s="264">
        <v>34</v>
      </c>
      <c r="F17" s="249">
        <v>37.6</v>
      </c>
      <c r="G17" s="249">
        <v>39.799999999999997</v>
      </c>
      <c r="H17" s="249"/>
      <c r="I17" s="97" t="s">
        <v>327</v>
      </c>
    </row>
    <row r="18" spans="1:10">
      <c r="A18" s="72" t="s">
        <v>328</v>
      </c>
      <c r="B18" s="264">
        <v>-91.3</v>
      </c>
      <c r="C18" s="264">
        <v>-69.599999999999994</v>
      </c>
      <c r="D18" s="264">
        <v>-96.4</v>
      </c>
      <c r="E18" s="264">
        <v>-132.4</v>
      </c>
      <c r="F18" s="249">
        <v>-122.9</v>
      </c>
      <c r="G18" s="249">
        <v>-0.1</v>
      </c>
      <c r="H18" s="249">
        <v>-55</v>
      </c>
      <c r="I18" s="97" t="s">
        <v>329</v>
      </c>
      <c r="J18" t="s">
        <v>330</v>
      </c>
    </row>
    <row r="19" spans="1:10">
      <c r="A19" s="72" t="s">
        <v>331</v>
      </c>
      <c r="B19" s="264">
        <v>-84.7</v>
      </c>
      <c r="C19" s="264">
        <v>-91.3</v>
      </c>
      <c r="D19" s="264">
        <v>-100.6</v>
      </c>
      <c r="E19" s="264">
        <v>-107.2</v>
      </c>
      <c r="F19" s="249">
        <v>-119.5</v>
      </c>
      <c r="G19" s="249">
        <v>-135</v>
      </c>
      <c r="H19" s="249">
        <v>-154</v>
      </c>
      <c r="I19" s="97"/>
    </row>
    <row r="20" spans="1:10">
      <c r="A20" s="72" t="s">
        <v>332</v>
      </c>
      <c r="B20" s="264">
        <v>864.3</v>
      </c>
      <c r="C20" s="264">
        <v>456.7</v>
      </c>
      <c r="D20" s="264">
        <v>-31.7</v>
      </c>
      <c r="E20" s="264">
        <v>-70.599999999999994</v>
      </c>
      <c r="F20" s="249">
        <v>2341.5</v>
      </c>
      <c r="G20" s="249">
        <v>59.1</v>
      </c>
      <c r="H20" s="249">
        <v>115</v>
      </c>
      <c r="I20" s="97" t="s">
        <v>333</v>
      </c>
      <c r="J20" t="s">
        <v>334</v>
      </c>
    </row>
    <row r="21" spans="1:10">
      <c r="A21" s="72" t="s">
        <v>335</v>
      </c>
      <c r="B21" s="264">
        <v>337.8</v>
      </c>
      <c r="C21" s="264">
        <v>-79.2</v>
      </c>
      <c r="D21" s="264">
        <v>346.4</v>
      </c>
      <c r="E21" s="264">
        <v>-349.3</v>
      </c>
      <c r="F21" s="249">
        <v>1725.4</v>
      </c>
      <c r="G21" s="249">
        <v>-186.7</v>
      </c>
      <c r="H21" s="249">
        <v>-64</v>
      </c>
      <c r="I21" s="97" t="s">
        <v>336</v>
      </c>
      <c r="J21" t="s">
        <v>337</v>
      </c>
    </row>
    <row r="22" spans="1:10">
      <c r="A22" s="72" t="s">
        <v>338</v>
      </c>
      <c r="B22" s="264">
        <v>0.01</v>
      </c>
      <c r="C22" s="264"/>
      <c r="D22" s="264"/>
      <c r="E22" s="264">
        <v>-3.6</v>
      </c>
      <c r="F22" s="249">
        <v>-131.19999999999999</v>
      </c>
      <c r="G22" s="249">
        <v>33.9</v>
      </c>
      <c r="H22" s="249">
        <v>-13</v>
      </c>
      <c r="I22" s="97"/>
    </row>
    <row r="23" spans="1:10">
      <c r="A23" s="72" t="s">
        <v>339</v>
      </c>
      <c r="B23" s="264">
        <v>-46.5</v>
      </c>
      <c r="C23" s="264">
        <v>185.4</v>
      </c>
      <c r="D23" s="264">
        <v>308.89999999999998</v>
      </c>
      <c r="E23" s="264">
        <v>198.4</v>
      </c>
      <c r="F23" s="249">
        <v>562.9</v>
      </c>
      <c r="G23" s="249">
        <v>269.7</v>
      </c>
      <c r="H23" s="249">
        <v>199</v>
      </c>
      <c r="I23" s="97" t="s">
        <v>340</v>
      </c>
      <c r="J23" t="s">
        <v>341</v>
      </c>
    </row>
    <row r="24" spans="1:10" s="189" customFormat="1">
      <c r="A24" s="187" t="s">
        <v>179</v>
      </c>
      <c r="B24" s="265"/>
      <c r="C24" s="265"/>
      <c r="D24" s="265"/>
      <c r="E24" s="265"/>
      <c r="F24" s="250"/>
      <c r="G24" s="250"/>
      <c r="H24" s="250"/>
      <c r="I24" s="243"/>
    </row>
    <row r="25" spans="1:10">
      <c r="A25" s="72" t="s">
        <v>342</v>
      </c>
      <c r="B25" s="264">
        <v>526</v>
      </c>
      <c r="C25" s="264">
        <v>605.1</v>
      </c>
      <c r="D25" s="264">
        <v>650.9</v>
      </c>
      <c r="E25" s="264">
        <v>903</v>
      </c>
      <c r="F25" s="249">
        <v>828.8</v>
      </c>
      <c r="G25" s="249">
        <v>940.6</v>
      </c>
      <c r="H25" s="249">
        <v>1174</v>
      </c>
      <c r="I25" s="97" t="s">
        <v>343</v>
      </c>
      <c r="J25" t="s">
        <v>344</v>
      </c>
    </row>
    <row r="26" spans="1:10">
      <c r="A26" s="72" t="s">
        <v>111</v>
      </c>
      <c r="B26" s="264">
        <v>0.25900000000000001</v>
      </c>
      <c r="C26" s="264">
        <v>0.15</v>
      </c>
      <c r="D26" s="264">
        <v>7.5999999999999998E-2</v>
      </c>
      <c r="E26" s="264">
        <v>0.38700000000000001</v>
      </c>
      <c r="F26" s="249">
        <v>-8.2000000000000003E-2</v>
      </c>
      <c r="G26" s="249">
        <v>0.13500000000000001</v>
      </c>
      <c r="H26" s="249">
        <v>0.248</v>
      </c>
      <c r="I26" s="97" t="s">
        <v>345</v>
      </c>
      <c r="J26" t="s">
        <v>346</v>
      </c>
    </row>
    <row r="27" spans="1:10">
      <c r="A27" s="72" t="s">
        <v>347</v>
      </c>
      <c r="B27" s="264">
        <v>0.26200000000000001</v>
      </c>
      <c r="C27" s="264">
        <v>0.254</v>
      </c>
      <c r="D27" s="264">
        <v>0.25</v>
      </c>
      <c r="E27" s="264">
        <v>0.29599999999999999</v>
      </c>
      <c r="F27" s="249">
        <v>0.23200000000000001</v>
      </c>
      <c r="G27" s="249">
        <v>0.221</v>
      </c>
      <c r="H27" s="249">
        <v>0.24399999999999999</v>
      </c>
      <c r="I27" s="97" t="s">
        <v>348</v>
      </c>
      <c r="J27" t="s">
        <v>349</v>
      </c>
    </row>
    <row r="28" spans="1:10">
      <c r="A28" s="72" t="s">
        <v>350</v>
      </c>
      <c r="B28" s="264">
        <v>824.1</v>
      </c>
      <c r="C28" s="264">
        <v>777.6</v>
      </c>
      <c r="D28" s="264">
        <v>963</v>
      </c>
      <c r="E28" s="264">
        <v>1271.9000000000001</v>
      </c>
      <c r="F28" s="249">
        <v>1470.3</v>
      </c>
      <c r="G28" s="249">
        <v>2033.2</v>
      </c>
      <c r="H28" s="249">
        <v>2303</v>
      </c>
      <c r="I28" s="97" t="s">
        <v>351</v>
      </c>
      <c r="J28" t="s">
        <v>200</v>
      </c>
    </row>
    <row r="29" spans="1:10">
      <c r="A29" s="72" t="s">
        <v>352</v>
      </c>
      <c r="B29" s="264">
        <v>777.6</v>
      </c>
      <c r="C29" s="264">
        <v>963</v>
      </c>
      <c r="D29" s="264">
        <v>1271.9000000000001</v>
      </c>
      <c r="E29" s="264">
        <v>1470.3</v>
      </c>
      <c r="F29" s="249">
        <v>2033.2</v>
      </c>
      <c r="G29" s="249">
        <v>2302.9</v>
      </c>
      <c r="H29" s="249">
        <v>2502</v>
      </c>
      <c r="I29" s="97" t="s">
        <v>200</v>
      </c>
      <c r="J29" t="s">
        <v>353</v>
      </c>
    </row>
    <row r="30" spans="1:10">
      <c r="A30" s="72"/>
      <c r="B30" s="74"/>
      <c r="C30" s="74"/>
      <c r="D30" s="74"/>
      <c r="E30" s="74"/>
      <c r="F30" s="74"/>
      <c r="G30" s="74"/>
      <c r="H30" s="74"/>
      <c r="I30" s="97"/>
    </row>
    <row r="31" spans="1:10" s="189" customFormat="1">
      <c r="A31" s="187"/>
      <c r="B31" s="188"/>
      <c r="C31" s="188"/>
      <c r="D31" s="188"/>
      <c r="E31" s="188"/>
      <c r="F31" s="188"/>
      <c r="G31" s="188"/>
      <c r="H31" s="188"/>
      <c r="I31" s="243"/>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22" workbookViewId="0">
      <selection activeCell="B32" sqref="B32:H32"/>
    </sheetView>
  </sheetViews>
  <sheetFormatPr defaultColWidth="11.42578125" defaultRowHeight="15"/>
  <cols>
    <col min="1" max="1" width="38.42578125" style="189" bestFit="1" customWidth="1"/>
    <col min="2" max="8" width="11.42578125" style="202"/>
    <col min="9" max="16384" width="11.42578125" style="189"/>
  </cols>
  <sheetData>
    <row r="1" spans="1:11">
      <c r="A1" s="68" t="s">
        <v>354</v>
      </c>
      <c r="B1" s="75">
        <f>'1.IS'!B2</f>
        <v>2018</v>
      </c>
      <c r="C1" s="75">
        <f>'1.IS'!C2</f>
        <v>2019</v>
      </c>
      <c r="D1" s="75">
        <f>'1.IS'!D2</f>
        <v>2020</v>
      </c>
      <c r="E1" s="75">
        <f>'1.IS'!E2</f>
        <v>2021</v>
      </c>
      <c r="F1" s="75">
        <f>'1.IS'!F2</f>
        <v>2022</v>
      </c>
      <c r="G1" s="75">
        <f>'1.IS'!G2</f>
        <v>2023</v>
      </c>
      <c r="H1" s="75">
        <f>'1.IS'!H2</f>
        <v>2024</v>
      </c>
    </row>
    <row r="2" spans="1:11">
      <c r="A2" s="198" t="s">
        <v>355</v>
      </c>
      <c r="B2" s="248">
        <f>IFERROR(VALUE(VLOOKUP($A2, '8.TIKR_CF'!$A:$H, COLUMN(B2), FALSE)), 0)</f>
        <v>-41.5</v>
      </c>
      <c r="C2" s="248">
        <f>IFERROR(VALUE(VLOOKUP($A2, '8.TIKR_CF'!$A:$H, COLUMN(C2), FALSE)), 0)</f>
        <v>-73.099999999999994</v>
      </c>
      <c r="D2" s="248">
        <f>IFERROR(VALUE(VLOOKUP($A2, '8.TIKR_CF'!$A:$H, COLUMN(D2), FALSE)), 0)</f>
        <v>-70.7</v>
      </c>
      <c r="E2" s="248">
        <f>IFERROR(VALUE(VLOOKUP($A2, '8.TIKR_CF'!$A:$H, COLUMN(E2), FALSE)), 0)</f>
        <v>-45</v>
      </c>
      <c r="F2" s="248">
        <f>IFERROR(VALUE(VLOOKUP($A2, '8.TIKR_CF'!$A:$H, COLUMN(F2), FALSE)), 0)</f>
        <v>-52.6</v>
      </c>
      <c r="G2" s="248">
        <f>IFERROR(VALUE(VLOOKUP($A2, '8.TIKR_CF'!$A:$H, COLUMN(G2), FALSE)), 0)</f>
        <v>-68.900000000000006</v>
      </c>
      <c r="H2" s="248">
        <f>IFERROR(VALUE(VLOOKUP($A2, '8.TIKR_CF'!$A:$H, COLUMN(H2), FALSE)), 0)</f>
        <v>0</v>
      </c>
      <c r="J2" s="245"/>
      <c r="K2" s="246"/>
    </row>
    <row r="3" spans="1:11">
      <c r="A3" s="199" t="s">
        <v>356</v>
      </c>
      <c r="B3" s="251">
        <f>IFERROR(VALUE(VLOOKUP($A3,'8.TIKR_CF'!$A:$H,COLUMN(B3),FALSE)),0)</f>
        <v>17.899999999999999</v>
      </c>
      <c r="C3" s="251">
        <f>IFERROR(VALUE(VLOOKUP($A3,'8.TIKR_CF'!$A:$H,COLUMN(C3),FALSE)),0)</f>
        <v>8.4</v>
      </c>
      <c r="D3" s="251">
        <f>IFERROR(VALUE(VLOOKUP($A3,'8.TIKR_CF'!$A:$H,COLUMN(D3),FALSE)),0)</f>
        <v>11</v>
      </c>
      <c r="E3" s="251">
        <f>IFERROR(VALUE(VLOOKUP($A3,'8.TIKR_CF'!$A:$H,COLUMN(E3),FALSE)),0)</f>
        <v>10.8</v>
      </c>
      <c r="F3" s="251">
        <f>IFERROR(VALUE(VLOOKUP($A3,'8.TIKR_CF'!$A:$H,COLUMN(F3),FALSE)),0)</f>
        <v>7.4</v>
      </c>
      <c r="G3" s="251">
        <f>IFERROR(VALUE(VLOOKUP($A3,'8.TIKR_CF'!$A:$H,COLUMN(G3),FALSE)),0)</f>
        <v>13.2</v>
      </c>
      <c r="H3" s="251">
        <f>IFERROR(VALUE(VLOOKUP($A3,'8.TIKR_CF'!$A:$H,COLUMN(H3),FALSE)),0)</f>
        <v>11</v>
      </c>
      <c r="J3" s="245"/>
      <c r="K3" s="247"/>
    </row>
    <row r="4" spans="1:11">
      <c r="A4" s="198" t="s">
        <v>357</v>
      </c>
      <c r="B4" s="252">
        <f>B2+B3</f>
        <v>-23.6</v>
      </c>
      <c r="C4" s="252">
        <f t="shared" ref="C4:H4" si="0">SUM(C2:C3)</f>
        <v>-64.699999999999989</v>
      </c>
      <c r="D4" s="252">
        <f t="shared" si="0"/>
        <v>-59.7</v>
      </c>
      <c r="E4" s="252">
        <f t="shared" si="0"/>
        <v>-34.200000000000003</v>
      </c>
      <c r="F4" s="252">
        <f t="shared" si="0"/>
        <v>-45.2</v>
      </c>
      <c r="G4" s="252">
        <f t="shared" si="0"/>
        <v>-55.7</v>
      </c>
      <c r="H4" s="252">
        <f t="shared" si="0"/>
        <v>11</v>
      </c>
      <c r="K4" s="246"/>
    </row>
    <row r="5" spans="1:11">
      <c r="A5" s="199" t="s">
        <v>358</v>
      </c>
      <c r="B5" s="251">
        <f>IFERROR(VALUE(VLOOKUP($A5,'8.TIKR_CF'!$A:$H,COLUMN(B5),FALSE)),"0")</f>
        <v>109.3</v>
      </c>
      <c r="C5" s="251">
        <f>IFERROR(VALUE(VLOOKUP($A5,'8.TIKR_CF'!$A:$H,COLUMN(C5),FALSE)),"0")</f>
        <v>128.69999999999999</v>
      </c>
      <c r="D5" s="251">
        <f>IFERROR(VALUE(VLOOKUP($A5,'8.TIKR_CF'!$A:$H,COLUMN(D5),FALSE)),"0")</f>
        <v>134.80000000000001</v>
      </c>
      <c r="E5" s="251">
        <f>IFERROR(VALUE(VLOOKUP($A5,'8.TIKR_CF'!$A:$H,COLUMN(E5),FALSE)),"0")</f>
        <v>152.9</v>
      </c>
      <c r="F5" s="251">
        <f>IFERROR(VALUE(VLOOKUP($A5,'8.TIKR_CF'!$A:$H,COLUMN(F5),FALSE)),"0")</f>
        <v>185.8</v>
      </c>
      <c r="G5" s="251">
        <f>IFERROR(VALUE(VLOOKUP($A5,'8.TIKR_CF'!$A:$H,COLUMN(G5),FALSE)),"0")</f>
        <v>206</v>
      </c>
      <c r="H5" s="251">
        <f>IFERROR(VALUE(VLOOKUP($A5,'8.TIKR_CF'!$A:$H,COLUMN(H5),FALSE)),"0")</f>
        <v>222</v>
      </c>
    </row>
    <row r="6" spans="1:11">
      <c r="A6" s="76" t="s">
        <v>359</v>
      </c>
      <c r="B6" s="253">
        <f t="shared" ref="B6:H6" si="1">IF(ABS(B4)&lt;B5,B4,-B5)</f>
        <v>-23.6</v>
      </c>
      <c r="C6" s="253">
        <f t="shared" si="1"/>
        <v>-64.699999999999989</v>
      </c>
      <c r="D6" s="253">
        <f t="shared" si="1"/>
        <v>-59.7</v>
      </c>
      <c r="E6" s="253">
        <f t="shared" si="1"/>
        <v>-34.200000000000003</v>
      </c>
      <c r="F6" s="253">
        <f t="shared" si="1"/>
        <v>-45.2</v>
      </c>
      <c r="G6" s="253">
        <f t="shared" si="1"/>
        <v>-55.7</v>
      </c>
      <c r="H6" s="253">
        <f t="shared" si="1"/>
        <v>11</v>
      </c>
    </row>
    <row r="8" spans="1:11">
      <c r="A8" s="68" t="s">
        <v>360</v>
      </c>
      <c r="B8" s="75">
        <f>'1.IS'!B2</f>
        <v>2018</v>
      </c>
      <c r="C8" s="75">
        <f>'1.IS'!C2</f>
        <v>2019</v>
      </c>
      <c r="D8" s="75">
        <f>'1.IS'!D2</f>
        <v>2020</v>
      </c>
      <c r="E8" s="75">
        <f>'1.IS'!E2</f>
        <v>2021</v>
      </c>
      <c r="F8" s="75">
        <f>'1.IS'!F2</f>
        <v>2022</v>
      </c>
      <c r="G8" s="75">
        <f>'1.IS'!G2</f>
        <v>2023</v>
      </c>
      <c r="H8" s="75">
        <f>'1.IS'!H2</f>
        <v>2024</v>
      </c>
      <c r="I8" s="77"/>
      <c r="J8" s="77"/>
    </row>
    <row r="9" spans="1:11">
      <c r="A9" s="189" t="s">
        <v>61</v>
      </c>
      <c r="B9" s="254">
        <f>B4-B6</f>
        <v>0</v>
      </c>
      <c r="C9" s="254">
        <f t="shared" ref="C9:H9" si="2">C4-C6</f>
        <v>0</v>
      </c>
      <c r="D9" s="254">
        <f t="shared" si="2"/>
        <v>0</v>
      </c>
      <c r="E9" s="254">
        <f t="shared" si="2"/>
        <v>0</v>
      </c>
      <c r="F9" s="254">
        <f t="shared" si="2"/>
        <v>0</v>
      </c>
      <c r="G9" s="254">
        <f t="shared" si="2"/>
        <v>0</v>
      </c>
      <c r="H9" s="254">
        <f t="shared" si="2"/>
        <v>0</v>
      </c>
      <c r="I9" s="201"/>
      <c r="J9" s="201"/>
    </row>
    <row r="10" spans="1:11">
      <c r="A10" s="197" t="s">
        <v>361</v>
      </c>
      <c r="B10" s="255">
        <f>IFERROR(VALUE(VLOOKUP("Cash Acquisitions*",'8.TIKR_CF'!$A:$H,COLUMN(B10),FALSE)),"0")</f>
        <v>-923.9</v>
      </c>
      <c r="C10" s="255">
        <f>IFERROR(VALUE(VLOOKUP("Cash Acquisitions*",'8.TIKR_CF'!$A:$H,COLUMN(C10),FALSE)),"0")</f>
        <v>-353</v>
      </c>
      <c r="D10" s="255">
        <f>IFERROR(VALUE(VLOOKUP("Cash Acquisitions*",'8.TIKR_CF'!$A:$H,COLUMN(D10),FALSE)),"0")</f>
        <v>-694.8</v>
      </c>
      <c r="E10" s="255">
        <f>IFERROR(VALUE(VLOOKUP("Cash Acquisitions*",'8.TIKR_CF'!$A:$H,COLUMN(E10),FALSE)),"0")</f>
        <v>-366.8</v>
      </c>
      <c r="F10" s="255">
        <f>IFERROR(VALUE(VLOOKUP("Cash Acquisitions*",'8.TIKR_CF'!$A:$H,COLUMN(F10),FALSE)),"0")</f>
        <v>-1927.7</v>
      </c>
      <c r="G10" s="255">
        <f>IFERROR(VALUE(VLOOKUP("Cash Acquisitions*",'8.TIKR_CF'!$A:$H,COLUMN(G10),FALSE)),"0")</f>
        <v>-524.1</v>
      </c>
      <c r="H10" s="255">
        <f>IFERROR(VALUE(VLOOKUP("Cash Acquisitions*",'8.TIKR_CF'!$A:$H,COLUMN(H10),FALSE)),"0")</f>
        <v>-890</v>
      </c>
    </row>
    <row r="11" spans="1:11">
      <c r="A11" s="66" t="s">
        <v>362</v>
      </c>
      <c r="B11" s="256">
        <f>ABS(SUM(B9:B10))</f>
        <v>923.9</v>
      </c>
      <c r="C11" s="256">
        <f t="shared" ref="C11:H11" si="3">ABS(SUM(C9:C10))</f>
        <v>353</v>
      </c>
      <c r="D11" s="256">
        <f t="shared" si="3"/>
        <v>694.8</v>
      </c>
      <c r="E11" s="256">
        <f t="shared" si="3"/>
        <v>366.8</v>
      </c>
      <c r="F11" s="256">
        <f t="shared" si="3"/>
        <v>1927.7</v>
      </c>
      <c r="G11" s="256">
        <f t="shared" si="3"/>
        <v>524.1</v>
      </c>
      <c r="H11" s="256">
        <f t="shared" si="3"/>
        <v>890</v>
      </c>
    </row>
    <row r="13" spans="1:11">
      <c r="A13" s="68" t="s">
        <v>81</v>
      </c>
      <c r="B13" s="75" t="str">
        <f>'1.IS'!I2</f>
        <v>2025e</v>
      </c>
      <c r="C13" s="75" t="str">
        <f>'1.IS'!J2</f>
        <v>2026e</v>
      </c>
      <c r="D13" s="75" t="str">
        <f>'1.IS'!K2</f>
        <v>2027e</v>
      </c>
      <c r="E13" s="75" t="str">
        <f>'1.IS'!L2</f>
        <v>2028e</v>
      </c>
      <c r="F13" s="75" t="str">
        <f>'1.IS'!M2</f>
        <v>2029e</v>
      </c>
      <c r="H13" s="186"/>
    </row>
    <row r="14" spans="1:11">
      <c r="A14" s="203" t="s">
        <v>363</v>
      </c>
      <c r="B14" s="204">
        <f>'4.Valoración'!$D$12</f>
        <v>117</v>
      </c>
      <c r="C14" s="204">
        <f>'4.Valoración'!$D$12</f>
        <v>117</v>
      </c>
      <c r="D14" s="204">
        <f>'4.Valoración'!$D$12</f>
        <v>117</v>
      </c>
      <c r="E14" s="204">
        <f>'4.Valoración'!$D$12</f>
        <v>117</v>
      </c>
      <c r="F14" s="204">
        <f>'4.Valoración'!$D$12</f>
        <v>117</v>
      </c>
    </row>
    <row r="16" spans="1:11">
      <c r="A16" s="68" t="s">
        <v>364</v>
      </c>
      <c r="B16" s="75">
        <f>'1.IS'!H2</f>
        <v>2024</v>
      </c>
    </row>
    <row r="17" spans="1:9">
      <c r="A17" s="189" t="s">
        <v>365</v>
      </c>
      <c r="B17" s="180">
        <f>SUM('3.ROIC'!$B$6:$H$6)/SUM('3.ROIC'!$B$6:$H$7)</f>
        <v>0.4620026394625435</v>
      </c>
    </row>
    <row r="18" spans="1:9">
      <c r="A18" s="189" t="s">
        <v>366</v>
      </c>
      <c r="B18" s="205">
        <f>1-B17</f>
        <v>0.5379973605374565</v>
      </c>
    </row>
    <row r="19" spans="1:9">
      <c r="A19" s="189" t="s">
        <v>367</v>
      </c>
      <c r="B19" s="200">
        <f>SUM('3.ROIC'!B4:H5)</f>
        <v>6403</v>
      </c>
    </row>
    <row r="20" spans="1:9">
      <c r="A20" s="189" t="s">
        <v>368</v>
      </c>
      <c r="B20" s="200">
        <f>SUM('3.ROIC'!B5:H5)</f>
        <v>89.399999999999977</v>
      </c>
    </row>
    <row r="21" spans="1:9">
      <c r="A21" s="189" t="s">
        <v>369</v>
      </c>
      <c r="B21" s="200">
        <f>SUM('3.ROIC'!B6:H7)</f>
        <v>34128.160000000003</v>
      </c>
    </row>
    <row r="22" spans="1:9">
      <c r="A22" s="189" t="s">
        <v>370</v>
      </c>
      <c r="B22" s="200">
        <f>B21-B19</f>
        <v>27725.160000000003</v>
      </c>
    </row>
    <row r="23" spans="1:9">
      <c r="A23" s="189" t="s">
        <v>371</v>
      </c>
      <c r="B23" s="200">
        <f>SUM('1.IS'!B11:H11)</f>
        <v>949.7</v>
      </c>
    </row>
    <row r="24" spans="1:9">
      <c r="A24" s="189" t="s">
        <v>372</v>
      </c>
      <c r="B24" s="200">
        <f>SUM('1.IS'!B10:H10)</f>
        <v>-760.5</v>
      </c>
    </row>
    <row r="25" spans="1:9">
      <c r="A25" s="189" t="s">
        <v>373</v>
      </c>
      <c r="B25" s="205">
        <f>B23/B20</f>
        <v>10.623042505592844</v>
      </c>
    </row>
    <row r="26" spans="1:9">
      <c r="A26" s="189" t="s">
        <v>374</v>
      </c>
      <c r="B26" s="205">
        <f>ABS(SUM('1.IS'!B10:H10))/B21</f>
        <v>2.2283650803324877E-2</v>
      </c>
    </row>
    <row r="27" spans="1:9">
      <c r="B27" s="205"/>
    </row>
    <row r="28" spans="1:9">
      <c r="A28" s="68" t="s">
        <v>375</v>
      </c>
      <c r="B28" s="75">
        <f>'1.IS'!B2</f>
        <v>2018</v>
      </c>
      <c r="C28" s="75">
        <f>'1.IS'!C2</f>
        <v>2019</v>
      </c>
      <c r="D28" s="75">
        <f>'1.IS'!D2</f>
        <v>2020</v>
      </c>
      <c r="E28" s="75">
        <f>'1.IS'!E2</f>
        <v>2021</v>
      </c>
      <c r="F28" s="75">
        <f>'1.IS'!F2</f>
        <v>2022</v>
      </c>
      <c r="G28" s="75">
        <f>'1.IS'!G2</f>
        <v>2023</v>
      </c>
      <c r="H28" s="75">
        <f>'1.IS'!H2</f>
        <v>2024</v>
      </c>
      <c r="I28" s="75" t="s">
        <v>376</v>
      </c>
    </row>
    <row r="29" spans="1:9">
      <c r="A29" s="189" t="s">
        <v>377</v>
      </c>
      <c r="B29" s="200">
        <f>B11</f>
        <v>923.9</v>
      </c>
      <c r="C29" s="200">
        <f t="shared" ref="C29:H29" si="4">C11</f>
        <v>353</v>
      </c>
      <c r="D29" s="200">
        <f t="shared" si="4"/>
        <v>694.8</v>
      </c>
      <c r="E29" s="200">
        <f t="shared" si="4"/>
        <v>366.8</v>
      </c>
      <c r="F29" s="200">
        <f t="shared" si="4"/>
        <v>1927.7</v>
      </c>
      <c r="G29" s="200">
        <f t="shared" si="4"/>
        <v>524.1</v>
      </c>
      <c r="H29" s="200">
        <f t="shared" si="4"/>
        <v>890</v>
      </c>
      <c r="I29" s="200">
        <f>SUM(B29:H29)</f>
        <v>5680.3</v>
      </c>
    </row>
    <row r="30" spans="1:9">
      <c r="A30" s="189" t="s">
        <v>62</v>
      </c>
      <c r="B30" s="202">
        <f>IFERROR(ABS(VLOOKUP("Dividends Paid*",'8.TIKR_CF'!$A:$H,COLUMN(B13),FALSE)),"0")</f>
        <v>84.7</v>
      </c>
      <c r="C30" s="202">
        <f>IFERROR(ABS(VLOOKUP("Dividends Paid*",'8.TIKR_CF'!$A:$H,COLUMN(C13),FALSE)),"0")</f>
        <v>91.3</v>
      </c>
      <c r="D30" s="202">
        <f>IFERROR(ABS(VLOOKUP("Dividends Paid*",'8.TIKR_CF'!$A:$H,COLUMN(D13),FALSE)),"0")</f>
        <v>100.6</v>
      </c>
      <c r="E30" s="202">
        <f>IFERROR(ABS(VLOOKUP("Dividends Paid*",'8.TIKR_CF'!$A:$H,COLUMN(E13),FALSE)),"0")</f>
        <v>107.2</v>
      </c>
      <c r="F30" s="202">
        <f>IFERROR(ABS(VLOOKUP("Dividends Paid*",'8.TIKR_CF'!$A:$H,COLUMN(F13),FALSE)),"0")</f>
        <v>119.5</v>
      </c>
      <c r="G30" s="202">
        <f>IFERROR(ABS(VLOOKUP("Dividends Paid*",'8.TIKR_CF'!$A:$H,COLUMN(G13),FALSE)),"0")</f>
        <v>135</v>
      </c>
      <c r="H30" s="202">
        <f>IFERROR(ABS(VLOOKUP("Dividends Paid*",'8.TIKR_CF'!$A:$H,COLUMN(H13),FALSE)),"0")</f>
        <v>154</v>
      </c>
      <c r="I30" s="200">
        <f>SUM(B30:H30)</f>
        <v>792.3</v>
      </c>
    </row>
    <row r="31" spans="1:9">
      <c r="A31" s="189" t="s">
        <v>63</v>
      </c>
      <c r="B31" s="202">
        <f>IFERROR(ABS(VLOOKUP("Common Stock Repurchased*",'8.TIKR_CF'!$A:$H,COLUMN(B14),FALSE)),"0")</f>
        <v>91.3</v>
      </c>
      <c r="C31" s="202">
        <f>IFERROR(ABS(VLOOKUP("Common Stock Repurchased*",'8.TIKR_CF'!$A:$H,COLUMN(C14),FALSE)),"0")</f>
        <v>69.599999999999994</v>
      </c>
      <c r="D31" s="202">
        <f>IFERROR(ABS(VLOOKUP("Common Stock Repurchased*",'8.TIKR_CF'!$A:$H,COLUMN(D14),FALSE)),"0")</f>
        <v>96.4</v>
      </c>
      <c r="E31" s="202">
        <f>IFERROR(ABS(VLOOKUP("Common Stock Repurchased*",'8.TIKR_CF'!$A:$H,COLUMN(E14),FALSE)),"0")</f>
        <v>132.4</v>
      </c>
      <c r="F31" s="202">
        <f>IFERROR(ABS(VLOOKUP("Common Stock Repurchased*",'8.TIKR_CF'!$A:$H,COLUMN(F14),FALSE)),"0")</f>
        <v>122.9</v>
      </c>
      <c r="G31" s="202">
        <f>IFERROR(ABS(VLOOKUP("Common Stock Repurchased*",'8.TIKR_CF'!$A:$H,COLUMN(G14),FALSE)),"0")</f>
        <v>0.1</v>
      </c>
      <c r="H31" s="202">
        <f>IFERROR(ABS(VLOOKUP("Common Stock Repurchased*",'8.TIKR_CF'!$A:$H,COLUMN(H14),FALSE)),"0")</f>
        <v>55</v>
      </c>
      <c r="I31" s="200">
        <f>SUM(B31:H31)</f>
        <v>567.69999999999993</v>
      </c>
    </row>
    <row r="32" spans="1:9">
      <c r="A32" s="189" t="s">
        <v>378</v>
      </c>
      <c r="B32" s="202">
        <f>IFERROR((ABS(VLOOKUP("Cash Acquisitions*",'8.TIKR_CF'!$A:$H,COLUMN(B15),FALSE))-VLOOKUP("Sales / Maturities Of Investments*",'8.TIKR_CF'!$A:$H,COLUMN(B15),FALSE)),"0")</f>
        <v>906</v>
      </c>
      <c r="C32" s="202">
        <f>IFERROR((ABS(VLOOKUP("Cash Acquisitions*",'8.TIKR_CF'!$A:$H,COLUMN(C15),FALSE))-VLOOKUP("Sales / Maturities Of Investments*",'8.TIKR_CF'!$A:$H,COLUMN(C15),FALSE)),"0")</f>
        <v>344.6</v>
      </c>
      <c r="D32" s="202">
        <f>IFERROR((ABS(VLOOKUP("Cash Acquisitions*",'8.TIKR_CF'!$A:$H,COLUMN(D15),FALSE))-VLOOKUP("Sales / Maturities Of Investments*",'8.TIKR_CF'!$A:$H,COLUMN(D15),FALSE)),"0")</f>
        <v>683.8</v>
      </c>
      <c r="E32" s="202">
        <f>IFERROR((ABS(VLOOKUP("Cash Acquisitions*",'8.TIKR_CF'!$A:$H,COLUMN(E15),FALSE))-VLOOKUP("Sales / Maturities Of Investments*",'8.TIKR_CF'!$A:$H,COLUMN(E15),FALSE)),"0")</f>
        <v>356</v>
      </c>
      <c r="F32" s="202">
        <f>IFERROR((ABS(VLOOKUP("Cash Acquisitions*",'8.TIKR_CF'!$A:$H,COLUMN(F15),FALSE))-VLOOKUP("Sales / Maturities Of Investments*",'8.TIKR_CF'!$A:$H,COLUMN(F15),FALSE)),"0")</f>
        <v>1920.3</v>
      </c>
      <c r="G32" s="202">
        <f>IFERROR((ABS(VLOOKUP("Cash Acquisitions*",'8.TIKR_CF'!$A:$H,COLUMN(G15),FALSE))-VLOOKUP("Sales / Maturities Of Investments*",'8.TIKR_CF'!$A:$H,COLUMN(G15),FALSE)),"0")</f>
        <v>510.90000000000003</v>
      </c>
      <c r="H32" s="202">
        <f>IFERROR((ABS(VLOOKUP("Cash Acquisitions*",'8.TIKR_CF'!$A:$H,COLUMN(H15),FALSE))-VLOOKUP("Sales / Maturities Of Investments*",'8.TIKR_CF'!$A:$H,COLUMN(H15),FALSE)),"0")</f>
        <v>879</v>
      </c>
      <c r="I32" s="200">
        <f>SUM(B32:H32)</f>
        <v>5600.5999999999995</v>
      </c>
    </row>
    <row r="34" spans="1:9">
      <c r="A34" s="68" t="s">
        <v>379</v>
      </c>
      <c r="B34" s="75">
        <f>'1.IS'!C$2</f>
        <v>2019</v>
      </c>
      <c r="C34" s="75">
        <f>'1.IS'!D$2</f>
        <v>2020</v>
      </c>
      <c r="D34" s="75">
        <f>'1.IS'!E$2</f>
        <v>2021</v>
      </c>
      <c r="E34" s="75">
        <f>'1.IS'!F$2</f>
        <v>2022</v>
      </c>
      <c r="F34" s="75">
        <f>'1.IS'!G$2</f>
        <v>2023</v>
      </c>
      <c r="G34" s="75">
        <f>'1.IS'!H$2</f>
        <v>2024</v>
      </c>
      <c r="H34" s="75" t="s">
        <v>102</v>
      </c>
      <c r="I34" s="75"/>
    </row>
    <row r="35" spans="1:9">
      <c r="A35" s="206" t="s">
        <v>380</v>
      </c>
      <c r="B35" s="207">
        <f>'1.IS'!C4</f>
        <v>0.18647693915120142</v>
      </c>
      <c r="C35" s="207">
        <f>'1.IS'!D4</f>
        <v>9.2841866901497094E-2</v>
      </c>
      <c r="D35" s="207">
        <f>'1.IS'!E4</f>
        <v>0.16937185833237409</v>
      </c>
      <c r="E35" s="207">
        <f>'1.IS'!F4</f>
        <v>0.1725676784249385</v>
      </c>
      <c r="F35" s="207">
        <f>'1.IS'!G4</f>
        <v>0.19133038562713389</v>
      </c>
      <c r="G35" s="207">
        <f>'1.IS'!H4</f>
        <v>0.12870263794601949</v>
      </c>
      <c r="H35" s="208">
        <f>AVERAGE(B35:G35)</f>
        <v>0.1568818943971941</v>
      </c>
      <c r="I35" s="209"/>
    </row>
    <row r="36" spans="1:9">
      <c r="A36" s="206" t="s">
        <v>38</v>
      </c>
      <c r="B36" s="207">
        <f>'1.IS'!C21</f>
        <v>-2.3909318494258383E-2</v>
      </c>
      <c r="C36" s="207">
        <f>'1.IS'!D21</f>
        <v>0.25325607238254289</v>
      </c>
      <c r="D36" s="207">
        <f>'1.IS'!E21</f>
        <v>0.23179511309985065</v>
      </c>
      <c r="E36" s="207">
        <f>'1.IS'!F21</f>
        <v>1.1939509845723551E-2</v>
      </c>
      <c r="F36" s="207">
        <f>'1.IS'!G21</f>
        <v>0.27246220748859284</v>
      </c>
      <c r="G36" s="207">
        <f>'1.IS'!H21</f>
        <v>0.15073630615433986</v>
      </c>
      <c r="H36" s="208">
        <f>AVERAGE(B36:G36)</f>
        <v>0.1493799817461319</v>
      </c>
      <c r="I36" s="209"/>
    </row>
    <row r="37" spans="1:9">
      <c r="A37" s="206" t="s">
        <v>381</v>
      </c>
      <c r="B37" s="207">
        <f>'2.FCF'!C15</f>
        <v>0.61079446318483221</v>
      </c>
      <c r="C37" s="207">
        <f>'2.FCF'!D15</f>
        <v>-0.48906701328711788</v>
      </c>
      <c r="D37" s="207">
        <f>'2.FCF'!E15</f>
        <v>0.49108177629533595</v>
      </c>
      <c r="E37" s="207">
        <f>'2.FCF'!F15</f>
        <v>2.5115260663507057</v>
      </c>
      <c r="F37" s="207">
        <f>'2.FCF'!G15</f>
        <v>0.49163485987918043</v>
      </c>
      <c r="G37" s="207">
        <f>'2.FCF'!H15</f>
        <v>-0.6920738327904451</v>
      </c>
      <c r="H37" s="208">
        <f>AVERAGE(B37:G37)</f>
        <v>0.48731605327208188</v>
      </c>
      <c r="I37" s="209"/>
    </row>
    <row r="38" spans="1:9">
      <c r="A38" s="210"/>
      <c r="B38" s="209"/>
      <c r="C38" s="209"/>
      <c r="D38" s="209"/>
      <c r="E38" s="209"/>
      <c r="F38" s="209"/>
      <c r="G38" s="209"/>
      <c r="H38" s="209"/>
      <c r="I38" s="209"/>
    </row>
    <row r="39" spans="1:9">
      <c r="A39" s="68" t="s">
        <v>382</v>
      </c>
      <c r="B39" s="75">
        <f>'1.IS'!B$2</f>
        <v>2018</v>
      </c>
      <c r="C39" s="75">
        <f>'1.IS'!C$2</f>
        <v>2019</v>
      </c>
      <c r="D39" s="75">
        <f>'1.IS'!D$2</f>
        <v>2020</v>
      </c>
      <c r="E39" s="75">
        <f>'1.IS'!E$2</f>
        <v>2021</v>
      </c>
      <c r="F39" s="75">
        <f>'1.IS'!F$2</f>
        <v>2022</v>
      </c>
      <c r="G39" s="75">
        <f>'1.IS'!G$2</f>
        <v>2023</v>
      </c>
      <c r="H39" s="75">
        <f>'1.IS'!H$2</f>
        <v>2024</v>
      </c>
      <c r="I39" s="75" t="s">
        <v>102</v>
      </c>
    </row>
    <row r="40" spans="1:9">
      <c r="A40" s="206" t="s">
        <v>21</v>
      </c>
      <c r="B40" s="211">
        <f>'1.IS'!B6</f>
        <v>0.30287576496343099</v>
      </c>
      <c r="C40" s="211">
        <f>'1.IS'!C6</f>
        <v>0.29399924518807397</v>
      </c>
      <c r="D40" s="211">
        <f>'1.IS'!D6</f>
        <v>0.31011856797513526</v>
      </c>
      <c r="E40" s="211">
        <f>'1.IS'!E6</f>
        <v>0.33155045118949961</v>
      </c>
      <c r="F40" s="211">
        <f>'1.IS'!F6</f>
        <v>0.32453685565567808</v>
      </c>
      <c r="G40" s="211">
        <f>'1.IS'!G6</f>
        <v>0.33370134598670453</v>
      </c>
      <c r="H40" s="211">
        <f>'1.IS'!H6</f>
        <v>4.6201873048907389E-2</v>
      </c>
      <c r="I40" s="212">
        <f>AVERAGE(B40:H40)</f>
        <v>0.27756915771534713</v>
      </c>
    </row>
    <row r="41" spans="1:9">
      <c r="A41" s="206" t="s">
        <v>87</v>
      </c>
      <c r="B41" s="211">
        <f>'1.IS'!B9</f>
        <v>0.24849494999751229</v>
      </c>
      <c r="C41" s="211">
        <f>'1.IS'!C9</f>
        <v>0.24003019247704116</v>
      </c>
      <c r="D41" s="211">
        <f>'1.IS'!D9</f>
        <v>0.25839376846629064</v>
      </c>
      <c r="E41" s="211">
        <f>'1.IS'!E9</f>
        <v>0.28137817883511074</v>
      </c>
      <c r="F41" s="211">
        <f>'1.IS'!F9</f>
        <v>0.27254155706050259</v>
      </c>
      <c r="G41" s="211">
        <f>'1.IS'!G9</f>
        <v>0.28531159709661502</v>
      </c>
      <c r="H41" s="211">
        <f>'1.IS'!H9</f>
        <v>0</v>
      </c>
      <c r="I41" s="212">
        <f>AVERAGE(B41:H41)</f>
        <v>0.22659289199043892</v>
      </c>
    </row>
    <row r="42" spans="1:9">
      <c r="A42" s="206" t="s">
        <v>89</v>
      </c>
      <c r="B42" s="211">
        <f>'2.FCF'!B14</f>
        <v>0.21386636151052288</v>
      </c>
      <c r="C42" s="211">
        <f>'2.FCF'!C14</f>
        <v>0.29035098754560329</v>
      </c>
      <c r="D42" s="211">
        <f>'2.FCF'!D14</f>
        <v>0.13574690150032603</v>
      </c>
      <c r="E42" s="211">
        <f>'2.FCF'!E14</f>
        <v>0.17309269893355225</v>
      </c>
      <c r="F42" s="211">
        <f>'2.FCF'!F14</f>
        <v>0.51836626182347312</v>
      </c>
      <c r="G42" s="211">
        <f>'2.FCF'!G14</f>
        <v>0.64903337953066642</v>
      </c>
      <c r="H42" s="211">
        <f>'2.FCF'!H14</f>
        <v>0.17706555671175861</v>
      </c>
      <c r="I42" s="212">
        <f>AVERAGE(B42:H42)</f>
        <v>0.30821744965084324</v>
      </c>
    </row>
    <row r="43" spans="1:9">
      <c r="A43" s="210"/>
      <c r="B43" s="209"/>
      <c r="C43" s="207"/>
      <c r="D43" s="207"/>
      <c r="E43" s="207"/>
      <c r="F43" s="207"/>
      <c r="G43" s="207"/>
      <c r="H43" s="207"/>
      <c r="I43" s="209"/>
    </row>
    <row r="44" spans="1:9">
      <c r="A44" s="68" t="s">
        <v>383</v>
      </c>
      <c r="B44" s="75">
        <f>'1.IS'!B$2</f>
        <v>2018</v>
      </c>
      <c r="C44" s="75">
        <f>'1.IS'!C$2</f>
        <v>2019</v>
      </c>
      <c r="D44" s="75">
        <f>'1.IS'!D$2</f>
        <v>2020</v>
      </c>
      <c r="E44" s="75">
        <f>'1.IS'!E$2</f>
        <v>2021</v>
      </c>
      <c r="F44" s="75">
        <f>'1.IS'!F$2</f>
        <v>2022</v>
      </c>
      <c r="G44" s="75">
        <f>'1.IS'!G$2</f>
        <v>2023</v>
      </c>
      <c r="H44" s="75">
        <f>'1.IS'!H$2</f>
        <v>2024</v>
      </c>
      <c r="I44" s="75" t="s">
        <v>102</v>
      </c>
    </row>
    <row r="45" spans="1:9">
      <c r="A45" s="206" t="s">
        <v>89</v>
      </c>
      <c r="B45" s="213">
        <f>'2.FCF'!B13</f>
        <v>429.84999999999997</v>
      </c>
      <c r="C45" s="213">
        <f>'2.FCF'!C13</f>
        <v>692.40000000000009</v>
      </c>
      <c r="D45" s="213">
        <f>'2.FCF'!D13</f>
        <v>353.76999999999964</v>
      </c>
      <c r="E45" s="213">
        <f>'2.FCF'!E13</f>
        <v>527.50000000000045</v>
      </c>
      <c r="F45" s="213">
        <f>'2.FCF'!F13</f>
        <v>1852.3299999999988</v>
      </c>
      <c r="G45" s="213">
        <f>'2.FCF'!G13</f>
        <v>2763.0000000000005</v>
      </c>
      <c r="H45" s="213">
        <f>'2.FCF'!H13</f>
        <v>850.80000000000018</v>
      </c>
      <c r="I45" s="214"/>
    </row>
    <row r="46" spans="1:9">
      <c r="A46" s="206" t="s">
        <v>79</v>
      </c>
      <c r="B46" s="211">
        <f>'3.ROIC'!B15</f>
        <v>6.5878349177147646E-2</v>
      </c>
      <c r="C46" s="211">
        <f>'3.ROIC'!C15</f>
        <v>7.4788211521950448E-2</v>
      </c>
      <c r="D46" s="211">
        <f>'3.ROIC'!D15</f>
        <v>7.3306723772368354E-2</v>
      </c>
      <c r="E46" s="211">
        <f>'3.ROIC'!E15</f>
        <v>8.4724069397278903E-2</v>
      </c>
      <c r="F46" s="211">
        <f>'3.ROIC'!F15</f>
        <v>4.4751757640446345E-2</v>
      </c>
      <c r="G46" s="211">
        <f>'3.ROIC'!G15</f>
        <v>5.3288212333885643E-2</v>
      </c>
      <c r="H46" s="211">
        <f>'3.ROIC'!H15</f>
        <v>0</v>
      </c>
      <c r="I46" s="212">
        <f>AVERAGE(B46:H46)</f>
        <v>5.6676760549011052E-2</v>
      </c>
    </row>
    <row r="47" spans="1:9">
      <c r="A47" s="210"/>
      <c r="B47" s="209"/>
      <c r="C47" s="209"/>
      <c r="D47" s="209"/>
      <c r="E47" s="209"/>
      <c r="F47" s="209"/>
      <c r="G47" s="209"/>
      <c r="H47" s="209"/>
      <c r="I47" s="209"/>
    </row>
    <row r="48" spans="1:9">
      <c r="A48" s="68"/>
      <c r="B48" s="75">
        <f>'1.IS'!B$2</f>
        <v>2018</v>
      </c>
      <c r="C48" s="75">
        <f>'1.IS'!C$2</f>
        <v>2019</v>
      </c>
      <c r="D48" s="75">
        <f>'1.IS'!D$2</f>
        <v>2020</v>
      </c>
      <c r="E48" s="75">
        <f>'1.IS'!E$2</f>
        <v>2021</v>
      </c>
      <c r="F48" s="75">
        <f>'1.IS'!F$2</f>
        <v>2022</v>
      </c>
      <c r="G48" s="75">
        <f>'1.IS'!G$2</f>
        <v>2023</v>
      </c>
      <c r="H48" s="75">
        <f>'1.IS'!H$2</f>
        <v>2024</v>
      </c>
      <c r="I48" s="75" t="s">
        <v>102</v>
      </c>
    </row>
    <row r="49" spans="1:9">
      <c r="A49" s="206" t="s">
        <v>384</v>
      </c>
      <c r="B49" s="215">
        <f>('1.IS'!B3-'1.IS'!B5)/'1.IS'!B3</f>
        <v>0.69712423503656895</v>
      </c>
      <c r="C49" s="215">
        <f>('1.IS'!C3-'1.IS'!C5)/'1.IS'!C3</f>
        <v>0.70600075481192603</v>
      </c>
      <c r="D49" s="215">
        <f>('1.IS'!D3-'1.IS'!D5)/'1.IS'!D3</f>
        <v>0.68988143202486474</v>
      </c>
      <c r="E49" s="215">
        <f>('1.IS'!E3-'1.IS'!E5)/'1.IS'!E3</f>
        <v>0.66844954881050034</v>
      </c>
      <c r="F49" s="215">
        <f>('1.IS'!F3-'1.IS'!F5)/'1.IS'!F3</f>
        <v>0.67546314434432186</v>
      </c>
      <c r="G49" s="215">
        <f>('1.IS'!G3-'1.IS'!G5)/'1.IS'!G3</f>
        <v>0.66629865401329547</v>
      </c>
      <c r="H49" s="215">
        <f>('1.IS'!H3-'1.IS'!H5)/'1.IS'!H3</f>
        <v>0.95379812695109256</v>
      </c>
      <c r="I49" s="208">
        <f>AVERAGE(B49:H49)</f>
        <v>0.72243084228465282</v>
      </c>
    </row>
    <row r="50" spans="1:9">
      <c r="A50" s="206" t="s">
        <v>385</v>
      </c>
      <c r="B50" s="215">
        <f>'2.FCF'!B20</f>
        <v>1.1741877705358476E-2</v>
      </c>
      <c r="C50" s="215">
        <f>'2.FCF'!C20</f>
        <v>2.7131295341133056E-2</v>
      </c>
      <c r="D50" s="215">
        <f>'2.FCF'!D20</f>
        <v>2.2907793254288017E-2</v>
      </c>
      <c r="E50" s="215">
        <f>'2.FCF'!E20</f>
        <v>1.1222313371616079E-2</v>
      </c>
      <c r="F50" s="215">
        <f>'2.FCF'!F20</f>
        <v>1.2649017742206302E-2</v>
      </c>
      <c r="G50" s="215">
        <f>'2.FCF'!G20</f>
        <v>1.308402433581546E-2</v>
      </c>
      <c r="H50" s="215">
        <f>'2.FCF'!H20</f>
        <v>2.2892819979188346E-3</v>
      </c>
      <c r="I50" s="208">
        <f>AVERAGE(B50:H50)</f>
        <v>1.4432229106905173E-2</v>
      </c>
    </row>
    <row r="51" spans="1:9">
      <c r="A51" s="206" t="s">
        <v>386</v>
      </c>
      <c r="B51" s="215">
        <f>('1.IS'!B12/'1.IS'!B3)</f>
        <v>-1.8458629782576248E-2</v>
      </c>
      <c r="C51" s="215">
        <f>('1.IS'!C12/'1.IS'!C3)</f>
        <v>-4.6211263471296185E-2</v>
      </c>
      <c r="D51" s="215">
        <f>('1.IS'!D12/'1.IS'!D3)</f>
        <v>-4.155634856682399E-2</v>
      </c>
      <c r="E51" s="215">
        <f>('1.IS'!E12/'1.IS'!E3)</f>
        <v>-5.2403609515996714E-2</v>
      </c>
      <c r="F51" s="215">
        <f>('1.IS'!F12/'1.IS'!F3)</f>
        <v>-6.6883080539542172E-2</v>
      </c>
      <c r="G51" s="215">
        <f>('1.IS'!G12/'1.IS'!G3)</f>
        <v>-6.0722087806253079E-2</v>
      </c>
      <c r="H51" s="215">
        <f>('1.IS'!H12/'1.IS'!H3)</f>
        <v>0.22934443288241416</v>
      </c>
      <c r="I51" s="208">
        <f>AVERAGE(B51:H51)</f>
        <v>-8.1272266857248896E-3</v>
      </c>
    </row>
    <row r="52" spans="1:9">
      <c r="A52" s="206" t="s">
        <v>387</v>
      </c>
      <c r="B52" s="215">
        <f>('1.IS'!B14+'1.IS'!B17)/'1.IS'!B3</f>
        <v>-5.8808895964973379E-2</v>
      </c>
      <c r="C52" s="215">
        <f>('1.IS'!C14+'1.IS'!C17)/'1.IS'!C3</f>
        <v>-5.3423910764456753E-2</v>
      </c>
      <c r="D52" s="215">
        <f>('1.IS'!D14+'1.IS'!D17)/'1.IS'!D3</f>
        <v>-5.5101492651855259E-2</v>
      </c>
      <c r="E52" s="215">
        <f>('1.IS'!E14+'1.IS'!E17)/'1.IS'!E3</f>
        <v>-5.765381460213289E-2</v>
      </c>
      <c r="F52" s="215">
        <f>('1.IS'!F14+'1.IS'!F17)/'1.IS'!F3</f>
        <v>-5.7172440812671407E-2</v>
      </c>
      <c r="G52" s="215">
        <f>('1.IS'!G14+'1.IS'!G17)/'1.IS'!G3</f>
        <v>-6.4738906767517798E-2</v>
      </c>
      <c r="H52" s="215">
        <f>('1.IS'!H14+'1.IS'!H17)/'1.IS'!H3</f>
        <v>-6.4516129032258063E-2</v>
      </c>
      <c r="I52" s="208">
        <f>AVERAGE(B52:H52)</f>
        <v>-5.8773655799409366E-2</v>
      </c>
    </row>
    <row r="53" spans="1:9">
      <c r="A53" s="206" t="s">
        <v>388</v>
      </c>
      <c r="B53" s="215"/>
      <c r="C53" s="215">
        <f>'2.FCF'!C11/'1.IS'!C3</f>
        <v>-0.12311821193441534</v>
      </c>
      <c r="D53" s="215">
        <f>'2.FCF'!D11/'1.IS'!D3</f>
        <v>5.4806032001841982E-2</v>
      </c>
      <c r="E53" s="215">
        <f>'2.FCF'!E11/'1.IS'!E3</f>
        <v>3.7178014766201639E-2</v>
      </c>
      <c r="F53" s="215">
        <f>'2.FCF'!F11/'1.IS'!F3</f>
        <v>-0.33053394526221491</v>
      </c>
      <c r="G53" s="215">
        <f>'2.FCF'!G11/'1.IS'!G3</f>
        <v>-0.45387705245354831</v>
      </c>
      <c r="H53" s="215">
        <f>'2.FCF'!H11/'1.IS'!H3</f>
        <v>3.6253902185223688E-2</v>
      </c>
      <c r="I53" s="208">
        <f>AVERAGE(B53:H53)</f>
        <v>-0.12988187678281851</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2025-03-15T07:10:25Z</dcterms:modified>
  <cp:category/>
  <cp:contentStatus/>
</cp:coreProperties>
</file>