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7"/>
  <workbookPr filterPrivacy="1"/>
  <xr:revisionPtr revIDLastSave="263" documentId="13_ncr:1_{F918A09F-6944-4A6A-8F03-55C34AB1BF7E}" xr6:coauthVersionLast="47" xr6:coauthVersionMax="47" xr10:uidLastSave="{CC08FBED-CD5D-4A4F-94C2-5A3064E94110}"/>
  <bookViews>
    <workbookView xWindow="28680" yWindow="-90" windowWidth="29040" windowHeight="16440" firstSheet="4" activeTab="4" xr2:uid="{00000000-000D-0000-FFFF-FFFF00000000}"/>
  </bookViews>
  <sheets>
    <sheet name="Instrucciones" sheetId="13" r:id="rId1"/>
    <sheet name="1.IS" sheetId="1" r:id="rId2"/>
    <sheet name="2.FCF" sheetId="2" r:id="rId3"/>
    <sheet name="3.ROIC" sheetId="3" r:id="rId4"/>
    <sheet name="4.Valoración" sheetId="5" r:id="rId5"/>
    <sheet name="5.Gráficos" sheetId="7" r:id="rId6"/>
    <sheet name="6.TIKR_IS" sheetId="8" r:id="rId7"/>
    <sheet name="7.TIKR_BS" sheetId="10" r:id="rId8"/>
    <sheet name="8.TIKR_CF" sheetId="11" r:id="rId9"/>
    <sheet name="9.Glosario" sheetId="6" r:id="rId10"/>
    <sheet name="TIKR_Cálculos" sheetId="12" state="hidden" r:id="rId11"/>
  </sheets>
  <calcPr calcId="191028"/>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22" i="1" l="1"/>
  <c r="D22" i="1"/>
  <c r="E22" i="1"/>
  <c r="F22" i="1"/>
  <c r="G22" i="1"/>
  <c r="H22" i="1"/>
  <c r="B22" i="1"/>
  <c r="C17" i="1"/>
  <c r="D17" i="1"/>
  <c r="E17" i="1"/>
  <c r="F17" i="1"/>
  <c r="G17" i="1"/>
  <c r="H17" i="1"/>
  <c r="B17" i="1"/>
  <c r="C14" i="1"/>
  <c r="D14" i="1"/>
  <c r="E14" i="1"/>
  <c r="F14" i="1"/>
  <c r="G14" i="1"/>
  <c r="H14" i="1"/>
  <c r="B14" i="1"/>
  <c r="C11" i="1"/>
  <c r="D11" i="1"/>
  <c r="E11" i="1"/>
  <c r="F11" i="1"/>
  <c r="G11" i="1"/>
  <c r="H11" i="1"/>
  <c r="B11" i="1"/>
  <c r="C10" i="1"/>
  <c r="D10" i="1"/>
  <c r="E10" i="1"/>
  <c r="F10" i="1"/>
  <c r="G10" i="1"/>
  <c r="H10" i="1"/>
  <c r="B10" i="1"/>
  <c r="C8" i="1"/>
  <c r="D8" i="1"/>
  <c r="E8" i="1"/>
  <c r="F8" i="1"/>
  <c r="G8" i="1"/>
  <c r="H8" i="1"/>
  <c r="B8" i="1"/>
  <c r="C7" i="1"/>
  <c r="D7" i="1"/>
  <c r="E7" i="1"/>
  <c r="F7" i="1"/>
  <c r="G7" i="1"/>
  <c r="H7" i="1"/>
  <c r="B7" i="1"/>
  <c r="C3" i="1"/>
  <c r="D3" i="1"/>
  <c r="E3" i="1"/>
  <c r="F3" i="1"/>
  <c r="G3" i="1"/>
  <c r="H3" i="1"/>
  <c r="B3" i="1"/>
  <c r="C17" i="2"/>
  <c r="D17" i="2"/>
  <c r="E17" i="2"/>
  <c r="F17" i="2"/>
  <c r="G17" i="2"/>
  <c r="H17" i="2"/>
  <c r="B17" i="2"/>
  <c r="C9" i="2"/>
  <c r="D9" i="2"/>
  <c r="E9" i="2"/>
  <c r="F9" i="2"/>
  <c r="G9" i="2"/>
  <c r="H9" i="2"/>
  <c r="B9" i="2"/>
  <c r="C8" i="2"/>
  <c r="D8" i="2"/>
  <c r="E8" i="2"/>
  <c r="F8" i="2"/>
  <c r="G8" i="2"/>
  <c r="H8" i="2"/>
  <c r="B8" i="2"/>
  <c r="C7" i="2"/>
  <c r="D7" i="2"/>
  <c r="E7" i="2"/>
  <c r="F7" i="2"/>
  <c r="G7" i="2"/>
  <c r="H7" i="2"/>
  <c r="B7" i="2"/>
  <c r="C10" i="3"/>
  <c r="D10" i="3"/>
  <c r="E10" i="3"/>
  <c r="F10" i="3"/>
  <c r="G10" i="3"/>
  <c r="H10" i="3"/>
  <c r="B10" i="3"/>
  <c r="C9" i="3"/>
  <c r="D9" i="3"/>
  <c r="E9" i="3"/>
  <c r="F9" i="3"/>
  <c r="G9" i="3"/>
  <c r="H9" i="3"/>
  <c r="B9" i="3"/>
  <c r="C8" i="3"/>
  <c r="D8" i="3"/>
  <c r="E8" i="3"/>
  <c r="F8" i="3"/>
  <c r="G8" i="3"/>
  <c r="H8" i="3"/>
  <c r="B8" i="3"/>
  <c r="C7" i="3"/>
  <c r="D7" i="3"/>
  <c r="E7" i="3"/>
  <c r="F7" i="3"/>
  <c r="G7" i="3"/>
  <c r="H7" i="3"/>
  <c r="B7" i="3"/>
  <c r="C6" i="3"/>
  <c r="D6" i="3"/>
  <c r="E6" i="3"/>
  <c r="F6" i="3"/>
  <c r="G6" i="3"/>
  <c r="H6" i="3"/>
  <c r="B6" i="3"/>
  <c r="C4" i="3"/>
  <c r="C5" i="3" s="1"/>
  <c r="D4" i="3"/>
  <c r="D5" i="3" s="1"/>
  <c r="E4" i="3"/>
  <c r="E5" i="3" s="1"/>
  <c r="F4" i="3"/>
  <c r="F5" i="3" s="1"/>
  <c r="G4" i="3"/>
  <c r="G5" i="3" s="1"/>
  <c r="H4" i="3"/>
  <c r="H5" i="3" s="1"/>
  <c r="B4" i="3"/>
  <c r="B5" i="3" s="1"/>
  <c r="C10" i="12"/>
  <c r="D10" i="12"/>
  <c r="E10" i="12"/>
  <c r="F10" i="12"/>
  <c r="G10" i="12"/>
  <c r="H10" i="12"/>
  <c r="B10" i="12"/>
  <c r="C5" i="12"/>
  <c r="D5" i="12"/>
  <c r="E5" i="12"/>
  <c r="F5" i="12"/>
  <c r="G5" i="12"/>
  <c r="H5" i="12"/>
  <c r="B5" i="12"/>
  <c r="C3" i="12"/>
  <c r="D3" i="12"/>
  <c r="E3" i="12"/>
  <c r="F3" i="12"/>
  <c r="G3" i="12"/>
  <c r="H3" i="12"/>
  <c r="B3" i="12"/>
  <c r="C2" i="12"/>
  <c r="D2" i="12"/>
  <c r="E2" i="12"/>
  <c r="F2" i="12"/>
  <c r="G2" i="12"/>
  <c r="H2" i="12"/>
  <c r="B2" i="12"/>
  <c r="B4" i="12"/>
  <c r="F2" i="1"/>
  <c r="E2" i="1"/>
  <c r="D2" i="1"/>
  <c r="C2" i="1"/>
  <c r="G2" i="1"/>
  <c r="H2" i="1"/>
  <c r="B2" i="1"/>
  <c r="B28" i="12" l="1"/>
  <c r="H32" i="12"/>
  <c r="G32" i="12"/>
  <c r="F32" i="12"/>
  <c r="E32" i="12"/>
  <c r="D32" i="12"/>
  <c r="C32" i="12"/>
  <c r="B32" i="12"/>
  <c r="H31" i="12"/>
  <c r="G31" i="12"/>
  <c r="F31" i="12"/>
  <c r="E31" i="12"/>
  <c r="D31" i="12"/>
  <c r="C31" i="12"/>
  <c r="B31" i="12"/>
  <c r="H30" i="12"/>
  <c r="G30" i="12"/>
  <c r="F30" i="12"/>
  <c r="E30" i="12"/>
  <c r="D30" i="12"/>
  <c r="C30" i="12"/>
  <c r="B30" i="12"/>
  <c r="I32" i="12" l="1"/>
  <c r="I30" i="12"/>
  <c r="I31" i="12"/>
  <c r="C28" i="12" l="1"/>
  <c r="D28" i="12" l="1"/>
  <c r="F14" i="12"/>
  <c r="E14" i="12"/>
  <c r="D14" i="12"/>
  <c r="C14" i="12"/>
  <c r="B14" i="12"/>
  <c r="H12" i="2"/>
  <c r="G12" i="2"/>
  <c r="F12" i="2"/>
  <c r="E12" i="2"/>
  <c r="D12" i="2"/>
  <c r="C12" i="2"/>
  <c r="B12" i="2"/>
  <c r="E28" i="12" l="1"/>
  <c r="B24" i="12"/>
  <c r="B21" i="12"/>
  <c r="B26" i="12" s="1"/>
  <c r="B23" i="12"/>
  <c r="B12" i="1"/>
  <c r="C12" i="1"/>
  <c r="F12" i="1"/>
  <c r="D12" i="1"/>
  <c r="H12" i="1"/>
  <c r="G12" i="1"/>
  <c r="E12" i="1"/>
  <c r="G52" i="12"/>
  <c r="F52" i="12"/>
  <c r="H52" i="12"/>
  <c r="D52" i="12"/>
  <c r="E52" i="12"/>
  <c r="B52" i="12"/>
  <c r="B39" i="12"/>
  <c r="B48" i="12"/>
  <c r="B44" i="12"/>
  <c r="B25" i="2"/>
  <c r="C52" i="12"/>
  <c r="B17" i="12"/>
  <c r="B18" i="12" s="1"/>
  <c r="C5" i="1"/>
  <c r="H5" i="1"/>
  <c r="E4" i="5"/>
  <c r="F4" i="5"/>
  <c r="E5" i="1"/>
  <c r="B5" i="1"/>
  <c r="D5" i="1"/>
  <c r="F5" i="1"/>
  <c r="G5" i="1"/>
  <c r="C4" i="5"/>
  <c r="D4" i="5"/>
  <c r="G4" i="5"/>
  <c r="B2" i="5"/>
  <c r="B8" i="12"/>
  <c r="F4" i="12"/>
  <c r="C4" i="12"/>
  <c r="D4" i="12"/>
  <c r="E4" i="12"/>
  <c r="G4" i="12"/>
  <c r="H4" i="12"/>
  <c r="B1" i="12"/>
  <c r="H23" i="1"/>
  <c r="J20" i="5"/>
  <c r="H20" i="5"/>
  <c r="E51" i="12" l="1"/>
  <c r="E5" i="2"/>
  <c r="G51" i="12"/>
  <c r="G5" i="2"/>
  <c r="H51" i="12"/>
  <c r="H5" i="2"/>
  <c r="D51" i="12"/>
  <c r="D5" i="2"/>
  <c r="F51" i="12"/>
  <c r="F5" i="2"/>
  <c r="C51" i="12"/>
  <c r="C5" i="2"/>
  <c r="B51" i="12"/>
  <c r="B5" i="2"/>
  <c r="G49" i="12"/>
  <c r="G3" i="2"/>
  <c r="F49" i="12"/>
  <c r="F3" i="2"/>
  <c r="D49" i="12"/>
  <c r="D3" i="2"/>
  <c r="B49" i="12"/>
  <c r="B3" i="2"/>
  <c r="E49" i="12"/>
  <c r="E3" i="2"/>
  <c r="H49" i="12"/>
  <c r="H3" i="2"/>
  <c r="C49" i="12"/>
  <c r="C3" i="2"/>
  <c r="F28" i="12"/>
  <c r="B19" i="12"/>
  <c r="B22" i="12" s="1"/>
  <c r="B20" i="12"/>
  <c r="B25" i="12" s="1"/>
  <c r="B4" i="5"/>
  <c r="I52" i="12"/>
  <c r="I51" i="12"/>
  <c r="I49" i="12"/>
  <c r="B13" i="1"/>
  <c r="B16" i="1" s="1"/>
  <c r="B18" i="1" s="1"/>
  <c r="B14" i="3" s="1"/>
  <c r="F6" i="12"/>
  <c r="F4" i="2" s="1"/>
  <c r="E6" i="12"/>
  <c r="E4" i="2" s="1"/>
  <c r="B6" i="12"/>
  <c r="B4" i="2" s="1"/>
  <c r="H6" i="12"/>
  <c r="H4" i="2" s="1"/>
  <c r="G6" i="12"/>
  <c r="G4" i="2" s="1"/>
  <c r="D6" i="12"/>
  <c r="D4" i="2" s="1"/>
  <c r="C6" i="12"/>
  <c r="C4" i="2" s="1"/>
  <c r="F13" i="1"/>
  <c r="F16" i="1" s="1"/>
  <c r="F18" i="1" s="1"/>
  <c r="F14" i="3" s="1"/>
  <c r="E13" i="1"/>
  <c r="E16" i="1" s="1"/>
  <c r="E18" i="1" s="1"/>
  <c r="E14" i="3" s="1"/>
  <c r="C13" i="1"/>
  <c r="C16" i="1" s="1"/>
  <c r="C18" i="1" s="1"/>
  <c r="C14" i="3" s="1"/>
  <c r="H13" i="1"/>
  <c r="H16" i="1" s="1"/>
  <c r="H18" i="1" s="1"/>
  <c r="H14" i="3" s="1"/>
  <c r="D13" i="1"/>
  <c r="D16" i="1" s="1"/>
  <c r="D18" i="1" s="1"/>
  <c r="D14" i="3" s="1"/>
  <c r="G13" i="1"/>
  <c r="G16" i="1" s="1"/>
  <c r="G18" i="1" s="1"/>
  <c r="G14" i="3" s="1"/>
  <c r="H11" i="3"/>
  <c r="G11" i="3"/>
  <c r="F11" i="3"/>
  <c r="E11" i="3"/>
  <c r="D11" i="3"/>
  <c r="C11" i="3"/>
  <c r="B11" i="3"/>
  <c r="B13" i="3"/>
  <c r="G28" i="12" l="1"/>
  <c r="C20" i="2"/>
  <c r="C50" i="12" s="1"/>
  <c r="D20" i="2"/>
  <c r="D50" i="12" s="1"/>
  <c r="G20" i="2"/>
  <c r="G50" i="12" s="1"/>
  <c r="H20" i="2"/>
  <c r="H50" i="12" s="1"/>
  <c r="B20" i="2"/>
  <c r="B50" i="12" s="1"/>
  <c r="E20" i="2"/>
  <c r="E50" i="12" s="1"/>
  <c r="F20" i="2"/>
  <c r="F50" i="12" s="1"/>
  <c r="G9" i="12"/>
  <c r="G11" i="12" s="1"/>
  <c r="G29" i="12" s="1"/>
  <c r="E9" i="12"/>
  <c r="E11" i="12" s="1"/>
  <c r="E29" i="12" s="1"/>
  <c r="D9" i="12"/>
  <c r="D11" i="12" s="1"/>
  <c r="D29" i="12" s="1"/>
  <c r="H9" i="12"/>
  <c r="H11" i="12" s="1"/>
  <c r="H29" i="12" s="1"/>
  <c r="B9" i="12"/>
  <c r="B11" i="12" s="1"/>
  <c r="B29" i="12" s="1"/>
  <c r="C9" i="12"/>
  <c r="C11" i="12" s="1"/>
  <c r="C29" i="12" s="1"/>
  <c r="F9" i="12"/>
  <c r="F11" i="12" s="1"/>
  <c r="F29" i="12" s="1"/>
  <c r="H28" i="12" l="1"/>
  <c r="B16" i="12"/>
  <c r="I29" i="12"/>
  <c r="I50" i="12"/>
  <c r="B2" i="3"/>
  <c r="B19" i="2"/>
  <c r="B2" i="2"/>
  <c r="B5" i="5"/>
  <c r="B6" i="2"/>
  <c r="C5" i="5"/>
  <c r="C6" i="2"/>
  <c r="D5" i="5"/>
  <c r="D6" i="2"/>
  <c r="E5" i="5"/>
  <c r="E6" i="2"/>
  <c r="F5" i="5"/>
  <c r="F6" i="2"/>
  <c r="G5" i="5"/>
  <c r="G6" i="2"/>
  <c r="H6" i="2"/>
  <c r="C23" i="1"/>
  <c r="D23" i="1"/>
  <c r="E23" i="1"/>
  <c r="F23" i="1"/>
  <c r="G23" i="1"/>
  <c r="H4" i="5"/>
  <c r="H8" i="5"/>
  <c r="C4" i="1"/>
  <c r="B35" i="12" s="1"/>
  <c r="D4" i="1"/>
  <c r="C35" i="12" s="1"/>
  <c r="E4" i="1"/>
  <c r="D35" i="12" s="1"/>
  <c r="F4" i="1"/>
  <c r="E35" i="12" s="1"/>
  <c r="G4" i="1"/>
  <c r="F35" i="12" s="1"/>
  <c r="H4" i="1"/>
  <c r="G35" i="12" s="1"/>
  <c r="F15" i="1"/>
  <c r="C15" i="1"/>
  <c r="B15" i="1"/>
  <c r="G9" i="1"/>
  <c r="G41" i="12" s="1"/>
  <c r="F9" i="1"/>
  <c r="F41" i="12" s="1"/>
  <c r="E9" i="1"/>
  <c r="E41" i="12" s="1"/>
  <c r="D9" i="1"/>
  <c r="D41" i="12" s="1"/>
  <c r="H9" i="1"/>
  <c r="H41" i="12" s="1"/>
  <c r="C9" i="1"/>
  <c r="C41" i="12" s="1"/>
  <c r="B9" i="1"/>
  <c r="B41" i="12" s="1"/>
  <c r="G8" i="5"/>
  <c r="F8" i="5"/>
  <c r="E8" i="5"/>
  <c r="D8" i="5"/>
  <c r="C8" i="5"/>
  <c r="B8" i="5"/>
  <c r="H3" i="5"/>
  <c r="H35" i="12" l="1"/>
  <c r="B34" i="12"/>
  <c r="C39" i="12"/>
  <c r="C48" i="12"/>
  <c r="C44" i="12"/>
  <c r="C25" i="2"/>
  <c r="I41" i="12"/>
  <c r="H5" i="5"/>
  <c r="I5" i="5" s="1"/>
  <c r="C2" i="5"/>
  <c r="C8" i="12"/>
  <c r="C1" i="12"/>
  <c r="H20" i="1"/>
  <c r="B15" i="5" s="1"/>
  <c r="H15" i="1"/>
  <c r="Q5" i="1" s="1"/>
  <c r="G15" i="1"/>
  <c r="D15" i="1"/>
  <c r="E15" i="1"/>
  <c r="B13" i="2"/>
  <c r="C13" i="3"/>
  <c r="F6" i="1"/>
  <c r="F40" i="12" s="1"/>
  <c r="B6" i="1"/>
  <c r="B40" i="12" s="1"/>
  <c r="B7" i="5"/>
  <c r="E6" i="1"/>
  <c r="E40" i="12" s="1"/>
  <c r="C7" i="5"/>
  <c r="C6" i="1"/>
  <c r="C40" i="12" s="1"/>
  <c r="G7" i="5"/>
  <c r="E7" i="5"/>
  <c r="D6" i="1"/>
  <c r="D40" i="12" s="1"/>
  <c r="P3" i="1"/>
  <c r="Q3" i="1" s="1"/>
  <c r="H6" i="5"/>
  <c r="N20" i="2"/>
  <c r="P4" i="1"/>
  <c r="Q4" i="1" s="1"/>
  <c r="H7" i="5"/>
  <c r="P6" i="1"/>
  <c r="Q6" i="1" s="1"/>
  <c r="I22" i="1" s="1"/>
  <c r="I23" i="1" s="1"/>
  <c r="D7" i="5"/>
  <c r="H6" i="1"/>
  <c r="H40" i="12" s="1"/>
  <c r="F7" i="5"/>
  <c r="G6" i="1"/>
  <c r="G40" i="12" s="1"/>
  <c r="C19" i="2"/>
  <c r="C2" i="2"/>
  <c r="C2" i="3"/>
  <c r="B28" i="2" l="1"/>
  <c r="B27" i="2"/>
  <c r="B29" i="2"/>
  <c r="B18" i="5"/>
  <c r="B17" i="5"/>
  <c r="C34" i="12"/>
  <c r="D39" i="12"/>
  <c r="D48" i="12"/>
  <c r="D44" i="12"/>
  <c r="D25" i="2"/>
  <c r="I40" i="12"/>
  <c r="B45" i="12"/>
  <c r="B16" i="3"/>
  <c r="B26" i="2"/>
  <c r="J5" i="5"/>
  <c r="D2" i="5"/>
  <c r="D8" i="12"/>
  <c r="D1" i="12"/>
  <c r="E9" i="5"/>
  <c r="G19" i="1"/>
  <c r="C3" i="3"/>
  <c r="H3" i="3"/>
  <c r="E3" i="3"/>
  <c r="G3" i="3"/>
  <c r="B3" i="3"/>
  <c r="D3" i="3"/>
  <c r="F3" i="3"/>
  <c r="J4" i="1"/>
  <c r="I10" i="3"/>
  <c r="I9" i="3"/>
  <c r="J9" i="3" s="1"/>
  <c r="K9" i="3" s="1"/>
  <c r="L9" i="3" s="1"/>
  <c r="M9" i="3" s="1"/>
  <c r="I8" i="3"/>
  <c r="J8" i="3" s="1"/>
  <c r="K8" i="3" s="1"/>
  <c r="L8" i="3" s="1"/>
  <c r="M8" i="3" s="1"/>
  <c r="I4" i="2"/>
  <c r="H19" i="1"/>
  <c r="K4" i="1"/>
  <c r="H9" i="5"/>
  <c r="L4" i="1"/>
  <c r="I3" i="1"/>
  <c r="I4" i="1"/>
  <c r="M4" i="1"/>
  <c r="I7" i="1"/>
  <c r="J7" i="1" s="1"/>
  <c r="K7" i="1" s="1"/>
  <c r="L7" i="1" s="1"/>
  <c r="M7" i="1" s="1"/>
  <c r="D13" i="3"/>
  <c r="D19" i="2"/>
  <c r="D2" i="2"/>
  <c r="D2" i="3"/>
  <c r="F9" i="5"/>
  <c r="F20" i="1"/>
  <c r="C19" i="1"/>
  <c r="C20" i="1"/>
  <c r="P5" i="1"/>
  <c r="F19" i="1"/>
  <c r="C9" i="5"/>
  <c r="J22" i="1"/>
  <c r="J3" i="5" s="1"/>
  <c r="I3" i="5"/>
  <c r="I17" i="2" l="1"/>
  <c r="E44" i="12"/>
  <c r="D34" i="12"/>
  <c r="E39" i="12"/>
  <c r="E48" i="12"/>
  <c r="E25" i="2"/>
  <c r="B30" i="2"/>
  <c r="K5" i="5"/>
  <c r="J4" i="2"/>
  <c r="I20" i="2"/>
  <c r="E2" i="5"/>
  <c r="E8" i="12"/>
  <c r="E1" i="12"/>
  <c r="B16" i="2"/>
  <c r="B22" i="2"/>
  <c r="B23" i="2"/>
  <c r="B10" i="5"/>
  <c r="B14" i="2"/>
  <c r="B42" i="12" s="1"/>
  <c r="E20" i="1"/>
  <c r="B9" i="5"/>
  <c r="G9" i="5"/>
  <c r="B20" i="1"/>
  <c r="C21" i="1" s="1"/>
  <c r="B36" i="12" s="1"/>
  <c r="B19" i="1"/>
  <c r="E19" i="1"/>
  <c r="G20" i="1"/>
  <c r="H21" i="1" s="1"/>
  <c r="G36" i="12" s="1"/>
  <c r="D19" i="1"/>
  <c r="D9" i="5"/>
  <c r="D20" i="1"/>
  <c r="D21" i="1" s="1"/>
  <c r="C36" i="12" s="1"/>
  <c r="J3" i="1"/>
  <c r="J17" i="2" s="1"/>
  <c r="J10" i="3"/>
  <c r="I8" i="1"/>
  <c r="I5" i="1" s="1"/>
  <c r="I4" i="5" s="1"/>
  <c r="E13" i="3"/>
  <c r="E19" i="2"/>
  <c r="E2" i="2"/>
  <c r="E2" i="3"/>
  <c r="M15" i="1"/>
  <c r="L15" i="1"/>
  <c r="K15" i="1"/>
  <c r="J15" i="1"/>
  <c r="I15" i="1"/>
  <c r="J23" i="1"/>
  <c r="K22" i="1"/>
  <c r="F44" i="12" l="1"/>
  <c r="E34" i="12"/>
  <c r="F48" i="12"/>
  <c r="F39" i="12"/>
  <c r="F25" i="2"/>
  <c r="K3" i="1"/>
  <c r="K17" i="2" s="1"/>
  <c r="L5" i="5"/>
  <c r="K4" i="2"/>
  <c r="J20" i="2"/>
  <c r="F2" i="5"/>
  <c r="F8" i="12"/>
  <c r="F19" i="2"/>
  <c r="F1" i="12"/>
  <c r="G21" i="1"/>
  <c r="F36" i="12" s="1"/>
  <c r="N14" i="3"/>
  <c r="E21" i="1"/>
  <c r="D36" i="12" s="1"/>
  <c r="F21" i="1"/>
  <c r="E36" i="12" s="1"/>
  <c r="J8" i="1"/>
  <c r="J5" i="1" s="1"/>
  <c r="J4" i="5" s="1"/>
  <c r="I3" i="3"/>
  <c r="I9" i="1"/>
  <c r="K10" i="3"/>
  <c r="I8" i="5"/>
  <c r="F13" i="3"/>
  <c r="F2" i="2"/>
  <c r="F2" i="3"/>
  <c r="K23" i="1"/>
  <c r="K3" i="5"/>
  <c r="L22" i="1"/>
  <c r="L23" i="1" s="1"/>
  <c r="K8" i="1" l="1"/>
  <c r="G44" i="12"/>
  <c r="F34" i="12"/>
  <c r="G39" i="12"/>
  <c r="G48" i="12"/>
  <c r="G25" i="2"/>
  <c r="L3" i="1"/>
  <c r="L17" i="2" s="1"/>
  <c r="H36" i="12"/>
  <c r="M5" i="5"/>
  <c r="I3" i="2"/>
  <c r="L4" i="2"/>
  <c r="K20" i="2"/>
  <c r="G2" i="5"/>
  <c r="G8" i="12"/>
  <c r="G2" i="2"/>
  <c r="G1" i="12"/>
  <c r="J8" i="5"/>
  <c r="J3" i="3"/>
  <c r="J9" i="1"/>
  <c r="L10" i="3"/>
  <c r="I6" i="1"/>
  <c r="I7" i="5"/>
  <c r="G19" i="2"/>
  <c r="G13" i="3"/>
  <c r="G2" i="3"/>
  <c r="M22" i="1"/>
  <c r="M3" i="5" s="1"/>
  <c r="L3" i="5"/>
  <c r="C15" i="3"/>
  <c r="C46" i="12" s="1"/>
  <c r="H15" i="3"/>
  <c r="H46" i="12" s="1"/>
  <c r="D15" i="3"/>
  <c r="D46" i="12" s="1"/>
  <c r="B15" i="3"/>
  <c r="B46" i="12" s="1"/>
  <c r="E15" i="3"/>
  <c r="E46" i="12" s="1"/>
  <c r="G15" i="3"/>
  <c r="G46" i="12" s="1"/>
  <c r="F15" i="3"/>
  <c r="F46" i="12" s="1"/>
  <c r="K3" i="3" l="1"/>
  <c r="K5" i="1"/>
  <c r="K4" i="5" s="1"/>
  <c r="K8" i="5"/>
  <c r="K9" i="1"/>
  <c r="L8" i="1"/>
  <c r="M3" i="1"/>
  <c r="M17" i="2" s="1"/>
  <c r="H44" i="12"/>
  <c r="H48" i="12"/>
  <c r="H39" i="12"/>
  <c r="G34" i="12"/>
  <c r="H25" i="2"/>
  <c r="I46" i="12"/>
  <c r="J3" i="2"/>
  <c r="M4" i="2"/>
  <c r="L20" i="2"/>
  <c r="H8" i="12"/>
  <c r="H1" i="12"/>
  <c r="J6" i="1"/>
  <c r="J7" i="5"/>
  <c r="M10" i="3"/>
  <c r="H2" i="3"/>
  <c r="P2" i="1"/>
  <c r="I2" i="1"/>
  <c r="B13" i="12" s="1"/>
  <c r="H19" i="2"/>
  <c r="H2" i="2"/>
  <c r="J25" i="2" s="1"/>
  <c r="H2" i="5"/>
  <c r="H13" i="3"/>
  <c r="N15" i="3"/>
  <c r="M23" i="1"/>
  <c r="L8" i="5" l="1"/>
  <c r="L5" i="1"/>
  <c r="L4" i="5" s="1"/>
  <c r="L3" i="3"/>
  <c r="L9" i="1"/>
  <c r="K3" i="2"/>
  <c r="K6" i="1"/>
  <c r="K7" i="5"/>
  <c r="M8" i="1"/>
  <c r="M20" i="2"/>
  <c r="I25" i="2"/>
  <c r="N19" i="2"/>
  <c r="N13" i="3"/>
  <c r="I2" i="5"/>
  <c r="B20" i="5" s="1"/>
  <c r="I13" i="3"/>
  <c r="I2" i="3"/>
  <c r="J2" i="1"/>
  <c r="C13" i="12" s="1"/>
  <c r="I2" i="2"/>
  <c r="I19" i="2"/>
  <c r="M3" i="3" l="1"/>
  <c r="M5" i="1"/>
  <c r="M4" i="5" s="1"/>
  <c r="M9" i="1"/>
  <c r="M8" i="5"/>
  <c r="L3" i="2"/>
  <c r="L6" i="1"/>
  <c r="L7" i="5"/>
  <c r="K2" i="1"/>
  <c r="D13" i="12" s="1"/>
  <c r="J2" i="2"/>
  <c r="J13" i="3"/>
  <c r="J2" i="5"/>
  <c r="C20" i="5" s="1"/>
  <c r="J2" i="3"/>
  <c r="J19" i="2"/>
  <c r="M7" i="5" l="1"/>
  <c r="M3" i="2"/>
  <c r="M6" i="1"/>
  <c r="K13" i="3"/>
  <c r="K19" i="2"/>
  <c r="K2" i="5"/>
  <c r="D20" i="5" s="1"/>
  <c r="L2" i="1"/>
  <c r="E13" i="12" s="1"/>
  <c r="K2" i="3"/>
  <c r="K2" i="2"/>
  <c r="M2" i="1" l="1"/>
  <c r="F13" i="12" s="1"/>
  <c r="L2" i="5"/>
  <c r="E20" i="5" s="1"/>
  <c r="L2" i="3"/>
  <c r="L13" i="3"/>
  <c r="L19" i="2"/>
  <c r="L2" i="2"/>
  <c r="M2" i="2" l="1"/>
  <c r="M13" i="3"/>
  <c r="M2" i="5"/>
  <c r="F20" i="5" s="1"/>
  <c r="M19" i="2"/>
  <c r="M2" i="3"/>
  <c r="Q2" i="1"/>
  <c r="B10" i="2"/>
  <c r="F21" i="2"/>
  <c r="D11" i="2" l="1"/>
  <c r="D53" i="12" s="1"/>
  <c r="G11" i="2"/>
  <c r="E11" i="2"/>
  <c r="E53" i="12" s="1"/>
  <c r="H11" i="2"/>
  <c r="H53" i="12" s="1"/>
  <c r="C11" i="2"/>
  <c r="D21" i="2"/>
  <c r="F10" i="2"/>
  <c r="D10" i="2"/>
  <c r="E10" i="2"/>
  <c r="H21" i="2"/>
  <c r="B21" i="2"/>
  <c r="C21" i="2"/>
  <c r="G10" i="2"/>
  <c r="C10" i="2"/>
  <c r="G21" i="2"/>
  <c r="E21" i="2"/>
  <c r="F11" i="2"/>
  <c r="H10" i="2"/>
  <c r="C53" i="12" l="1"/>
  <c r="I11" i="2"/>
  <c r="F13" i="2"/>
  <c r="F53" i="12"/>
  <c r="G13" i="2"/>
  <c r="G53" i="12"/>
  <c r="D13" i="2"/>
  <c r="C13" i="2"/>
  <c r="H13" i="2"/>
  <c r="E13" i="2"/>
  <c r="N21" i="2"/>
  <c r="E28" i="2" l="1"/>
  <c r="E27" i="2"/>
  <c r="H28" i="2"/>
  <c r="H27" i="2"/>
  <c r="C28" i="2"/>
  <c r="C27" i="2"/>
  <c r="D28" i="2"/>
  <c r="D27" i="2"/>
  <c r="G28" i="2"/>
  <c r="G27" i="2"/>
  <c r="F28" i="2"/>
  <c r="F27" i="2"/>
  <c r="E45" i="12"/>
  <c r="E29" i="2"/>
  <c r="H45" i="12"/>
  <c r="H29" i="2"/>
  <c r="C29" i="2"/>
  <c r="J29" i="2"/>
  <c r="J28" i="2"/>
  <c r="J26" i="2"/>
  <c r="J27" i="2"/>
  <c r="D45" i="12"/>
  <c r="D29" i="2"/>
  <c r="G45" i="12"/>
  <c r="G29" i="2"/>
  <c r="F45" i="12"/>
  <c r="F29" i="2"/>
  <c r="I53" i="12"/>
  <c r="G14" i="2"/>
  <c r="G42" i="12" s="1"/>
  <c r="G10" i="5"/>
  <c r="G16" i="3"/>
  <c r="G22" i="2"/>
  <c r="G26" i="2"/>
  <c r="G16" i="2"/>
  <c r="G23" i="2"/>
  <c r="F26" i="2"/>
  <c r="F16" i="3"/>
  <c r="C45" i="12"/>
  <c r="D26" i="2"/>
  <c r="E16" i="3"/>
  <c r="E26" i="2"/>
  <c r="H16" i="3"/>
  <c r="H26" i="2"/>
  <c r="C16" i="3"/>
  <c r="C26" i="2"/>
  <c r="D22" i="2"/>
  <c r="D16" i="3"/>
  <c r="D16" i="2"/>
  <c r="D10" i="5"/>
  <c r="D14" i="2"/>
  <c r="D42" i="12" s="1"/>
  <c r="D23" i="2"/>
  <c r="G15" i="2"/>
  <c r="F37" i="12" s="1"/>
  <c r="C22" i="2"/>
  <c r="E23" i="2"/>
  <c r="E22" i="2"/>
  <c r="E16" i="2"/>
  <c r="E14" i="2"/>
  <c r="E42" i="12" s="1"/>
  <c r="E15" i="2"/>
  <c r="D37" i="12" s="1"/>
  <c r="E10" i="5"/>
  <c r="H22" i="2"/>
  <c r="H14" i="2"/>
  <c r="H42" i="12" s="1"/>
  <c r="H23" i="2"/>
  <c r="H10" i="5"/>
  <c r="B16" i="5" s="1"/>
  <c r="H16" i="2"/>
  <c r="H15" i="2"/>
  <c r="G37" i="12" s="1"/>
  <c r="C16" i="2"/>
  <c r="C23" i="2"/>
  <c r="C10" i="5"/>
  <c r="C15" i="2"/>
  <c r="B37" i="12" s="1"/>
  <c r="C14" i="2"/>
  <c r="C42" i="12" s="1"/>
  <c r="D15" i="2"/>
  <c r="C37" i="12" s="1"/>
  <c r="F14" i="2"/>
  <c r="F42" i="12" s="1"/>
  <c r="F23" i="2"/>
  <c r="F15" i="2"/>
  <c r="E37" i="12" s="1"/>
  <c r="F16" i="2"/>
  <c r="F22" i="2"/>
  <c r="F10" i="5"/>
  <c r="G30" i="2" l="1"/>
  <c r="F30" i="2"/>
  <c r="J30" i="2"/>
  <c r="I42" i="12"/>
  <c r="H37" i="12"/>
  <c r="I27" i="2"/>
  <c r="I28" i="2"/>
  <c r="C30" i="2"/>
  <c r="I26" i="2"/>
  <c r="E30" i="2"/>
  <c r="I29" i="2"/>
  <c r="H30" i="2"/>
  <c r="D30" i="2"/>
  <c r="N16" i="3"/>
  <c r="N23" i="2"/>
  <c r="N22" i="2"/>
  <c r="I10" i="2"/>
  <c r="J11" i="2"/>
  <c r="K11" i="2" s="1"/>
  <c r="I30" i="2" l="1"/>
  <c r="L11" i="2"/>
  <c r="M11" i="2" s="1"/>
  <c r="J10" i="2"/>
  <c r="K10" i="2" s="1"/>
  <c r="I21" i="2"/>
  <c r="J21" i="2" l="1"/>
  <c r="L10" i="2"/>
  <c r="K21" i="2"/>
  <c r="L21" i="2" l="1"/>
  <c r="M10" i="2"/>
  <c r="M21" i="2" s="1"/>
  <c r="I4" i="3"/>
  <c r="I5" i="3"/>
  <c r="I11" i="1" s="1"/>
  <c r="I7" i="3" l="1"/>
  <c r="I6" i="3"/>
  <c r="J5" i="3"/>
  <c r="J11" i="1" s="1"/>
  <c r="J4" i="3"/>
  <c r="J7" i="3" l="1"/>
  <c r="J6" i="3"/>
  <c r="I10" i="1"/>
  <c r="I12" i="1" s="1"/>
  <c r="I11" i="3"/>
  <c r="I15" i="3" s="1"/>
  <c r="I6" i="5"/>
  <c r="K5" i="3"/>
  <c r="K11" i="1" s="1"/>
  <c r="K4" i="3"/>
  <c r="K6" i="3" l="1"/>
  <c r="K7" i="3"/>
  <c r="J10" i="1"/>
  <c r="J12" i="1" s="1"/>
  <c r="J5" i="2" s="1"/>
  <c r="C17" i="5"/>
  <c r="C18" i="5"/>
  <c r="I5" i="2"/>
  <c r="I13" i="1"/>
  <c r="I14" i="1" s="1"/>
  <c r="J11" i="3"/>
  <c r="J15" i="3" s="1"/>
  <c r="J6" i="5"/>
  <c r="L4" i="3"/>
  <c r="L5" i="3"/>
  <c r="L11" i="1" s="1"/>
  <c r="L6" i="3" l="1"/>
  <c r="L7" i="3"/>
  <c r="K10" i="1"/>
  <c r="K12" i="1" s="1"/>
  <c r="K13" i="1" s="1"/>
  <c r="K14" i="1" s="1"/>
  <c r="B23" i="5"/>
  <c r="C23" i="5"/>
  <c r="D23" i="5"/>
  <c r="E23" i="5"/>
  <c r="F23" i="5"/>
  <c r="B24" i="5"/>
  <c r="C24" i="5"/>
  <c r="D24" i="5"/>
  <c r="E24" i="5"/>
  <c r="F24" i="5"/>
  <c r="J13" i="1"/>
  <c r="J14" i="1" s="1"/>
  <c r="J6" i="2" s="1"/>
  <c r="I16" i="1"/>
  <c r="I6" i="2"/>
  <c r="K11" i="3"/>
  <c r="K15" i="3" s="1"/>
  <c r="K6" i="5"/>
  <c r="M5" i="3"/>
  <c r="M11" i="1" s="1"/>
  <c r="M4" i="3"/>
  <c r="M6" i="3" l="1"/>
  <c r="M7" i="3"/>
  <c r="L10" i="1"/>
  <c r="L12" i="1" s="1"/>
  <c r="L5" i="2" s="1"/>
  <c r="K5" i="2"/>
  <c r="J16" i="1"/>
  <c r="K16" i="1"/>
  <c r="K6" i="2"/>
  <c r="I17" i="1"/>
  <c r="I18" i="1" s="1"/>
  <c r="L11" i="3"/>
  <c r="L15" i="3" s="1"/>
  <c r="M6" i="5"/>
  <c r="L6" i="5"/>
  <c r="M10" i="1" l="1"/>
  <c r="M12" i="1" s="1"/>
  <c r="M13" i="1" s="1"/>
  <c r="M14" i="1" s="1"/>
  <c r="L13" i="1"/>
  <c r="L14" i="1" s="1"/>
  <c r="L6" i="2" s="1"/>
  <c r="I19" i="1"/>
  <c r="I14" i="3"/>
  <c r="I20" i="1"/>
  <c r="I21" i="1" s="1"/>
  <c r="I9" i="5"/>
  <c r="I12" i="2"/>
  <c r="I13" i="2" s="1"/>
  <c r="J17" i="1"/>
  <c r="M11" i="3"/>
  <c r="M15" i="3" s="1"/>
  <c r="J24" i="5"/>
  <c r="J23" i="5"/>
  <c r="C15" i="5" l="1"/>
  <c r="B21" i="5" s="1"/>
  <c r="L16" i="1"/>
  <c r="M5" i="2"/>
  <c r="M16" i="1"/>
  <c r="M6" i="2"/>
  <c r="I15" i="2"/>
  <c r="I16" i="2"/>
  <c r="I22" i="2"/>
  <c r="I14" i="2"/>
  <c r="I23" i="2"/>
  <c r="I10" i="5"/>
  <c r="J12" i="2"/>
  <c r="J13" i="2" s="1"/>
  <c r="K17" i="1"/>
  <c r="J18" i="1"/>
  <c r="C16" i="5" l="1"/>
  <c r="K18" i="1"/>
  <c r="L17" i="1"/>
  <c r="K12" i="2"/>
  <c r="K13" i="2" s="1"/>
  <c r="J23" i="2"/>
  <c r="J16" i="2"/>
  <c r="J15" i="2"/>
  <c r="J14" i="2"/>
  <c r="J10" i="5"/>
  <c r="J22" i="2"/>
  <c r="J20" i="1"/>
  <c r="J21" i="1" s="1"/>
  <c r="J19" i="1"/>
  <c r="J14" i="3"/>
  <c r="J9" i="5"/>
  <c r="C21" i="5" s="1"/>
  <c r="C22" i="5" l="1"/>
  <c r="K23" i="2"/>
  <c r="K16" i="2"/>
  <c r="K22" i="2"/>
  <c r="K15" i="2"/>
  <c r="K14" i="2"/>
  <c r="K10" i="5"/>
  <c r="L18" i="1"/>
  <c r="L12" i="2"/>
  <c r="L13" i="2" s="1"/>
  <c r="M17" i="1"/>
  <c r="K14" i="3"/>
  <c r="K20" i="1"/>
  <c r="K21" i="1" s="1"/>
  <c r="K19" i="1"/>
  <c r="K9" i="5"/>
  <c r="D21" i="5" s="1"/>
  <c r="D22" i="5" l="1"/>
  <c r="D25" i="5" s="1"/>
  <c r="D26" i="5" s="1"/>
  <c r="B22" i="5"/>
  <c r="B25" i="5" s="1"/>
  <c r="B26" i="5" s="1"/>
  <c r="C25" i="5"/>
  <c r="C26" i="5" s="1"/>
  <c r="L10" i="5"/>
  <c r="E22" i="5" s="1"/>
  <c r="L16" i="2"/>
  <c r="L14" i="2"/>
  <c r="L15" i="2"/>
  <c r="L22" i="2"/>
  <c r="L23" i="2"/>
  <c r="L14" i="3"/>
  <c r="L9" i="5"/>
  <c r="E21" i="5" s="1"/>
  <c r="L20" i="1"/>
  <c r="L21" i="1" s="1"/>
  <c r="L19" i="1"/>
  <c r="M18" i="1"/>
  <c r="M12" i="2"/>
  <c r="M13" i="2" s="1"/>
  <c r="M10" i="5" l="1"/>
  <c r="M14" i="2"/>
  <c r="M22" i="2"/>
  <c r="M23" i="2"/>
  <c r="M16" i="2"/>
  <c r="M15" i="2"/>
  <c r="E25" i="5"/>
  <c r="E26" i="5" s="1"/>
  <c r="M14" i="3"/>
  <c r="M20" i="1"/>
  <c r="M21" i="1" s="1"/>
  <c r="M9" i="5"/>
  <c r="F21" i="5" s="1"/>
  <c r="M19" i="1"/>
  <c r="F22" i="5" l="1"/>
  <c r="J22" i="5" s="1"/>
  <c r="J21" i="5"/>
  <c r="F25" i="5" l="1"/>
  <c r="F26" i="5" s="1"/>
  <c r="J2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3" authorId="0" shapeId="0" xr:uid="{44486C3A-5C52-4790-B6F8-B07EBC9BB77D}">
      <text>
        <r>
          <rPr>
            <sz val="9"/>
            <color rgb="FF000000"/>
            <rFont val="Tahoma"/>
            <family val="2"/>
          </rPr>
          <t xml:space="preserve">Sales = Revenue = Net Revenue = Ventas =  Ventas Netas = Cifra de negocio
</t>
        </r>
      </text>
    </comment>
    <comment ref="O3" authorId="0" shapeId="0" xr:uid="{A8AFBDE3-D2C0-4451-84A1-205325C497FC}">
      <text>
        <r>
          <rPr>
            <sz val="9"/>
            <color rgb="FF000000"/>
            <rFont val="Tahoma"/>
            <family val="2"/>
          </rPr>
          <t xml:space="preserve">Crecimiento anual estimado de ventas para los próximos 5 años fiscales
</t>
        </r>
        <r>
          <rPr>
            <sz val="9"/>
            <color rgb="FF000000"/>
            <rFont val="Tahoma"/>
            <family val="2"/>
          </rPr>
          <t xml:space="preserve">
</t>
        </r>
        <r>
          <rPr>
            <sz val="9"/>
            <color rgb="FF000000"/>
            <rFont val="Tahoma"/>
            <family val="2"/>
          </rPr>
          <t>Por defecto usa el del año fiscal más reciente</t>
        </r>
      </text>
    </comment>
    <comment ref="O4" authorId="0" shapeId="0" xr:uid="{5D5A1CFF-E654-469D-98F3-42551D867309}">
      <text>
        <r>
          <rPr>
            <sz val="9"/>
            <color rgb="FF000000"/>
            <rFont val="Tahoma"/>
            <family val="2"/>
          </rPr>
          <t>Margen EBIT estimado para  los próximos 5 años fiscales
¡Ojo! Normalizar el margen eliminando gastos e ingresos extraordinarios
Por defecto usa el del año fiscal más reciente</t>
        </r>
      </text>
    </comment>
    <comment ref="A5" authorId="0" shapeId="0" xr:uid="{32511833-DEFD-4AF9-8735-8994EFB261A9}">
      <text>
        <r>
          <rPr>
            <b/>
            <sz val="9"/>
            <color indexed="81"/>
            <rFont val="Tahoma"/>
            <family val="2"/>
          </rPr>
          <t xml:space="preserve">Earnings Before Interests, Taxes, Depreciation &amp; Amortization
</t>
        </r>
        <r>
          <rPr>
            <sz val="9"/>
            <color indexed="81"/>
            <rFont val="Tahoma"/>
            <family val="2"/>
          </rPr>
          <t xml:space="preserve">
Forma rápida de calcularlo: EBIT + D&amp;A* 
* La D&amp;A debemos obtenerla en los Cash Flows from Operations</t>
        </r>
      </text>
    </comment>
    <comment ref="O5" authorId="0" shapeId="0" xr:uid="{BB374992-95A6-44A7-B4AA-5EAB3F352895}">
      <text>
        <r>
          <rPr>
            <sz val="9"/>
            <color indexed="81"/>
            <rFont val="Tahoma"/>
            <family val="2"/>
          </rPr>
          <t>Impuesto de sociedades estimado para  los próximos 5 años fiscales
Por defecto usa el del año fiscal más reciente</t>
        </r>
      </text>
    </comment>
    <comment ref="O6" authorId="0" shapeId="0" xr:uid="{EEF8CCB8-490F-40D4-9826-DD01275D382A}">
      <text>
        <r>
          <rPr>
            <b/>
            <sz val="9"/>
            <color indexed="81"/>
            <rFont val="Tahoma"/>
            <family val="2"/>
          </rPr>
          <t>IDC:</t>
        </r>
        <r>
          <rPr>
            <sz val="9"/>
            <color indexed="81"/>
            <rFont val="Tahoma"/>
            <family val="2"/>
          </rPr>
          <t xml:space="preserve">
Por defecto usa la media de los 6 últimos años fiscales</t>
        </r>
      </text>
    </comment>
    <comment ref="A7" authorId="0" shapeId="0" xr:uid="{BF67636D-6A04-483B-BA83-9C2903EC1D50}">
      <text>
        <r>
          <rPr>
            <b/>
            <sz val="9"/>
            <color indexed="81"/>
            <rFont val="Tahoma"/>
            <family val="2"/>
          </rPr>
          <t>La obtenemos de los flujos de caja operativos (Cash flows from operations)</t>
        </r>
      </text>
    </comment>
    <comment ref="A8" authorId="0" shapeId="0" xr:uid="{407BD63A-7F0A-4863-86D3-81068853917D}">
      <text>
        <r>
          <rPr>
            <b/>
            <sz val="9"/>
            <color indexed="81"/>
            <rFont val="Tahoma"/>
            <family val="2"/>
          </rPr>
          <t xml:space="preserve">Earnings Before Interests and Taxes
</t>
        </r>
        <r>
          <rPr>
            <sz val="9"/>
            <color indexed="81"/>
            <rFont val="Tahoma"/>
            <family val="2"/>
          </rPr>
          <t>Puede aparecer como: Beneficio operativo, operating income, opearting profit, income from operations...</t>
        </r>
      </text>
    </comment>
    <comment ref="A12" authorId="0" shapeId="0" xr:uid="{94EB8843-69ED-4997-BE4A-ABDA0247C8A0}">
      <text>
        <r>
          <rPr>
            <b/>
            <sz val="11"/>
            <color theme="1"/>
            <rFont val="Calibri"/>
            <family val="2"/>
            <scheme val="minor"/>
          </rPr>
          <t>IDC:</t>
        </r>
        <r>
          <rPr>
            <sz val="11"/>
            <color theme="1"/>
            <rFont val="Calibri"/>
            <family val="2"/>
            <scheme val="minor"/>
          </rPr>
          <t xml:space="preserve"> 
Total Interest Expense = Interest Expense + Interest Income
Número Negativo = gasto // Positivo = ingreso</t>
        </r>
      </text>
    </comment>
    <comment ref="A13" authorId="0" shapeId="0" xr:uid="{03519D34-0372-438B-8018-B0882899913B}">
      <text>
        <r>
          <rPr>
            <b/>
            <sz val="9"/>
            <color indexed="81"/>
            <rFont val="Tahoma"/>
            <family val="2"/>
          </rPr>
          <t>Earnings Before Taxes = Pretax Income = Bneficio antes de impuestos (BAI)</t>
        </r>
      </text>
    </comment>
    <comment ref="A14" authorId="0" shapeId="0" xr:uid="{DFAAD273-4CAA-4F13-97DC-133243016382}">
      <text>
        <r>
          <rPr>
            <sz val="9"/>
            <color indexed="81"/>
            <rFont val="Tahoma"/>
            <family val="2"/>
          </rPr>
          <t>Introducir en negativo si es un ingreso (devolución de impuestos)
Taxes Paid = Tax Expense = Impuesto sobre beneficio</t>
        </r>
      </text>
    </comment>
    <comment ref="A15" authorId="0" shapeId="0" xr:uid="{060F079A-FB43-4862-B558-6503A3045D57}">
      <text>
        <r>
          <rPr>
            <sz val="9"/>
            <color rgb="FF000000"/>
            <rFont val="Tahoma"/>
            <family val="2"/>
          </rPr>
          <t>Effective Tax Rate = Tasa impositiva efectiva = Impuesto sobre beneficio = Impuesto de sociedades</t>
        </r>
      </text>
    </comment>
    <comment ref="A16" authorId="0" shapeId="0" xr:uid="{21639DC2-DD9C-486E-BDB3-025700068E34}">
      <text>
        <r>
          <rPr>
            <b/>
            <sz val="9"/>
            <color indexed="81"/>
            <rFont val="Tahoma"/>
            <family val="2"/>
          </rPr>
          <t>Autor:</t>
        </r>
        <r>
          <rPr>
            <sz val="9"/>
            <color indexed="81"/>
            <rFont val="Tahoma"/>
            <family val="2"/>
          </rPr>
          <t xml:space="preserve">
Consolidated Net Income = Beneficio Neto Consolidado (antes de descontar intereses minoritarios)</t>
        </r>
      </text>
    </comment>
    <comment ref="A18" authorId="0" shapeId="0" xr:uid="{A5D78346-AF0F-42C2-8738-E6BEFEE29455}">
      <text>
        <r>
          <rPr>
            <sz val="9"/>
            <color indexed="81"/>
            <rFont val="Tahoma"/>
            <family val="2"/>
          </rPr>
          <t>Net Income = Net Income to the company = Net income to common shareholders = Profit after taxes = Beneficio neto = beneficio después de impuestos = resultado neto</t>
        </r>
      </text>
    </comment>
    <comment ref="A20" authorId="0" shapeId="0" xr:uid="{50699F69-1902-4A9B-958F-1D84A1BAAB7C}">
      <text>
        <r>
          <rPr>
            <sz val="9"/>
            <color indexed="81"/>
            <rFont val="Tahoma"/>
            <family val="2"/>
          </rPr>
          <t>EPS = Earnings Per Share = Net income per share = Beneficio por acción = Beneficio neto por acción</t>
        </r>
      </text>
    </comment>
    <comment ref="A22" authorId="0" shapeId="0" xr:uid="{2C780190-F3CB-4DE5-8AED-A1838AC6E740}">
      <text>
        <r>
          <rPr>
            <sz val="9"/>
            <color indexed="81"/>
            <rFont val="Tahoma"/>
            <family val="2"/>
          </rPr>
          <t>Número total de acciones diluidas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4" authorId="0" shapeId="0" xr:uid="{7E4C5449-4D6C-4E95-A98D-57D9FD6E0B74}">
      <text>
        <r>
          <rPr>
            <sz val="9"/>
            <color indexed="81"/>
            <rFont val="Tahoma"/>
            <family val="2"/>
          </rPr>
          <t>Si la compañlía no detalla cuando gasta en capex mantenimiento podemos:
a) Usar el CapEx / sales medio de los rivales más maduros del sector, ya que apenas tendrán CapEx de crecimiento
b) Usar la Depreciación como CapEx de mantenimiento aproximado
Nombres comunes para esta partida:
Capital Expenditure / Capital Spending / Investments in fixed/intangible assets / Purchases of PP&amp;E / Inversión en inmovilizado material/inmaterial</t>
        </r>
      </text>
    </comment>
    <comment ref="A7" authorId="0" shapeId="0" xr:uid="{45801A05-2E25-416B-A34E-FBB55E8A4A75}">
      <text>
        <r>
          <rPr>
            <sz val="9"/>
            <color indexed="81"/>
            <rFont val="Tahoma"/>
            <family val="2"/>
          </rPr>
          <t>Inventarios</t>
        </r>
      </text>
    </comment>
    <comment ref="A8" authorId="0" shapeId="0" xr:uid="{DD6AF691-1E83-49CF-921D-5509B7E82574}">
      <text>
        <r>
          <rPr>
            <sz val="9"/>
            <color rgb="FF000000"/>
            <rFont val="Tahoma"/>
            <family val="2"/>
          </rPr>
          <t>Receivables, customer accounts, cuentas a cobrar</t>
        </r>
      </text>
    </comment>
    <comment ref="A9" authorId="0" shapeId="0" xr:uid="{028FB7C3-AB96-4677-8F0C-92F7FAC5C8F0}">
      <text>
        <r>
          <rPr>
            <sz val="9"/>
            <color indexed="81"/>
            <rFont val="Tahoma"/>
            <family val="2"/>
          </rPr>
          <t>Payables, supplier accounts, cuentas a pagar</t>
        </r>
      </text>
    </comment>
    <comment ref="B11" authorId="0" shapeId="0" xr:uid="{9B683770-B6E3-460C-AC7B-38A96453D4AF}">
      <text>
        <r>
          <rPr>
            <sz val="9"/>
            <color indexed="81"/>
            <rFont val="Tahoma"/>
            <family val="2"/>
          </rPr>
          <t>No se pueden calcular las variaciones de WC ya que no hay datos del año fiscal anterior</t>
        </r>
      </text>
    </comment>
    <comment ref="A12" authorId="0" shapeId="0" xr:uid="{215FCB64-0431-4F4D-B7DB-336EB51BC533}">
      <text>
        <r>
          <rPr>
            <sz val="9"/>
            <color rgb="FF000000"/>
            <rFont val="Tahoma"/>
            <family val="2"/>
          </rPr>
          <t>Por defecto obtiene los valores de "Minority Interests" desde la hoja "1. Income Statement". 
SE PUEDE CAMBIAR
Si es un ingreso, va en POSITIVO</t>
        </r>
      </text>
    </comment>
    <comment ref="A13" authorId="0" shapeId="0" xr:uid="{8187D48E-A1E3-4C13-8B0C-B63CF9AB00A6}">
      <text>
        <r>
          <rPr>
            <b/>
            <sz val="9"/>
            <color indexed="81"/>
            <rFont val="Tahoma"/>
            <family val="2"/>
          </rPr>
          <t>IDC:</t>
        </r>
        <r>
          <rPr>
            <sz val="9"/>
            <color indexed="81"/>
            <rFont val="Tahoma"/>
            <family val="2"/>
          </rPr>
          <t xml:space="preserve">
FCF = EBITDA - Intereses - Impuestos - CapEx Mantenimiento - Cambios en Working Capital</t>
        </r>
      </text>
    </comment>
    <comment ref="A17" authorId="0" shapeId="0" xr:uid="{0E9138F3-2CC5-4D1C-BDB2-93B3E5AB7D63}">
      <text>
        <r>
          <rPr>
            <b/>
            <sz val="9"/>
            <color indexed="81"/>
            <rFont val="Tahoma"/>
            <family val="2"/>
          </rPr>
          <t xml:space="preserve">IDC:
Cambio neto en la posición de caja
</t>
        </r>
        <r>
          <rPr>
            <sz val="9"/>
            <color indexed="81"/>
            <rFont val="Tahoma"/>
            <family val="2"/>
          </rPr>
          <t xml:space="preserve">Este campo es la suma del resultado de las tres clases de flujos de caja:
     Net change in cash = Cash from Operations + Cash from Investing + Cash from Financing
Es el movimiento </t>
        </r>
        <r>
          <rPr>
            <b/>
            <sz val="9"/>
            <color indexed="81"/>
            <rFont val="Tahoma"/>
            <family val="2"/>
          </rPr>
          <t>REAL</t>
        </r>
        <r>
          <rPr>
            <sz val="9"/>
            <color indexed="81"/>
            <rFont val="Tahoma"/>
            <family val="2"/>
          </rPr>
          <t xml:space="preserve"> de caja de la empresa, incluye el dinero que generan (o que "queman") las operaciones, las inversiones y la financiación
- Si la partida es </t>
        </r>
        <r>
          <rPr>
            <b/>
            <sz val="9"/>
            <color indexed="81"/>
            <rFont val="Tahoma"/>
            <family val="2"/>
          </rPr>
          <t>negativa</t>
        </r>
        <r>
          <rPr>
            <sz val="9"/>
            <color indexed="81"/>
            <rFont val="Tahoma"/>
            <family val="2"/>
          </rPr>
          <t xml:space="preserve"> refleja cuanto dinero ha </t>
        </r>
        <r>
          <rPr>
            <b/>
            <sz val="9"/>
            <color indexed="81"/>
            <rFont val="Tahoma"/>
            <family val="2"/>
          </rPr>
          <t>QUEMADO</t>
        </r>
        <r>
          <rPr>
            <sz val="9"/>
            <color indexed="81"/>
            <rFont val="Tahoma"/>
            <family val="2"/>
          </rPr>
          <t xml:space="preserve"> de la caja fuerte la empresa 
- Si la partida es </t>
        </r>
        <r>
          <rPr>
            <b/>
            <sz val="9"/>
            <color indexed="81"/>
            <rFont val="Tahoma"/>
            <family val="2"/>
          </rPr>
          <t>positiva</t>
        </r>
        <r>
          <rPr>
            <sz val="9"/>
            <color indexed="81"/>
            <rFont val="Tahoma"/>
            <family val="2"/>
          </rPr>
          <t xml:space="preserve"> refleja cuanto dinero ha </t>
        </r>
        <r>
          <rPr>
            <b/>
            <sz val="9"/>
            <color indexed="81"/>
            <rFont val="Tahoma"/>
            <family val="2"/>
          </rPr>
          <t>INGRESADO</t>
        </r>
        <r>
          <rPr>
            <sz val="9"/>
            <color indexed="81"/>
            <rFont val="Tahoma"/>
            <family val="2"/>
          </rPr>
          <t xml:space="preserve"> en la caja fuerte la empresa </t>
        </r>
        <r>
          <rPr>
            <sz val="9"/>
            <color indexed="81"/>
            <rFont val="Tahoma"/>
            <family val="2"/>
          </rPr>
          <t xml:space="preserve">
</t>
        </r>
      </text>
    </comment>
    <comment ref="A23" authorId="0" shapeId="0" xr:uid="{A7F52697-D178-4EED-BE1B-D0A9E2643043}">
      <text>
        <r>
          <rPr>
            <b/>
            <sz val="9"/>
            <color indexed="81"/>
            <rFont val="Tahoma"/>
            <family val="2"/>
          </rPr>
          <t xml:space="preserve">IDC:
</t>
        </r>
        <r>
          <rPr>
            <sz val="9"/>
            <color indexed="81"/>
            <rFont val="Tahoma"/>
            <family val="2"/>
          </rPr>
          <t xml:space="preserve">
"Cash conversion"</t>
        </r>
      </text>
    </comment>
    <comment ref="A26" authorId="0" shapeId="0" xr:uid="{38F67F84-D690-4234-A465-04A5E9FAFEDC}">
      <text>
        <r>
          <rPr>
            <b/>
            <sz val="9"/>
            <color indexed="81"/>
            <rFont val="Tahoma"/>
            <family val="2"/>
          </rPr>
          <t>IDC:</t>
        </r>
        <r>
          <rPr>
            <sz val="9"/>
            <color indexed="81"/>
            <rFont val="Tahoma"/>
            <family val="2"/>
          </rPr>
          <t xml:space="preserve">
Crecimiento orgánico</t>
        </r>
      </text>
    </comment>
    <comment ref="A29" authorId="0" shapeId="0" xr:uid="{9C25644B-3D43-4114-9967-41697D6FA5FE}">
      <text>
        <r>
          <rPr>
            <b/>
            <sz val="9"/>
            <color indexed="81"/>
            <rFont val="Tahoma"/>
            <family val="2"/>
          </rPr>
          <t xml:space="preserve">IDC:
</t>
        </r>
        <r>
          <rPr>
            <sz val="9"/>
            <color indexed="81"/>
            <rFont val="Tahoma"/>
            <family val="2"/>
          </rPr>
          <t xml:space="preserve">Crecimiento inorgánico. </t>
        </r>
        <r>
          <rPr>
            <sz val="9"/>
            <color indexed="81"/>
            <rFont val="Tahoma"/>
            <family val="2"/>
          </rPr>
          <t>Usamos la partida neta:
Adquisiciones = Cash acquisitions - Divestitures
Si el % es negativo, implica que las desinversiones son superiores a las adquisiciones, es decir, la empresa ingresó más dinero del que invirtió en adquisiiciones</t>
        </r>
      </text>
    </comment>
    <comment ref="A30" authorId="0" shapeId="0" xr:uid="{C3935C79-5F46-4E42-9487-8D5C4932FE11}">
      <text>
        <r>
          <rPr>
            <b/>
            <sz val="9"/>
            <color indexed="81"/>
            <rFont val="Tahoma"/>
            <family val="2"/>
          </rPr>
          <t>Autor:</t>
        </r>
        <r>
          <rPr>
            <sz val="9"/>
            <color indexed="81"/>
            <rFont val="Tahoma"/>
            <family val="2"/>
          </rPr>
          <t xml:space="preserve">
Nos indica qué % del FCF dedican a estos fines
Si es superior al 100%, implica que la compañía ha reducido su posición de caja, o bien ha necesitado emitir deuda para financiarse
Si es negativo, implica que hubo una desinversión importante (venta de activos, subsidiaria....)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4" authorId="0" shapeId="0" xr:uid="{E7FCF10F-C203-4A6D-9208-8D1F28C77559}">
      <text>
        <r>
          <rPr>
            <sz val="9"/>
            <color rgb="FF000000"/>
            <rFont val="Tahoma"/>
            <family val="2"/>
          </rPr>
          <t xml:space="preserve">Ojo, no se usa para el cálculo para el cálculo del Invested Capital pero se usará en la Hoja 4 para el cálculo de la "Net Debt"
</t>
        </r>
        <r>
          <rPr>
            <sz val="9"/>
            <color rgb="FF000000"/>
            <rFont val="Tahoma"/>
            <family val="2"/>
          </rPr>
          <t xml:space="preserve">
</t>
        </r>
        <r>
          <rPr>
            <sz val="9"/>
            <color rgb="FF000000"/>
            <rFont val="Tahoma"/>
            <family val="2"/>
          </rPr>
          <t>NO debemos incluir la partida "Restricted cash", salvo que tengamos la certeza de que esa caja se va a desbloquear a muy corto plazo.</t>
        </r>
      </text>
    </comment>
    <comment ref="A5" authorId="0" shapeId="0" xr:uid="{A760C30E-2C8A-4B0E-A9BF-94230459B18C}">
      <text>
        <r>
          <rPr>
            <sz val="9"/>
            <color rgb="FF000000"/>
            <rFont val="Tahoma"/>
            <family val="2"/>
          </rPr>
          <t>Solo los incluimos si aparecen dentro de "Current Assets", también pueden aparecer como "Short-term investments" o similar</t>
        </r>
      </text>
    </comment>
    <comment ref="A6" authorId="0" shapeId="0" xr:uid="{F8330904-3BBC-4923-9215-757FE40F17AE}">
      <text>
        <r>
          <rPr>
            <sz val="9"/>
            <color rgb="FF000000"/>
            <rFont val="Tahoma"/>
            <family val="2"/>
          </rPr>
          <t>Short-Term Debt, Financial Debt, Borrowings, Loans, Current portion of long-term debt, préstamos a corto plazo, deuda financiera corriente
Debemos incluir solo la deuda financiera como préstamos, bonos o instrumentos similares (obligaciones, notas), ya que a nivel legal
Solo incluímos la deuda que conlleve el pago de intereses y pueda hacer quebrar la empresa</t>
        </r>
      </text>
    </comment>
    <comment ref="A7" authorId="0" shapeId="0" xr:uid="{00046227-A860-49EF-8291-9589AE0E1D1F}">
      <text>
        <r>
          <rPr>
            <sz val="9"/>
            <color rgb="FF000000"/>
            <rFont val="Tahoma"/>
            <family val="2"/>
          </rPr>
          <t xml:space="preserve">Long-Term Debt, Financial Debt, Borrowings, Loans, Non-Current portion of long-term debt, préstamos a largo plazo, deuda financiera no corriente
</t>
        </r>
        <r>
          <rPr>
            <sz val="9"/>
            <color rgb="FF000000"/>
            <rFont val="Tahoma"/>
            <family val="2"/>
          </rPr>
          <t xml:space="preserve">
</t>
        </r>
        <r>
          <rPr>
            <sz val="9"/>
            <color rgb="FF000000"/>
            <rFont val="Tahoma"/>
            <family val="2"/>
          </rPr>
          <t xml:space="preserve">Debemos incluir solo la deuda financiera como préstamos, bonos o instrumentos similares (obligaciones, notas), ya que a nivel legal
</t>
        </r>
        <r>
          <rPr>
            <sz val="9"/>
            <color rgb="FF000000"/>
            <rFont val="Tahoma"/>
            <family val="2"/>
          </rPr>
          <t xml:space="preserve">
</t>
        </r>
        <r>
          <rPr>
            <sz val="9"/>
            <color rgb="FF000000"/>
            <rFont val="Tahoma"/>
            <family val="2"/>
          </rPr>
          <t>Solo incluímos la deuda que conlleve el pago de intereses y pueda hacer quebrar la empresa</t>
        </r>
      </text>
    </comment>
    <comment ref="A8" authorId="0" shapeId="0" xr:uid="{FB8C87A6-A2D1-4EE3-B4C3-44AF1E6620FA}">
      <text>
        <r>
          <rPr>
            <sz val="9"/>
            <color rgb="FF000000"/>
            <rFont val="Tahoma"/>
            <family val="2"/>
          </rPr>
          <t>Parte a corto plazo de los "operating leases", si existen en el balance dentro de "Current Liabilities"  ("Pasivo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r>
      </text>
    </comment>
    <comment ref="A9" authorId="0" shapeId="0" xr:uid="{BE29A422-5397-46BF-A0B8-AA72F4A17A8E}">
      <text>
        <r>
          <rPr>
            <sz val="9"/>
            <color indexed="81"/>
            <rFont val="Tahoma"/>
            <family val="2"/>
          </rPr>
          <t>Parte a largo plazo de los "operating leases", si existen en el balance dentro de "Non-Current Liabilities"  ("Pasivo No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r>
      </text>
    </comment>
    <comment ref="A10" authorId="0" shapeId="0" xr:uid="{B2AC1F46-C25C-41A4-98CE-912CD3281F2D}">
      <text>
        <r>
          <rPr>
            <sz val="9"/>
            <color indexed="81"/>
            <rFont val="Tahoma"/>
            <family val="2"/>
          </rPr>
          <t>Shareholder's Equity = Shareholder's Investment = Equity attributable to the owners of the company = Patrimonio Neto = Fondos Propios = Valor Contable</t>
        </r>
      </text>
    </comment>
    <comment ref="A11" authorId="0" shapeId="0" xr:uid="{7BB5DFC4-7801-49E8-917A-666300290598}">
      <text>
        <r>
          <rPr>
            <sz val="9"/>
            <color rgb="FF000000"/>
            <rFont val="Tahoma"/>
            <family val="2"/>
          </rPr>
          <t xml:space="preserve">Incluye:
</t>
        </r>
        <r>
          <rPr>
            <sz val="9"/>
            <color rgb="FF000000"/>
            <rFont val="Tahoma"/>
            <family val="2"/>
          </rPr>
          <t xml:space="preserve">
</t>
        </r>
        <r>
          <rPr>
            <sz val="9"/>
            <color rgb="FF000000"/>
            <rFont val="Tahoma"/>
            <family val="2"/>
          </rPr>
          <t xml:space="preserve">(-) Marketable securities
</t>
        </r>
        <r>
          <rPr>
            <sz val="9"/>
            <color rgb="FF000000"/>
            <rFont val="Tahoma"/>
            <family val="2"/>
          </rPr>
          <t xml:space="preserve">(+) Deuda financiera total
</t>
        </r>
        <r>
          <rPr>
            <sz val="9"/>
            <color rgb="FF000000"/>
            <rFont val="Tahoma"/>
            <family val="2"/>
          </rPr>
          <t xml:space="preserve">(+) Operating Leases
</t>
        </r>
        <r>
          <rPr>
            <sz val="9"/>
            <color rgb="FF000000"/>
            <rFont val="Tahoma"/>
            <family val="2"/>
          </rPr>
          <t>(+) Equity</t>
        </r>
      </text>
    </comment>
    <comment ref="A16" authorId="0" shapeId="0" xr:uid="{0DF9B622-6D49-4830-8625-DF94449E2AE3}">
      <text>
        <r>
          <rPr>
            <b/>
            <sz val="9"/>
            <color indexed="81"/>
            <rFont val="Tahoma"/>
            <family val="2"/>
          </rPr>
          <t>IDC:</t>
        </r>
        <r>
          <rPr>
            <sz val="9"/>
            <color indexed="81"/>
            <rFont val="Tahoma"/>
            <family val="2"/>
          </rPr>
          <t xml:space="preserve">
Tasa de reinversión (orgánica + inorgánica)
Orgánica = CapEx Expansión
Inorgánica = Importet pagado por adquisiciones
</t>
        </r>
        <r>
          <rPr>
            <b/>
            <sz val="9"/>
            <color indexed="81"/>
            <rFont val="Tahoma"/>
            <family val="2"/>
          </rPr>
          <t>Tasa de reinversión</t>
        </r>
        <r>
          <rPr>
            <sz val="9"/>
            <color indexed="81"/>
            <rFont val="Tahoma"/>
            <family val="2"/>
          </rPr>
          <t xml:space="preserve"> = ((Capex neto - Capex mantenimiento) + Importe pagado por adquisiciones) / FCF
Ojo, es posible que la compañía invierta en crecimiento orgánico a través de su P&amp;L, pero esto no es posible automatizarlo y habría que hacer estimaciones para esa compañía en concreto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4" authorId="0" shapeId="0" xr:uid="{00000000-0006-0000-0300-000001000000}">
      <text>
        <r>
          <rPr>
            <b/>
            <sz val="18"/>
            <color rgb="FF000000"/>
            <rFont val="Calibri"/>
            <family val="2"/>
          </rPr>
          <t>Fernando:</t>
        </r>
        <r>
          <rPr>
            <sz val="9"/>
            <color rgb="FF000000"/>
            <rFont val="Calibri"/>
            <family val="2"/>
          </rPr>
          <t xml:space="preserve">
</t>
        </r>
        <r>
          <rPr>
            <sz val="14"/>
            <color rgb="FF000000"/>
            <rFont val="Calibri"/>
            <family val="2"/>
          </rPr>
          <t>SI NO HAS INCLUIDO EL "CASH AND CASH EQUIVALENTS" EN EL CÁLCULO DEL ROIC, DEBES HACERLO AHORA PARA EL CÁLCULO DEL EV</t>
        </r>
      </text>
    </comment>
    <comment ref="B14" authorId="0" shapeId="0" xr:uid="{BA4148FA-2FB6-4427-98EB-13EBADA7F56B}">
      <text>
        <r>
          <rPr>
            <sz val="9"/>
            <color indexed="81"/>
            <rFont val="Tahoma"/>
            <family val="2"/>
          </rPr>
          <t xml:space="preserve">Last Twelve Months - Últimos 12 meses
Estos múltiplos se calculan con los datos financieros del último año fiscal disponible
</t>
        </r>
      </text>
    </comment>
    <comment ref="C14" authorId="0" shapeId="0" xr:uid="{DA113695-767D-40F7-A372-83279917C8EB}">
      <text>
        <r>
          <rPr>
            <sz val="9"/>
            <color indexed="81"/>
            <rFont val="Tahoma"/>
            <family val="2"/>
          </rPr>
          <t>Se calculan con las estimaciones del primer año disponible</t>
        </r>
      </text>
    </comment>
    <comment ref="H20" authorId="0" shapeId="0" xr:uid="{75BBEC35-CB27-46B5-A445-13B454896105}">
      <text>
        <r>
          <rPr>
            <b/>
            <sz val="9"/>
            <color rgb="FF000000"/>
            <rFont val="Tahoma"/>
            <family val="2"/>
          </rPr>
          <t>IDC:</t>
        </r>
        <r>
          <rPr>
            <sz val="9"/>
            <color rgb="FF000000"/>
            <rFont val="Tahoma"/>
            <family val="2"/>
          </rPr>
          <t xml:space="preserve">
</t>
        </r>
        <r>
          <rPr>
            <sz val="9"/>
            <color rgb="FF000000"/>
            <rFont val="Tahoma"/>
            <family val="2"/>
          </rPr>
          <t xml:space="preserve">CAGR = Compounded Annual Growth Rate
</t>
        </r>
        <r>
          <rPr>
            <sz val="9"/>
            <color rgb="FF000000"/>
            <rFont val="Tahoma"/>
            <family val="2"/>
          </rPr>
          <t xml:space="preserve">
</t>
        </r>
        <r>
          <rPr>
            <sz val="9"/>
            <color rgb="FF000000"/>
            <rFont val="Tahoma"/>
            <family val="2"/>
          </rPr>
          <t>Es decir, el porcentaje de retorno anualizado esperado para la inversión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D3" authorId="0" shapeId="0" xr:uid="{65389CF9-C440-494C-A3C7-72254C0108CA}">
      <text>
        <r>
          <rPr>
            <sz val="9"/>
            <color indexed="81"/>
            <rFont val="Tahoma"/>
            <family val="2"/>
          </rPr>
          <t>Ojo, hay que incluir TODOS los gastos de ventas y operativos del negocio:
- Costes de ventas (Cost of sales o Costs of goods sold)
- Operating Costs (incluyendo SG&amp;A, R&amp;D y todos los gastos operativos que correspondan)</t>
        </r>
      </text>
    </comment>
    <comment ref="B10" authorId="0" shapeId="0" xr:uid="{D2B3C4B2-B06B-4E53-9A84-2CCFA295901B}">
      <text>
        <r>
          <rPr>
            <sz val="9"/>
            <color indexed="81"/>
            <rFont val="Tahoma"/>
            <family val="2"/>
          </rPr>
          <t>Si el resultado es negativo, implica que la compañía tiene caja neta (más caja que deuda)</t>
        </r>
      </text>
    </comment>
    <comment ref="C10" authorId="0" shapeId="0" xr:uid="{111D002C-66C0-4D45-AA67-7D6564C3EE44}">
      <text>
        <r>
          <rPr>
            <sz val="9"/>
            <color indexed="81"/>
            <rFont val="Tahoma"/>
            <family val="2"/>
          </rPr>
          <t>Para la deuda SOLO incluímos la deuda financiera que conlleve el pago de intereses y pueda hacer quebrar la empresa.
Normalmente este tipo de deuda son préstamos bancarios, bonos y notas.
Para el "Cash" incluimos las siguientes partidas dentro de "Current Assets" (Activo Corriente):
Cash = Cash + Cash &amp; Equivalents + Marketable Securities
Algunas empresas usan un nombre similar para "Marketable Securities" como "short-term investments".</t>
        </r>
      </text>
    </comment>
    <comment ref="C12" authorId="0" shapeId="0" xr:uid="{20A7DF0C-EB9D-4B19-99C4-195B997CF099}">
      <text>
        <r>
          <rPr>
            <sz val="9"/>
            <color rgb="FF000000"/>
            <rFont val="Tahoma"/>
            <family val="2"/>
          </rPr>
          <t>En caso de existir acciones preferentes y/o intereses minoritarios, también hay que incluir la valoración a mercado de estas partidas y sumárselas al EV</t>
        </r>
      </text>
    </comment>
    <comment ref="D12" authorId="0" shapeId="0" xr:uid="{20C33B7E-FF9A-424F-BFE9-CB4AD4B9BEBF}">
      <text>
        <r>
          <rPr>
            <sz val="9"/>
            <color indexed="81"/>
            <rFont val="Tahoma"/>
            <family val="2"/>
          </rPr>
          <t>Solo para empresas con posición de caja neta (Caja &gt; Deuda financiera neta)
La caja neta REDUCE el EV de la empresa</t>
        </r>
      </text>
    </comment>
    <comment ref="C25" authorId="0" shapeId="0" xr:uid="{F0B1CB8D-3A90-44B9-B8C9-A9A29FF15765}">
      <text>
        <r>
          <rPr>
            <sz val="9"/>
            <color indexed="81"/>
            <rFont val="Tahoma"/>
            <family val="2"/>
          </rPr>
          <t>T = Tax Rate = Effective Tax Rate</t>
        </r>
      </text>
    </comment>
    <comment ref="D25" authorId="0" shapeId="0" xr:uid="{3989015F-C005-4349-9C59-CAC4BD3B1717}">
      <text>
        <r>
          <rPr>
            <sz val="9"/>
            <color indexed="81"/>
            <rFont val="Tahoma"/>
            <family val="2"/>
          </rPr>
          <t>Deuda financiera total = Short Term Debt + Long Term Debt
Los operating leases también incluimos tanto a Corto Plazo como a Largo Plazo, en los casos que aparezcan detallados en el balance</t>
        </r>
      </text>
    </comment>
  </commentList>
</comments>
</file>

<file path=xl/sharedStrings.xml><?xml version="1.0" encoding="utf-8"?>
<sst xmlns="http://schemas.openxmlformats.org/spreadsheetml/2006/main" count="534" uniqueCount="443">
  <si>
    <t>Instrucciones</t>
  </si>
  <si>
    <r>
      <t xml:space="preserve">- Modifica solo las celdas con fondo </t>
    </r>
    <r>
      <rPr>
        <b/>
        <sz val="14"/>
        <color theme="3"/>
        <rFont val="Ebrima"/>
      </rPr>
      <t>AZUL FLOJO</t>
    </r>
    <r>
      <rPr>
        <sz val="12"/>
        <color theme="3"/>
        <rFont val="Ebrima"/>
      </rPr>
      <t xml:space="preserve">. Los datos "clave" para la valoración están marcados con números en </t>
    </r>
    <r>
      <rPr>
        <b/>
        <sz val="14"/>
        <color theme="9" tint="-0.249977111117893"/>
        <rFont val="Ebrima"/>
      </rPr>
      <t>NARANJA</t>
    </r>
    <r>
      <rPr>
        <sz val="12"/>
        <color theme="3"/>
        <rFont val="Ebrima"/>
      </rPr>
      <t xml:space="preserve"> (Hojas 1, 3 y 4)</t>
    </r>
  </si>
  <si>
    <r>
      <t xml:space="preserve">- Introducimos todas las partidas con el </t>
    </r>
    <r>
      <rPr>
        <b/>
        <sz val="12"/>
        <color theme="3"/>
        <rFont val="Ebrima"/>
      </rPr>
      <t>MISMO SIGNO QUE EN TIKR</t>
    </r>
    <r>
      <rPr>
        <sz val="12"/>
        <color theme="3"/>
        <rFont val="Ebrima"/>
      </rPr>
      <t xml:space="preserve"> (Gastos y salidas de caja = números </t>
    </r>
    <r>
      <rPr>
        <sz val="12"/>
        <color rgb="FFFF0000"/>
        <rFont val="Ebrima"/>
      </rPr>
      <t>negativos</t>
    </r>
    <r>
      <rPr>
        <sz val="12"/>
        <color theme="3"/>
        <rFont val="Ebrima"/>
      </rPr>
      <t>; Ingresos y entradas de caja = números positivos)</t>
    </r>
  </si>
  <si>
    <r>
      <t xml:space="preserve">- Opcional: Para que la plantilla obtenga los datos desde </t>
    </r>
    <r>
      <rPr>
        <b/>
        <sz val="14"/>
        <color theme="3"/>
        <rFont val="Ebrima"/>
      </rPr>
      <t>TIKR</t>
    </r>
    <r>
      <rPr>
        <sz val="12"/>
        <color theme="3"/>
        <rFont val="Ebrima"/>
      </rPr>
      <t xml:space="preserve"> debes darle a "Copy Table" de cada estado financiero en TIKR y pegarlos en la celda A1 de las </t>
    </r>
    <r>
      <rPr>
        <b/>
        <sz val="12"/>
        <color theme="3"/>
        <rFont val="Ebrima"/>
      </rPr>
      <t>hojas 6 (IS), 7 (BS) y 8 (CF)</t>
    </r>
  </si>
  <si>
    <r>
      <t xml:space="preserve">- </t>
    </r>
    <r>
      <rPr>
        <b/>
        <sz val="12"/>
        <color theme="3"/>
        <rFont val="Ebrima"/>
      </rPr>
      <t>OJO</t>
    </r>
    <r>
      <rPr>
        <sz val="12"/>
        <color theme="3"/>
        <rFont val="Ebrima"/>
      </rPr>
      <t xml:space="preserve">: Solo es válido para </t>
    </r>
    <r>
      <rPr>
        <b/>
        <sz val="12"/>
        <color theme="3"/>
        <rFont val="Ebrima"/>
      </rPr>
      <t>TIKR en INGLÉS</t>
    </r>
    <r>
      <rPr>
        <sz val="12"/>
        <color theme="3"/>
        <rFont val="Ebrima"/>
      </rPr>
      <t>, y es recomendable pegar los datos con "formato de destino"</t>
    </r>
  </si>
  <si>
    <t>- Si no captura bien los datos, revisa que el separador decimal y de miles de tu aplicación de hoja de cálculo coincida con TIKR. También puedes probar a  ocultar los decimales en TIKR ("Decimals to display": 0) y pegar de nuevo los datos</t>
  </si>
  <si>
    <t>Novedades plantilla 2022 v2</t>
  </si>
  <si>
    <r>
      <t xml:space="preserve">- Cambio </t>
    </r>
    <r>
      <rPr>
        <b/>
        <u/>
        <sz val="12"/>
        <color theme="3"/>
        <rFont val="Ebrima"/>
      </rPr>
      <t>MUY IMPORTANTE</t>
    </r>
    <r>
      <rPr>
        <u/>
        <sz val="12"/>
        <color theme="3"/>
        <rFont val="Ebrima"/>
      </rPr>
      <t xml:space="preserve"> en los </t>
    </r>
    <r>
      <rPr>
        <b/>
        <u/>
        <sz val="12"/>
        <color theme="3"/>
        <rFont val="Ebrima"/>
      </rPr>
      <t>signos</t>
    </r>
    <r>
      <rPr>
        <sz val="12"/>
        <color theme="3"/>
        <rFont val="Ebrima"/>
      </rPr>
      <t xml:space="preserve"> de la plantilla para hacerlos coincidir con el formato de </t>
    </r>
    <r>
      <rPr>
        <b/>
        <sz val="12"/>
        <color theme="3"/>
        <rFont val="Ebrima"/>
      </rPr>
      <t>TIKR</t>
    </r>
    <r>
      <rPr>
        <sz val="12"/>
        <color theme="3"/>
        <rFont val="Ebrima"/>
      </rPr>
      <t xml:space="preserve">. Número </t>
    </r>
    <r>
      <rPr>
        <sz val="12"/>
        <color rgb="FFFF0000"/>
        <rFont val="Ebrima"/>
      </rPr>
      <t>negativo = SALIDA DE CAJA</t>
    </r>
    <r>
      <rPr>
        <sz val="12"/>
        <color theme="3"/>
        <rFont val="Ebrima"/>
      </rPr>
      <t>. Número positivo = ENTRADA DE CAJA</t>
    </r>
  </si>
  <si>
    <r>
      <t xml:space="preserve">- Opcional: La plantilla puede obtener los datos directamente desde los estados financieros de </t>
    </r>
    <r>
      <rPr>
        <b/>
        <sz val="14"/>
        <color theme="3"/>
        <rFont val="Ebrima"/>
      </rPr>
      <t>TIKR</t>
    </r>
    <r>
      <rPr>
        <sz val="14"/>
        <color theme="3"/>
        <rFont val="Ebrima"/>
      </rPr>
      <t xml:space="preserve"> tras pegarlos en las hojas correspondientes</t>
    </r>
  </si>
  <si>
    <t xml:space="preserve">- Mejoras en las estimaciones: </t>
  </si>
  <si>
    <r>
      <t xml:space="preserve">- Hoja </t>
    </r>
    <r>
      <rPr>
        <b/>
        <sz val="12"/>
        <color theme="3"/>
        <rFont val="Ebrima"/>
      </rPr>
      <t>1.IS</t>
    </r>
    <r>
      <rPr>
        <sz val="12"/>
        <color theme="3"/>
        <rFont val="Ebrima"/>
      </rPr>
      <t>: Los gastos en intereses ahora se proyectan a futuro usando como referencia el tipo medio de interés histórico</t>
    </r>
  </si>
  <si>
    <r>
      <t xml:space="preserve">- Hoja </t>
    </r>
    <r>
      <rPr>
        <b/>
        <sz val="12"/>
        <color theme="3"/>
        <rFont val="Ebrima"/>
      </rPr>
      <t>2.FCF</t>
    </r>
    <r>
      <rPr>
        <sz val="12"/>
        <color theme="3"/>
        <rFont val="Ebrima"/>
      </rPr>
      <t>: hemos cambiado los campos de "Usos del FCF" por "Cambio neto en la posición de caja" (Net change in cash), que podemos obtener directamente desde los Cash Flows. Esto evita errores y simplifica el uso de la plantilla</t>
    </r>
  </si>
  <si>
    <r>
      <t xml:space="preserve">- Hoja </t>
    </r>
    <r>
      <rPr>
        <b/>
        <sz val="12"/>
        <color theme="3"/>
        <rFont val="Ebrima"/>
      </rPr>
      <t>3.ROIC</t>
    </r>
    <r>
      <rPr>
        <sz val="12"/>
        <color theme="3"/>
        <rFont val="Ebrima"/>
      </rPr>
      <t>: mejora en la proyección de la deuda, y se ha añadido una estimación de la "</t>
    </r>
    <r>
      <rPr>
        <b/>
        <sz val="12"/>
        <color theme="3"/>
        <rFont val="Ebrima"/>
      </rPr>
      <t>Tasa de reinversión</t>
    </r>
    <r>
      <rPr>
        <sz val="12"/>
        <color theme="3"/>
        <rFont val="Ebrima"/>
      </rPr>
      <t>" histórica</t>
    </r>
  </si>
  <si>
    <r>
      <t xml:space="preserve">- Hoja </t>
    </r>
    <r>
      <rPr>
        <b/>
        <sz val="12"/>
        <color theme="3"/>
        <rFont val="Ebrima"/>
      </rPr>
      <t>4.Valoración</t>
    </r>
    <r>
      <rPr>
        <sz val="12"/>
        <color theme="3"/>
        <rFont val="Ebrima"/>
      </rPr>
      <t>: el ratio Deuda Neta/EBITDA a futuro ahora se basa en la media histórica. Es importante cambiarlo si crees que la compañía reducirá su deuda, o aumentarlo si realizará inversiones significativas</t>
    </r>
  </si>
  <si>
    <t>Income Statement</t>
  </si>
  <si>
    <t>(millones, excepto EPS)</t>
  </si>
  <si>
    <t>Proyección a futuro</t>
  </si>
  <si>
    <t>Sales</t>
  </si>
  <si>
    <t>Crecimiento en Ventas</t>
  </si>
  <si>
    <t xml:space="preserve">    Y/Y Growth %</t>
  </si>
  <si>
    <t>Margen EBIT</t>
  </si>
  <si>
    <t>EBITDA</t>
  </si>
  <si>
    <t>Tax Rate</t>
  </si>
  <si>
    <t xml:space="preserve">    EBITDA margin %</t>
  </si>
  <si>
    <t>Aumento nº acciones</t>
  </si>
  <si>
    <r>
      <t xml:space="preserve">Depreciation &amp; Amortization Expense - en </t>
    </r>
    <r>
      <rPr>
        <sz val="12"/>
        <color rgb="FFFF0000"/>
        <rFont val="Ebrima"/>
      </rPr>
      <t>negativo</t>
    </r>
  </si>
  <si>
    <t xml:space="preserve">EBIT </t>
  </si>
  <si>
    <t xml:space="preserve">    EBIT margin %</t>
  </si>
  <si>
    <r>
      <t xml:space="preserve">Interest Expense - en </t>
    </r>
    <r>
      <rPr>
        <sz val="12"/>
        <color rgb="FFFF0000"/>
        <rFont val="Ebrima"/>
      </rPr>
      <t>negativo</t>
    </r>
  </si>
  <si>
    <t>Other Income/Expenses</t>
  </si>
  <si>
    <t>Total Interest expense</t>
  </si>
  <si>
    <t>EBT</t>
  </si>
  <si>
    <r>
      <t xml:space="preserve">Tax Expense - en </t>
    </r>
    <r>
      <rPr>
        <sz val="12"/>
        <color rgb="FFFF0000"/>
        <rFont val="Ebrima"/>
      </rPr>
      <t>negativo</t>
    </r>
  </si>
  <si>
    <t xml:space="preserve">    Tax rate %</t>
  </si>
  <si>
    <t>Consolidated Net Income</t>
  </si>
  <si>
    <r>
      <t xml:space="preserve">Minority Interests - Si existen, van en </t>
    </r>
    <r>
      <rPr>
        <sz val="12"/>
        <color rgb="FFFF0000"/>
        <rFont val="Ebrima"/>
      </rPr>
      <t>negativo</t>
    </r>
  </si>
  <si>
    <t>Net Income</t>
  </si>
  <si>
    <t xml:space="preserve">    Margen beneficio neto % (Net Margin)</t>
  </si>
  <si>
    <t>EPS</t>
  </si>
  <si>
    <t>Fully diluted shares - millones</t>
  </si>
  <si>
    <t>Cash Flow Statement</t>
  </si>
  <si>
    <t>(millones, excepto FCF per share)</t>
  </si>
  <si>
    <r>
      <t xml:space="preserve">(-) CapEx Mantenimiento - en </t>
    </r>
    <r>
      <rPr>
        <sz val="12"/>
        <color rgb="FFFF0000"/>
        <rFont val="Ebrima"/>
      </rPr>
      <t>negativo</t>
    </r>
  </si>
  <si>
    <t>(-) Total interest expense</t>
  </si>
  <si>
    <t>(-) Taxes paid</t>
  </si>
  <si>
    <t>Inventories</t>
  </si>
  <si>
    <t>Accounts Receivable</t>
  </si>
  <si>
    <t>Accounts Payable</t>
  </si>
  <si>
    <t>Working Capital - WC</t>
  </si>
  <si>
    <t>(-) Variación de Working Capital - CWC</t>
  </si>
  <si>
    <t>(-) Otros ajustes - Opcional; p.ej. Minority Interests</t>
  </si>
  <si>
    <t xml:space="preserve">Free Cash Flow </t>
  </si>
  <si>
    <t>FCF Margin %</t>
  </si>
  <si>
    <t>Free Cash Flow per share - FCFPS</t>
  </si>
  <si>
    <t>Net Change in Cash</t>
  </si>
  <si>
    <t>Eficiencia y márgenes</t>
  </si>
  <si>
    <t>CapEx Mantenimiento / Ventas</t>
  </si>
  <si>
    <t>Working Capital / Ventas</t>
  </si>
  <si>
    <t>FCF / Ventas (FCF Margin)</t>
  </si>
  <si>
    <t>Conversión en Caja (EBITDA que se convierte en FCF)</t>
  </si>
  <si>
    <t>Asignación de capital (como % del FCF)</t>
  </si>
  <si>
    <t>CapEx Expansión</t>
  </si>
  <si>
    <t>Dividendos</t>
  </si>
  <si>
    <t>Recompras</t>
  </si>
  <si>
    <t>Adquisiciones</t>
  </si>
  <si>
    <t>Total</t>
  </si>
  <si>
    <t>Retornos sobre el capital invertido</t>
  </si>
  <si>
    <t>(millones)</t>
  </si>
  <si>
    <t>EBIT x (1-t)</t>
  </si>
  <si>
    <t>Cash and cash equivalents</t>
  </si>
  <si>
    <t>(-) Marketable Securities</t>
  </si>
  <si>
    <t>(+) Short-Term Debt</t>
  </si>
  <si>
    <t>(+) Long-Term Debt</t>
  </si>
  <si>
    <t>(+) Current Operating Leases Liabilities</t>
  </si>
  <si>
    <t>(+) Non-Current Operating Leases Liabilities</t>
  </si>
  <si>
    <t>(+) Equity</t>
  </si>
  <si>
    <t>Invested Capital</t>
  </si>
  <si>
    <t>Ratios de rentabilidad</t>
  </si>
  <si>
    <t>ROE</t>
  </si>
  <si>
    <t>ROIC</t>
  </si>
  <si>
    <t>Tasa de reinversión</t>
  </si>
  <si>
    <t>Valoración</t>
  </si>
  <si>
    <t>Valoración (millones)</t>
  </si>
  <si>
    <t>Market cap</t>
  </si>
  <si>
    <r>
      <t xml:space="preserve">Net Debt (si es </t>
    </r>
    <r>
      <rPr>
        <b/>
        <sz val="12"/>
        <color theme="3"/>
        <rFont val="Ebrima"/>
      </rPr>
      <t>caja neta</t>
    </r>
    <r>
      <rPr>
        <sz val="12"/>
        <color theme="3"/>
        <rFont val="Ebrima"/>
      </rPr>
      <t xml:space="preserve"> va en </t>
    </r>
    <r>
      <rPr>
        <b/>
        <sz val="12"/>
        <color theme="3"/>
        <rFont val="Ebrima"/>
      </rPr>
      <t>NEGATIVO</t>
    </r>
    <r>
      <rPr>
        <sz val="12"/>
        <color theme="3"/>
        <rFont val="Ebrima"/>
      </rPr>
      <t>)</t>
    </r>
  </si>
  <si>
    <t>Deuda neta / EBITDA</t>
  </si>
  <si>
    <t>Enterprise Value (EV)</t>
  </si>
  <si>
    <t>EBIT</t>
  </si>
  <si>
    <t>Net income</t>
  </si>
  <si>
    <t>FCF</t>
  </si>
  <si>
    <t>Precio por acción actual</t>
  </si>
  <si>
    <t>Múltiplos de valoración</t>
  </si>
  <si>
    <t>LTM</t>
  </si>
  <si>
    <t>NTM</t>
  </si>
  <si>
    <t>Objetivo</t>
  </si>
  <si>
    <t>PER</t>
  </si>
  <si>
    <t>EV / FCF</t>
  </si>
  <si>
    <t>EV / EBITDA</t>
  </si>
  <si>
    <t>EV / EBIT</t>
  </si>
  <si>
    <t>Precio objetivo</t>
  </si>
  <si>
    <t>PER ex Cash</t>
  </si>
  <si>
    <t xml:space="preserve">EV / FCF </t>
  </si>
  <si>
    <t>Promedio</t>
  </si>
  <si>
    <t>Margen de seguridad</t>
  </si>
  <si>
    <t>Evolución histórica</t>
  </si>
  <si>
    <t>Income Statement | TIKR.com</t>
  </si>
  <si>
    <t>12/30/23</t>
  </si>
  <si>
    <t>12/28/24</t>
  </si>
  <si>
    <t xml:space="preserve"> </t>
  </si>
  <si>
    <t>Revenue</t>
  </si>
  <si>
    <t>22,680.00</t>
  </si>
  <si>
    <t>25,785.00</t>
  </si>
  <si>
    <t xml:space="preserve">   % Change YoY</t>
  </si>
  <si>
    <t>(3.9%)</t>
  </si>
  <si>
    <t>13.7%</t>
  </si>
  <si>
    <t>Cost Of Goods Sold</t>
  </si>
  <si>
    <t>(12,220.00)</t>
  </si>
  <si>
    <t>(13,060.00)</t>
  </si>
  <si>
    <t>Gross Profit</t>
  </si>
  <si>
    <t>10,460.00</t>
  </si>
  <si>
    <t>12,725.00</t>
  </si>
  <si>
    <t>(1.3%)</t>
  </si>
  <si>
    <t>21.7%</t>
  </si>
  <si>
    <t xml:space="preserve">   % Gross Margins</t>
  </si>
  <si>
    <t>46.1%</t>
  </si>
  <si>
    <t>49.4%</t>
  </si>
  <si>
    <t>Selling General &amp; Admin Expenses</t>
  </si>
  <si>
    <t>(2,352.00)</t>
  </si>
  <si>
    <t>(2,783.00)</t>
  </si>
  <si>
    <t>Research And Development Expenses</t>
  </si>
  <si>
    <t>(5,872.00)</t>
  </si>
  <si>
    <t>(6,456.00)</t>
  </si>
  <si>
    <t>Other Expenses</t>
  </si>
  <si>
    <t>8.00</t>
  </si>
  <si>
    <t>(1,586.00)</t>
  </si>
  <si>
    <t>Operating Expenses</t>
  </si>
  <si>
    <t>(10,059.00)</t>
  </si>
  <si>
    <t>(10,825.00)</t>
  </si>
  <si>
    <t>Operating Income</t>
  </si>
  <si>
    <t>401.00</t>
  </si>
  <si>
    <t>1,900.00</t>
  </si>
  <si>
    <t>(68.3%)</t>
  </si>
  <si>
    <t>373.8%</t>
  </si>
  <si>
    <t xml:space="preserve">   % Operating Margins</t>
  </si>
  <si>
    <t>1.8%</t>
  </si>
  <si>
    <t>7.4%</t>
  </si>
  <si>
    <t>Interest Expense</t>
  </si>
  <si>
    <t>(106.00)</t>
  </si>
  <si>
    <t>(92.00)</t>
  </si>
  <si>
    <t>Total Other Income/Expenses Net</t>
  </si>
  <si>
    <t>(9.00)</t>
  </si>
  <si>
    <t>89.00</t>
  </si>
  <si>
    <t>Earnings Before Tax</t>
  </si>
  <si>
    <t>492.00</t>
  </si>
  <si>
    <t>1,989.00</t>
  </si>
  <si>
    <t>(58.4%)</t>
  </si>
  <si>
    <t>304.3%</t>
  </si>
  <si>
    <t xml:space="preserve">   % EBT Margins</t>
  </si>
  <si>
    <t>2.2%</t>
  </si>
  <si>
    <t>7.7%</t>
  </si>
  <si>
    <t>Income Tax Expense</t>
  </si>
  <si>
    <t>346.00</t>
  </si>
  <si>
    <t>(381.00)</t>
  </si>
  <si>
    <t xml:space="preserve">   Effective Tax Rate %</t>
  </si>
  <si>
    <t>(70.3%)</t>
  </si>
  <si>
    <t>19.2%</t>
  </si>
  <si>
    <t>854.00</t>
  </si>
  <si>
    <t>1,641.00</t>
  </si>
  <si>
    <t>(35.3%)</t>
  </si>
  <si>
    <t>92.2%</t>
  </si>
  <si>
    <t xml:space="preserve">   % Net Income Margins</t>
  </si>
  <si>
    <t>3.8%</t>
  </si>
  <si>
    <t>6.4%</t>
  </si>
  <si>
    <t>Diluted Weighted Average Shares Outstanding</t>
  </si>
  <si>
    <t>1,625.00</t>
  </si>
  <si>
    <t>1,637.00</t>
  </si>
  <si>
    <t>3.4%</t>
  </si>
  <si>
    <t>0.7%</t>
  </si>
  <si>
    <t>EPS Diluted</t>
  </si>
  <si>
    <t>0.53</t>
  </si>
  <si>
    <t>1.00</t>
  </si>
  <si>
    <t>(36.9%)</t>
  </si>
  <si>
    <t>88.7%</t>
  </si>
  <si>
    <t>Supplementary Data:</t>
  </si>
  <si>
    <t>Basic EPS</t>
  </si>
  <si>
    <t>(37.6%)</t>
  </si>
  <si>
    <t>90.6%</t>
  </si>
  <si>
    <t>Basic Weighted Average Shares Out.</t>
  </si>
  <si>
    <t>1,614.00</t>
  </si>
  <si>
    <t>1,620.00</t>
  </si>
  <si>
    <t>0.4%</t>
  </si>
  <si>
    <t>4,149.00</t>
  </si>
  <si>
    <t>23.0%</t>
  </si>
  <si>
    <t>(54.2%)</t>
  </si>
  <si>
    <t xml:space="preserve">   % EBITDA Margins</t>
  </si>
  <si>
    <t>18.3%</t>
  </si>
  <si>
    <t>Depreciation and Amortization</t>
  </si>
  <si>
    <t>3,551.00</t>
  </si>
  <si>
    <t>Selling And Marketing Expenses</t>
  </si>
  <si>
    <t>Balance Sheet | TIKR.com</t>
  </si>
  <si>
    <t>Cash And Cash Equivalents</t>
  </si>
  <si>
    <t>3,933.00</t>
  </si>
  <si>
    <t>3,787.00</t>
  </si>
  <si>
    <t>Short Term Investments</t>
  </si>
  <si>
    <t>1,840.00</t>
  </si>
  <si>
    <t>1,345.00</t>
  </si>
  <si>
    <t>Total Cash And Short Term Investments</t>
  </si>
  <si>
    <t>5,773.00</t>
  </si>
  <si>
    <t>5,132.00</t>
  </si>
  <si>
    <t>Net Receivables</t>
  </si>
  <si>
    <t>5,385.00</t>
  </si>
  <si>
    <t>6,192.00</t>
  </si>
  <si>
    <t>Inventory</t>
  </si>
  <si>
    <t>4,351.00</t>
  </si>
  <si>
    <t>5,734.00</t>
  </si>
  <si>
    <t>Other Current Assets</t>
  </si>
  <si>
    <t>1,259.00</t>
  </si>
  <si>
    <t>1,991.00</t>
  </si>
  <si>
    <t>Total Current Assets</t>
  </si>
  <si>
    <t>16,768.00</t>
  </si>
  <si>
    <t>19,049.00</t>
  </si>
  <si>
    <t>Property Plant Equipment Net</t>
  </si>
  <si>
    <t>2,222.00</t>
  </si>
  <si>
    <t>2,425.00</t>
  </si>
  <si>
    <t>Goodwill</t>
  </si>
  <si>
    <t>24,262.00</t>
  </si>
  <si>
    <t>24,839.00</t>
  </si>
  <si>
    <t>Intangible Assets</t>
  </si>
  <si>
    <t>21,363.00</t>
  </si>
  <si>
    <t>18,930.00</t>
  </si>
  <si>
    <t>Long Term Investments</t>
  </si>
  <si>
    <t>99.00</t>
  </si>
  <si>
    <t>Tax Assets</t>
  </si>
  <si>
    <t>366.00</t>
  </si>
  <si>
    <t>688.00</t>
  </si>
  <si>
    <t>Other Non Current Assets</t>
  </si>
  <si>
    <t>2,805.00</t>
  </si>
  <si>
    <t>3,295.00</t>
  </si>
  <si>
    <t>Total Non Current Assets</t>
  </si>
  <si>
    <t>51,117.00</t>
  </si>
  <si>
    <t>50,177.00</t>
  </si>
  <si>
    <t>Other Assets</t>
  </si>
  <si>
    <t>67,885.00</t>
  </si>
  <si>
    <t>69,226.00</t>
  </si>
  <si>
    <t>Total Assets</t>
  </si>
  <si>
    <t>751.00</t>
  </si>
  <si>
    <t>Short Term Debt</t>
  </si>
  <si>
    <t>Tax Payables</t>
  </si>
  <si>
    <t>544.00</t>
  </si>
  <si>
    <t>Deferred Revenue</t>
  </si>
  <si>
    <t>3,339.00</t>
  </si>
  <si>
    <t>5,291.00</t>
  </si>
  <si>
    <t>Other Current Liabilities</t>
  </si>
  <si>
    <t>6,689.00</t>
  </si>
  <si>
    <t>7,281.00</t>
  </si>
  <si>
    <t>Total Current Liabilities</t>
  </si>
  <si>
    <t>2,252.00</t>
  </si>
  <si>
    <t>491.00</t>
  </si>
  <si>
    <t>Long Term Debt</t>
  </si>
  <si>
    <t>Deferred Revenue Non Current</t>
  </si>
  <si>
    <t>1,850.00</t>
  </si>
  <si>
    <t>3,537.00</t>
  </si>
  <si>
    <t>Other Non Current Liabilities</t>
  </si>
  <si>
    <t>5,304.00</t>
  </si>
  <si>
    <t>4,377.00</t>
  </si>
  <si>
    <t>Total Non Current Liabilities</t>
  </si>
  <si>
    <t>11,993.00</t>
  </si>
  <si>
    <t>11,658.00</t>
  </si>
  <si>
    <t>Other Liabilities</t>
  </si>
  <si>
    <t>Total Liabilities</t>
  </si>
  <si>
    <t>17.00</t>
  </si>
  <si>
    <t>Preferred Stock</t>
  </si>
  <si>
    <t>723.00</t>
  </si>
  <si>
    <t>2,364.00</t>
  </si>
  <si>
    <t>Common Stock</t>
  </si>
  <si>
    <t>(10.00)</t>
  </si>
  <si>
    <t>(69.00)</t>
  </si>
  <si>
    <t>Retained Earnings</t>
  </si>
  <si>
    <t>55,162.00</t>
  </si>
  <si>
    <t>55,256.00</t>
  </si>
  <si>
    <t>Accumulated Other Comprehensive Income Loss</t>
  </si>
  <si>
    <t>55,892.00</t>
  </si>
  <si>
    <t>57,568.00</t>
  </si>
  <si>
    <t>Other Total Stockholders Equity</t>
  </si>
  <si>
    <t>Total Stockholders Equity</t>
  </si>
  <si>
    <t>Total Liabilities And Stockholders Equity</t>
  </si>
  <si>
    <t>3,003.00</t>
  </si>
  <si>
    <t>(930.00)</t>
  </si>
  <si>
    <t>(3,296.00)</t>
  </si>
  <si>
    <t>Total Debt</t>
  </si>
  <si>
    <t>Net Debt</t>
  </si>
  <si>
    <t>Cash Flow Statement | TIKR.com</t>
  </si>
  <si>
    <t>Depreciation And Amortization</t>
  </si>
  <si>
    <t>3,177.00</t>
  </si>
  <si>
    <t>Deferred Income Tax</t>
  </si>
  <si>
    <t>(1,019.00)</t>
  </si>
  <si>
    <t>(1,163.00)</t>
  </si>
  <si>
    <t>Stock Based Compensation</t>
  </si>
  <si>
    <t>1,384.00</t>
  </si>
  <si>
    <t>1,407.00</t>
  </si>
  <si>
    <t>Change In Net Working Capital</t>
  </si>
  <si>
    <t>(3,049.00)</t>
  </si>
  <si>
    <t>(2,098.00)</t>
  </si>
  <si>
    <t>Other Non Cash Items</t>
  </si>
  <si>
    <t>(54.00)</t>
  </si>
  <si>
    <t>77.00</t>
  </si>
  <si>
    <t>Cash from Operations</t>
  </si>
  <si>
    <t>1,667.00</t>
  </si>
  <si>
    <t>3,041.00</t>
  </si>
  <si>
    <t>Capital Expenditure</t>
  </si>
  <si>
    <t>(546.00)</t>
  </si>
  <si>
    <t>(636.00)</t>
  </si>
  <si>
    <t>Cash Acquisitions</t>
  </si>
  <si>
    <t>(131.00)</t>
  </si>
  <si>
    <t>(548.00)</t>
  </si>
  <si>
    <t>Purchases Of Investments</t>
  </si>
  <si>
    <t>(3,722.00)</t>
  </si>
  <si>
    <t>(1,834.00)</t>
  </si>
  <si>
    <t>Sales / Maturities Of Investments</t>
  </si>
  <si>
    <t>2,987.00</t>
  </si>
  <si>
    <t>2,032.00</t>
  </si>
  <si>
    <t>Other Investing Activites</t>
  </si>
  <si>
    <t>(11.00)</t>
  </si>
  <si>
    <t>(115.00)</t>
  </si>
  <si>
    <t>Cash from Investing</t>
  </si>
  <si>
    <t>(1,423.00)</t>
  </si>
  <si>
    <t>(1,101.00)</t>
  </si>
  <si>
    <t>Debt Repayment</t>
  </si>
  <si>
    <t>(750.00)</t>
  </si>
  <si>
    <t>Common Stock Issued</t>
  </si>
  <si>
    <t>268.00</t>
  </si>
  <si>
    <t>Common Stock Repurchased</t>
  </si>
  <si>
    <t>(1,412.00)</t>
  </si>
  <si>
    <t>(1,590.00)</t>
  </si>
  <si>
    <t>Dividends Paid</t>
  </si>
  <si>
    <t>Other Financing Activites</t>
  </si>
  <si>
    <t>(2.00)</t>
  </si>
  <si>
    <t>278.00</t>
  </si>
  <si>
    <t>Cash from Financing</t>
  </si>
  <si>
    <t>(1,146.00)</t>
  </si>
  <si>
    <t>(2,062.00)</t>
  </si>
  <si>
    <t>Effect Of Forex Changes On Cash</t>
  </si>
  <si>
    <t>Net Change In Cash</t>
  </si>
  <si>
    <t>(902.00)</t>
  </si>
  <si>
    <t>(122.00)</t>
  </si>
  <si>
    <t>Free Cash Flow</t>
  </si>
  <si>
    <t>1,121.00</t>
  </si>
  <si>
    <t>2,405.00</t>
  </si>
  <si>
    <t>(64.0%)</t>
  </si>
  <si>
    <t>114.5%</t>
  </si>
  <si>
    <t xml:space="preserve">   % Free Cash Flow Margins</t>
  </si>
  <si>
    <t>4.9%</t>
  </si>
  <si>
    <t>9.3%</t>
  </si>
  <si>
    <t>Cash At Beginning Of Period</t>
  </si>
  <si>
    <t>4,835.00</t>
  </si>
  <si>
    <t>Cash At End Of Period</t>
  </si>
  <si>
    <t>3,811.00</t>
  </si>
  <si>
    <t>Beneficio "contable"</t>
  </si>
  <si>
    <t>Opción 1</t>
  </si>
  <si>
    <t>Opción 2</t>
  </si>
  <si>
    <t>Opción 3</t>
  </si>
  <si>
    <t>Net Income + Interests (net) + Taxes + Depreciation + Amortization</t>
  </si>
  <si>
    <t>Ingresos - Gastos de Explotación</t>
  </si>
  <si>
    <t>EBIT + D&amp;A</t>
  </si>
  <si>
    <t>Net Income + Interests (net) + Taxes</t>
  </si>
  <si>
    <t>Ingresos - Gastos de Explotación - D&amp;A</t>
  </si>
  <si>
    <t>EBITDA - D&amp;A</t>
  </si>
  <si>
    <t>Net Income + Interests (net)</t>
  </si>
  <si>
    <t>Ingresos - Gastos de Explotación - D&amp;A - Interests (net) - Other financial items</t>
  </si>
  <si>
    <t>EBIT - Interests (net) - Other financial items</t>
  </si>
  <si>
    <t>Ingresos - Gastos de Explotación - D&amp;A - Interests (net) - Other financial items - taxes</t>
  </si>
  <si>
    <t>EBT - Taxes</t>
  </si>
  <si>
    <t>Net Income / Nº total de acciones diluídas</t>
  </si>
  <si>
    <t>Net Debt (Deuda Financiera Neta)</t>
  </si>
  <si>
    <t>Short-Term Debt + Short-Term Borrowings + Long-Term Debt + Long-Term Borrowings - Cash</t>
  </si>
  <si>
    <t>Market Cap.</t>
  </si>
  <si>
    <t>Nº de acciones totales diluídas x Precio por acción</t>
  </si>
  <si>
    <t>Market Cap + Net Debt</t>
  </si>
  <si>
    <t>Market Cap - Caja Neta</t>
  </si>
  <si>
    <t>Enterprise Value / EBITDA</t>
  </si>
  <si>
    <t>Enterprise Value / EBIT</t>
  </si>
  <si>
    <t>Enterprise Value / FCF</t>
  </si>
  <si>
    <t>Market Cap. / Beneficio Neto</t>
  </si>
  <si>
    <t>Precio por acción / EPS</t>
  </si>
  <si>
    <t>Márgenes %</t>
  </si>
  <si>
    <t>EBITDA / Ventas x 100</t>
  </si>
  <si>
    <t>EBIT / Ventas  x 100</t>
  </si>
  <si>
    <t>Neto</t>
  </si>
  <si>
    <t>Net Income / Ventas  x 100</t>
  </si>
  <si>
    <t>FCF / Ventas x 100</t>
  </si>
  <si>
    <t>Rentabilidad %</t>
  </si>
  <si>
    <t>EBIT * (1 - T) / Capital Invertido</t>
  </si>
  <si>
    <t>Capital Invertido = Equity + Deuda financiera total + Operating Leases Total – Marketable Securities</t>
  </si>
  <si>
    <t>Net Income / Equity</t>
  </si>
  <si>
    <t>ROA</t>
  </si>
  <si>
    <t>Net Income / Total Assets</t>
  </si>
  <si>
    <t>Working Capital (WC)</t>
  </si>
  <si>
    <t>Inventarios + Cuentas a Cobrar de Clientes - Cuentas a pagar a proveedores</t>
  </si>
  <si>
    <t>Inventories + Accounts Receivable + Accounts Payable</t>
  </si>
  <si>
    <r>
      <t xml:space="preserve">En empresas </t>
    </r>
    <r>
      <rPr>
        <b/>
        <sz val="12"/>
        <color theme="3"/>
        <rFont val="Ebrima"/>
      </rPr>
      <t>ligeras de activo</t>
    </r>
    <r>
      <rPr>
        <sz val="12"/>
        <color theme="3"/>
        <rFont val="Ebrima"/>
      </rPr>
      <t>s podemos restar también la partida "</t>
    </r>
    <r>
      <rPr>
        <b/>
        <sz val="12"/>
        <color theme="3"/>
        <rFont val="Ebrima"/>
      </rPr>
      <t>Unearned revenue</t>
    </r>
    <r>
      <rPr>
        <sz val="12"/>
        <color theme="3"/>
        <rFont val="Ebrima"/>
      </rPr>
      <t>", tanto "Current" como "Non-current"</t>
    </r>
  </si>
  <si>
    <t>Variación de WC (CWC)</t>
  </si>
  <si>
    <t>WC año más reciente - WC año anterior. (P.ej.: WC 2021 - WC 2020)</t>
  </si>
  <si>
    <r>
      <t xml:space="preserve">Si la </t>
    </r>
    <r>
      <rPr>
        <b/>
        <sz val="12"/>
        <color theme="3"/>
        <rFont val="Ebrima"/>
      </rPr>
      <t>CWC es positiva DISMINUYE el FCF</t>
    </r>
    <r>
      <rPr>
        <sz val="12"/>
        <color theme="3"/>
        <rFont val="Ebrima"/>
      </rPr>
      <t xml:space="preserve"> ya que la empresa tiene que financiar ese aumento de inventarios y/o de cuentas a cobrar</t>
    </r>
  </si>
  <si>
    <r>
      <t xml:space="preserve">Si la </t>
    </r>
    <r>
      <rPr>
        <b/>
        <sz val="12"/>
        <color theme="3"/>
        <rFont val="Ebrima"/>
      </rPr>
      <t>CWC es negativa AUMENTA el FCF</t>
    </r>
    <r>
      <rPr>
        <sz val="12"/>
        <color theme="3"/>
        <rFont val="Ebrima"/>
      </rPr>
      <t>, ya que se 'libera'' capital, es como si la empresa vendiese inventarios y/o cobrase más facturas a clientes</t>
    </r>
  </si>
  <si>
    <t>CapEx de Mantenimiento</t>
  </si>
  <si>
    <t>Si la directiva no proporciona un capex de mantenimiento exacto, usaremos la D&amp;A como "atajo" para el capex de mantenimiento en los casos que el capex total sea notablemente superior a la D&amp;A</t>
  </si>
  <si>
    <t>Otra opción es usar el % CapEx / Sales del sector, pero esto lleva trabajo, no hay una página que recoja este ratio para todas y cada una de los cientos de industrias que componen todos los sectores</t>
  </si>
  <si>
    <t>EBITDA - Interests (net) - Taxes - CapEx Mantenimiento - Variación de WC</t>
  </si>
  <si>
    <t>Cálculos CF</t>
  </si>
  <si>
    <t>Capital Expenditure*</t>
  </si>
  <si>
    <t>Sales / Maturities Of Investments*</t>
  </si>
  <si>
    <t>CapEx Neto</t>
  </si>
  <si>
    <t>Depreciation And Amortization*</t>
  </si>
  <si>
    <t>CapEx Mantenimiento</t>
  </si>
  <si>
    <t>Reinversión</t>
  </si>
  <si>
    <t>Adquisiciones netas</t>
  </si>
  <si>
    <t>Inversión en crecimiento</t>
  </si>
  <si>
    <t>Precio actual</t>
  </si>
  <si>
    <t>Deuda Neta</t>
  </si>
  <si>
    <t>% Corto plazo</t>
  </si>
  <si>
    <t>% Largo plazo</t>
  </si>
  <si>
    <t>Caja histórica acumulada</t>
  </si>
  <si>
    <t>Marketable securities acumulados</t>
  </si>
  <si>
    <t>Deuda histórica acumulada</t>
  </si>
  <si>
    <t>Deuda neta histórica acumulada</t>
  </si>
  <si>
    <t>Interest income acumulado</t>
  </si>
  <si>
    <t>Interest expense acumulado</t>
  </si>
  <si>
    <t>% Interest income promedio</t>
  </si>
  <si>
    <t>% Interest expense promedio</t>
  </si>
  <si>
    <t>Asignación de capital</t>
  </si>
  <si>
    <t>Acumulado</t>
  </si>
  <si>
    <t>CapEx Expansión (crecimiento orgánico)</t>
  </si>
  <si>
    <t>Adquisiciones (crecimiento inorgánico)</t>
  </si>
  <si>
    <t>Crecimiento</t>
  </si>
  <si>
    <t>Ventas</t>
  </si>
  <si>
    <t>FCF per share</t>
  </si>
  <si>
    <t>Márgenes</t>
  </si>
  <si>
    <t>FCF vs ROIC</t>
  </si>
  <si>
    <t>Costes de ventas y operativos</t>
  </si>
  <si>
    <t>CapEx Mant.</t>
  </si>
  <si>
    <t>Intereses</t>
  </si>
  <si>
    <t>Impuestos y otros</t>
  </si>
  <si>
    <t>Cambios de WC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</si>
</sst>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_-[$€-2]\ * #,##0_-;\-[$€-2]\ * #,##0_-;_-[$€-2]\ * &quot;-&quot;??_-;_-@_-"/>
    <numFmt numFmtId="166" formatCode="#,##0.0"/>
    <numFmt numFmtId="167" formatCode="#,##0;[Red]\(#,##0\)"/>
    <numFmt numFmtId="168" formatCode="#,##0.00;[Red]\(#,##0.00\)"/>
    <numFmt numFmtId="169" formatCode="0.0%"/>
    <numFmt numFmtId="170" formatCode="#,##0.0;\(#,##0.0\)"/>
    <numFmt numFmtId="171" formatCode="#,##0;\(#,##0\)"/>
    <numFmt numFmtId="172" formatCode="0.00_);\(0.00\)"/>
  </numFmts>
  <fonts count="30">
    <font>
      <sz val="11"/>
      <color theme="1"/>
      <name val="Calibri"/>
      <family val="2"/>
      <scheme val="minor"/>
    </font>
    <font>
      <sz val="11"/>
      <color theme="1"/>
      <name val="Calibri"/>
      <family val="2"/>
      <scheme val="minor"/>
    </font>
    <font>
      <b/>
      <sz val="18"/>
      <color rgb="FF000000"/>
      <name val="Calibri"/>
      <family val="2"/>
    </font>
    <font>
      <sz val="9"/>
      <color rgb="FF000000"/>
      <name val="Calibri"/>
      <family val="2"/>
    </font>
    <font>
      <sz val="9"/>
      <color indexed="81"/>
      <name val="Tahoma"/>
      <family val="2"/>
    </font>
    <font>
      <b/>
      <sz val="9"/>
      <color indexed="81"/>
      <name val="Tahoma"/>
      <family val="2"/>
    </font>
    <font>
      <sz val="9"/>
      <color rgb="FF000000"/>
      <name val="Tahoma"/>
      <family val="2"/>
    </font>
    <font>
      <sz val="12"/>
      <color theme="1"/>
      <name val="Ebrima"/>
    </font>
    <font>
      <b/>
      <sz val="12"/>
      <color theme="0"/>
      <name val="Ebrima"/>
    </font>
    <font>
      <b/>
      <sz val="12"/>
      <color theme="3"/>
      <name val="Ebrima"/>
    </font>
    <font>
      <sz val="12"/>
      <color theme="3"/>
      <name val="Ebrima"/>
    </font>
    <font>
      <sz val="40"/>
      <color theme="4"/>
      <name val="Ebrima"/>
    </font>
    <font>
      <b/>
      <sz val="12"/>
      <color theme="1"/>
      <name val="Ebrima"/>
    </font>
    <font>
      <b/>
      <sz val="12"/>
      <color theme="9" tint="-0.249977111117893"/>
      <name val="Ebrima"/>
    </font>
    <font>
      <b/>
      <sz val="12"/>
      <name val="Ebrima"/>
    </font>
    <font>
      <b/>
      <i/>
      <sz val="12"/>
      <color theme="1"/>
      <name val="Ebrima"/>
    </font>
    <font>
      <sz val="12"/>
      <color theme="4" tint="-0.249977111117893"/>
      <name val="Ebrima"/>
    </font>
    <font>
      <b/>
      <sz val="9"/>
      <color rgb="FF000000"/>
      <name val="Tahoma"/>
      <family val="2"/>
    </font>
    <font>
      <i/>
      <sz val="12"/>
      <color theme="3"/>
      <name val="Ebrima"/>
    </font>
    <font>
      <b/>
      <sz val="14"/>
      <color theme="3"/>
      <name val="Ebrima"/>
    </font>
    <font>
      <b/>
      <sz val="14"/>
      <color theme="9" tint="-0.249977111117893"/>
      <name val="Ebrima"/>
    </font>
    <font>
      <b/>
      <i/>
      <sz val="12"/>
      <color theme="3"/>
      <name val="Ebrima"/>
    </font>
    <font>
      <b/>
      <u/>
      <sz val="12"/>
      <color theme="9" tint="-0.249977111117893"/>
      <name val="Ebrima"/>
    </font>
    <font>
      <b/>
      <sz val="11"/>
      <color theme="1"/>
      <name val="Calibri"/>
      <family val="2"/>
      <scheme val="minor"/>
    </font>
    <font>
      <sz val="14"/>
      <color rgb="FF000000"/>
      <name val="Calibri"/>
      <family val="2"/>
    </font>
    <font>
      <sz val="12"/>
      <color rgb="FFFF0000"/>
      <name val="Ebrima"/>
    </font>
    <font>
      <b/>
      <sz val="16"/>
      <color theme="0"/>
      <name val="Ebrima"/>
    </font>
    <font>
      <b/>
      <u/>
      <sz val="12"/>
      <color theme="3"/>
      <name val="Ebrima"/>
    </font>
    <font>
      <u/>
      <sz val="12"/>
      <color theme="3"/>
      <name val="Ebrima"/>
    </font>
    <font>
      <sz val="14"/>
      <color theme="3"/>
      <name val="Ebrima"/>
    </font>
  </fonts>
  <fills count="10">
    <fill>
      <patternFill patternType="none"/>
    </fill>
    <fill>
      <patternFill patternType="gray125"/>
    </fill>
    <fill>
      <patternFill patternType="solid">
        <fgColor theme="0"/>
        <bgColor indexed="64"/>
      </patternFill>
    </fill>
    <fill>
      <patternFill patternType="solid">
        <fgColor theme="4" tint="0.79998168889431442"/>
        <bgColor theme="4" tint="0.79998168889431442"/>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0"/>
        <bgColor theme="4" tint="0.79998168889431442"/>
      </patternFill>
    </fill>
    <fill>
      <patternFill patternType="solid">
        <fgColor theme="0" tint="-4.9989318521683403E-2"/>
        <bgColor indexed="64"/>
      </patternFill>
    </fill>
    <fill>
      <patternFill patternType="solid">
        <fgColor theme="3" tint="0.79998168889431442"/>
        <bgColor indexed="64"/>
      </patternFill>
    </fill>
  </fills>
  <borders count="39">
    <border>
      <left/>
      <right/>
      <top/>
      <bottom/>
      <diagonal/>
    </border>
    <border>
      <left/>
      <right/>
      <top style="thin">
        <color theme="4"/>
      </top>
      <bottom/>
      <diagonal/>
    </border>
    <border>
      <left/>
      <right style="thin">
        <color theme="3" tint="0.39997558519241921"/>
      </right>
      <top/>
      <bottom/>
      <diagonal/>
    </border>
    <border>
      <left style="thin">
        <color theme="3" tint="0.39997558519241921"/>
      </left>
      <right/>
      <top/>
      <bottom/>
      <diagonal/>
    </border>
    <border>
      <left/>
      <right/>
      <top/>
      <bottom style="thin">
        <color theme="4"/>
      </bottom>
      <diagonal/>
    </border>
    <border>
      <left style="thin">
        <color theme="4"/>
      </left>
      <right/>
      <top/>
      <bottom/>
      <diagonal/>
    </border>
    <border>
      <left style="thin">
        <color theme="4"/>
      </left>
      <right/>
      <top/>
      <bottom style="thin">
        <color theme="4"/>
      </bottom>
      <diagonal/>
    </border>
    <border>
      <left style="thin">
        <color theme="3"/>
      </left>
      <right/>
      <top/>
      <bottom/>
      <diagonal/>
    </border>
    <border>
      <left/>
      <right/>
      <top/>
      <bottom style="thin">
        <color theme="3"/>
      </bottom>
      <diagonal/>
    </border>
    <border>
      <left/>
      <right style="thin">
        <color theme="4"/>
      </right>
      <top/>
      <bottom/>
      <diagonal/>
    </border>
    <border>
      <left style="thin">
        <color theme="3"/>
      </left>
      <right style="thin">
        <color theme="3"/>
      </right>
      <top style="thin">
        <color theme="3"/>
      </top>
      <bottom style="thin">
        <color theme="3"/>
      </bottom>
      <diagonal/>
    </border>
    <border>
      <left style="thin">
        <color theme="3"/>
      </left>
      <right/>
      <top style="thin">
        <color theme="3"/>
      </top>
      <bottom/>
      <diagonal/>
    </border>
    <border>
      <left/>
      <right/>
      <top style="thin">
        <color theme="3"/>
      </top>
      <bottom/>
      <diagonal/>
    </border>
    <border>
      <left style="thin">
        <color theme="3"/>
      </left>
      <right style="thin">
        <color theme="3"/>
      </right>
      <top style="thin">
        <color theme="3"/>
      </top>
      <bottom/>
      <diagonal/>
    </border>
    <border>
      <left style="thin">
        <color theme="3"/>
      </left>
      <right style="thin">
        <color theme="3"/>
      </right>
      <top/>
      <bottom/>
      <diagonal/>
    </border>
    <border>
      <left style="thin">
        <color theme="3"/>
      </left>
      <right style="thin">
        <color theme="3"/>
      </right>
      <top/>
      <bottom style="thin">
        <color theme="3"/>
      </bottom>
      <diagonal/>
    </border>
    <border>
      <left/>
      <right style="thin">
        <color theme="3" tint="0.39997558519241921"/>
      </right>
      <top style="thin">
        <color theme="3"/>
      </top>
      <bottom/>
      <diagonal/>
    </border>
    <border>
      <left/>
      <right/>
      <top style="thin">
        <color theme="3"/>
      </top>
      <bottom style="thin">
        <color theme="3"/>
      </bottom>
      <diagonal/>
    </border>
    <border>
      <left/>
      <right style="thin">
        <color theme="3" tint="0.39997558519241921"/>
      </right>
      <top/>
      <bottom style="thin">
        <color theme="4"/>
      </bottom>
      <diagonal/>
    </border>
    <border>
      <left/>
      <right/>
      <top/>
      <bottom style="thin">
        <color indexed="64"/>
      </bottom>
      <diagonal/>
    </border>
    <border>
      <left style="thin">
        <color theme="3"/>
      </left>
      <right/>
      <top/>
      <bottom style="thin">
        <color theme="4"/>
      </bottom>
      <diagonal/>
    </border>
    <border>
      <left/>
      <right style="thin">
        <color theme="4"/>
      </right>
      <top/>
      <bottom style="thin">
        <color theme="4"/>
      </bottom>
      <diagonal/>
    </border>
    <border>
      <left style="thin">
        <color theme="4"/>
      </left>
      <right style="thin">
        <color theme="4"/>
      </right>
      <top/>
      <bottom/>
      <diagonal/>
    </border>
    <border>
      <left style="thin">
        <color theme="4"/>
      </left>
      <right style="thin">
        <color theme="4"/>
      </right>
      <top/>
      <bottom style="thin">
        <color theme="4"/>
      </bottom>
      <diagonal/>
    </border>
    <border>
      <left style="thin">
        <color theme="4"/>
      </left>
      <right style="thin">
        <color theme="3"/>
      </right>
      <top style="thin">
        <color theme="4"/>
      </top>
      <bottom style="thin">
        <color theme="4"/>
      </bottom>
      <diagonal/>
    </border>
    <border>
      <left style="thin">
        <color theme="3"/>
      </left>
      <right style="thin">
        <color theme="3"/>
      </right>
      <top style="thin">
        <color theme="4"/>
      </top>
      <bottom style="thin">
        <color theme="4"/>
      </bottom>
      <diagonal/>
    </border>
    <border>
      <left style="thin">
        <color theme="3"/>
      </left>
      <right/>
      <top style="thin">
        <color theme="4"/>
      </top>
      <bottom style="thin">
        <color theme="4"/>
      </bottom>
      <diagonal/>
    </border>
    <border>
      <left style="medium">
        <color theme="4"/>
      </left>
      <right/>
      <top style="medium">
        <color theme="4"/>
      </top>
      <bottom style="medium">
        <color theme="4"/>
      </bottom>
      <diagonal/>
    </border>
    <border>
      <left/>
      <right/>
      <top style="medium">
        <color theme="4"/>
      </top>
      <bottom style="medium">
        <color theme="4"/>
      </bottom>
      <diagonal/>
    </border>
    <border>
      <left style="thin">
        <color theme="4"/>
      </left>
      <right style="medium">
        <color theme="4"/>
      </right>
      <top style="medium">
        <color theme="4"/>
      </top>
      <bottom style="medium">
        <color theme="4"/>
      </bottom>
      <diagonal/>
    </border>
    <border>
      <left style="thick">
        <color theme="9" tint="-0.24994659260841701"/>
      </left>
      <right style="thick">
        <color theme="9" tint="-0.24994659260841701"/>
      </right>
      <top style="thick">
        <color theme="9" tint="-0.24994659260841701"/>
      </top>
      <bottom style="thick">
        <color theme="9" tint="-0.24994659260841701"/>
      </bottom>
      <diagonal/>
    </border>
    <border>
      <left style="thick">
        <color theme="9" tint="-0.24994659260841701"/>
      </left>
      <right style="thick">
        <color theme="9" tint="-0.24994659260841701"/>
      </right>
      <top style="thick">
        <color theme="9" tint="-0.24994659260841701"/>
      </top>
      <bottom style="thin">
        <color theme="3"/>
      </bottom>
      <diagonal/>
    </border>
    <border>
      <left style="thick">
        <color theme="9" tint="-0.24994659260841701"/>
      </left>
      <right style="thick">
        <color theme="9" tint="-0.24994659260841701"/>
      </right>
      <top/>
      <bottom/>
      <diagonal/>
    </border>
    <border>
      <left style="thick">
        <color theme="9" tint="-0.24994659260841701"/>
      </left>
      <right style="thick">
        <color theme="9" tint="-0.24994659260841701"/>
      </right>
      <top/>
      <bottom style="thick">
        <color theme="9" tint="-0.24994659260841701"/>
      </bottom>
      <diagonal/>
    </border>
    <border>
      <left style="thick">
        <color theme="9" tint="-0.24994659260841701"/>
      </left>
      <right/>
      <top style="thick">
        <color theme="9" tint="-0.24994659260841701"/>
      </top>
      <bottom style="thick">
        <color theme="9" tint="-0.24994659260841701"/>
      </bottom>
      <diagonal/>
    </border>
    <border>
      <left/>
      <right/>
      <top style="thick">
        <color theme="9" tint="-0.24994659260841701"/>
      </top>
      <bottom style="thick">
        <color theme="9" tint="-0.24994659260841701"/>
      </bottom>
      <diagonal/>
    </border>
    <border>
      <left/>
      <right style="thick">
        <color theme="9" tint="-0.24994659260841701"/>
      </right>
      <top style="thick">
        <color theme="9" tint="-0.24994659260841701"/>
      </top>
      <bottom style="thick">
        <color theme="9" tint="-0.24994659260841701"/>
      </bottom>
      <diagonal/>
    </border>
    <border>
      <left style="thick">
        <color theme="9" tint="-0.24994659260841701"/>
      </left>
      <right style="thick">
        <color theme="9" tint="-0.24994659260841701"/>
      </right>
      <top style="thick">
        <color theme="9" tint="-0.24994659260841701"/>
      </top>
      <bottom/>
      <diagonal/>
    </border>
    <border>
      <left style="thick">
        <color theme="9" tint="-0.24994659260841701"/>
      </left>
      <right style="thick">
        <color theme="9" tint="-0.24994659260841701"/>
      </right>
      <top style="medium">
        <color theme="4"/>
      </top>
      <bottom style="medium">
        <color theme="4"/>
      </bottom>
      <diagonal/>
    </border>
  </borders>
  <cellStyleXfs count="2">
    <xf numFmtId="0" fontId="0" fillId="0" borderId="0"/>
    <xf numFmtId="9" fontId="1" fillId="0" borderId="0" applyFont="0" applyFill="0" applyBorder="0" applyAlignment="0" applyProtection="0"/>
  </cellStyleXfs>
  <cellXfs count="307">
    <xf numFmtId="0" fontId="0" fillId="0" borderId="0" xfId="0"/>
    <xf numFmtId="0" fontId="0" fillId="2" borderId="0" xfId="0" applyFill="1" applyAlignment="1">
      <alignment vertical="center"/>
    </xf>
    <xf numFmtId="0" fontId="0" fillId="0" borderId="0" xfId="0" applyAlignment="1">
      <alignment vertical="center"/>
    </xf>
    <xf numFmtId="0" fontId="0" fillId="0" borderId="0" xfId="0" applyAlignment="1">
      <alignment horizontal="center"/>
    </xf>
    <xf numFmtId="0" fontId="7" fillId="0" borderId="0" xfId="0" applyFont="1"/>
    <xf numFmtId="0" fontId="7" fillId="0" borderId="0" xfId="0" applyFont="1" applyAlignment="1">
      <alignment horizontal="center"/>
    </xf>
    <xf numFmtId="0" fontId="7" fillId="0" borderId="0" xfId="0" applyFont="1" applyAlignment="1">
      <alignment vertical="center"/>
    </xf>
    <xf numFmtId="0" fontId="7" fillId="0" borderId="0" xfId="0" applyFont="1" applyAlignment="1">
      <alignment horizontal="center" vertical="center"/>
    </xf>
    <xf numFmtId="0" fontId="8" fillId="5" borderId="0" xfId="0" applyFont="1" applyFill="1" applyBorder="1" applyAlignment="1">
      <alignment horizontal="center" vertical="center"/>
    </xf>
    <xf numFmtId="3" fontId="9" fillId="2" borderId="0" xfId="0" applyNumberFormat="1" applyFont="1" applyFill="1" applyBorder="1" applyAlignment="1">
      <alignment horizontal="center" vertical="center"/>
    </xf>
    <xf numFmtId="9" fontId="10" fillId="2" borderId="2" xfId="1" applyFont="1" applyFill="1" applyBorder="1" applyAlignment="1">
      <alignment horizontal="center" vertical="center"/>
    </xf>
    <xf numFmtId="9" fontId="10" fillId="2" borderId="0" xfId="1" applyFont="1" applyFill="1" applyBorder="1" applyAlignment="1">
      <alignment horizontal="center" vertical="center"/>
    </xf>
    <xf numFmtId="3" fontId="10" fillId="2" borderId="0" xfId="0" applyNumberFormat="1" applyFont="1" applyFill="1" applyBorder="1" applyAlignment="1">
      <alignment horizontal="center" vertical="center"/>
    </xf>
    <xf numFmtId="3" fontId="10" fillId="2" borderId="0" xfId="0" applyNumberFormat="1" applyFont="1" applyFill="1" applyAlignment="1">
      <alignment horizontal="center" vertical="center"/>
    </xf>
    <xf numFmtId="0" fontId="10" fillId="0" borderId="0" xfId="0" applyFont="1" applyAlignment="1">
      <alignment horizontal="center" vertical="center"/>
    </xf>
    <xf numFmtId="3" fontId="10" fillId="0" borderId="0" xfId="0" applyNumberFormat="1" applyFont="1" applyAlignment="1">
      <alignment horizontal="center" vertical="center"/>
    </xf>
    <xf numFmtId="4" fontId="10" fillId="0" borderId="0" xfId="0" applyNumberFormat="1" applyFont="1" applyAlignment="1">
      <alignment horizontal="center" vertical="center"/>
    </xf>
    <xf numFmtId="3" fontId="10" fillId="0" borderId="0" xfId="0" applyNumberFormat="1" applyFont="1" applyFill="1" applyAlignment="1">
      <alignment horizontal="center" vertical="center"/>
    </xf>
    <xf numFmtId="0" fontId="8" fillId="2" borderId="0" xfId="0" applyFont="1" applyFill="1" applyBorder="1" applyAlignment="1">
      <alignment horizontal="center" vertical="center"/>
    </xf>
    <xf numFmtId="0" fontId="11" fillId="0" borderId="0" xfId="0" applyFont="1" applyAlignment="1">
      <alignment horizontal="left" vertical="center"/>
    </xf>
    <xf numFmtId="0" fontId="10" fillId="0" borderId="0" xfId="0" applyFont="1" applyAlignment="1">
      <alignment horizontal="left" vertical="center" indent="1"/>
    </xf>
    <xf numFmtId="0" fontId="0" fillId="0" borderId="0" xfId="0" applyAlignment="1">
      <alignment horizontal="left" indent="1"/>
    </xf>
    <xf numFmtId="0" fontId="7" fillId="0" borderId="0" xfId="0" applyFont="1" applyAlignment="1">
      <alignment horizontal="left" indent="1"/>
    </xf>
    <xf numFmtId="0" fontId="7" fillId="2" borderId="0" xfId="0" applyFont="1" applyFill="1" applyAlignment="1">
      <alignment horizontal="center"/>
    </xf>
    <xf numFmtId="9" fontId="10" fillId="0" borderId="0" xfId="1" applyFont="1" applyBorder="1" applyAlignment="1">
      <alignment horizontal="center" vertical="center"/>
    </xf>
    <xf numFmtId="0" fontId="7" fillId="2" borderId="0" xfId="0" applyFont="1" applyFill="1" applyBorder="1" applyAlignment="1">
      <alignment horizontal="center"/>
    </xf>
    <xf numFmtId="0" fontId="0" fillId="0" borderId="0" xfId="0" applyBorder="1"/>
    <xf numFmtId="0" fontId="0" fillId="0" borderId="0" xfId="0" applyBorder="1" applyAlignment="1">
      <alignment horizontal="center"/>
    </xf>
    <xf numFmtId="0" fontId="10" fillId="2" borderId="4" xfId="0" applyFont="1" applyFill="1" applyBorder="1" applyAlignment="1">
      <alignment horizontal="left" vertical="center" indent="1"/>
    </xf>
    <xf numFmtId="0" fontId="7" fillId="0" borderId="0" xfId="0" applyFont="1" applyAlignment="1">
      <alignment horizontal="left" vertical="center"/>
    </xf>
    <xf numFmtId="0" fontId="7" fillId="0" borderId="0" xfId="0" applyFont="1" applyAlignment="1">
      <alignment horizontal="left" vertical="center" indent="1"/>
    </xf>
    <xf numFmtId="3" fontId="10" fillId="2" borderId="0" xfId="1" applyNumberFormat="1" applyFont="1" applyFill="1" applyBorder="1" applyAlignment="1">
      <alignment horizontal="center" vertical="center"/>
    </xf>
    <xf numFmtId="4" fontId="13" fillId="0" borderId="0" xfId="1" applyNumberFormat="1" applyFont="1" applyFill="1" applyBorder="1" applyAlignment="1">
      <alignment horizontal="center" vertical="center"/>
    </xf>
    <xf numFmtId="0" fontId="7" fillId="2" borderId="0" xfId="0" applyFont="1" applyFill="1" applyAlignment="1">
      <alignment vertical="center"/>
    </xf>
    <xf numFmtId="2" fontId="14" fillId="2" borderId="0" xfId="0" applyNumberFormat="1" applyFont="1" applyFill="1" applyBorder="1" applyAlignment="1" applyProtection="1">
      <alignment vertical="center"/>
    </xf>
    <xf numFmtId="0" fontId="7" fillId="2" borderId="0" xfId="0" applyFont="1" applyFill="1" applyBorder="1" applyAlignment="1">
      <alignment horizontal="center" vertical="center" wrapText="1"/>
    </xf>
    <xf numFmtId="0" fontId="12" fillId="2" borderId="0" xfId="0" applyFont="1" applyFill="1" applyAlignment="1">
      <alignment vertical="center"/>
    </xf>
    <xf numFmtId="1" fontId="14" fillId="2" borderId="0" xfId="0" applyNumberFormat="1" applyFont="1" applyFill="1" applyBorder="1" applyAlignment="1" applyProtection="1">
      <alignment horizontal="center" vertical="center"/>
    </xf>
    <xf numFmtId="0" fontId="7" fillId="2" borderId="0" xfId="0" applyFont="1" applyFill="1" applyBorder="1" applyAlignment="1">
      <alignment horizontal="left" vertical="center"/>
    </xf>
    <xf numFmtId="0" fontId="7" fillId="2" borderId="0" xfId="0" applyFont="1" applyFill="1" applyBorder="1" applyAlignment="1">
      <alignment vertical="center"/>
    </xf>
    <xf numFmtId="2" fontId="12" fillId="2" borderId="0" xfId="0" applyNumberFormat="1" applyFont="1" applyFill="1" applyBorder="1" applyAlignment="1">
      <alignment horizontal="center" vertical="center" wrapText="1"/>
    </xf>
    <xf numFmtId="1" fontId="12" fillId="2" borderId="0" xfId="0" applyNumberFormat="1" applyFont="1" applyFill="1" applyBorder="1" applyAlignment="1">
      <alignment horizontal="center" vertical="center" wrapText="1"/>
    </xf>
    <xf numFmtId="165" fontId="15" fillId="2" borderId="0" xfId="0" applyNumberFormat="1" applyFont="1" applyFill="1" applyBorder="1" applyAlignment="1">
      <alignment horizontal="center" vertical="center" wrapText="1"/>
    </xf>
    <xf numFmtId="0" fontId="12" fillId="2" borderId="0" xfId="0" applyFont="1" applyFill="1" applyBorder="1" applyAlignment="1">
      <alignment vertical="center"/>
    </xf>
    <xf numFmtId="0" fontId="7" fillId="0" borderId="0" xfId="0" applyFont="1" applyBorder="1" applyAlignment="1">
      <alignment horizontal="left" vertical="center"/>
    </xf>
    <xf numFmtId="0" fontId="8" fillId="4" borderId="1" xfId="0" applyFont="1" applyFill="1" applyBorder="1" applyAlignment="1">
      <alignment horizontal="left" vertical="center"/>
    </xf>
    <xf numFmtId="0" fontId="8" fillId="4" borderId="0" xfId="0" applyFont="1" applyFill="1" applyBorder="1" applyAlignment="1">
      <alignment horizontal="left" vertical="center"/>
    </xf>
    <xf numFmtId="2" fontId="10" fillId="2" borderId="0" xfId="0" applyNumberFormat="1" applyFont="1" applyFill="1" applyBorder="1" applyAlignment="1" applyProtection="1">
      <alignment horizontal="left" vertical="center" indent="2"/>
    </xf>
    <xf numFmtId="1" fontId="10" fillId="2" borderId="0" xfId="0" applyNumberFormat="1" applyFont="1" applyFill="1" applyBorder="1" applyAlignment="1" applyProtection="1">
      <alignment horizontal="left" vertical="center"/>
    </xf>
    <xf numFmtId="1" fontId="9" fillId="2" borderId="0" xfId="0" applyNumberFormat="1" applyFont="1" applyFill="1" applyBorder="1" applyAlignment="1" applyProtection="1">
      <alignment horizontal="left" vertical="center"/>
    </xf>
    <xf numFmtId="2" fontId="10" fillId="2" borderId="0" xfId="0" applyNumberFormat="1" applyFont="1" applyFill="1" applyBorder="1" applyAlignment="1">
      <alignment horizontal="left" vertical="center" wrapText="1"/>
    </xf>
    <xf numFmtId="2" fontId="9" fillId="2" borderId="0" xfId="0" applyNumberFormat="1" applyFont="1" applyFill="1" applyBorder="1" applyAlignment="1">
      <alignment horizontal="left" vertical="center" wrapText="1"/>
    </xf>
    <xf numFmtId="9" fontId="10" fillId="2" borderId="0" xfId="1" applyFont="1" applyFill="1" applyBorder="1" applyAlignment="1">
      <alignment horizontal="left" vertical="center" wrapText="1"/>
    </xf>
    <xf numFmtId="0" fontId="10" fillId="2" borderId="0" xfId="0" applyFont="1" applyFill="1" applyBorder="1" applyAlignment="1">
      <alignment horizontal="left" vertical="center" wrapText="1"/>
    </xf>
    <xf numFmtId="9" fontId="9" fillId="2" borderId="0" xfId="1" applyFont="1" applyFill="1" applyBorder="1" applyAlignment="1">
      <alignment horizontal="left" vertical="center" wrapText="1"/>
    </xf>
    <xf numFmtId="2" fontId="9" fillId="2" borderId="0" xfId="0" applyNumberFormat="1" applyFont="1" applyFill="1" applyBorder="1" applyAlignment="1" applyProtection="1">
      <alignment horizontal="left" vertical="center"/>
    </xf>
    <xf numFmtId="0" fontId="10" fillId="2" borderId="0" xfId="0" applyFont="1" applyFill="1" applyBorder="1" applyAlignment="1">
      <alignment horizontal="left" vertical="center"/>
    </xf>
    <xf numFmtId="0" fontId="10" fillId="2" borderId="0" xfId="0" applyFont="1" applyFill="1" applyBorder="1" applyAlignment="1">
      <alignment vertical="center"/>
    </xf>
    <xf numFmtId="0" fontId="10" fillId="0" borderId="0" xfId="0" applyFont="1" applyBorder="1" applyAlignment="1">
      <alignment vertical="center"/>
    </xf>
    <xf numFmtId="0" fontId="10" fillId="0" borderId="0" xfId="0" applyFont="1" applyBorder="1" applyAlignment="1">
      <alignment horizontal="left" vertical="center"/>
    </xf>
    <xf numFmtId="0" fontId="10" fillId="0" borderId="0" xfId="0" applyFont="1" applyAlignment="1">
      <alignment vertical="center"/>
    </xf>
    <xf numFmtId="0" fontId="7" fillId="2" borderId="0" xfId="0" applyFont="1" applyFill="1" applyAlignment="1">
      <alignment horizontal="left" vertical="center" indent="1"/>
    </xf>
    <xf numFmtId="9" fontId="7" fillId="2" borderId="0" xfId="1" applyFont="1" applyFill="1" applyAlignment="1">
      <alignment horizontal="center" vertical="center"/>
    </xf>
    <xf numFmtId="9" fontId="7" fillId="2" borderId="0" xfId="1" applyFont="1" applyFill="1" applyBorder="1" applyAlignment="1">
      <alignment horizontal="center" vertical="center"/>
    </xf>
    <xf numFmtId="0" fontId="10" fillId="0" borderId="0" xfId="0" quotePrefix="1" applyFont="1" applyAlignment="1">
      <alignment horizontal="left" indent="1"/>
    </xf>
    <xf numFmtId="0" fontId="11" fillId="0" borderId="0" xfId="0" applyFont="1" applyBorder="1" applyAlignment="1">
      <alignment horizontal="left" vertical="center"/>
    </xf>
    <xf numFmtId="9" fontId="10" fillId="0" borderId="5" xfId="1" applyFont="1" applyFill="1" applyBorder="1" applyAlignment="1">
      <alignment horizontal="center" vertical="center"/>
    </xf>
    <xf numFmtId="0" fontId="8" fillId="4" borderId="0" xfId="0" applyFont="1" applyFill="1" applyBorder="1" applyAlignment="1">
      <alignment horizontal="center" vertical="center"/>
    </xf>
    <xf numFmtId="9" fontId="16" fillId="2" borderId="0" xfId="1" applyFont="1" applyFill="1" applyBorder="1" applyAlignment="1">
      <alignment horizontal="center" vertical="center"/>
    </xf>
    <xf numFmtId="9" fontId="16" fillId="7" borderId="0" xfId="1" applyFont="1" applyFill="1" applyBorder="1" applyAlignment="1">
      <alignment horizontal="center" vertical="center"/>
    </xf>
    <xf numFmtId="9" fontId="16" fillId="7" borderId="8" xfId="1" applyFont="1" applyFill="1" applyBorder="1" applyAlignment="1">
      <alignment horizontal="center" vertical="center"/>
    </xf>
    <xf numFmtId="0" fontId="8" fillId="4" borderId="11" xfId="0" applyFont="1" applyFill="1" applyBorder="1" applyAlignment="1">
      <alignment horizontal="left" vertical="center" indent="1"/>
    </xf>
    <xf numFmtId="0" fontId="8" fillId="4" borderId="12" xfId="0" applyFont="1" applyFill="1" applyBorder="1" applyAlignment="1">
      <alignment horizontal="center" vertical="center"/>
    </xf>
    <xf numFmtId="0" fontId="8" fillId="5" borderId="12" xfId="0" applyFont="1" applyFill="1" applyBorder="1" applyAlignment="1">
      <alignment horizontal="center" vertical="center"/>
    </xf>
    <xf numFmtId="0" fontId="10" fillId="0" borderId="7" xfId="0" applyFont="1" applyBorder="1" applyAlignment="1">
      <alignment horizontal="left" vertical="center" indent="1"/>
    </xf>
    <xf numFmtId="9" fontId="10" fillId="0" borderId="0" xfId="1" applyFont="1" applyFill="1" applyBorder="1" applyAlignment="1">
      <alignment horizontal="center" vertical="center"/>
    </xf>
    <xf numFmtId="0" fontId="8" fillId="4" borderId="16" xfId="0" applyFont="1" applyFill="1" applyBorder="1" applyAlignment="1">
      <alignment horizontal="center" vertical="center"/>
    </xf>
    <xf numFmtId="0" fontId="10" fillId="0" borderId="0" xfId="0" applyFont="1" applyBorder="1" applyAlignment="1">
      <alignment horizontal="center" vertical="center"/>
    </xf>
    <xf numFmtId="0" fontId="8" fillId="5" borderId="13" xfId="0" applyFont="1" applyFill="1" applyBorder="1" applyAlignment="1">
      <alignment horizontal="center" vertical="center" wrapText="1"/>
    </xf>
    <xf numFmtId="0" fontId="8" fillId="4" borderId="17" xfId="0" applyFont="1" applyFill="1" applyBorder="1" applyAlignment="1">
      <alignment horizontal="center" vertical="center" wrapText="1"/>
    </xf>
    <xf numFmtId="0" fontId="16" fillId="6" borderId="14" xfId="0" applyFont="1" applyFill="1" applyBorder="1" applyAlignment="1">
      <alignment vertical="center"/>
    </xf>
    <xf numFmtId="0" fontId="16" fillId="3" borderId="14" xfId="0" applyFont="1" applyFill="1" applyBorder="1" applyAlignment="1">
      <alignment vertical="center"/>
    </xf>
    <xf numFmtId="0" fontId="16" fillId="3" borderId="15" xfId="0" applyFont="1" applyFill="1" applyBorder="1" applyAlignment="1">
      <alignment vertical="center"/>
    </xf>
    <xf numFmtId="0" fontId="8" fillId="4" borderId="10" xfId="0" applyFont="1" applyFill="1" applyBorder="1" applyAlignment="1">
      <alignment horizontal="center" vertical="center" wrapText="1"/>
    </xf>
    <xf numFmtId="0" fontId="10" fillId="2" borderId="0" xfId="0" applyFont="1" applyFill="1" applyAlignment="1">
      <alignment horizontal="left" vertical="center" indent="1"/>
    </xf>
    <xf numFmtId="4" fontId="10" fillId="0" borderId="0" xfId="1" applyNumberFormat="1" applyFont="1" applyBorder="1" applyAlignment="1">
      <alignment horizontal="center" vertical="center"/>
    </xf>
    <xf numFmtId="0" fontId="8" fillId="0" borderId="0" xfId="0" applyFont="1" applyAlignment="1">
      <alignment horizontal="center" vertical="center" wrapText="1"/>
    </xf>
    <xf numFmtId="164" fontId="7" fillId="0" borderId="0" xfId="0" applyNumberFormat="1" applyFont="1" applyAlignment="1">
      <alignment horizontal="center" vertical="center"/>
    </xf>
    <xf numFmtId="164" fontId="12" fillId="0" borderId="0" xfId="0" applyNumberFormat="1" applyFont="1" applyAlignment="1">
      <alignment horizontal="center" vertical="center"/>
    </xf>
    <xf numFmtId="166" fontId="10" fillId="2" borderId="0" xfId="1" applyNumberFormat="1" applyFont="1" applyFill="1" applyBorder="1" applyAlignment="1">
      <alignment horizontal="center" vertical="center"/>
    </xf>
    <xf numFmtId="0" fontId="9" fillId="0" borderId="0" xfId="0" applyFont="1" applyAlignment="1">
      <alignment horizontal="left" vertical="center" indent="1"/>
    </xf>
    <xf numFmtId="14" fontId="0" fillId="0" borderId="0" xfId="0" applyNumberFormat="1" applyAlignment="1">
      <alignment horizontal="center"/>
    </xf>
    <xf numFmtId="4" fontId="0" fillId="0" borderId="0" xfId="0" applyNumberFormat="1" applyAlignment="1">
      <alignment horizontal="center"/>
    </xf>
    <xf numFmtId="0" fontId="23" fillId="0" borderId="0" xfId="0" applyFont="1"/>
    <xf numFmtId="14" fontId="23" fillId="0" borderId="0" xfId="0" applyNumberFormat="1" applyFont="1" applyAlignment="1">
      <alignment horizontal="center"/>
    </xf>
    <xf numFmtId="0" fontId="23" fillId="8" borderId="0" xfId="0" applyFont="1" applyFill="1" applyProtection="1"/>
    <xf numFmtId="0" fontId="0" fillId="0" borderId="0" xfId="0" applyProtection="1"/>
    <xf numFmtId="0" fontId="23" fillId="0" borderId="0" xfId="0" applyFont="1" applyProtection="1">
      <protection locked="0"/>
    </xf>
    <xf numFmtId="14" fontId="23" fillId="0" borderId="0" xfId="0" applyNumberFormat="1" applyFont="1" applyAlignment="1" applyProtection="1">
      <alignment horizontal="center"/>
      <protection locked="0"/>
    </xf>
    <xf numFmtId="0" fontId="0" fillId="0" borderId="0" xfId="0" applyProtection="1">
      <protection locked="0"/>
    </xf>
    <xf numFmtId="0" fontId="0" fillId="0" borderId="0" xfId="0" applyAlignment="1" applyProtection="1">
      <alignment horizontal="center"/>
      <protection locked="0"/>
    </xf>
    <xf numFmtId="4" fontId="0" fillId="0" borderId="0" xfId="0" applyNumberFormat="1" applyAlignment="1" applyProtection="1">
      <alignment horizontal="center"/>
      <protection locked="0"/>
    </xf>
    <xf numFmtId="0" fontId="23" fillId="8" borderId="0" xfId="0" applyFont="1" applyFill="1" applyAlignment="1" applyProtection="1">
      <alignment horizontal="center"/>
    </xf>
    <xf numFmtId="0" fontId="23" fillId="0" borderId="0" xfId="0" applyFont="1" applyProtection="1"/>
    <xf numFmtId="0" fontId="23" fillId="0" borderId="0" xfId="0" applyFont="1" applyFill="1" applyAlignment="1" applyProtection="1">
      <alignment horizontal="center"/>
    </xf>
    <xf numFmtId="167" fontId="9" fillId="2" borderId="0" xfId="0" applyNumberFormat="1" applyFont="1" applyFill="1" applyBorder="1" applyAlignment="1">
      <alignment horizontal="center" vertical="center"/>
    </xf>
    <xf numFmtId="167" fontId="9" fillId="2" borderId="2" xfId="0" applyNumberFormat="1" applyFont="1" applyFill="1" applyBorder="1" applyAlignment="1">
      <alignment horizontal="center" vertical="center"/>
    </xf>
    <xf numFmtId="167" fontId="10" fillId="2" borderId="0" xfId="0" applyNumberFormat="1" applyFont="1" applyFill="1" applyBorder="1" applyAlignment="1">
      <alignment horizontal="center" vertical="center"/>
    </xf>
    <xf numFmtId="167" fontId="10" fillId="2" borderId="2" xfId="0" applyNumberFormat="1" applyFont="1" applyFill="1" applyBorder="1" applyAlignment="1">
      <alignment horizontal="center" vertical="center"/>
    </xf>
    <xf numFmtId="168" fontId="10" fillId="2" borderId="0" xfId="0" applyNumberFormat="1" applyFont="1" applyFill="1" applyBorder="1" applyAlignment="1">
      <alignment horizontal="center" vertical="center"/>
    </xf>
    <xf numFmtId="168" fontId="10" fillId="2" borderId="2" xfId="0" applyNumberFormat="1" applyFont="1" applyFill="1" applyBorder="1" applyAlignment="1">
      <alignment horizontal="center" vertical="center"/>
    </xf>
    <xf numFmtId="167" fontId="10" fillId="0" borderId="0" xfId="0" applyNumberFormat="1" applyFont="1" applyBorder="1" applyAlignment="1">
      <alignment horizontal="center" vertical="center"/>
    </xf>
    <xf numFmtId="167" fontId="10" fillId="0" borderId="0" xfId="0" applyNumberFormat="1" applyFont="1" applyFill="1" applyBorder="1" applyAlignment="1">
      <alignment horizontal="center" vertical="center"/>
    </xf>
    <xf numFmtId="167" fontId="9" fillId="0" borderId="0" xfId="0" applyNumberFormat="1" applyFont="1" applyBorder="1" applyAlignment="1">
      <alignment horizontal="center" vertical="center"/>
    </xf>
    <xf numFmtId="167" fontId="10" fillId="2" borderId="0" xfId="1" applyNumberFormat="1" applyFont="1" applyFill="1" applyBorder="1" applyAlignment="1">
      <alignment horizontal="center" vertical="center"/>
    </xf>
    <xf numFmtId="168" fontId="10" fillId="2" borderId="0" xfId="1" applyNumberFormat="1" applyFont="1" applyFill="1" applyBorder="1" applyAlignment="1">
      <alignment horizontal="center" vertical="center"/>
    </xf>
    <xf numFmtId="168" fontId="10" fillId="2" borderId="9" xfId="1" applyNumberFormat="1" applyFont="1" applyFill="1" applyBorder="1" applyAlignment="1">
      <alignment horizontal="center" vertical="center"/>
    </xf>
    <xf numFmtId="168" fontId="10" fillId="2" borderId="5" xfId="1" applyNumberFormat="1" applyFont="1" applyFill="1" applyBorder="1" applyAlignment="1">
      <alignment horizontal="center" vertical="center"/>
    </xf>
    <xf numFmtId="167" fontId="10" fillId="0" borderId="0" xfId="0" applyNumberFormat="1" applyFont="1" applyAlignment="1">
      <alignment horizontal="center" vertical="center"/>
    </xf>
    <xf numFmtId="167" fontId="10" fillId="2" borderId="0" xfId="0" applyNumberFormat="1" applyFont="1" applyFill="1" applyAlignment="1">
      <alignment horizontal="center" vertical="center"/>
    </xf>
    <xf numFmtId="167" fontId="10" fillId="2" borderId="3" xfId="0" applyNumberFormat="1" applyFont="1" applyFill="1" applyBorder="1" applyAlignment="1">
      <alignment horizontal="center" vertical="center"/>
    </xf>
    <xf numFmtId="167" fontId="10" fillId="2" borderId="4" xfId="1" applyNumberFormat="1" applyFont="1" applyFill="1" applyBorder="1" applyAlignment="1">
      <alignment horizontal="center" vertical="center"/>
    </xf>
    <xf numFmtId="167" fontId="10" fillId="2" borderId="6" xfId="1" applyNumberFormat="1" applyFont="1" applyFill="1" applyBorder="1" applyAlignment="1">
      <alignment horizontal="center" vertical="center"/>
    </xf>
    <xf numFmtId="14" fontId="23" fillId="0" borderId="0" xfId="0" applyNumberFormat="1" applyFont="1"/>
    <xf numFmtId="4" fontId="0" fillId="0" borderId="0" xfId="0" applyNumberFormat="1"/>
    <xf numFmtId="14" fontId="0" fillId="0" borderId="0" xfId="0" applyNumberFormat="1"/>
    <xf numFmtId="0" fontId="8" fillId="5" borderId="0" xfId="0" applyFont="1" applyFill="1" applyBorder="1" applyAlignment="1">
      <alignment horizontal="center" vertical="center" wrapText="1"/>
    </xf>
    <xf numFmtId="164" fontId="10" fillId="0" borderId="0" xfId="1" applyNumberFormat="1" applyFont="1" applyBorder="1" applyAlignment="1">
      <alignment horizontal="center" vertical="center"/>
    </xf>
    <xf numFmtId="0" fontId="10" fillId="0" borderId="0" xfId="0" applyFont="1" applyBorder="1" applyAlignment="1">
      <alignment horizontal="left" vertical="center" indent="1"/>
    </xf>
    <xf numFmtId="0" fontId="10" fillId="0" borderId="0" xfId="0" quotePrefix="1" applyFont="1" applyAlignment="1">
      <alignment horizontal="left" vertical="center" indent="1"/>
    </xf>
    <xf numFmtId="0" fontId="10" fillId="0" borderId="0" xfId="0" quotePrefix="1" applyFont="1" applyAlignment="1">
      <alignment horizontal="left" vertical="center" indent="3"/>
    </xf>
    <xf numFmtId="0" fontId="10" fillId="2" borderId="0" xfId="0" applyFont="1" applyFill="1" applyBorder="1" applyAlignment="1">
      <alignment horizontal="left" vertical="center" indent="1"/>
    </xf>
    <xf numFmtId="9" fontId="10" fillId="2" borderId="0" xfId="1" applyNumberFormat="1" applyFont="1" applyFill="1" applyBorder="1" applyAlignment="1">
      <alignment horizontal="center" vertical="center"/>
    </xf>
    <xf numFmtId="9" fontId="9" fillId="2" borderId="0" xfId="1" applyNumberFormat="1" applyFont="1" applyFill="1" applyBorder="1" applyAlignment="1">
      <alignment horizontal="center" vertical="center"/>
    </xf>
    <xf numFmtId="0" fontId="7" fillId="0" borderId="0" xfId="0" applyFont="1" applyBorder="1" applyAlignment="1">
      <alignment vertical="center"/>
    </xf>
    <xf numFmtId="164" fontId="10" fillId="0" borderId="0" xfId="1" applyNumberFormat="1" applyFont="1" applyFill="1" applyBorder="1" applyAlignment="1">
      <alignment horizontal="center" vertical="center"/>
    </xf>
    <xf numFmtId="166" fontId="9" fillId="0" borderId="0" xfId="1" applyNumberFormat="1" applyFont="1" applyBorder="1" applyAlignment="1">
      <alignment horizontal="center" vertical="center"/>
    </xf>
    <xf numFmtId="0" fontId="8" fillId="4" borderId="0" xfId="0" applyFont="1" applyFill="1" applyBorder="1" applyAlignment="1">
      <alignment horizontal="left" vertical="center" indent="1"/>
    </xf>
    <xf numFmtId="0" fontId="10" fillId="6" borderId="7" xfId="0" applyFont="1" applyFill="1" applyBorder="1" applyAlignment="1">
      <alignment horizontal="left" vertical="center" indent="3"/>
    </xf>
    <xf numFmtId="3" fontId="9" fillId="6" borderId="5" xfId="0" applyNumberFormat="1" applyFont="1" applyFill="1" applyBorder="1" applyAlignment="1">
      <alignment horizontal="center" vertical="center"/>
    </xf>
    <xf numFmtId="9" fontId="10" fillId="2" borderId="5" xfId="1" applyFont="1" applyFill="1" applyBorder="1" applyAlignment="1">
      <alignment horizontal="center" vertical="center"/>
    </xf>
    <xf numFmtId="167" fontId="9" fillId="2" borderId="5" xfId="0" applyNumberFormat="1" applyFont="1" applyFill="1" applyBorder="1" applyAlignment="1">
      <alignment horizontal="center" vertical="center"/>
    </xf>
    <xf numFmtId="167" fontId="10" fillId="6" borderId="5" xfId="0" applyNumberFormat="1" applyFont="1" applyFill="1" applyBorder="1" applyAlignment="1">
      <alignment horizontal="center" vertical="center"/>
    </xf>
    <xf numFmtId="167" fontId="9" fillId="6" borderId="5" xfId="0" applyNumberFormat="1" applyFont="1" applyFill="1" applyBorder="1" applyAlignment="1">
      <alignment horizontal="center" vertical="center"/>
    </xf>
    <xf numFmtId="167" fontId="10" fillId="2" borderId="5" xfId="0" applyNumberFormat="1" applyFont="1" applyFill="1" applyBorder="1" applyAlignment="1">
      <alignment horizontal="center" vertical="center"/>
    </xf>
    <xf numFmtId="168" fontId="10" fillId="2" borderId="5" xfId="0" applyNumberFormat="1" applyFont="1" applyFill="1" applyBorder="1" applyAlignment="1">
      <alignment horizontal="center" vertical="center"/>
    </xf>
    <xf numFmtId="3" fontId="10" fillId="6" borderId="5" xfId="0" applyNumberFormat="1" applyFont="1" applyFill="1" applyBorder="1" applyAlignment="1">
      <alignment horizontal="center" vertical="center"/>
    </xf>
    <xf numFmtId="0" fontId="9" fillId="6" borderId="0" xfId="0" applyFont="1" applyFill="1" applyBorder="1" applyAlignment="1">
      <alignment horizontal="left" vertical="center" indent="1"/>
    </xf>
    <xf numFmtId="3" fontId="9" fillId="2" borderId="9" xfId="0" applyNumberFormat="1" applyFont="1" applyFill="1" applyBorder="1" applyAlignment="1">
      <alignment horizontal="center" vertical="center"/>
    </xf>
    <xf numFmtId="9" fontId="10" fillId="2" borderId="9" xfId="1" applyFont="1" applyFill="1" applyBorder="1" applyAlignment="1">
      <alignment horizontal="center" vertical="center"/>
    </xf>
    <xf numFmtId="0" fontId="9" fillId="2" borderId="0" xfId="0" applyFont="1" applyFill="1" applyBorder="1" applyAlignment="1">
      <alignment horizontal="left" vertical="center" indent="1"/>
    </xf>
    <xf numFmtId="167" fontId="9" fillId="2" borderId="9" xfId="0" applyNumberFormat="1" applyFont="1" applyFill="1" applyBorder="1" applyAlignment="1">
      <alignment horizontal="center" vertical="center"/>
    </xf>
    <xf numFmtId="0" fontId="10" fillId="6" borderId="0" xfId="0" applyFont="1" applyFill="1" applyBorder="1" applyAlignment="1">
      <alignment horizontal="left" vertical="center" indent="1"/>
    </xf>
    <xf numFmtId="167" fontId="10" fillId="2" borderId="9" xfId="0" applyNumberFormat="1" applyFont="1" applyFill="1" applyBorder="1" applyAlignment="1">
      <alignment horizontal="center" vertical="center"/>
    </xf>
    <xf numFmtId="168" fontId="10" fillId="2" borderId="9" xfId="0" applyNumberFormat="1" applyFont="1" applyFill="1" applyBorder="1" applyAlignment="1">
      <alignment horizontal="center" vertical="center"/>
    </xf>
    <xf numFmtId="3" fontId="10" fillId="2" borderId="9" xfId="0" applyNumberFormat="1" applyFont="1" applyFill="1" applyBorder="1" applyAlignment="1">
      <alignment horizontal="center" vertical="center"/>
    </xf>
    <xf numFmtId="9" fontId="10" fillId="2" borderId="6" xfId="1" applyFont="1" applyFill="1" applyBorder="1" applyAlignment="1">
      <alignment horizontal="center" vertical="center"/>
    </xf>
    <xf numFmtId="9" fontId="10" fillId="2" borderId="4" xfId="1" applyFont="1" applyFill="1" applyBorder="1" applyAlignment="1">
      <alignment horizontal="center" vertical="center"/>
    </xf>
    <xf numFmtId="9" fontId="10" fillId="2" borderId="18" xfId="1" applyFont="1" applyFill="1" applyBorder="1" applyAlignment="1">
      <alignment horizontal="center" vertical="center"/>
    </xf>
    <xf numFmtId="9" fontId="10" fillId="2" borderId="21" xfId="1" applyFont="1" applyFill="1" applyBorder="1" applyAlignment="1">
      <alignment horizontal="center" vertical="center"/>
    </xf>
    <xf numFmtId="167" fontId="10" fillId="0" borderId="5" xfId="0" applyNumberFormat="1" applyFont="1" applyBorder="1" applyAlignment="1">
      <alignment horizontal="center" vertical="center"/>
    </xf>
    <xf numFmtId="167" fontId="10" fillId="0" borderId="5" xfId="0" applyNumberFormat="1" applyFont="1" applyFill="1" applyBorder="1" applyAlignment="1">
      <alignment horizontal="center" vertical="center"/>
    </xf>
    <xf numFmtId="167" fontId="9" fillId="0" borderId="5" xfId="0" applyNumberFormat="1" applyFont="1" applyBorder="1" applyAlignment="1">
      <alignment horizontal="center" vertical="center"/>
    </xf>
    <xf numFmtId="9" fontId="10" fillId="0" borderId="5" xfId="1" applyFont="1" applyBorder="1" applyAlignment="1">
      <alignment horizontal="center" vertical="center"/>
    </xf>
    <xf numFmtId="3" fontId="10" fillId="0" borderId="5" xfId="0" applyNumberFormat="1" applyFont="1" applyBorder="1" applyAlignment="1">
      <alignment horizontal="center" vertical="center"/>
    </xf>
    <xf numFmtId="167" fontId="10" fillId="0" borderId="9" xfId="0" applyNumberFormat="1" applyFont="1" applyBorder="1" applyAlignment="1">
      <alignment horizontal="center" vertical="center"/>
    </xf>
    <xf numFmtId="0" fontId="10" fillId="6" borderId="0" xfId="0" applyFont="1" applyFill="1" applyBorder="1" applyAlignment="1">
      <alignment horizontal="left" vertical="center" indent="4"/>
    </xf>
    <xf numFmtId="167" fontId="10" fillId="0" borderId="9" xfId="0" applyNumberFormat="1" applyFont="1" applyFill="1" applyBorder="1" applyAlignment="1">
      <alignment horizontal="center" vertical="center"/>
    </xf>
    <xf numFmtId="0" fontId="10" fillId="0" borderId="0" xfId="0" applyFont="1" applyBorder="1" applyAlignment="1">
      <alignment horizontal="left" vertical="center" indent="4"/>
    </xf>
    <xf numFmtId="0" fontId="10" fillId="0" borderId="0" xfId="0" applyFont="1" applyFill="1" applyBorder="1" applyAlignment="1">
      <alignment horizontal="left" vertical="center" indent="1"/>
    </xf>
    <xf numFmtId="0" fontId="9" fillId="0" borderId="0" xfId="0" applyFont="1" applyBorder="1" applyAlignment="1">
      <alignment horizontal="left" vertical="center" indent="1"/>
    </xf>
    <xf numFmtId="167" fontId="9" fillId="0" borderId="9" xfId="0" applyNumberFormat="1" applyFont="1" applyBorder="1" applyAlignment="1">
      <alignment horizontal="center" vertical="center"/>
    </xf>
    <xf numFmtId="0" fontId="10" fillId="2" borderId="0" xfId="0" applyFont="1" applyFill="1" applyBorder="1" applyAlignment="1">
      <alignment horizontal="left" vertical="center" indent="3"/>
    </xf>
    <xf numFmtId="9" fontId="10" fillId="0" borderId="9" xfId="1" applyFont="1" applyBorder="1" applyAlignment="1">
      <alignment horizontal="center" vertical="center"/>
    </xf>
    <xf numFmtId="167" fontId="9" fillId="2" borderId="6" xfId="1" applyNumberFormat="1" applyFont="1" applyFill="1" applyBorder="1" applyAlignment="1">
      <alignment horizontal="center" vertical="center"/>
    </xf>
    <xf numFmtId="9" fontId="10" fillId="2" borderId="4" xfId="1" applyNumberFormat="1" applyFont="1" applyFill="1" applyBorder="1" applyAlignment="1">
      <alignment horizontal="center" vertical="center"/>
    </xf>
    <xf numFmtId="9" fontId="10" fillId="2" borderId="6" xfId="1" applyNumberFormat="1" applyFont="1" applyFill="1" applyBorder="1" applyAlignment="1">
      <alignment horizontal="center" vertical="center"/>
    </xf>
    <xf numFmtId="9" fontId="9" fillId="0" borderId="22" xfId="1" applyFont="1" applyBorder="1" applyAlignment="1">
      <alignment horizontal="center" vertical="center"/>
    </xf>
    <xf numFmtId="9" fontId="9" fillId="2" borderId="23" xfId="1" applyNumberFormat="1" applyFont="1" applyFill="1" applyBorder="1" applyAlignment="1">
      <alignment horizontal="center" vertical="center"/>
    </xf>
    <xf numFmtId="0" fontId="10" fillId="0" borderId="20" xfId="0" applyFont="1" applyBorder="1" applyAlignment="1">
      <alignment horizontal="left" vertical="center" indent="1"/>
    </xf>
    <xf numFmtId="167" fontId="10" fillId="0" borderId="4" xfId="0" applyNumberFormat="1" applyFont="1" applyBorder="1" applyAlignment="1">
      <alignment horizontal="center" vertical="center"/>
    </xf>
    <xf numFmtId="167" fontId="10" fillId="2" borderId="4" xfId="0" applyNumberFormat="1" applyFont="1" applyFill="1" applyBorder="1" applyAlignment="1">
      <alignment horizontal="center" vertical="center"/>
    </xf>
    <xf numFmtId="167" fontId="10" fillId="2" borderId="21" xfId="0" applyNumberFormat="1" applyFont="1" applyFill="1" applyBorder="1" applyAlignment="1">
      <alignment horizontal="center" vertical="center"/>
    </xf>
    <xf numFmtId="9" fontId="10" fillId="0" borderId="4" xfId="1" applyFont="1" applyBorder="1" applyAlignment="1">
      <alignment horizontal="center" vertical="center"/>
    </xf>
    <xf numFmtId="167" fontId="10" fillId="0" borderId="4" xfId="0" applyNumberFormat="1" applyFont="1" applyFill="1" applyBorder="1" applyAlignment="1">
      <alignment horizontal="center" vertical="center"/>
    </xf>
    <xf numFmtId="167" fontId="10" fillId="2" borderId="6" xfId="0" applyNumberFormat="1" applyFont="1" applyFill="1" applyBorder="1" applyAlignment="1">
      <alignment horizontal="center" vertical="center"/>
    </xf>
    <xf numFmtId="167" fontId="10" fillId="0" borderId="6" xfId="0" applyNumberFormat="1" applyFont="1" applyBorder="1" applyAlignment="1">
      <alignment horizontal="center" vertical="center"/>
    </xf>
    <xf numFmtId="9" fontId="10" fillId="0" borderId="6" xfId="1" applyFont="1" applyBorder="1" applyAlignment="1">
      <alignment horizontal="center" vertical="center"/>
    </xf>
    <xf numFmtId="9" fontId="9" fillId="0" borderId="23" xfId="1" applyFont="1" applyBorder="1" applyAlignment="1">
      <alignment horizontal="center" vertical="center"/>
    </xf>
    <xf numFmtId="0" fontId="7" fillId="0" borderId="0" xfId="0" applyFont="1" applyBorder="1"/>
    <xf numFmtId="0" fontId="10" fillId="0" borderId="0" xfId="0" applyFont="1" applyBorder="1"/>
    <xf numFmtId="0" fontId="8" fillId="4" borderId="0" xfId="0" applyFont="1" applyFill="1" applyBorder="1" applyAlignment="1">
      <alignment horizontal="center" vertical="center" wrapText="1"/>
    </xf>
    <xf numFmtId="0" fontId="8" fillId="4" borderId="0" xfId="0" applyFont="1" applyFill="1" applyBorder="1" applyAlignment="1">
      <alignment horizontal="left" vertical="center" wrapText="1" indent="1"/>
    </xf>
    <xf numFmtId="0" fontId="10" fillId="2" borderId="20" xfId="0" applyFont="1" applyFill="1" applyBorder="1" applyAlignment="1">
      <alignment horizontal="left" vertical="center" indent="1"/>
    </xf>
    <xf numFmtId="164" fontId="10" fillId="0" borderId="5" xfId="1" applyNumberFormat="1" applyFont="1" applyBorder="1" applyAlignment="1">
      <alignment horizontal="center" vertical="center"/>
    </xf>
    <xf numFmtId="167" fontId="10" fillId="0" borderId="21" xfId="0" applyNumberFormat="1" applyFont="1" applyBorder="1" applyAlignment="1">
      <alignment horizontal="center" vertical="center"/>
    </xf>
    <xf numFmtId="4" fontId="9" fillId="2" borderId="22" xfId="1" applyNumberFormat="1" applyFont="1" applyFill="1" applyBorder="1" applyAlignment="1">
      <alignment horizontal="center" vertical="center"/>
    </xf>
    <xf numFmtId="9" fontId="10" fillId="0" borderId="22" xfId="1" applyFont="1" applyBorder="1" applyAlignment="1">
      <alignment horizontal="center" vertical="center"/>
    </xf>
    <xf numFmtId="0" fontId="10" fillId="2" borderId="7" xfId="0" applyFont="1" applyFill="1" applyBorder="1" applyAlignment="1">
      <alignment horizontal="left" vertical="center" indent="1"/>
    </xf>
    <xf numFmtId="166" fontId="10" fillId="0" borderId="0" xfId="0" applyNumberFormat="1" applyFont="1" applyBorder="1" applyAlignment="1">
      <alignment horizontal="center" vertical="center"/>
    </xf>
    <xf numFmtId="164" fontId="10" fillId="0" borderId="0" xfId="0" applyNumberFormat="1" applyFont="1" applyBorder="1" applyAlignment="1">
      <alignment horizontal="center" vertical="center"/>
    </xf>
    <xf numFmtId="0" fontId="9" fillId="2" borderId="27" xfId="0" applyFont="1" applyFill="1" applyBorder="1" applyAlignment="1">
      <alignment horizontal="left" vertical="center" indent="1"/>
    </xf>
    <xf numFmtId="4" fontId="9" fillId="0" borderId="28" xfId="0" applyNumberFormat="1" applyFont="1" applyBorder="1" applyAlignment="1">
      <alignment horizontal="center" vertical="center"/>
    </xf>
    <xf numFmtId="4" fontId="9" fillId="2" borderId="29" xfId="1" applyNumberFormat="1" applyFont="1" applyFill="1" applyBorder="1" applyAlignment="1">
      <alignment horizontal="center" vertical="center"/>
    </xf>
    <xf numFmtId="0" fontId="9" fillId="2" borderId="28" xfId="0" applyFont="1" applyFill="1" applyBorder="1" applyAlignment="1">
      <alignment horizontal="left" vertical="center" indent="1"/>
    </xf>
    <xf numFmtId="9" fontId="9" fillId="0" borderId="29" xfId="1" applyFont="1" applyBorder="1" applyAlignment="1">
      <alignment horizontal="center" vertical="center"/>
    </xf>
    <xf numFmtId="166" fontId="9" fillId="0" borderId="28" xfId="0" applyNumberFormat="1" applyFont="1" applyBorder="1" applyAlignment="1">
      <alignment horizontal="center" vertical="center"/>
    </xf>
    <xf numFmtId="9" fontId="0" fillId="0" borderId="0" xfId="1" applyFont="1" applyAlignment="1">
      <alignment horizontal="center"/>
    </xf>
    <xf numFmtId="164" fontId="10" fillId="0" borderId="4" xfId="0" applyNumberFormat="1" applyFont="1" applyBorder="1" applyAlignment="1">
      <alignment horizontal="center" vertical="center"/>
    </xf>
    <xf numFmtId="166" fontId="10" fillId="2" borderId="4" xfId="1" applyNumberFormat="1" applyFont="1" applyFill="1" applyBorder="1" applyAlignment="1">
      <alignment horizontal="center" vertical="center"/>
    </xf>
    <xf numFmtId="0" fontId="18" fillId="8" borderId="4" xfId="0" applyFont="1" applyFill="1" applyBorder="1" applyAlignment="1">
      <alignment horizontal="left" vertical="center" indent="2"/>
    </xf>
    <xf numFmtId="0" fontId="18" fillId="8" borderId="4" xfId="0" applyFont="1" applyFill="1" applyBorder="1" applyAlignment="1">
      <alignment horizontal="left" vertical="center" indent="1"/>
    </xf>
    <xf numFmtId="9" fontId="18" fillId="0" borderId="23" xfId="1" applyFont="1" applyBorder="1" applyAlignment="1">
      <alignment horizontal="center" vertical="center"/>
    </xf>
    <xf numFmtId="0" fontId="23" fillId="2" borderId="0" xfId="0" applyFont="1" applyFill="1" applyAlignment="1" applyProtection="1">
      <alignment horizontal="center"/>
    </xf>
    <xf numFmtId="9" fontId="7" fillId="0" borderId="0" xfId="1" applyFont="1" applyAlignment="1">
      <alignment horizontal="center" vertical="center"/>
    </xf>
    <xf numFmtId="0" fontId="0" fillId="0" borderId="0" xfId="0" applyFont="1" applyProtection="1">
      <protection locked="0"/>
    </xf>
    <xf numFmtId="4" fontId="0" fillId="0" borderId="0" xfId="0" applyNumberFormat="1" applyFont="1" applyAlignment="1" applyProtection="1">
      <alignment horizontal="center"/>
      <protection locked="0"/>
    </xf>
    <xf numFmtId="0" fontId="0" fillId="0" borderId="0" xfId="0" applyFont="1"/>
    <xf numFmtId="0" fontId="9" fillId="2" borderId="4" xfId="0" applyFont="1" applyFill="1" applyBorder="1" applyAlignment="1">
      <alignment horizontal="left" vertical="center" indent="1"/>
    </xf>
    <xf numFmtId="9" fontId="9" fillId="0" borderId="0" xfId="1" applyFont="1" applyBorder="1" applyAlignment="1">
      <alignment horizontal="center" vertical="center"/>
    </xf>
    <xf numFmtId="0" fontId="9" fillId="0" borderId="20" xfId="0" applyFont="1" applyBorder="1" applyAlignment="1">
      <alignment horizontal="left" vertical="center" indent="1"/>
    </xf>
    <xf numFmtId="167" fontId="7" fillId="0" borderId="0" xfId="0" applyNumberFormat="1" applyFont="1" applyAlignment="1">
      <alignment horizontal="center"/>
    </xf>
    <xf numFmtId="9" fontId="7" fillId="0" borderId="0" xfId="0" applyNumberFormat="1" applyFont="1" applyBorder="1" applyAlignment="1">
      <alignment horizontal="center"/>
    </xf>
    <xf numFmtId="169" fontId="7" fillId="0" borderId="0" xfId="0" applyNumberFormat="1" applyFont="1" applyBorder="1" applyAlignment="1">
      <alignment horizontal="center"/>
    </xf>
    <xf numFmtId="9" fontId="9" fillId="0" borderId="5" xfId="1" applyFont="1" applyBorder="1" applyAlignment="1">
      <alignment horizontal="center" vertical="center"/>
    </xf>
    <xf numFmtId="0" fontId="0" fillId="0" borderId="19" xfId="0" applyFont="1" applyBorder="1"/>
    <xf numFmtId="0" fontId="0" fillId="0" borderId="0" xfId="0" applyFont="1" applyProtection="1"/>
    <xf numFmtId="0" fontId="0" fillId="0" borderId="19" xfId="0" applyFont="1" applyBorder="1" applyProtection="1"/>
    <xf numFmtId="3" fontId="0" fillId="0" borderId="0" xfId="0" applyNumberFormat="1" applyFont="1" applyAlignment="1">
      <alignment horizontal="center"/>
    </xf>
    <xf numFmtId="0" fontId="0" fillId="0" borderId="0" xfId="0" applyFont="1" applyFill="1"/>
    <xf numFmtId="0" fontId="0" fillId="0" borderId="0" xfId="0" applyFont="1" applyAlignment="1">
      <alignment horizontal="center"/>
    </xf>
    <xf numFmtId="0" fontId="0" fillId="0" borderId="0" xfId="0" applyFont="1" applyAlignment="1">
      <alignment horizontal="left" indent="1"/>
    </xf>
    <xf numFmtId="4" fontId="0" fillId="0" borderId="0" xfId="0" applyNumberFormat="1" applyFont="1" applyAlignment="1">
      <alignment horizontal="center"/>
    </xf>
    <xf numFmtId="9" fontId="0" fillId="0" borderId="0" xfId="0" applyNumberFormat="1" applyFont="1" applyAlignment="1">
      <alignment horizontal="center"/>
    </xf>
    <xf numFmtId="0" fontId="0" fillId="0" borderId="0" xfId="0" applyFont="1" applyAlignment="1">
      <alignment horizontal="left" vertical="center"/>
    </xf>
    <xf numFmtId="9" fontId="0" fillId="0" borderId="0" xfId="0" applyNumberFormat="1" applyFont="1" applyAlignment="1">
      <alignment horizontal="center" vertical="center"/>
    </xf>
    <xf numFmtId="9" fontId="0" fillId="0" borderId="5" xfId="0" applyNumberFormat="1" applyFont="1" applyBorder="1" applyAlignment="1">
      <alignment horizontal="center" vertical="center"/>
    </xf>
    <xf numFmtId="0" fontId="0" fillId="0" borderId="0" xfId="0" applyFont="1" applyAlignment="1">
      <alignment horizontal="center" vertical="center"/>
    </xf>
    <xf numFmtId="0" fontId="0" fillId="0" borderId="0" xfId="0" applyFont="1" applyAlignment="1">
      <alignment vertical="center"/>
    </xf>
    <xf numFmtId="169" fontId="0" fillId="0" borderId="0" xfId="0" applyNumberFormat="1" applyFont="1" applyAlignment="1">
      <alignment horizontal="center" vertical="center"/>
    </xf>
    <xf numFmtId="169" fontId="0" fillId="0" borderId="5" xfId="0" applyNumberFormat="1" applyFont="1" applyBorder="1" applyAlignment="1">
      <alignment horizontal="center" vertical="center"/>
    </xf>
    <xf numFmtId="3" fontId="0" fillId="0" borderId="0" xfId="0" applyNumberFormat="1" applyFont="1" applyAlignment="1">
      <alignment horizontal="center" vertical="center"/>
    </xf>
    <xf numFmtId="0" fontId="0" fillId="0" borderId="5" xfId="0" applyFont="1" applyBorder="1" applyAlignment="1">
      <alignment horizontal="center" vertical="center"/>
    </xf>
    <xf numFmtId="9" fontId="0" fillId="0" borderId="0" xfId="1" applyFont="1" applyAlignment="1">
      <alignment horizontal="center" vertical="center"/>
    </xf>
    <xf numFmtId="9" fontId="9" fillId="2" borderId="9" xfId="1" applyNumberFormat="1" applyFont="1" applyFill="1" applyBorder="1" applyAlignment="1">
      <alignment horizontal="center" vertical="center"/>
    </xf>
    <xf numFmtId="9" fontId="9" fillId="2" borderId="21" xfId="1" applyNumberFormat="1" applyFont="1" applyFill="1" applyBorder="1" applyAlignment="1">
      <alignment horizontal="center" vertical="center"/>
    </xf>
    <xf numFmtId="0" fontId="9" fillId="2" borderId="0" xfId="0" applyFont="1" applyFill="1" applyBorder="1" applyAlignment="1">
      <alignment horizontal="left" vertical="center" indent="3"/>
    </xf>
    <xf numFmtId="0" fontId="10" fillId="0" borderId="4" xfId="0" applyFont="1" applyBorder="1" applyAlignment="1">
      <alignment horizontal="left" vertical="center" indent="1"/>
    </xf>
    <xf numFmtId="9" fontId="9" fillId="0" borderId="6" xfId="1" applyFont="1" applyBorder="1" applyAlignment="1">
      <alignment horizontal="center" vertical="center"/>
    </xf>
    <xf numFmtId="0" fontId="18" fillId="8" borderId="0" xfId="0" applyFont="1" applyFill="1" applyBorder="1" applyAlignment="1">
      <alignment horizontal="left" vertical="center" indent="2"/>
    </xf>
    <xf numFmtId="4" fontId="18" fillId="8" borderId="0" xfId="0" applyNumberFormat="1" applyFont="1" applyFill="1" applyBorder="1" applyAlignment="1">
      <alignment horizontal="center" vertical="center"/>
    </xf>
    <xf numFmtId="4" fontId="21" fillId="8" borderId="22" xfId="1" applyNumberFormat="1" applyFont="1" applyFill="1" applyBorder="1" applyAlignment="1">
      <alignment horizontal="center" vertical="center"/>
    </xf>
    <xf numFmtId="9" fontId="18" fillId="8" borderId="4" xfId="1" applyFont="1" applyFill="1" applyBorder="1" applyAlignment="1">
      <alignment horizontal="center" vertical="center"/>
    </xf>
    <xf numFmtId="9" fontId="21" fillId="8" borderId="23" xfId="1" applyFont="1" applyFill="1" applyBorder="1" applyAlignment="1">
      <alignment horizontal="center" vertical="center"/>
    </xf>
    <xf numFmtId="0" fontId="26" fillId="4" borderId="1" xfId="0" applyFont="1" applyFill="1" applyBorder="1" applyAlignment="1">
      <alignment horizontal="left" vertical="center" indent="1"/>
    </xf>
    <xf numFmtId="2" fontId="10" fillId="6" borderId="0" xfId="0" applyNumberFormat="1" applyFont="1" applyFill="1" applyBorder="1" applyAlignment="1" applyProtection="1">
      <alignment horizontal="left" vertical="center" indent="2"/>
    </xf>
    <xf numFmtId="2" fontId="10" fillId="6" borderId="0" xfId="0" applyNumberFormat="1" applyFont="1" applyFill="1" applyBorder="1" applyAlignment="1">
      <alignment horizontal="left" vertical="center" wrapText="1"/>
    </xf>
    <xf numFmtId="1" fontId="10" fillId="6" borderId="0" xfId="0" applyNumberFormat="1" applyFont="1" applyFill="1" applyBorder="1" applyAlignment="1" applyProtection="1">
      <alignment horizontal="left" vertical="center"/>
    </xf>
    <xf numFmtId="1" fontId="9" fillId="6" borderId="0" xfId="0" applyNumberFormat="1" applyFont="1" applyFill="1" applyBorder="1" applyAlignment="1" applyProtection="1">
      <alignment horizontal="left" vertical="center"/>
    </xf>
    <xf numFmtId="9" fontId="10" fillId="6" borderId="0" xfId="1" applyFont="1" applyFill="1" applyBorder="1" applyAlignment="1">
      <alignment horizontal="left" vertical="center" wrapText="1"/>
    </xf>
    <xf numFmtId="0" fontId="10" fillId="6" borderId="0" xfId="0" applyFont="1" applyFill="1" applyBorder="1" applyAlignment="1">
      <alignment horizontal="left" vertical="center" wrapText="1"/>
    </xf>
    <xf numFmtId="0" fontId="9" fillId="0" borderId="7" xfId="0" applyFont="1" applyBorder="1" applyAlignment="1">
      <alignment horizontal="left" vertical="center" indent="1"/>
    </xf>
    <xf numFmtId="0" fontId="0" fillId="0" borderId="0" xfId="0" applyAlignment="1">
      <alignment horizontal="left" vertical="center" indent="3"/>
    </xf>
    <xf numFmtId="4" fontId="13" fillId="6" borderId="30" xfId="1" applyNumberFormat="1" applyFont="1" applyFill="1" applyBorder="1" applyAlignment="1">
      <alignment horizontal="center" vertical="center"/>
    </xf>
    <xf numFmtId="0" fontId="8" fillId="5" borderId="31" xfId="0" applyFont="1" applyFill="1" applyBorder="1" applyAlignment="1">
      <alignment horizontal="center" vertical="center" wrapText="1"/>
    </xf>
    <xf numFmtId="9" fontId="13" fillId="6" borderId="32" xfId="1" applyFont="1" applyFill="1" applyBorder="1" applyAlignment="1">
      <alignment horizontal="center" vertical="center"/>
    </xf>
    <xf numFmtId="9" fontId="13" fillId="3" borderId="33" xfId="1" applyFont="1" applyFill="1" applyBorder="1" applyAlignment="1">
      <alignment horizontal="center" vertical="center"/>
    </xf>
    <xf numFmtId="171" fontId="13" fillId="6" borderId="34" xfId="1" applyNumberFormat="1" applyFont="1" applyFill="1" applyBorder="1" applyAlignment="1">
      <alignment horizontal="center" vertical="center"/>
    </xf>
    <xf numFmtId="171" fontId="13" fillId="6" borderId="35" xfId="0" applyNumberFormat="1" applyFont="1" applyFill="1" applyBorder="1" applyAlignment="1">
      <alignment horizontal="center" vertical="center"/>
    </xf>
    <xf numFmtId="171" fontId="13" fillId="6" borderId="36" xfId="0" applyNumberFormat="1" applyFont="1" applyFill="1" applyBorder="1" applyAlignment="1">
      <alignment horizontal="center" vertical="center"/>
    </xf>
    <xf numFmtId="0" fontId="8" fillId="5" borderId="37" xfId="0" applyFont="1" applyFill="1" applyBorder="1" applyAlignment="1">
      <alignment horizontal="center" vertical="center" wrapText="1"/>
    </xf>
    <xf numFmtId="166" fontId="22" fillId="6" borderId="32" xfId="1" applyNumberFormat="1" applyFont="1" applyFill="1" applyBorder="1" applyAlignment="1">
      <alignment horizontal="center" vertical="center"/>
    </xf>
    <xf numFmtId="166" fontId="22" fillId="6" borderId="38" xfId="0" applyNumberFormat="1" applyFont="1" applyFill="1" applyBorder="1" applyAlignment="1">
      <alignment horizontal="center" vertical="center"/>
    </xf>
    <xf numFmtId="166" fontId="22" fillId="6" borderId="33" xfId="1" applyNumberFormat="1" applyFont="1" applyFill="1" applyBorder="1" applyAlignment="1">
      <alignment horizontal="center" vertical="center"/>
    </xf>
    <xf numFmtId="170" fontId="13" fillId="9" borderId="34" xfId="0" applyNumberFormat="1" applyFont="1" applyFill="1" applyBorder="1" applyAlignment="1">
      <alignment horizontal="center" vertical="center"/>
    </xf>
    <xf numFmtId="170" fontId="13" fillId="9" borderId="35" xfId="0" applyNumberFormat="1" applyFont="1" applyFill="1" applyBorder="1" applyAlignment="1">
      <alignment horizontal="center" vertical="center"/>
    </xf>
    <xf numFmtId="170" fontId="13" fillId="9" borderId="36" xfId="0" applyNumberFormat="1" applyFont="1" applyFill="1" applyBorder="1" applyAlignment="1">
      <alignment horizontal="center" vertical="center"/>
    </xf>
    <xf numFmtId="4" fontId="0" fillId="0" borderId="0" xfId="0" applyNumberFormat="1" applyFont="1"/>
    <xf numFmtId="14" fontId="23" fillId="0" borderId="0" xfId="0" applyNumberFormat="1" applyFont="1" applyProtection="1">
      <protection locked="0"/>
    </xf>
    <xf numFmtId="3" fontId="0" fillId="0" borderId="0" xfId="0" applyNumberFormat="1" applyFont="1"/>
    <xf numFmtId="0" fontId="0" fillId="0" borderId="0" xfId="0" applyNumberFormat="1" applyFont="1"/>
    <xf numFmtId="172" fontId="0" fillId="0" borderId="0" xfId="0" applyNumberFormat="1" applyFont="1"/>
    <xf numFmtId="39" fontId="0" fillId="0" borderId="0" xfId="0" applyNumberFormat="1" applyFont="1" applyBorder="1" applyAlignment="1" applyProtection="1">
      <alignment horizontal="center"/>
    </xf>
    <xf numFmtId="39" fontId="0" fillId="0" borderId="0" xfId="0" applyNumberFormat="1" applyAlignment="1" applyProtection="1">
      <alignment horizontal="center"/>
      <protection locked="0"/>
    </xf>
    <xf numFmtId="39" fontId="0" fillId="0" borderId="0" xfId="0" applyNumberFormat="1" applyFont="1" applyAlignment="1" applyProtection="1">
      <alignment horizontal="center"/>
      <protection locked="0"/>
    </xf>
    <xf numFmtId="39" fontId="0" fillId="0" borderId="19" xfId="0" applyNumberFormat="1" applyFont="1" applyBorder="1" applyAlignment="1" applyProtection="1">
      <alignment horizontal="center"/>
    </xf>
    <xf numFmtId="39" fontId="0" fillId="0" borderId="0" xfId="0" applyNumberFormat="1" applyFont="1" applyAlignment="1" applyProtection="1">
      <alignment horizontal="center"/>
    </xf>
    <xf numFmtId="39" fontId="23" fillId="0" borderId="0" xfId="0" applyNumberFormat="1" applyFont="1" applyAlignment="1" applyProtection="1">
      <alignment horizontal="center"/>
    </xf>
    <xf numFmtId="39" fontId="0" fillId="0" borderId="0" xfId="0" applyNumberFormat="1" applyFont="1" applyAlignment="1">
      <alignment horizontal="center"/>
    </xf>
    <xf numFmtId="39" fontId="0" fillId="0" borderId="19" xfId="0" applyNumberFormat="1" applyFont="1" applyBorder="1" applyAlignment="1">
      <alignment horizontal="center"/>
    </xf>
    <xf numFmtId="39" fontId="23" fillId="0" borderId="0" xfId="0" applyNumberFormat="1" applyFont="1" applyAlignment="1">
      <alignment horizontal="center"/>
    </xf>
    <xf numFmtId="167" fontId="10" fillId="6" borderId="5" xfId="0" applyNumberFormat="1" applyFont="1" applyFill="1" applyBorder="1" applyAlignment="1">
      <alignment horizontal="center" vertical="center" wrapText="1"/>
    </xf>
    <xf numFmtId="10" fontId="0" fillId="0" borderId="0" xfId="0" applyNumberFormat="1" applyAlignment="1">
      <alignment horizontal="center"/>
    </xf>
    <xf numFmtId="0" fontId="23" fillId="0" borderId="0" xfId="0" applyFont="1" applyAlignment="1">
      <alignment wrapText="1"/>
    </xf>
    <xf numFmtId="0" fontId="0" fillId="0" borderId="0" xfId="0" applyAlignment="1">
      <alignment wrapText="1"/>
    </xf>
    <xf numFmtId="2" fontId="0" fillId="0" borderId="0" xfId="0" applyNumberFormat="1" applyAlignment="1">
      <alignment wrapText="1"/>
    </xf>
    <xf numFmtId="14" fontId="23" fillId="0" borderId="0" xfId="0" applyNumberFormat="1" applyFont="1" applyAlignment="1" applyProtection="1">
      <alignment wrapText="1"/>
      <protection locked="0"/>
    </xf>
    <xf numFmtId="14" fontId="23" fillId="0" borderId="0" xfId="0" applyNumberFormat="1" applyFont="1" applyAlignment="1" applyProtection="1">
      <alignment horizontal="center" wrapText="1"/>
      <protection locked="0"/>
    </xf>
    <xf numFmtId="39" fontId="0" fillId="0" borderId="0" xfId="0" applyNumberFormat="1" applyAlignment="1" applyProtection="1">
      <alignment horizontal="center" wrapText="1"/>
      <protection locked="0"/>
    </xf>
    <xf numFmtId="39" fontId="0" fillId="0" borderId="0" xfId="0" applyNumberFormat="1" applyFont="1" applyAlignment="1" applyProtection="1">
      <alignment horizontal="center" wrapText="1"/>
      <protection locked="0"/>
    </xf>
    <xf numFmtId="2" fontId="0" fillId="0" borderId="0" xfId="0" applyNumberFormat="1" applyAlignment="1" applyProtection="1">
      <alignment horizontal="center" wrapText="1"/>
      <protection locked="0"/>
    </xf>
    <xf numFmtId="0" fontId="12" fillId="2" borderId="0" xfId="0" applyFont="1" applyFill="1" applyBorder="1" applyAlignment="1">
      <alignment horizontal="left" vertical="center"/>
    </xf>
    <xf numFmtId="0" fontId="9" fillId="6" borderId="24" xfId="0" applyFont="1" applyFill="1" applyBorder="1" applyAlignment="1">
      <alignment horizontal="left" vertical="center" indent="1"/>
    </xf>
    <xf numFmtId="0" fontId="9" fillId="6" borderId="25" xfId="0" applyFont="1" applyFill="1" applyBorder="1" applyAlignment="1">
      <alignment horizontal="left" vertical="center" indent="1"/>
    </xf>
    <xf numFmtId="0" fontId="9" fillId="6" borderId="26" xfId="0" applyFont="1" applyFill="1" applyBorder="1" applyAlignment="1">
      <alignment horizontal="left" vertical="center" indent="1"/>
    </xf>
    <xf numFmtId="0" fontId="8" fillId="4" borderId="0" xfId="0" quotePrefix="1" applyFont="1" applyFill="1" applyBorder="1" applyAlignment="1">
      <alignment horizontal="center" vertical="center" wrapText="1"/>
    </xf>
    <xf numFmtId="0" fontId="12" fillId="2" borderId="0" xfId="0" applyFont="1" applyFill="1" applyBorder="1" applyAlignment="1">
      <alignment horizontal="left" vertical="center"/>
    </xf>
  </cellXfs>
  <cellStyles count="2">
    <cellStyle name="Normal" xfId="0" builtinId="0"/>
    <cellStyle name="Porcentaje" xfId="1" builtinId="5"/>
  </cellStyles>
  <dxfs count="19">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border diagonalUp="0" diagonalDown="0">
        <left style="thin">
          <color indexed="64"/>
        </left>
        <right/>
        <top/>
        <bottom/>
        <horizontal/>
      </border>
    </dxf>
    <dxf>
      <font>
        <strike val="0"/>
        <outline val="0"/>
        <shadow val="0"/>
        <u val="none"/>
        <vertAlign val="baseline"/>
        <sz val="12"/>
        <name val="Ebrima"/>
        <scheme val="none"/>
      </font>
      <alignment horizontal="center" textRotation="0" wrapText="0" indent="0" justifyLastLine="0" shrinkToFit="0" readingOrder="0"/>
      <border diagonalUp="0" diagonalDown="0">
        <left/>
        <right style="thin">
          <color theme="3" tint="0.39997558519241921"/>
        </right>
        <top/>
        <bottom/>
        <horizontal/>
      </border>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color theme="1"/>
        <name val="Ebrima"/>
        <scheme val="none"/>
      </font>
      <alignment horizontal="left" textRotation="0" wrapText="0" relativeIndent="-1" justifyLastLine="0" shrinkToFit="0" readingOrder="0"/>
      <border diagonalUp="0" diagonalDown="0">
        <left style="thin">
          <color theme="3"/>
        </left>
        <right style="thin">
          <color theme="3"/>
        </right>
        <top/>
        <bottom/>
        <vertical/>
        <horizontal/>
      </border>
    </dxf>
    <dxf>
      <border diagonalUp="0" diagonalDown="0">
        <left/>
        <right style="thin">
          <color theme="3"/>
        </right>
        <top/>
        <bottom/>
      </border>
    </dxf>
    <dxf>
      <font>
        <strike val="0"/>
        <outline val="0"/>
        <shadow val="0"/>
        <u val="none"/>
        <vertAlign val="baseline"/>
        <sz val="12"/>
        <name val="Ebrima"/>
        <scheme val="none"/>
      </font>
    </dxf>
    <dxf>
      <font>
        <strike val="0"/>
        <outline val="0"/>
        <shadow val="0"/>
        <u val="none"/>
        <vertAlign val="baseline"/>
        <sz val="12"/>
        <name val="Ebrima"/>
        <scheme val="none"/>
      </font>
    </dxf>
  </dxfs>
  <tableStyles count="0" defaultTableStyle="TableStyleMedium2" defaultPivotStyle="PivotStyleMedium9"/>
  <colors>
    <mruColors>
      <color rgb="FF00FF00"/>
      <color rgb="FFFFFF00"/>
      <color rgb="FFFFFD78"/>
      <color rgb="FF008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sz="1800" b="1"/>
              <a:t>Valor Intrínseco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_tradnl"/>
        </a:p>
      </c:txPr>
    </c:title>
    <c:autoTitleDeleted val="0"/>
    <c:plotArea>
      <c:layout/>
      <c:lineChart>
        <c:grouping val="standard"/>
        <c:varyColors val="0"/>
        <c:ser>
          <c:idx val="0"/>
          <c:order val="0"/>
          <c:tx>
            <c:strRef>
              <c:f>'4.Valoración'!$A$22</c:f>
              <c:strCache>
                <c:ptCount val="1"/>
                <c:pt idx="0">
                  <c:v>EV / FCF </c:v>
                </c:pt>
              </c:strCache>
            </c:strRef>
          </c:tx>
          <c:spPr>
            <a:ln w="28575" cap="rnd">
              <a:solidFill>
                <a:schemeClr val="accent1"/>
              </a:solidFill>
              <a:round/>
            </a:ln>
            <a:effectLst/>
          </c:spPr>
          <c:marker>
            <c:symbol val="diamond"/>
            <c:size val="10"/>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'4.Valoración'!$B$20:$F$20</c:f>
              <c:strCache>
                <c:ptCount val="5"/>
                <c:pt idx="0">
                  <c:v>2025e</c:v>
                </c:pt>
                <c:pt idx="1">
                  <c:v>2026e</c:v>
                </c:pt>
                <c:pt idx="2">
                  <c:v>2027e</c:v>
                </c:pt>
                <c:pt idx="3">
                  <c:v>2028e</c:v>
                </c:pt>
                <c:pt idx="4">
                  <c:v>2029e</c:v>
                </c:pt>
              </c:strCache>
            </c:strRef>
          </c:cat>
          <c:val>
            <c:numRef>
              <c:f>'4.Valoración'!$B$22:$F$22</c:f>
              <c:numCache>
                <c:formatCode>#,##0.00</c:formatCode>
                <c:ptCount val="5"/>
                <c:pt idx="0">
                  <c:v>814.64131654168625</c:v>
                </c:pt>
                <c:pt idx="1">
                  <c:v>971.78375142580842</c:v>
                </c:pt>
                <c:pt idx="2">
                  <c:v>1159.1395242652793</c:v>
                </c:pt>
                <c:pt idx="3">
                  <c:v>1382.5163482242256</c:v>
                </c:pt>
                <c:pt idx="4">
                  <c:v>1648.8382976665655</c:v>
                </c:pt>
              </c:numCache>
            </c:numRef>
          </c:val>
          <c:smooth val="1"/>
          <c:extLst>
            <c:ext xmlns:c16="http://schemas.microsoft.com/office/drawing/2014/chart" uri="{C3380CC4-5D6E-409C-BE32-E72D297353CC}">
              <c16:uniqueId val="{00000000-ECAE-4AC7-A87E-F0CB64A2EAEC}"/>
            </c:ext>
          </c:extLst>
        </c:ser>
        <c:ser>
          <c:idx val="1"/>
          <c:order val="1"/>
          <c:tx>
            <c:strRef>
              <c:f>TIKR_Cálculos!$A$14</c:f>
              <c:strCache>
                <c:ptCount val="1"/>
                <c:pt idx="0">
                  <c:v>Precio actual</c:v>
                </c:pt>
              </c:strCache>
            </c:strRef>
          </c:tx>
          <c:spPr>
            <a:ln w="28575" cap="rnd">
              <a:solidFill>
                <a:schemeClr val="accent6"/>
              </a:solidFill>
              <a:prstDash val="dash"/>
              <a:round/>
            </a:ln>
            <a:effectLst/>
          </c:spPr>
          <c:marker>
            <c:symbol val="none"/>
          </c:marker>
          <c:cat>
            <c:strRef>
              <c:f>'4.Valoración'!$B$20:$F$20</c:f>
              <c:strCache>
                <c:ptCount val="5"/>
                <c:pt idx="0">
                  <c:v>2025e</c:v>
                </c:pt>
                <c:pt idx="1">
                  <c:v>2026e</c:v>
                </c:pt>
                <c:pt idx="2">
                  <c:v>2027e</c:v>
                </c:pt>
                <c:pt idx="3">
                  <c:v>2028e</c:v>
                </c:pt>
                <c:pt idx="4">
                  <c:v>2029e</c:v>
                </c:pt>
              </c:strCache>
            </c:strRef>
          </c:cat>
          <c:val>
            <c:numRef>
              <c:f>TIKR_Cálculos!$B$14:$F$14</c:f>
              <c:numCache>
                <c:formatCode>#,##0.00</c:formatCode>
                <c:ptCount val="5"/>
                <c:pt idx="0">
                  <c:v>672</c:v>
                </c:pt>
                <c:pt idx="1">
                  <c:v>672</c:v>
                </c:pt>
                <c:pt idx="2">
                  <c:v>672</c:v>
                </c:pt>
                <c:pt idx="3">
                  <c:v>672</c:v>
                </c:pt>
                <c:pt idx="4">
                  <c:v>672</c:v>
                </c:pt>
              </c:numCache>
            </c:numRef>
          </c:val>
          <c:smooth val="1"/>
          <c:extLst>
            <c:ext xmlns:c16="http://schemas.microsoft.com/office/drawing/2014/chart" uri="{C3380CC4-5D6E-409C-BE32-E72D297353CC}">
              <c16:uniqueId val="{00000001-ECAE-4AC7-A87E-F0CB64A2EAEC}"/>
            </c:ext>
          </c:extLst>
        </c:ser>
        <c:dLbls>
          <c:showLegendKey val="0"/>
          <c:showVal val="0"/>
          <c:showCatName val="0"/>
          <c:showSerName val="0"/>
          <c:showPercent val="0"/>
          <c:showBubbleSize val="0"/>
        </c:dLbls>
        <c:marker val="1"/>
        <c:smooth val="0"/>
        <c:axId val="1725711072"/>
        <c:axId val="1786543760"/>
      </c:lineChart>
      <c:catAx>
        <c:axId val="1725711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1786543760"/>
        <c:crosses val="autoZero"/>
        <c:auto val="1"/>
        <c:lblAlgn val="ctr"/>
        <c:lblOffset val="100"/>
        <c:noMultiLvlLbl val="0"/>
      </c:catAx>
      <c:valAx>
        <c:axId val="1786543760"/>
        <c:scaling>
          <c:orientation val="minMax"/>
        </c:scaling>
        <c:delete val="0"/>
        <c:axPos val="l"/>
        <c:majorGridlines>
          <c:spPr>
            <a:ln w="9525" cap="flat" cmpd="sng" algn="ctr">
              <a:solidFill>
                <a:schemeClr val="tx1">
                  <a:lumMod val="15000"/>
                  <a:lumOff val="85000"/>
                </a:schemeClr>
              </a:solidFill>
              <a:prstDash val="dash"/>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1725711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dpi="0" rotWithShape="1">
      <a:blip xmlns:r="http://schemas.openxmlformats.org/officeDocument/2006/relationships" r:embed="rId3">
        <a:alphaModFix amt="8000"/>
      </a:blip>
      <a:srcRect/>
      <a:tile tx="0" ty="0" sx="100000" sy="100000" flip="none" algn="tl"/>
    </a:blipFill>
    <a:ln w="9525" cap="flat" cmpd="sng" algn="ctr">
      <a:noFill/>
      <a:round/>
    </a:ln>
    <a:effectLst/>
  </c:spPr>
  <c:txPr>
    <a:bodyPr/>
    <a:lstStyle/>
    <a:p>
      <a:pPr>
        <a:defRPr/>
      </a:pPr>
      <a:endParaRPr lang="es-ES_trad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Márgenes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_tradnl"/>
        </a:p>
      </c:txPr>
    </c:title>
    <c:autoTitleDeleted val="0"/>
    <c:plotArea>
      <c:layout/>
      <c:lineChart>
        <c:grouping val="standard"/>
        <c:varyColors val="0"/>
        <c:ser>
          <c:idx val="0"/>
          <c:order val="0"/>
          <c:tx>
            <c:strRef>
              <c:f>TIKR_Cálculos!$A$40</c:f>
              <c:strCache>
                <c:ptCount val="1"/>
                <c:pt idx="0">
                  <c:v>EBITDA</c:v>
                </c:pt>
              </c:strCache>
            </c:strRef>
          </c:tx>
          <c:spPr>
            <a:ln w="28575" cap="rnd">
              <a:solidFill>
                <a:schemeClr val="accent1"/>
              </a:solidFill>
              <a:round/>
            </a:ln>
            <a:effectLst/>
          </c:spPr>
          <c:marker>
            <c:symbol val="none"/>
          </c:marker>
          <c:cat>
            <c:numRef>
              <c:f>TIKR_Cálculos!$B$39:$H$39</c:f>
              <c:numCache>
                <c:formatCode>General</c:formatCode>
                <c:ptCount val="7"/>
                <c:pt idx="0">
                  <c:v>2018</c:v>
                </c:pt>
                <c:pt idx="1">
                  <c:v>2019</c:v>
                </c:pt>
                <c:pt idx="2">
                  <c:v>2020</c:v>
                </c:pt>
                <c:pt idx="3">
                  <c:v>2021</c:v>
                </c:pt>
                <c:pt idx="4">
                  <c:v>2022</c:v>
                </c:pt>
                <c:pt idx="5">
                  <c:v>2023</c:v>
                </c:pt>
                <c:pt idx="6">
                  <c:v>2024</c:v>
                </c:pt>
              </c:numCache>
            </c:numRef>
          </c:cat>
          <c:val>
            <c:numRef>
              <c:f>TIKR_Cálculos!$B$40:$H$40</c:f>
              <c:numCache>
                <c:formatCode>0.0%</c:formatCode>
                <c:ptCount val="7"/>
                <c:pt idx="0">
                  <c:v>0.33048245614035088</c:v>
                </c:pt>
                <c:pt idx="1">
                  <c:v>0.29991539763113367</c:v>
                </c:pt>
                <c:pt idx="2">
                  <c:v>0.32494902886575816</c:v>
                </c:pt>
                <c:pt idx="3">
                  <c:v>0.38800171941325023</c:v>
                </c:pt>
                <c:pt idx="4">
                  <c:v>0.38713196746861622</c:v>
                </c:pt>
                <c:pt idx="5">
                  <c:v>0.35664132663243647</c:v>
                </c:pt>
                <c:pt idx="6">
                  <c:v>0.35174026727618185</c:v>
                </c:pt>
              </c:numCache>
            </c:numRef>
          </c:val>
          <c:smooth val="1"/>
          <c:extLst>
            <c:ext xmlns:c16="http://schemas.microsoft.com/office/drawing/2014/chart" uri="{C3380CC4-5D6E-409C-BE32-E72D297353CC}">
              <c16:uniqueId val="{00000000-724A-4770-9702-F87A32B0FCEE}"/>
            </c:ext>
          </c:extLst>
        </c:ser>
        <c:ser>
          <c:idx val="1"/>
          <c:order val="1"/>
          <c:tx>
            <c:strRef>
              <c:f>TIKR_Cálculos!$A$41</c:f>
              <c:strCache>
                <c:ptCount val="1"/>
                <c:pt idx="0">
                  <c:v>EBIT</c:v>
                </c:pt>
              </c:strCache>
            </c:strRef>
          </c:tx>
          <c:spPr>
            <a:ln w="28575" cap="rnd">
              <a:solidFill>
                <a:schemeClr val="accent6"/>
              </a:solidFill>
              <a:round/>
            </a:ln>
            <a:effectLst/>
          </c:spPr>
          <c:marker>
            <c:symbol val="none"/>
          </c:marker>
          <c:cat>
            <c:numRef>
              <c:f>TIKR_Cálculos!$B$39:$H$39</c:f>
              <c:numCache>
                <c:formatCode>General</c:formatCode>
                <c:ptCount val="7"/>
                <c:pt idx="0">
                  <c:v>2018</c:v>
                </c:pt>
                <c:pt idx="1">
                  <c:v>2019</c:v>
                </c:pt>
                <c:pt idx="2">
                  <c:v>2020</c:v>
                </c:pt>
                <c:pt idx="3">
                  <c:v>2021</c:v>
                </c:pt>
                <c:pt idx="4">
                  <c:v>2022</c:v>
                </c:pt>
                <c:pt idx="5">
                  <c:v>2023</c:v>
                </c:pt>
                <c:pt idx="6">
                  <c:v>2024</c:v>
                </c:pt>
              </c:numCache>
            </c:numRef>
          </c:cat>
          <c:val>
            <c:numRef>
              <c:f>TIKR_Cálculos!$B$41:$H$41</c:f>
              <c:numCache>
                <c:formatCode>0.0%</c:formatCode>
                <c:ptCount val="7"/>
                <c:pt idx="0">
                  <c:v>0.26345942982456144</c:v>
                </c:pt>
                <c:pt idx="1">
                  <c:v>0.22983925549915396</c:v>
                </c:pt>
                <c:pt idx="2">
                  <c:v>0.28983796544693635</c:v>
                </c:pt>
                <c:pt idx="3">
                  <c:v>0.3626941056364516</c:v>
                </c:pt>
                <c:pt idx="4">
                  <c:v>0.34576402467246636</c:v>
                </c:pt>
                <c:pt idx="5">
                  <c:v>0.3281129234174574</c:v>
                </c:pt>
                <c:pt idx="6">
                  <c:v>0.31923829472559434</c:v>
                </c:pt>
              </c:numCache>
            </c:numRef>
          </c:val>
          <c:smooth val="1"/>
          <c:extLst>
            <c:ext xmlns:c16="http://schemas.microsoft.com/office/drawing/2014/chart" uri="{C3380CC4-5D6E-409C-BE32-E72D297353CC}">
              <c16:uniqueId val="{00000001-724A-4770-9702-F87A32B0FCEE}"/>
            </c:ext>
          </c:extLst>
        </c:ser>
        <c:ser>
          <c:idx val="2"/>
          <c:order val="2"/>
          <c:tx>
            <c:strRef>
              <c:f>TIKR_Cálculos!$A$42</c:f>
              <c:strCache>
                <c:ptCount val="1"/>
                <c:pt idx="0">
                  <c:v>FCF</c:v>
                </c:pt>
              </c:strCache>
            </c:strRef>
          </c:tx>
          <c:spPr>
            <a:ln w="28575" cap="rnd">
              <a:solidFill>
                <a:schemeClr val="accent3"/>
              </a:solidFill>
              <a:round/>
            </a:ln>
            <a:effectLst/>
          </c:spPr>
          <c:marker>
            <c:symbol val="none"/>
          </c:marker>
          <c:cat>
            <c:numRef>
              <c:f>TIKR_Cálculos!$B$39:$H$39</c:f>
              <c:numCache>
                <c:formatCode>General</c:formatCode>
                <c:ptCount val="7"/>
                <c:pt idx="0">
                  <c:v>2018</c:v>
                </c:pt>
                <c:pt idx="1">
                  <c:v>2019</c:v>
                </c:pt>
                <c:pt idx="2">
                  <c:v>2020</c:v>
                </c:pt>
                <c:pt idx="3">
                  <c:v>2021</c:v>
                </c:pt>
                <c:pt idx="4">
                  <c:v>2022</c:v>
                </c:pt>
                <c:pt idx="5">
                  <c:v>2023</c:v>
                </c:pt>
                <c:pt idx="6">
                  <c:v>2024</c:v>
                </c:pt>
              </c:numCache>
            </c:numRef>
          </c:cat>
          <c:val>
            <c:numRef>
              <c:f>TIKR_Cálculos!$B$42:$H$42</c:f>
              <c:numCache>
                <c:formatCode>0.0%</c:formatCode>
                <c:ptCount val="7"/>
                <c:pt idx="0">
                  <c:v>0.31129385964912287</c:v>
                </c:pt>
                <c:pt idx="1">
                  <c:v>0.23587986463620977</c:v>
                </c:pt>
                <c:pt idx="2">
                  <c:v>0.40877061201130316</c:v>
                </c:pt>
                <c:pt idx="3">
                  <c:v>0.52952554940626506</c:v>
                </c:pt>
                <c:pt idx="4">
                  <c:v>0.39550568165717354</c:v>
                </c:pt>
                <c:pt idx="5">
                  <c:v>0.14246784113794284</c:v>
                </c:pt>
                <c:pt idx="6">
                  <c:v>0.53342367556054071</c:v>
                </c:pt>
              </c:numCache>
            </c:numRef>
          </c:val>
          <c:smooth val="1"/>
          <c:extLst>
            <c:ext xmlns:c16="http://schemas.microsoft.com/office/drawing/2014/chart" uri="{C3380CC4-5D6E-409C-BE32-E72D297353CC}">
              <c16:uniqueId val="{00000002-724A-4770-9702-F87A32B0FCEE}"/>
            </c:ext>
          </c:extLst>
        </c:ser>
        <c:dLbls>
          <c:showLegendKey val="0"/>
          <c:showVal val="0"/>
          <c:showCatName val="0"/>
          <c:showSerName val="0"/>
          <c:showPercent val="0"/>
          <c:showBubbleSize val="0"/>
        </c:dLbls>
        <c:smooth val="0"/>
        <c:axId val="375176607"/>
        <c:axId val="375174111"/>
      </c:lineChart>
      <c:catAx>
        <c:axId val="375176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375174111"/>
        <c:crosses val="autoZero"/>
        <c:auto val="1"/>
        <c:lblAlgn val="ctr"/>
        <c:lblOffset val="100"/>
        <c:noMultiLvlLbl val="0"/>
      </c:catAx>
      <c:valAx>
        <c:axId val="375174111"/>
        <c:scaling>
          <c:orientation val="minMax"/>
        </c:scaling>
        <c:delete val="0"/>
        <c:axPos val="l"/>
        <c:majorGridlines>
          <c:spPr>
            <a:ln w="9525" cap="flat" cmpd="sng" algn="ctr">
              <a:solidFill>
                <a:schemeClr val="tx1">
                  <a:lumMod val="15000"/>
                  <a:lumOff val="85000"/>
                </a:schemeClr>
              </a:solidFill>
              <a:prstDash val="dash"/>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3751766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legend>
    <c:plotVisOnly val="1"/>
    <c:dispBlanksAs val="gap"/>
    <c:showDLblsOverMax val="0"/>
  </c:chart>
  <c:spPr>
    <a:blipFill dpi="0" rotWithShape="1">
      <a:blip xmlns:r="http://schemas.openxmlformats.org/officeDocument/2006/relationships" r:embed="rId3">
        <a:alphaModFix amt="10000"/>
      </a:blip>
      <a:srcRect/>
      <a:tile tx="0" ty="0" sx="100000" sy="100000" flip="none" algn="tl"/>
    </a:blipFill>
    <a:ln w="9525" cap="flat" cmpd="sng" algn="ctr">
      <a:noFill/>
      <a:round/>
    </a:ln>
    <a:effectLst/>
  </c:spPr>
  <c:txPr>
    <a:bodyPr/>
    <a:lstStyle/>
    <a:p>
      <a:pPr>
        <a:defRPr/>
      </a:pPr>
      <a:endParaRPr lang="es-ES_trad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Crecimiento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_tradnl"/>
        </a:p>
      </c:txPr>
    </c:title>
    <c:autoTitleDeleted val="0"/>
    <c:plotArea>
      <c:layout/>
      <c:lineChart>
        <c:grouping val="standard"/>
        <c:varyColors val="0"/>
        <c:ser>
          <c:idx val="0"/>
          <c:order val="0"/>
          <c:tx>
            <c:strRef>
              <c:f>TIKR_Cálculos!$A$35</c:f>
              <c:strCache>
                <c:ptCount val="1"/>
                <c:pt idx="0">
                  <c:v>Ventas</c:v>
                </c:pt>
              </c:strCache>
            </c:strRef>
          </c:tx>
          <c:spPr>
            <a:ln w="28575" cap="rnd">
              <a:solidFill>
                <a:schemeClr val="accent1"/>
              </a:solidFill>
              <a:round/>
            </a:ln>
            <a:effectLst/>
          </c:spPr>
          <c:marker>
            <c:symbol val="none"/>
          </c:marker>
          <c:cat>
            <c:numRef>
              <c:f>TIKR_Cálculos!$B$34:$G$34</c:f>
              <c:numCache>
                <c:formatCode>General</c:formatCode>
                <c:ptCount val="6"/>
                <c:pt idx="0">
                  <c:v>2019</c:v>
                </c:pt>
                <c:pt idx="1">
                  <c:v>2020</c:v>
                </c:pt>
                <c:pt idx="2">
                  <c:v>2021</c:v>
                </c:pt>
                <c:pt idx="3">
                  <c:v>2022</c:v>
                </c:pt>
                <c:pt idx="4">
                  <c:v>2023</c:v>
                </c:pt>
                <c:pt idx="5">
                  <c:v>2024</c:v>
                </c:pt>
              </c:numCache>
            </c:numRef>
          </c:cat>
          <c:val>
            <c:numRef>
              <c:f>TIKR_Cálculos!$B$35:$G$35</c:f>
              <c:numCache>
                <c:formatCode>0%</c:formatCode>
                <c:ptCount val="6"/>
                <c:pt idx="0">
                  <c:v>8.0043859649122806E-2</c:v>
                </c:pt>
                <c:pt idx="1">
                  <c:v>0.18261421319796955</c:v>
                </c:pt>
                <c:pt idx="2">
                  <c:v>0.33140179561469402</c:v>
                </c:pt>
                <c:pt idx="3">
                  <c:v>0.13768201601203597</c:v>
                </c:pt>
                <c:pt idx="4">
                  <c:v>0.30156233765007029</c:v>
                </c:pt>
                <c:pt idx="5">
                  <c:v>2.5560171997750292E-2</c:v>
                </c:pt>
              </c:numCache>
            </c:numRef>
          </c:val>
          <c:smooth val="1"/>
          <c:extLst>
            <c:ext xmlns:c16="http://schemas.microsoft.com/office/drawing/2014/chart" uri="{C3380CC4-5D6E-409C-BE32-E72D297353CC}">
              <c16:uniqueId val="{00000000-E8FB-47C7-8EDA-0FF775984DCF}"/>
            </c:ext>
          </c:extLst>
        </c:ser>
        <c:ser>
          <c:idx val="1"/>
          <c:order val="1"/>
          <c:tx>
            <c:strRef>
              <c:f>TIKR_Cálculos!$A$36</c:f>
              <c:strCache>
                <c:ptCount val="1"/>
                <c:pt idx="0">
                  <c:v>EPS</c:v>
                </c:pt>
              </c:strCache>
            </c:strRef>
          </c:tx>
          <c:spPr>
            <a:ln w="28575" cap="rnd">
              <a:solidFill>
                <a:schemeClr val="accent6"/>
              </a:solidFill>
              <a:round/>
            </a:ln>
            <a:effectLst/>
          </c:spPr>
          <c:marker>
            <c:symbol val="none"/>
          </c:marker>
          <c:cat>
            <c:numRef>
              <c:f>TIKR_Cálculos!$B$34:$G$34</c:f>
              <c:numCache>
                <c:formatCode>General</c:formatCode>
                <c:ptCount val="6"/>
                <c:pt idx="0">
                  <c:v>2019</c:v>
                </c:pt>
                <c:pt idx="1">
                  <c:v>2020</c:v>
                </c:pt>
                <c:pt idx="2">
                  <c:v>2021</c:v>
                </c:pt>
                <c:pt idx="3">
                  <c:v>2022</c:v>
                </c:pt>
                <c:pt idx="4">
                  <c:v>2023</c:v>
                </c:pt>
                <c:pt idx="5">
                  <c:v>2024</c:v>
                </c:pt>
              </c:numCache>
            </c:numRef>
          </c:cat>
          <c:val>
            <c:numRef>
              <c:f>TIKR_Cálculos!$B$36:$G$36</c:f>
              <c:numCache>
                <c:formatCode>0%</c:formatCode>
                <c:ptCount val="6"/>
                <c:pt idx="0">
                  <c:v>3.1306732126136695E-2</c:v>
                </c:pt>
                <c:pt idx="1">
                  <c:v>0.36251078643130002</c:v>
                </c:pt>
                <c:pt idx="2">
                  <c:v>0.68011187882908375</c:v>
                </c:pt>
                <c:pt idx="3">
                  <c:v>0.13510478049721009</c:v>
                </c:pt>
                <c:pt idx="4">
                  <c:v>0.22152270436247856</c:v>
                </c:pt>
                <c:pt idx="5">
                  <c:v>-1.6602822978640821E-2</c:v>
                </c:pt>
              </c:numCache>
            </c:numRef>
          </c:val>
          <c:smooth val="1"/>
          <c:extLst>
            <c:ext xmlns:c16="http://schemas.microsoft.com/office/drawing/2014/chart" uri="{C3380CC4-5D6E-409C-BE32-E72D297353CC}">
              <c16:uniqueId val="{00000001-E8FB-47C7-8EDA-0FF775984DCF}"/>
            </c:ext>
          </c:extLst>
        </c:ser>
        <c:ser>
          <c:idx val="2"/>
          <c:order val="2"/>
          <c:tx>
            <c:strRef>
              <c:f>TIKR_Cálculos!$A$37</c:f>
              <c:strCache>
                <c:ptCount val="1"/>
                <c:pt idx="0">
                  <c:v>FCF per share</c:v>
                </c:pt>
              </c:strCache>
            </c:strRef>
          </c:tx>
          <c:spPr>
            <a:ln w="28575" cap="rnd">
              <a:solidFill>
                <a:schemeClr val="accent3"/>
              </a:solidFill>
              <a:round/>
            </a:ln>
            <a:effectLst/>
          </c:spPr>
          <c:marker>
            <c:symbol val="none"/>
          </c:marker>
          <c:cat>
            <c:numRef>
              <c:f>TIKR_Cálculos!$B$34:$G$34</c:f>
              <c:numCache>
                <c:formatCode>General</c:formatCode>
                <c:ptCount val="6"/>
                <c:pt idx="0">
                  <c:v>2019</c:v>
                </c:pt>
                <c:pt idx="1">
                  <c:v>2020</c:v>
                </c:pt>
                <c:pt idx="2">
                  <c:v>2021</c:v>
                </c:pt>
                <c:pt idx="3">
                  <c:v>2022</c:v>
                </c:pt>
                <c:pt idx="4">
                  <c:v>2023</c:v>
                </c:pt>
                <c:pt idx="5">
                  <c:v>2024</c:v>
                </c:pt>
              </c:numCache>
            </c:numRef>
          </c:cat>
          <c:val>
            <c:numRef>
              <c:f>TIKR_Cálculos!$B$37:$G$37</c:f>
              <c:numCache>
                <c:formatCode>0%</c:formatCode>
                <c:ptCount val="6"/>
                <c:pt idx="0">
                  <c:v>-0.18160737348831779</c:v>
                </c:pt>
                <c:pt idx="1">
                  <c:v>1.0494243391556981</c:v>
                </c:pt>
                <c:pt idx="2">
                  <c:v>0.72471123556177786</c:v>
                </c:pt>
                <c:pt idx="3">
                  <c:v>-0.15025875190258764</c:v>
                </c:pt>
                <c:pt idx="4">
                  <c:v>-0.53115521482649108</c:v>
                </c:pt>
                <c:pt idx="5">
                  <c:v>2.8398706128062794</c:v>
                </c:pt>
              </c:numCache>
            </c:numRef>
          </c:val>
          <c:smooth val="1"/>
          <c:extLst>
            <c:ext xmlns:c16="http://schemas.microsoft.com/office/drawing/2014/chart" uri="{C3380CC4-5D6E-409C-BE32-E72D297353CC}">
              <c16:uniqueId val="{00000002-E8FB-47C7-8EDA-0FF775984DCF}"/>
            </c:ext>
          </c:extLst>
        </c:ser>
        <c:dLbls>
          <c:showLegendKey val="0"/>
          <c:showVal val="0"/>
          <c:showCatName val="0"/>
          <c:showSerName val="0"/>
          <c:showPercent val="0"/>
          <c:showBubbleSize val="0"/>
        </c:dLbls>
        <c:smooth val="0"/>
        <c:axId val="342049839"/>
        <c:axId val="342044847"/>
      </c:lineChart>
      <c:catAx>
        <c:axId val="342049839"/>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342044847"/>
        <c:crosses val="autoZero"/>
        <c:auto val="1"/>
        <c:lblAlgn val="ctr"/>
        <c:lblOffset val="100"/>
        <c:noMultiLvlLbl val="0"/>
      </c:catAx>
      <c:valAx>
        <c:axId val="342044847"/>
        <c:scaling>
          <c:orientation val="minMax"/>
          <c:max val="1"/>
        </c:scaling>
        <c:delete val="0"/>
        <c:axPos val="l"/>
        <c:majorGridlines>
          <c:spPr>
            <a:ln w="9525" cap="flat" cmpd="sng" algn="ctr">
              <a:solidFill>
                <a:schemeClr val="tx1">
                  <a:lumMod val="15000"/>
                  <a:lumOff val="85000"/>
                </a:schemeClr>
              </a:solidFill>
              <a:prstDash val="dash"/>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3420498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legend>
    <c:plotVisOnly val="1"/>
    <c:dispBlanksAs val="gap"/>
    <c:showDLblsOverMax val="0"/>
  </c:chart>
  <c:spPr>
    <a:blipFill dpi="0" rotWithShape="1">
      <a:blip xmlns:r="http://schemas.openxmlformats.org/officeDocument/2006/relationships" r:embed="rId3">
        <a:alphaModFix amt="10000"/>
      </a:blip>
      <a:srcRect/>
      <a:tile tx="0" ty="0" sx="100000" sy="100000" flip="none" algn="tl"/>
    </a:blipFill>
    <a:ln w="9525" cap="flat" cmpd="sng" algn="ctr">
      <a:noFill/>
      <a:round/>
    </a:ln>
    <a:effectLst/>
  </c:spPr>
  <c:txPr>
    <a:bodyPr/>
    <a:lstStyle/>
    <a:p>
      <a:pPr>
        <a:defRPr/>
      </a:pPr>
      <a:endParaRPr lang="es-ES_tradn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FCF vs ROIC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_tradnl"/>
        </a:p>
      </c:txPr>
    </c:title>
    <c:autoTitleDeleted val="0"/>
    <c:plotArea>
      <c:layout/>
      <c:barChart>
        <c:barDir val="col"/>
        <c:grouping val="clustered"/>
        <c:varyColors val="0"/>
        <c:ser>
          <c:idx val="0"/>
          <c:order val="0"/>
          <c:tx>
            <c:strRef>
              <c:f>TIKR_Cálculos!$A$45</c:f>
              <c:strCache>
                <c:ptCount val="1"/>
                <c:pt idx="0">
                  <c:v>FCF</c:v>
                </c:pt>
              </c:strCache>
            </c:strRef>
          </c:tx>
          <c:spPr>
            <a:solidFill>
              <a:schemeClr val="accent1"/>
            </a:solidFill>
            <a:ln>
              <a:noFill/>
            </a:ln>
            <a:effectLst/>
          </c:spPr>
          <c:invertIfNegative val="0"/>
          <c:cat>
            <c:numRef>
              <c:f>TIKR_Cálculos!$B$44:$H$44</c:f>
              <c:numCache>
                <c:formatCode>General</c:formatCode>
                <c:ptCount val="7"/>
                <c:pt idx="0">
                  <c:v>2018</c:v>
                </c:pt>
                <c:pt idx="1">
                  <c:v>2019</c:v>
                </c:pt>
                <c:pt idx="2">
                  <c:v>2020</c:v>
                </c:pt>
                <c:pt idx="3">
                  <c:v>2021</c:v>
                </c:pt>
                <c:pt idx="4">
                  <c:v>2022</c:v>
                </c:pt>
                <c:pt idx="5">
                  <c:v>2023</c:v>
                </c:pt>
                <c:pt idx="6">
                  <c:v>2024</c:v>
                </c:pt>
              </c:numCache>
            </c:numRef>
          </c:cat>
          <c:val>
            <c:numRef>
              <c:f>TIKR_Cálculos!$B$45:$H$45</c:f>
              <c:numCache>
                <c:formatCode>#,##0</c:formatCode>
                <c:ptCount val="7"/>
                <c:pt idx="0">
                  <c:v>3406.8000000000006</c:v>
                </c:pt>
                <c:pt idx="1">
                  <c:v>2788.0999999999995</c:v>
                </c:pt>
                <c:pt idx="2">
                  <c:v>5714.0000000000009</c:v>
                </c:pt>
                <c:pt idx="3">
                  <c:v>9855</c:v>
                </c:pt>
                <c:pt idx="4">
                  <c:v>8374.1999999999989</c:v>
                </c:pt>
                <c:pt idx="5">
                  <c:v>3926.199999999998</c:v>
                </c:pt>
                <c:pt idx="6">
                  <c:v>15076.100000000006</c:v>
                </c:pt>
              </c:numCache>
            </c:numRef>
          </c:val>
          <c:extLst>
            <c:ext xmlns:c16="http://schemas.microsoft.com/office/drawing/2014/chart" uri="{C3380CC4-5D6E-409C-BE32-E72D297353CC}">
              <c16:uniqueId val="{00000000-9FE2-4E89-901A-04EC4532370A}"/>
            </c:ext>
          </c:extLst>
        </c:ser>
        <c:dLbls>
          <c:showLegendKey val="0"/>
          <c:showVal val="0"/>
          <c:showCatName val="0"/>
          <c:showSerName val="0"/>
          <c:showPercent val="0"/>
          <c:showBubbleSize val="0"/>
        </c:dLbls>
        <c:gapWidth val="219"/>
        <c:overlap val="-27"/>
        <c:axId val="375175775"/>
        <c:axId val="375173279"/>
      </c:barChart>
      <c:lineChart>
        <c:grouping val="standard"/>
        <c:varyColors val="0"/>
        <c:ser>
          <c:idx val="1"/>
          <c:order val="1"/>
          <c:tx>
            <c:strRef>
              <c:f>TIKR_Cálculos!$A$46</c:f>
              <c:strCache>
                <c:ptCount val="1"/>
                <c:pt idx="0">
                  <c:v>ROIC</c:v>
                </c:pt>
              </c:strCache>
            </c:strRef>
          </c:tx>
          <c:spPr>
            <a:ln w="28575" cap="rnd">
              <a:solidFill>
                <a:schemeClr val="accent6"/>
              </a:solidFill>
              <a:round/>
            </a:ln>
            <a:effectLst/>
          </c:spPr>
          <c:marker>
            <c:symbol val="none"/>
          </c:marker>
          <c:cat>
            <c:numRef>
              <c:f>TIKR_Cálculos!$B$44:$H$44</c:f>
              <c:numCache>
                <c:formatCode>General</c:formatCode>
                <c:ptCount val="7"/>
                <c:pt idx="0">
                  <c:v>2018</c:v>
                </c:pt>
                <c:pt idx="1">
                  <c:v>2019</c:v>
                </c:pt>
                <c:pt idx="2">
                  <c:v>2020</c:v>
                </c:pt>
                <c:pt idx="3">
                  <c:v>2021</c:v>
                </c:pt>
                <c:pt idx="4">
                  <c:v>2022</c:v>
                </c:pt>
                <c:pt idx="5">
                  <c:v>2023</c:v>
                </c:pt>
                <c:pt idx="6">
                  <c:v>2024</c:v>
                </c:pt>
              </c:numCache>
            </c:numRef>
          </c:cat>
          <c:val>
            <c:numRef>
              <c:f>TIKR_Cálculos!$B$46:$H$46</c:f>
              <c:numCache>
                <c:formatCode>0.0%</c:formatCode>
                <c:ptCount val="7"/>
                <c:pt idx="0">
                  <c:v>0.13436919428516048</c:v>
                </c:pt>
                <c:pt idx="1">
                  <c:v>0.1271810547075006</c:v>
                </c:pt>
                <c:pt idx="2">
                  <c:v>0.16274088625715011</c:v>
                </c:pt>
                <c:pt idx="3">
                  <c:v>0.304239652456886</c:v>
                </c:pt>
                <c:pt idx="4">
                  <c:v>0.29372399916579883</c:v>
                </c:pt>
                <c:pt idx="5">
                  <c:v>0.30922625733605336</c:v>
                </c:pt>
                <c:pt idx="6">
                  <c:v>0.11628339150695821</c:v>
                </c:pt>
              </c:numCache>
            </c:numRef>
          </c:val>
          <c:smooth val="1"/>
          <c:extLst>
            <c:ext xmlns:c16="http://schemas.microsoft.com/office/drawing/2014/chart" uri="{C3380CC4-5D6E-409C-BE32-E72D297353CC}">
              <c16:uniqueId val="{00000001-9FE2-4E89-901A-04EC4532370A}"/>
            </c:ext>
          </c:extLst>
        </c:ser>
        <c:ser>
          <c:idx val="2"/>
          <c:order val="2"/>
          <c:tx>
            <c:strRef>
              <c:f>'5.Gráficos'!#REF!</c:f>
              <c:strCache>
                <c:ptCount val="1"/>
                <c:pt idx="0">
                  <c:v>#¡REF!</c:v>
                </c:pt>
              </c:strCache>
            </c:strRef>
          </c:tx>
          <c:spPr>
            <a:ln w="28575" cap="rnd">
              <a:solidFill>
                <a:schemeClr val="accent3"/>
              </a:solidFill>
              <a:round/>
            </a:ln>
            <a:effectLst/>
          </c:spPr>
          <c:marker>
            <c:symbol val="none"/>
          </c:marker>
          <c:cat>
            <c:numRef>
              <c:f>TIKR_Cálculos!$B$44:$H$44</c:f>
              <c:numCache>
                <c:formatCode>General</c:formatCode>
                <c:ptCount val="7"/>
                <c:pt idx="0">
                  <c:v>2018</c:v>
                </c:pt>
                <c:pt idx="1">
                  <c:v>2019</c:v>
                </c:pt>
                <c:pt idx="2">
                  <c:v>2020</c:v>
                </c:pt>
                <c:pt idx="3">
                  <c:v>2021</c:v>
                </c:pt>
                <c:pt idx="4">
                  <c:v>2022</c:v>
                </c:pt>
                <c:pt idx="5">
                  <c:v>2023</c:v>
                </c:pt>
                <c:pt idx="6">
                  <c:v>2024</c:v>
                </c:pt>
              </c:numCache>
            </c:numRef>
          </c:cat>
          <c:val>
            <c:numRef>
              <c:f>'5.Gráficos'!#REF!</c:f>
              <c:numCache>
                <c:formatCode>General</c:formatCode>
                <c:ptCount val="1"/>
                <c:pt idx="0">
                  <c:v>1</c:v>
                </c:pt>
              </c:numCache>
            </c:numRef>
          </c:val>
          <c:smooth val="1"/>
          <c:extLst>
            <c:ext xmlns:c16="http://schemas.microsoft.com/office/drawing/2014/chart" uri="{C3380CC4-5D6E-409C-BE32-E72D297353CC}">
              <c16:uniqueId val="{00000002-9FE2-4E89-901A-04EC4532370A}"/>
            </c:ext>
          </c:extLst>
        </c:ser>
        <c:dLbls>
          <c:showLegendKey val="0"/>
          <c:showVal val="0"/>
          <c:showCatName val="0"/>
          <c:showSerName val="0"/>
          <c:showPercent val="0"/>
          <c:showBubbleSize val="0"/>
        </c:dLbls>
        <c:marker val="1"/>
        <c:smooth val="0"/>
        <c:axId val="375179935"/>
        <c:axId val="375174943"/>
      </c:lineChart>
      <c:catAx>
        <c:axId val="37517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375173279"/>
        <c:crosses val="autoZero"/>
        <c:auto val="1"/>
        <c:lblAlgn val="ctr"/>
        <c:lblOffset val="100"/>
        <c:noMultiLvlLbl val="0"/>
      </c:catAx>
      <c:valAx>
        <c:axId val="375173279"/>
        <c:scaling>
          <c:orientation val="minMax"/>
        </c:scaling>
        <c:delete val="0"/>
        <c:axPos val="l"/>
        <c:majorGridlines>
          <c:spPr>
            <a:ln w="9525" cap="flat" cmpd="sng" algn="ctr">
              <a:solidFill>
                <a:schemeClr val="tx1">
                  <a:lumMod val="15000"/>
                  <a:lumOff val="85000"/>
                </a:schemeClr>
              </a:solidFill>
              <a:prstDash val="dash"/>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375175775"/>
        <c:crosses val="autoZero"/>
        <c:crossBetween val="between"/>
      </c:valAx>
      <c:valAx>
        <c:axId val="375174943"/>
        <c:scaling>
          <c:orientation val="minMax"/>
          <c:max val="1"/>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375179935"/>
        <c:crosses val="max"/>
        <c:crossBetween val="between"/>
      </c:valAx>
      <c:catAx>
        <c:axId val="375179935"/>
        <c:scaling>
          <c:orientation val="minMax"/>
        </c:scaling>
        <c:delete val="1"/>
        <c:axPos val="b"/>
        <c:numFmt formatCode="General" sourceLinked="1"/>
        <c:majorTickMark val="out"/>
        <c:minorTickMark val="none"/>
        <c:tickLblPos val="nextTo"/>
        <c:crossAx val="375174943"/>
        <c:crosses val="autoZero"/>
        <c:auto val="1"/>
        <c:lblAlgn val="ctr"/>
        <c:lblOffset val="100"/>
        <c:noMultiLvlLbl val="0"/>
      </c:catAx>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dpi="0" rotWithShape="1">
      <a:blip xmlns:r="http://schemas.openxmlformats.org/officeDocument/2006/relationships" r:embed="rId3">
        <a:alphaModFix amt="10000"/>
      </a:blip>
      <a:srcRect/>
      <a:tile tx="0" ty="0" sx="100000" sy="100000" flip="none" algn="tl"/>
    </a:blipFill>
    <a:ln w="9525" cap="flat" cmpd="sng" algn="ctr">
      <a:noFill/>
      <a:round/>
    </a:ln>
    <a:effectLst/>
  </c:spPr>
  <c:txPr>
    <a:bodyPr/>
    <a:lstStyle/>
    <a:p>
      <a:pPr>
        <a:defRPr/>
      </a:pPr>
      <a:endParaRPr lang="es-ES_tradn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Costes como % de ventas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_tradnl"/>
        </a:p>
      </c:txPr>
    </c:title>
    <c:autoTitleDeleted val="0"/>
    <c:plotArea>
      <c:layout/>
      <c:barChart>
        <c:barDir val="col"/>
        <c:grouping val="stacked"/>
        <c:varyColors val="0"/>
        <c:ser>
          <c:idx val="0"/>
          <c:order val="0"/>
          <c:tx>
            <c:strRef>
              <c:f>TIKR_Cálculos!$A$49</c:f>
              <c:strCache>
                <c:ptCount val="1"/>
                <c:pt idx="0">
                  <c:v>Costes de ventas y operativos</c:v>
                </c:pt>
              </c:strCache>
            </c:strRef>
          </c:tx>
          <c:spPr>
            <a:solidFill>
              <a:schemeClr val="accent1"/>
            </a:solidFill>
            <a:ln>
              <a:noFill/>
            </a:ln>
            <a:effectLst/>
          </c:spPr>
          <c:invertIfNegative val="0"/>
          <c:cat>
            <c:numRef>
              <c:f>TIKR_Cálculos!$B$48:$H$48</c:f>
              <c:numCache>
                <c:formatCode>General</c:formatCode>
                <c:ptCount val="7"/>
                <c:pt idx="0">
                  <c:v>2018</c:v>
                </c:pt>
                <c:pt idx="1">
                  <c:v>2019</c:v>
                </c:pt>
                <c:pt idx="2">
                  <c:v>2020</c:v>
                </c:pt>
                <c:pt idx="3">
                  <c:v>2021</c:v>
                </c:pt>
                <c:pt idx="4">
                  <c:v>2022</c:v>
                </c:pt>
                <c:pt idx="5">
                  <c:v>2023</c:v>
                </c:pt>
                <c:pt idx="6">
                  <c:v>2024</c:v>
                </c:pt>
              </c:numCache>
            </c:numRef>
          </c:cat>
          <c:val>
            <c:numRef>
              <c:f>TIKR_Cálculos!$B$49:$H$49</c:f>
              <c:numCache>
                <c:formatCode>0%</c:formatCode>
                <c:ptCount val="7"/>
                <c:pt idx="0">
                  <c:v>0.66951754385964912</c:v>
                </c:pt>
                <c:pt idx="1">
                  <c:v>0.70008460236886638</c:v>
                </c:pt>
                <c:pt idx="2">
                  <c:v>0.67505097113424195</c:v>
                </c:pt>
                <c:pt idx="3">
                  <c:v>0.61199828058674977</c:v>
                </c:pt>
                <c:pt idx="4">
                  <c:v>0.61286803253138378</c:v>
                </c:pt>
                <c:pt idx="5">
                  <c:v>0.64335867336756358</c:v>
                </c:pt>
                <c:pt idx="6">
                  <c:v>0.64825973272381809</c:v>
                </c:pt>
              </c:numCache>
            </c:numRef>
          </c:val>
          <c:extLst>
            <c:ext xmlns:c16="http://schemas.microsoft.com/office/drawing/2014/chart" uri="{C3380CC4-5D6E-409C-BE32-E72D297353CC}">
              <c16:uniqueId val="{00000000-C215-46D2-A748-34BD26951EA4}"/>
            </c:ext>
          </c:extLst>
        </c:ser>
        <c:ser>
          <c:idx val="1"/>
          <c:order val="1"/>
          <c:tx>
            <c:strRef>
              <c:f>TIKR_Cálculos!$A$50</c:f>
              <c:strCache>
                <c:ptCount val="1"/>
                <c:pt idx="0">
                  <c:v>CapEx Mant.</c:v>
                </c:pt>
              </c:strCache>
            </c:strRef>
          </c:tx>
          <c:spPr>
            <a:solidFill>
              <a:schemeClr val="accent6"/>
            </a:solidFill>
            <a:ln>
              <a:noFill/>
            </a:ln>
            <a:effectLst/>
          </c:spPr>
          <c:invertIfNegative val="0"/>
          <c:cat>
            <c:numRef>
              <c:f>TIKR_Cálculos!$B$48:$H$48</c:f>
              <c:numCache>
                <c:formatCode>General</c:formatCode>
                <c:ptCount val="7"/>
                <c:pt idx="0">
                  <c:v>2018</c:v>
                </c:pt>
                <c:pt idx="1">
                  <c:v>2019</c:v>
                </c:pt>
                <c:pt idx="2">
                  <c:v>2020</c:v>
                </c:pt>
                <c:pt idx="3">
                  <c:v>2021</c:v>
                </c:pt>
                <c:pt idx="4">
                  <c:v>2022</c:v>
                </c:pt>
                <c:pt idx="5">
                  <c:v>2023</c:v>
                </c:pt>
                <c:pt idx="6">
                  <c:v>2024</c:v>
                </c:pt>
              </c:numCache>
            </c:numRef>
          </c:cat>
          <c:val>
            <c:numRef>
              <c:f>TIKR_Cálculos!$B$50:$H$50</c:f>
              <c:numCache>
                <c:formatCode>0%</c:formatCode>
                <c:ptCount val="7"/>
                <c:pt idx="0">
                  <c:v>1.7891081871345024E-2</c:v>
                </c:pt>
                <c:pt idx="1">
                  <c:v>1.4593908629441625E-2</c:v>
                </c:pt>
                <c:pt idx="2">
                  <c:v>2.5632220910684261E-2</c:v>
                </c:pt>
                <c:pt idx="3">
                  <c:v>2.5307613776798667E-2</c:v>
                </c:pt>
                <c:pt idx="4">
                  <c:v>4.136794279614988E-2</c:v>
                </c:pt>
                <c:pt idx="5">
                  <c:v>2.8528403214979046E-2</c:v>
                </c:pt>
                <c:pt idx="6">
                  <c:v>3.2501972550587517E-2</c:v>
                </c:pt>
              </c:numCache>
            </c:numRef>
          </c:val>
          <c:extLst>
            <c:ext xmlns:c16="http://schemas.microsoft.com/office/drawing/2014/chart" uri="{C3380CC4-5D6E-409C-BE32-E72D297353CC}">
              <c16:uniqueId val="{00000001-C215-46D2-A748-34BD26951EA4}"/>
            </c:ext>
          </c:extLst>
        </c:ser>
        <c:ser>
          <c:idx val="2"/>
          <c:order val="2"/>
          <c:tx>
            <c:strRef>
              <c:f>TIKR_Cálculos!$A$51</c:f>
              <c:strCache>
                <c:ptCount val="1"/>
                <c:pt idx="0">
                  <c:v>Intereses</c:v>
                </c:pt>
              </c:strCache>
            </c:strRef>
          </c:tx>
          <c:spPr>
            <a:solidFill>
              <a:schemeClr val="accent3"/>
            </a:solidFill>
            <a:ln>
              <a:noFill/>
            </a:ln>
            <a:effectLst/>
          </c:spPr>
          <c:invertIfNegative val="0"/>
          <c:cat>
            <c:numRef>
              <c:f>TIKR_Cálculos!$B$48:$H$48</c:f>
              <c:numCache>
                <c:formatCode>General</c:formatCode>
                <c:ptCount val="7"/>
                <c:pt idx="0">
                  <c:v>2018</c:v>
                </c:pt>
                <c:pt idx="1">
                  <c:v>2019</c:v>
                </c:pt>
                <c:pt idx="2">
                  <c:v>2020</c:v>
                </c:pt>
                <c:pt idx="3">
                  <c:v>2021</c:v>
                </c:pt>
                <c:pt idx="4">
                  <c:v>2022</c:v>
                </c:pt>
                <c:pt idx="5">
                  <c:v>2023</c:v>
                </c:pt>
                <c:pt idx="6">
                  <c:v>2024</c:v>
                </c:pt>
              </c:numCache>
            </c:numRef>
          </c:cat>
          <c:val>
            <c:numRef>
              <c:f>TIKR_Cálculos!$B$51:$H$51</c:f>
              <c:numCache>
                <c:formatCode>0%</c:formatCode>
                <c:ptCount val="7"/>
                <c:pt idx="0">
                  <c:v>-6.4053362573099409E-3</c:v>
                </c:pt>
                <c:pt idx="1">
                  <c:v>-5.2115059221658211E-3</c:v>
                </c:pt>
                <c:pt idx="2">
                  <c:v>-5.6014593840540833E-3</c:v>
                </c:pt>
                <c:pt idx="3">
                  <c:v>-5.3301810757079146E-3</c:v>
                </c:pt>
                <c:pt idx="4">
                  <c:v>-4.9779440241057172E-3</c:v>
                </c:pt>
                <c:pt idx="5">
                  <c:v>-4.0241667725021317E-3</c:v>
                </c:pt>
                <c:pt idx="6">
                  <c:v>7.005650517109001E-4</c:v>
                </c:pt>
              </c:numCache>
            </c:numRef>
          </c:val>
          <c:extLst>
            <c:ext xmlns:c16="http://schemas.microsoft.com/office/drawing/2014/chart" uri="{C3380CC4-5D6E-409C-BE32-E72D297353CC}">
              <c16:uniqueId val="{00000002-C215-46D2-A748-34BD26951EA4}"/>
            </c:ext>
          </c:extLst>
        </c:ser>
        <c:ser>
          <c:idx val="3"/>
          <c:order val="3"/>
          <c:tx>
            <c:strRef>
              <c:f>TIKR_Cálculos!$A$52</c:f>
              <c:strCache>
                <c:ptCount val="1"/>
                <c:pt idx="0">
                  <c:v>Impuestos y otros</c:v>
                </c:pt>
              </c:strCache>
            </c:strRef>
          </c:tx>
          <c:spPr>
            <a:solidFill>
              <a:schemeClr val="bg2">
                <a:lumMod val="75000"/>
              </a:schemeClr>
            </a:solidFill>
            <a:ln>
              <a:noFill/>
            </a:ln>
            <a:effectLst/>
          </c:spPr>
          <c:invertIfNegative val="0"/>
          <c:cat>
            <c:numRef>
              <c:f>TIKR_Cálculos!$B$48:$H$48</c:f>
              <c:numCache>
                <c:formatCode>General</c:formatCode>
                <c:ptCount val="7"/>
                <c:pt idx="0">
                  <c:v>2018</c:v>
                </c:pt>
                <c:pt idx="1">
                  <c:v>2019</c:v>
                </c:pt>
                <c:pt idx="2">
                  <c:v>2020</c:v>
                </c:pt>
                <c:pt idx="3">
                  <c:v>2021</c:v>
                </c:pt>
                <c:pt idx="4">
                  <c:v>2022</c:v>
                </c:pt>
                <c:pt idx="5">
                  <c:v>2023</c:v>
                </c:pt>
                <c:pt idx="6">
                  <c:v>2024</c:v>
                </c:pt>
              </c:numCache>
            </c:numRef>
          </c:cat>
          <c:val>
            <c:numRef>
              <c:f>TIKR_Cálculos!$B$52:$H$52</c:f>
              <c:numCache>
                <c:formatCode>0%</c:formatCode>
                <c:ptCount val="7"/>
                <c:pt idx="0">
                  <c:v>-3.0674342105263156E-2</c:v>
                </c:pt>
                <c:pt idx="1">
                  <c:v>-1.0896785109983081E-2</c:v>
                </c:pt>
                <c:pt idx="2">
                  <c:v>-3.9453446364059092E-2</c:v>
                </c:pt>
                <c:pt idx="3">
                  <c:v>-5.488152168072645E-2</c:v>
                </c:pt>
                <c:pt idx="4">
                  <c:v>-4.810753114757195E-2</c:v>
                </c:pt>
                <c:pt idx="5">
                  <c:v>-5.2100078015857178E-2</c:v>
                </c:pt>
                <c:pt idx="6">
                  <c:v>-5.9463112419461547E-2</c:v>
                </c:pt>
              </c:numCache>
            </c:numRef>
          </c:val>
          <c:extLst>
            <c:ext xmlns:c16="http://schemas.microsoft.com/office/drawing/2014/chart" uri="{C3380CC4-5D6E-409C-BE32-E72D297353CC}">
              <c16:uniqueId val="{00000003-C215-46D2-A748-34BD26951EA4}"/>
            </c:ext>
          </c:extLst>
        </c:ser>
        <c:ser>
          <c:idx val="4"/>
          <c:order val="4"/>
          <c:tx>
            <c:strRef>
              <c:f>TIKR_Cálculos!$A$53</c:f>
              <c:strCache>
                <c:ptCount val="1"/>
                <c:pt idx="0">
                  <c:v>Cambios de WC</c:v>
                </c:pt>
              </c:strCache>
            </c:strRef>
          </c:tx>
          <c:spPr>
            <a:solidFill>
              <a:schemeClr val="accent5"/>
            </a:solidFill>
            <a:ln>
              <a:noFill/>
            </a:ln>
            <a:effectLst/>
          </c:spPr>
          <c:invertIfNegative val="0"/>
          <c:cat>
            <c:numRef>
              <c:f>TIKR_Cálculos!$B$48:$H$48</c:f>
              <c:numCache>
                <c:formatCode>General</c:formatCode>
                <c:ptCount val="7"/>
                <c:pt idx="0">
                  <c:v>2018</c:v>
                </c:pt>
                <c:pt idx="1">
                  <c:v>2019</c:v>
                </c:pt>
                <c:pt idx="2">
                  <c:v>2020</c:v>
                </c:pt>
                <c:pt idx="3">
                  <c:v>2021</c:v>
                </c:pt>
                <c:pt idx="4">
                  <c:v>2022</c:v>
                </c:pt>
                <c:pt idx="5">
                  <c:v>2023</c:v>
                </c:pt>
                <c:pt idx="6">
                  <c:v>2024</c:v>
                </c:pt>
              </c:numCache>
            </c:numRef>
          </c:cat>
          <c:val>
            <c:numRef>
              <c:f>TIKR_Cálculos!$B$53:$H$53</c:f>
              <c:numCache>
                <c:formatCode>0%</c:formatCode>
                <c:ptCount val="7"/>
                <c:pt idx="1">
                  <c:v>3.3333333333333375E-2</c:v>
                </c:pt>
                <c:pt idx="2">
                  <c:v>-0.10324426798297391</c:v>
                </c:pt>
                <c:pt idx="3">
                  <c:v>-0.22704314652624788</c:v>
                </c:pt>
                <c:pt idx="4">
                  <c:v>-0.10282713215638484</c:v>
                </c:pt>
                <c:pt idx="5">
                  <c:v>0.12952083749115523</c:v>
                </c:pt>
                <c:pt idx="6">
                  <c:v>-0.27294792820269703</c:v>
                </c:pt>
              </c:numCache>
            </c:numRef>
          </c:val>
          <c:extLst>
            <c:ext xmlns:c16="http://schemas.microsoft.com/office/drawing/2014/chart" uri="{C3380CC4-5D6E-409C-BE32-E72D297353CC}">
              <c16:uniqueId val="{00000004-C215-46D2-A748-34BD26951EA4}"/>
            </c:ext>
          </c:extLst>
        </c:ser>
        <c:dLbls>
          <c:showLegendKey val="0"/>
          <c:showVal val="0"/>
          <c:showCatName val="0"/>
          <c:showSerName val="0"/>
          <c:showPercent val="0"/>
          <c:showBubbleSize val="0"/>
        </c:dLbls>
        <c:gapWidth val="150"/>
        <c:overlap val="100"/>
        <c:axId val="1070261631"/>
        <c:axId val="1070264127"/>
      </c:barChart>
      <c:catAx>
        <c:axId val="1070261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1070264127"/>
        <c:crosses val="autoZero"/>
        <c:auto val="1"/>
        <c:lblAlgn val="ctr"/>
        <c:lblOffset val="100"/>
        <c:noMultiLvlLbl val="0"/>
      </c:catAx>
      <c:valAx>
        <c:axId val="1070264127"/>
        <c:scaling>
          <c:orientation val="minMax"/>
          <c:min val="0"/>
        </c:scaling>
        <c:delete val="0"/>
        <c:axPos val="l"/>
        <c:majorGridlines>
          <c:spPr>
            <a:ln w="9525" cap="flat" cmpd="sng" algn="ctr">
              <a:solidFill>
                <a:schemeClr val="tx1">
                  <a:lumMod val="15000"/>
                  <a:lumOff val="85000"/>
                </a:schemeClr>
              </a:solidFill>
              <a:prstDash val="dash"/>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10702616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legend>
    <c:plotVisOnly val="1"/>
    <c:dispBlanksAs val="gap"/>
    <c:showDLblsOverMax val="0"/>
  </c:chart>
  <c:spPr>
    <a:blipFill dpi="0" rotWithShape="1">
      <a:blip xmlns:r="http://schemas.openxmlformats.org/officeDocument/2006/relationships" r:embed="rId3">
        <a:alphaModFix amt="10000"/>
      </a:blip>
      <a:srcRect/>
      <a:tile tx="0" ty="0" sx="100000" sy="100000" flip="none" algn="tl"/>
    </a:blipFill>
    <a:ln w="9525" cap="flat" cmpd="sng" algn="ctr">
      <a:noFill/>
      <a:round/>
    </a:ln>
    <a:effectLst/>
  </c:spPr>
  <c:txPr>
    <a:bodyPr/>
    <a:lstStyle/>
    <a:p>
      <a:pPr>
        <a:defRPr/>
      </a:pPr>
      <a:endParaRPr lang="es-ES_tradn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Asignación de capital (% del FCF)</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_tradnl"/>
        </a:p>
      </c:txPr>
    </c:title>
    <c:autoTitleDeleted val="0"/>
    <c:plotArea>
      <c:layout/>
      <c:barChart>
        <c:barDir val="col"/>
        <c:grouping val="stacked"/>
        <c:varyColors val="0"/>
        <c:ser>
          <c:idx val="0"/>
          <c:order val="0"/>
          <c:tx>
            <c:strRef>
              <c:f>'2.FCF'!$A$26</c:f>
              <c:strCache>
                <c:ptCount val="1"/>
                <c:pt idx="0">
                  <c:v>CapEx Expansión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'2.FCF'!$B$25:$H$25</c:f>
              <c:numCache>
                <c:formatCode>General</c:formatCode>
                <c:ptCount val="7"/>
                <c:pt idx="0">
                  <c:v>2018</c:v>
                </c:pt>
                <c:pt idx="1">
                  <c:v>2019</c:v>
                </c:pt>
                <c:pt idx="2">
                  <c:v>2020</c:v>
                </c:pt>
                <c:pt idx="3">
                  <c:v>2021</c:v>
                </c:pt>
                <c:pt idx="4">
                  <c:v>2022</c:v>
                </c:pt>
                <c:pt idx="5">
                  <c:v>2023</c:v>
                </c:pt>
                <c:pt idx="6">
                  <c:v>2024</c:v>
                </c:pt>
              </c:numCache>
            </c:numRef>
          </c:cat>
          <c:val>
            <c:numRef>
              <c:f>'2.FCF'!$B$26:$H$26</c:f>
              <c:numCache>
                <c:formatCode>0%</c:formatCode>
                <c:ptCount val="7"/>
                <c:pt idx="0">
                  <c:v>1.0420335798990253E-2</c:v>
                </c:pt>
                <c:pt idx="1">
                  <c:v>0.15239769018327895</c:v>
                </c:pt>
                <c:pt idx="2">
                  <c:v>3.8991949597479869E-2</c:v>
                </c:pt>
                <c:pt idx="3">
                  <c:v>0.17109081684424152</c:v>
                </c:pt>
                <c:pt idx="4">
                  <c:v>5.6339710061856674E-2</c:v>
                </c:pt>
                <c:pt idx="5">
                  <c:v>0.33569354592226591</c:v>
                </c:pt>
                <c:pt idx="6">
                  <c:v>5.6997499353280988E-2</c:v>
                </c:pt>
              </c:numCache>
            </c:numRef>
          </c:val>
          <c:extLst>
            <c:ext xmlns:c16="http://schemas.microsoft.com/office/drawing/2014/chart" uri="{C3380CC4-5D6E-409C-BE32-E72D297353CC}">
              <c16:uniqueId val="{00000000-3650-48E9-9E03-080CB68A3CF8}"/>
            </c:ext>
          </c:extLst>
        </c:ser>
        <c:ser>
          <c:idx val="1"/>
          <c:order val="1"/>
          <c:tx>
            <c:strRef>
              <c:f>'2.FCF'!$A$27</c:f>
              <c:strCache>
                <c:ptCount val="1"/>
                <c:pt idx="0">
                  <c:v>Dividendos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'2.FCF'!$B$25:$H$25</c:f>
              <c:numCache>
                <c:formatCode>General</c:formatCode>
                <c:ptCount val="7"/>
                <c:pt idx="0">
                  <c:v>2018</c:v>
                </c:pt>
                <c:pt idx="1">
                  <c:v>2019</c:v>
                </c:pt>
                <c:pt idx="2">
                  <c:v>2020</c:v>
                </c:pt>
                <c:pt idx="3">
                  <c:v>2021</c:v>
                </c:pt>
                <c:pt idx="4">
                  <c:v>2022</c:v>
                </c:pt>
                <c:pt idx="5">
                  <c:v>2023</c:v>
                </c:pt>
                <c:pt idx="6">
                  <c:v>2024</c:v>
                </c:pt>
              </c:numCache>
            </c:numRef>
          </c:cat>
          <c:val>
            <c:numRef>
              <c:f>'2.FCF'!$B$27:$H$27</c:f>
              <c:numCache>
                <c:formatCode>0%</c:formatCode>
                <c:ptCount val="7"/>
                <c:pt idx="0">
                  <c:v>0.17526711283315718</c:v>
                </c:pt>
                <c:pt idx="1">
                  <c:v>0.47548509737814293</c:v>
                </c:pt>
                <c:pt idx="2">
                  <c:v>0.18662933146657332</c:v>
                </c:pt>
                <c:pt idx="3">
                  <c:v>0.13884322678843225</c:v>
                </c:pt>
                <c:pt idx="4">
                  <c:v>0.30567696018724183</c:v>
                </c:pt>
                <c:pt idx="5">
                  <c:v>0.59811013193418605</c:v>
                </c:pt>
                <c:pt idx="6">
                  <c:v>0.1627012290977109</c:v>
                </c:pt>
              </c:numCache>
            </c:numRef>
          </c:val>
          <c:extLst>
            <c:ext xmlns:c16="http://schemas.microsoft.com/office/drawing/2014/chart" uri="{C3380CC4-5D6E-409C-BE32-E72D297353CC}">
              <c16:uniqueId val="{00000001-3650-48E9-9E03-080CB68A3CF8}"/>
            </c:ext>
          </c:extLst>
        </c:ser>
        <c:ser>
          <c:idx val="2"/>
          <c:order val="2"/>
          <c:tx>
            <c:strRef>
              <c:f>'2.FCF'!$A$28</c:f>
              <c:strCache>
                <c:ptCount val="1"/>
                <c:pt idx="0">
                  <c:v>Recompras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'2.FCF'!$B$25:$H$25</c:f>
              <c:numCache>
                <c:formatCode>General</c:formatCode>
                <c:ptCount val="7"/>
                <c:pt idx="0">
                  <c:v>2018</c:v>
                </c:pt>
                <c:pt idx="1">
                  <c:v>2019</c:v>
                </c:pt>
                <c:pt idx="2">
                  <c:v>2020</c:v>
                </c:pt>
                <c:pt idx="3">
                  <c:v>2021</c:v>
                </c:pt>
                <c:pt idx="4">
                  <c:v>2022</c:v>
                </c:pt>
                <c:pt idx="5">
                  <c:v>2023</c:v>
                </c:pt>
                <c:pt idx="6">
                  <c:v>2024</c:v>
                </c:pt>
              </c:numCache>
            </c:numRef>
          </c:cat>
          <c:val>
            <c:numRef>
              <c:f>'2.FCF'!$B$28:$H$28</c:f>
              <c:numCache>
                <c:formatCode>0%</c:formatCode>
                <c:ptCount val="7"/>
                <c:pt idx="0">
                  <c:v>0.33644475754373598</c:v>
                </c:pt>
                <c:pt idx="1">
                  <c:v>0.14705354901187193</c:v>
                </c:pt>
                <c:pt idx="2">
                  <c:v>0.21132306615330762</c:v>
                </c:pt>
                <c:pt idx="3">
                  <c:v>0.8686250634195839</c:v>
                </c:pt>
                <c:pt idx="4">
                  <c:v>0.5540469537388647</c:v>
                </c:pt>
                <c:pt idx="5">
                  <c:v>0.25469920024451137</c:v>
                </c:pt>
                <c:pt idx="6">
                  <c:v>3.3165075848528451E-2</c:v>
                </c:pt>
              </c:numCache>
            </c:numRef>
          </c:val>
          <c:extLst>
            <c:ext xmlns:c16="http://schemas.microsoft.com/office/drawing/2014/chart" uri="{C3380CC4-5D6E-409C-BE32-E72D297353CC}">
              <c16:uniqueId val="{00000002-3650-48E9-9E03-080CB68A3CF8}"/>
            </c:ext>
          </c:extLst>
        </c:ser>
        <c:ser>
          <c:idx val="3"/>
          <c:order val="3"/>
          <c:tx>
            <c:strRef>
              <c:f>'2.FCF'!$A$29</c:f>
              <c:strCache>
                <c:ptCount val="1"/>
                <c:pt idx="0">
                  <c:v>Adquisiciones</c:v>
                </c:pt>
              </c:strCache>
            </c:strRef>
          </c:tx>
          <c:spPr>
            <a:solidFill>
              <a:schemeClr val="bg1">
                <a:lumMod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'2.FCF'!$B$25:$H$25</c:f>
              <c:numCache>
                <c:formatCode>General</c:formatCode>
                <c:ptCount val="7"/>
                <c:pt idx="0">
                  <c:v>2018</c:v>
                </c:pt>
                <c:pt idx="1">
                  <c:v>2019</c:v>
                </c:pt>
                <c:pt idx="2">
                  <c:v>2020</c:v>
                </c:pt>
                <c:pt idx="3">
                  <c:v>2021</c:v>
                </c:pt>
                <c:pt idx="4">
                  <c:v>2022</c:v>
                </c:pt>
                <c:pt idx="5">
                  <c:v>2023</c:v>
                </c:pt>
                <c:pt idx="6">
                  <c:v>2024</c:v>
                </c:pt>
              </c:numCache>
            </c:numRef>
          </c:cat>
          <c:val>
            <c:numRef>
              <c:f>'2.FCF'!$B$29:$H$29</c:f>
              <c:numCache>
                <c:formatCode>0%</c:formatCode>
                <c:ptCount val="7"/>
                <c:pt idx="0">
                  <c:v>1.0420335798990253E-2</c:v>
                </c:pt>
                <c:pt idx="1">
                  <c:v>0.15239769018327895</c:v>
                </c:pt>
                <c:pt idx="2">
                  <c:v>3.8991949597479869E-2</c:v>
                </c:pt>
                <c:pt idx="3">
                  <c:v>3.3384069000507353E-2</c:v>
                </c:pt>
                <c:pt idx="4">
                  <c:v>0</c:v>
                </c:pt>
                <c:pt idx="5">
                  <c:v>8.5578931282155827E-3</c:v>
                </c:pt>
                <c:pt idx="6">
                  <c:v>0</c:v>
                </c:pt>
              </c:numCache>
            </c:numRef>
          </c:val>
          <c:extLst>
            <c:ext xmlns:c16="http://schemas.microsoft.com/office/drawing/2014/chart" uri="{C3380CC4-5D6E-409C-BE32-E72D297353CC}">
              <c16:uniqueId val="{00000003-3650-48E9-9E03-080CB68A3CF8}"/>
            </c:ext>
          </c:extLst>
        </c:ser>
        <c:dLbls>
          <c:dLblPos val="ctr"/>
          <c:showLegendKey val="0"/>
          <c:showVal val="1"/>
          <c:showCatName val="0"/>
          <c:showSerName val="0"/>
          <c:showPercent val="0"/>
          <c:showBubbleSize val="0"/>
        </c:dLbls>
        <c:gapWidth val="150"/>
        <c:overlap val="100"/>
        <c:axId val="197442640"/>
        <c:axId val="197449296"/>
      </c:barChart>
      <c:catAx>
        <c:axId val="19744264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197449296"/>
        <c:crosses val="autoZero"/>
        <c:auto val="1"/>
        <c:lblAlgn val="ctr"/>
        <c:lblOffset val="100"/>
        <c:noMultiLvlLbl val="0"/>
      </c:catAx>
      <c:valAx>
        <c:axId val="197449296"/>
        <c:scaling>
          <c:orientation val="minMax"/>
          <c:max val="1"/>
        </c:scaling>
        <c:delete val="0"/>
        <c:axPos val="l"/>
        <c:majorGridlines>
          <c:spPr>
            <a:ln w="9525" cap="flat" cmpd="sng" algn="ctr">
              <a:solidFill>
                <a:schemeClr val="tx1">
                  <a:lumMod val="15000"/>
                  <a:lumOff val="85000"/>
                </a:schemeClr>
              </a:solidFill>
              <a:prstDash val="dash"/>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197442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legend>
    <c:plotVisOnly val="1"/>
    <c:dispBlanksAs val="gap"/>
    <c:showDLblsOverMax val="0"/>
  </c:chart>
  <c:spPr>
    <a:blipFill dpi="0" rotWithShape="1">
      <a:blip xmlns:r="http://schemas.openxmlformats.org/officeDocument/2006/relationships" r:embed="rId3">
        <a:alphaModFix amt="10000"/>
      </a:blip>
      <a:srcRect/>
      <a:tile tx="0" ty="0" sx="100000" sy="100000" flip="none" algn="tl"/>
    </a:blipFill>
    <a:ln w="9525" cap="flat" cmpd="sng" algn="ctr">
      <a:noFill/>
      <a:round/>
    </a:ln>
    <a:effectLst/>
  </c:spPr>
  <c:txPr>
    <a:bodyPr/>
    <a:lstStyle/>
    <a:p>
      <a:pPr>
        <a:defRPr/>
      </a:pPr>
      <a:endParaRPr lang="es-ES_trad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11</xdr:col>
      <xdr:colOff>112249</xdr:colOff>
      <xdr:row>11</xdr:row>
      <xdr:rowOff>187324</xdr:rowOff>
    </xdr:from>
    <xdr:to>
      <xdr:col>13</xdr:col>
      <xdr:colOff>4011083</xdr:colOff>
      <xdr:row>21</xdr:row>
      <xdr:rowOff>253999</xdr:rowOff>
    </xdr:to>
    <xdr:graphicFrame macro="">
      <xdr:nvGraphicFramePr>
        <xdr:cNvPr id="5" name="Gráfico 4">
          <a:extLst>
            <a:ext uri="{FF2B5EF4-FFF2-40B4-BE49-F238E27FC236}">
              <a16:creationId xmlns:a16="http://schemas.microsoft.com/office/drawing/2014/main" id="{5708A350-0D40-C43E-49A6-41C73A19CBFA}"/>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695326</xdr:colOff>
      <xdr:row>16</xdr:row>
      <xdr:rowOff>66675</xdr:rowOff>
    </xdr:from>
    <xdr:to>
      <xdr:col>14</xdr:col>
      <xdr:colOff>200026</xdr:colOff>
      <xdr:row>30</xdr:row>
      <xdr:rowOff>424392</xdr:rowOff>
    </xdr:to>
    <xdr:graphicFrame macro="">
      <xdr:nvGraphicFramePr>
        <xdr:cNvPr id="3" name="Gráfico 2">
          <a:extLst>
            <a:ext uri="{FF2B5EF4-FFF2-40B4-BE49-F238E27FC236}">
              <a16:creationId xmlns:a16="http://schemas.microsoft.com/office/drawing/2014/main" id="{692A42CB-4EF4-42FB-94F0-7726DF96A5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585786</xdr:colOff>
      <xdr:row>1</xdr:row>
      <xdr:rowOff>38099</xdr:rowOff>
    </xdr:from>
    <xdr:to>
      <xdr:col>5</xdr:col>
      <xdr:colOff>581025</xdr:colOff>
      <xdr:row>15</xdr:row>
      <xdr:rowOff>85725</xdr:rowOff>
    </xdr:to>
    <xdr:graphicFrame macro="">
      <xdr:nvGraphicFramePr>
        <xdr:cNvPr id="4" name="Gráfico 3">
          <a:extLst>
            <a:ext uri="{FF2B5EF4-FFF2-40B4-BE49-F238E27FC236}">
              <a16:creationId xmlns:a16="http://schemas.microsoft.com/office/drawing/2014/main" id="{7D2E425C-637E-4384-BC71-A3837551BE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4761</xdr:colOff>
      <xdr:row>1</xdr:row>
      <xdr:rowOff>9525</xdr:rowOff>
    </xdr:from>
    <xdr:to>
      <xdr:col>14</xdr:col>
      <xdr:colOff>209549</xdr:colOff>
      <xdr:row>15</xdr:row>
      <xdr:rowOff>142875</xdr:rowOff>
    </xdr:to>
    <xdr:graphicFrame macro="">
      <xdr:nvGraphicFramePr>
        <xdr:cNvPr id="5" name="Gráfico 4">
          <a:extLst>
            <a:ext uri="{FF2B5EF4-FFF2-40B4-BE49-F238E27FC236}">
              <a16:creationId xmlns:a16="http://schemas.microsoft.com/office/drawing/2014/main" id="{5522EACC-80EC-4E8C-9596-3452C9E6DD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142875</xdr:colOff>
      <xdr:row>0</xdr:row>
      <xdr:rowOff>0</xdr:rowOff>
    </xdr:from>
    <xdr:to>
      <xdr:col>18</xdr:col>
      <xdr:colOff>676075</xdr:colOff>
      <xdr:row>2</xdr:row>
      <xdr:rowOff>46668</xdr:rowOff>
    </xdr:to>
    <xdr:pic>
      <xdr:nvPicPr>
        <xdr:cNvPr id="6" name="Imagen 5">
          <a:extLst>
            <a:ext uri="{FF2B5EF4-FFF2-40B4-BE49-F238E27FC236}">
              <a16:creationId xmlns:a16="http://schemas.microsoft.com/office/drawing/2014/main" id="{46D2EBAA-8FF7-4E6F-B4C1-FD19720376F7}"/>
            </a:ext>
          </a:extLst>
        </xdr:cNvPr>
        <xdr:cNvPicPr>
          <a:picLocks noChangeAspect="1"/>
        </xdr:cNvPicPr>
      </xdr:nvPicPr>
      <xdr:blipFill>
        <a:blip xmlns:r="http://schemas.openxmlformats.org/officeDocument/2006/relationships" r:embed="rId4"/>
        <a:stretch>
          <a:fillRect/>
        </a:stretch>
      </xdr:blipFill>
      <xdr:spPr>
        <a:xfrm>
          <a:off x="12277725" y="0"/>
          <a:ext cx="2819200" cy="1094418"/>
        </a:xfrm>
        <a:prstGeom prst="rect">
          <a:avLst/>
        </a:prstGeom>
      </xdr:spPr>
    </xdr:pic>
    <xdr:clientData/>
  </xdr:twoCellAnchor>
  <xdr:twoCellAnchor>
    <xdr:from>
      <xdr:col>0</xdr:col>
      <xdr:colOff>552978</xdr:colOff>
      <xdr:row>15</xdr:row>
      <xdr:rowOff>85724</xdr:rowOff>
    </xdr:from>
    <xdr:to>
      <xdr:col>5</xdr:col>
      <xdr:colOff>428625</xdr:colOff>
      <xdr:row>30</xdr:row>
      <xdr:rowOff>436032</xdr:rowOff>
    </xdr:to>
    <xdr:graphicFrame macro="">
      <xdr:nvGraphicFramePr>
        <xdr:cNvPr id="8" name="Gráfico 7">
          <a:extLst>
            <a:ext uri="{FF2B5EF4-FFF2-40B4-BE49-F238E27FC236}">
              <a16:creationId xmlns:a16="http://schemas.microsoft.com/office/drawing/2014/main" id="{4E7EA570-CF8A-442F-979E-8408D9A1F2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695325</xdr:colOff>
      <xdr:row>31</xdr:row>
      <xdr:rowOff>238124</xdr:rowOff>
    </xdr:from>
    <xdr:to>
      <xdr:col>5</xdr:col>
      <xdr:colOff>571500</xdr:colOff>
      <xdr:row>46</xdr:row>
      <xdr:rowOff>114299</xdr:rowOff>
    </xdr:to>
    <xdr:graphicFrame macro="">
      <xdr:nvGraphicFramePr>
        <xdr:cNvPr id="2" name="Gráfico 1">
          <a:extLst>
            <a:ext uri="{FF2B5EF4-FFF2-40B4-BE49-F238E27FC236}">
              <a16:creationId xmlns:a16="http://schemas.microsoft.com/office/drawing/2014/main" id="{25653DDA-CDB6-41CD-B0A1-B94CE45B62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238124</xdr:colOff>
      <xdr:row>0</xdr:row>
      <xdr:rowOff>204787</xdr:rowOff>
    </xdr:from>
    <xdr:to>
      <xdr:col>5</xdr:col>
      <xdr:colOff>3057324</xdr:colOff>
      <xdr:row>3</xdr:row>
      <xdr:rowOff>322892</xdr:rowOff>
    </xdr:to>
    <xdr:pic>
      <xdr:nvPicPr>
        <xdr:cNvPr id="4" name="Imagen 3">
          <a:extLst>
            <a:ext uri="{FF2B5EF4-FFF2-40B4-BE49-F238E27FC236}">
              <a16:creationId xmlns:a16="http://schemas.microsoft.com/office/drawing/2014/main" id="{ED121E3B-C21F-4C47-81D0-99F9FB460CC4}"/>
            </a:ext>
          </a:extLst>
        </xdr:cNvPr>
        <xdr:cNvPicPr>
          <a:picLocks noChangeAspect="1"/>
        </xdr:cNvPicPr>
      </xdr:nvPicPr>
      <xdr:blipFill>
        <a:blip xmlns:r="http://schemas.openxmlformats.org/officeDocument/2006/relationships" r:embed="rId1"/>
        <a:stretch>
          <a:fillRect/>
        </a:stretch>
      </xdr:blipFill>
      <xdr:spPr>
        <a:xfrm>
          <a:off x="18788062" y="204787"/>
          <a:ext cx="2819200" cy="1094418"/>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15C744F-6821-4010-B04C-2A04F830E376}" name="Tabla3" displayName="Tabla3" ref="A2:M23" headerRowCount="0" totalsRowShown="0" headerRowDxfId="18" dataDxfId="17" tableBorderDxfId="16">
  <tableColumns count="13">
    <tableColumn id="1" xr3:uid="{A6785006-F8E5-4C64-9FD0-27A59A5D5C99}" name="Columna1" dataDxfId="15"/>
    <tableColumn id="2" xr3:uid="{981C2CA3-CAE8-4430-949B-243AE4AAF960}" name="Columna2" dataDxfId="14"/>
    <tableColumn id="3" xr3:uid="{05B4E26C-7803-4FE4-9783-4211E3EEA32B}" name="Columna3" dataDxfId="13"/>
    <tableColumn id="4" xr3:uid="{8DA5225F-2555-474C-8C27-E7A1FC21344A}" name="Columna4" dataDxfId="12"/>
    <tableColumn id="5" xr3:uid="{19F8591C-4479-413D-B705-650B30DEF405}" name="Columna5" dataDxfId="11"/>
    <tableColumn id="6" xr3:uid="{1941A256-8DCA-4A7E-AD52-B81EA09BA49A}" name="Columna6" dataDxfId="10"/>
    <tableColumn id="7" xr3:uid="{CF06C5C2-7817-4507-BFA7-43D9A7684B99}" name="Columna7" dataDxfId="9"/>
    <tableColumn id="8" xr3:uid="{A6CC500A-793E-4AC7-A805-E9B1D5055605}" name="Columna8" dataDxfId="8"/>
    <tableColumn id="9" xr3:uid="{6B4891E9-5875-43D0-AAAA-C9094399640F}" name="Columna9" dataDxfId="7"/>
    <tableColumn id="10" xr3:uid="{41432F5A-0AFB-469C-9CA5-86091AA8061A}" name="Columna10" dataDxfId="6"/>
    <tableColumn id="11" xr3:uid="{A781D52B-7709-4D76-9137-322146222404}" name="Columna11" dataDxfId="5"/>
    <tableColumn id="12" xr3:uid="{51F4EFE8-3D05-4C21-A43C-A2D80156AEF7}" name="Columna12" dataDxfId="4"/>
    <tableColumn id="13" xr3:uid="{A5653B19-9C81-444D-A0FD-CC4A9CE1A8AA}" name="Columna13" dataDxfId="3"/>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3.xml"/><Relationship Id="rId1" Type="http://schemas.openxmlformats.org/officeDocument/2006/relationships/printerSettings" Target="../printerSettings/printerSettings10.bin"/><Relationship Id="rId4" Type="http://schemas.openxmlformats.org/officeDocument/2006/relationships/comments" Target="../comments5.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C7CDC-1735-4D2B-9DFA-DC9FA9A30865}">
  <dimension ref="A1:O26"/>
  <sheetViews>
    <sheetView showGridLines="0" zoomScale="85" zoomScaleNormal="85" workbookViewId="0"/>
  </sheetViews>
  <sheetFormatPr defaultColWidth="0" defaultRowHeight="15" zeroHeight="1"/>
  <cols>
    <col min="1" max="1" width="4.28515625" customWidth="1"/>
    <col min="2" max="2" width="246.42578125" customWidth="1"/>
    <col min="3" max="3" width="13.42578125" customWidth="1"/>
    <col min="4" max="15" width="0" hidden="1" customWidth="1"/>
    <col min="16" max="16384" width="11.42578125" hidden="1"/>
  </cols>
  <sheetData>
    <row r="1" spans="2:2" ht="87" customHeight="1"/>
    <row r="2" spans="2:2" ht="25.5">
      <c r="B2" s="254" t="s">
        <v>0</v>
      </c>
    </row>
    <row r="3" spans="2:2" ht="9.9499999999999993" customHeight="1">
      <c r="B3" s="22"/>
    </row>
    <row r="4" spans="2:2" ht="20.25">
      <c r="B4" s="129" t="s">
        <v>1</v>
      </c>
    </row>
    <row r="5" spans="2:2" ht="9.9499999999999993" customHeight="1">
      <c r="B5" s="129"/>
    </row>
    <row r="6" spans="2:2" ht="17.25">
      <c r="B6" s="129" t="s">
        <v>2</v>
      </c>
    </row>
    <row r="7" spans="2:2" ht="9.9499999999999993" customHeight="1">
      <c r="B7" s="129"/>
    </row>
    <row r="8" spans="2:2" ht="20.25">
      <c r="B8" s="129" t="s">
        <v>3</v>
      </c>
    </row>
    <row r="9" spans="2:2" ht="9.9499999999999993" customHeight="1">
      <c r="B9" s="129"/>
    </row>
    <row r="10" spans="2:2" ht="17.25">
      <c r="B10" s="130" t="s">
        <v>4</v>
      </c>
    </row>
    <row r="11" spans="2:2" ht="9.9499999999999993" customHeight="1">
      <c r="B11" s="130"/>
    </row>
    <row r="12" spans="2:2" ht="17.25">
      <c r="B12" s="130" t="s">
        <v>5</v>
      </c>
    </row>
    <row r="13" spans="2:2" ht="17.25">
      <c r="B13" s="64"/>
    </row>
    <row r="14" spans="2:2" ht="25.5">
      <c r="B14" s="254" t="s">
        <v>6</v>
      </c>
    </row>
    <row r="15" spans="2:2" ht="9.9499999999999993" customHeight="1">
      <c r="B15" s="64"/>
    </row>
    <row r="16" spans="2:2" ht="17.25">
      <c r="B16" s="64" t="s">
        <v>7</v>
      </c>
    </row>
    <row r="17" spans="2:2" ht="9.9499999999999993" customHeight="1">
      <c r="B17" s="64"/>
    </row>
    <row r="18" spans="2:2" ht="20.25">
      <c r="B18" s="64" t="s">
        <v>8</v>
      </c>
    </row>
    <row r="19" spans="2:2" ht="9.9499999999999993" customHeight="1">
      <c r="B19" s="64"/>
    </row>
    <row r="20" spans="2:2" ht="17.25">
      <c r="B20" s="64" t="s">
        <v>9</v>
      </c>
    </row>
    <row r="21" spans="2:2" ht="9.9499999999999993" customHeight="1">
      <c r="B21" s="64"/>
    </row>
    <row r="22" spans="2:2" s="262" customFormat="1" ht="24.95" customHeight="1">
      <c r="B22" s="130" t="s">
        <v>10</v>
      </c>
    </row>
    <row r="23" spans="2:2" s="262" customFormat="1" ht="24.95" customHeight="1">
      <c r="B23" s="130" t="s">
        <v>11</v>
      </c>
    </row>
    <row r="24" spans="2:2" s="262" customFormat="1" ht="24.95" customHeight="1">
      <c r="B24" s="130" t="s">
        <v>12</v>
      </c>
    </row>
    <row r="25" spans="2:2" s="262" customFormat="1" ht="24.95" customHeight="1">
      <c r="B25" s="130" t="s">
        <v>13</v>
      </c>
    </row>
    <row r="26" spans="2:2"/>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89650-348F-4BAF-A3E8-F193B2547EB0}">
  <dimension ref="A1:T65"/>
  <sheetViews>
    <sheetView showGridLines="0" zoomScale="80" zoomScaleNormal="80" workbookViewId="0">
      <selection activeCell="D33" sqref="D33"/>
    </sheetView>
  </sheetViews>
  <sheetFormatPr defaultColWidth="0" defaultRowHeight="17.25" zeroHeight="1"/>
  <cols>
    <col min="1" max="1" width="4" style="6" customWidth="1"/>
    <col min="2" max="2" width="50.5703125" style="6" customWidth="1"/>
    <col min="3" max="3" width="79" style="44" customWidth="1"/>
    <col min="4" max="4" width="83.42578125" style="44" customWidth="1"/>
    <col min="5" max="5" width="59" style="44" customWidth="1"/>
    <col min="6" max="6" width="56.42578125" style="6" customWidth="1"/>
    <col min="7" max="8" width="13.85546875" style="6" hidden="1" customWidth="1"/>
    <col min="9" max="14" width="16.85546875" style="6" hidden="1" customWidth="1"/>
    <col min="15" max="15" width="1.85546875" style="6" hidden="1" customWidth="1"/>
    <col min="16" max="18" width="0" style="6" hidden="1" customWidth="1"/>
    <col min="19" max="21" width="9.140625" style="6" hidden="1" customWidth="1"/>
    <col min="22" max="16384" width="9.140625" style="6" hidden="1"/>
  </cols>
  <sheetData>
    <row r="1" spans="1:20">
      <c r="A1" s="33"/>
      <c r="B1" s="33"/>
      <c r="C1" s="38"/>
      <c r="D1" s="38"/>
      <c r="E1" s="38"/>
      <c r="F1" s="33"/>
      <c r="G1" s="33"/>
      <c r="H1" s="33"/>
      <c r="I1" s="33"/>
      <c r="J1" s="33"/>
      <c r="K1" s="33"/>
      <c r="L1" s="33"/>
      <c r="M1" s="33"/>
      <c r="N1" s="33"/>
      <c r="O1" s="33"/>
      <c r="P1" s="33"/>
      <c r="Q1" s="33"/>
      <c r="R1" s="33"/>
    </row>
    <row r="2" spans="1:20" ht="30" customHeight="1">
      <c r="A2" s="33"/>
      <c r="B2" s="46" t="s">
        <v>357</v>
      </c>
      <c r="C2" s="46" t="s">
        <v>358</v>
      </c>
      <c r="D2" s="46" t="s">
        <v>359</v>
      </c>
      <c r="E2" s="46" t="s">
        <v>360</v>
      </c>
      <c r="F2" s="34"/>
      <c r="G2" s="34"/>
      <c r="H2" s="34"/>
      <c r="I2" s="34"/>
      <c r="J2" s="34"/>
      <c r="K2" s="34"/>
      <c r="L2" s="34"/>
      <c r="M2" s="35"/>
      <c r="N2" s="35"/>
      <c r="O2" s="36"/>
      <c r="P2" s="33"/>
      <c r="Q2" s="33"/>
      <c r="R2" s="33"/>
      <c r="S2" s="33"/>
      <c r="T2" s="33"/>
    </row>
    <row r="3" spans="1:20" ht="30" customHeight="1">
      <c r="A3" s="33"/>
      <c r="B3" s="47" t="s">
        <v>21</v>
      </c>
      <c r="C3" s="50" t="s">
        <v>361</v>
      </c>
      <c r="D3" s="50" t="s">
        <v>362</v>
      </c>
      <c r="E3" s="50" t="s">
        <v>363</v>
      </c>
      <c r="F3" s="37"/>
      <c r="G3" s="37"/>
      <c r="H3" s="37"/>
      <c r="I3" s="37"/>
      <c r="J3" s="37"/>
      <c r="K3" s="37"/>
      <c r="L3" s="37"/>
      <c r="M3" s="37"/>
      <c r="N3" s="37"/>
      <c r="O3" s="38"/>
      <c r="P3" s="39"/>
      <c r="Q3" s="33"/>
      <c r="R3" s="33"/>
      <c r="S3" s="33"/>
      <c r="T3" s="33"/>
    </row>
    <row r="4" spans="1:20" ht="30" customHeight="1">
      <c r="A4" s="33"/>
      <c r="B4" s="255" t="s">
        <v>87</v>
      </c>
      <c r="C4" s="256" t="s">
        <v>364</v>
      </c>
      <c r="D4" s="256" t="s">
        <v>365</v>
      </c>
      <c r="E4" s="256" t="s">
        <v>366</v>
      </c>
      <c r="F4" s="37"/>
      <c r="G4" s="37"/>
      <c r="H4" s="37"/>
      <c r="I4" s="37"/>
      <c r="J4" s="37"/>
      <c r="K4" s="37"/>
      <c r="L4" s="37"/>
      <c r="M4" s="37"/>
      <c r="N4" s="37"/>
      <c r="O4" s="38"/>
      <c r="P4" s="39"/>
      <c r="Q4" s="33"/>
      <c r="R4" s="33"/>
      <c r="S4" s="33"/>
      <c r="T4" s="33"/>
    </row>
    <row r="5" spans="1:20" ht="30" customHeight="1">
      <c r="A5" s="33"/>
      <c r="B5" s="47" t="s">
        <v>31</v>
      </c>
      <c r="C5" s="50" t="s">
        <v>367</v>
      </c>
      <c r="D5" s="50" t="s">
        <v>368</v>
      </c>
      <c r="E5" s="50" t="s">
        <v>369</v>
      </c>
      <c r="F5" s="37"/>
      <c r="G5" s="37"/>
      <c r="H5" s="37"/>
      <c r="I5" s="37"/>
      <c r="J5" s="37"/>
      <c r="K5" s="37"/>
      <c r="L5" s="37"/>
      <c r="M5" s="37"/>
      <c r="N5" s="37"/>
      <c r="O5" s="38"/>
      <c r="P5" s="39"/>
      <c r="Q5" s="33"/>
      <c r="R5" s="33"/>
      <c r="S5" s="33"/>
      <c r="T5" s="33"/>
    </row>
    <row r="6" spans="1:20" ht="30" customHeight="1">
      <c r="A6" s="33"/>
      <c r="B6" s="255" t="s">
        <v>36</v>
      </c>
      <c r="C6" s="256" t="s">
        <v>370</v>
      </c>
      <c r="D6" s="256" t="s">
        <v>371</v>
      </c>
      <c r="E6" s="256"/>
      <c r="F6" s="37"/>
      <c r="G6" s="37"/>
      <c r="H6" s="37"/>
      <c r="I6" s="37"/>
      <c r="J6" s="37"/>
      <c r="K6" s="37"/>
      <c r="L6" s="37"/>
      <c r="M6" s="37"/>
      <c r="N6" s="37"/>
      <c r="O6" s="38"/>
      <c r="P6" s="39"/>
      <c r="Q6" s="33"/>
      <c r="R6" s="33"/>
      <c r="S6" s="33"/>
      <c r="T6" s="33"/>
    </row>
    <row r="7" spans="1:20" ht="30" customHeight="1">
      <c r="A7" s="33"/>
      <c r="B7" s="47" t="s">
        <v>38</v>
      </c>
      <c r="C7" s="48" t="s">
        <v>372</v>
      </c>
      <c r="D7" s="50"/>
      <c r="E7" s="50"/>
      <c r="F7" s="37"/>
      <c r="G7" s="37"/>
      <c r="H7" s="37"/>
      <c r="I7" s="37"/>
      <c r="J7" s="37"/>
      <c r="K7" s="37"/>
      <c r="L7" s="37"/>
      <c r="M7" s="37"/>
      <c r="N7" s="37"/>
      <c r="O7" s="38"/>
      <c r="P7" s="39"/>
      <c r="Q7" s="33"/>
      <c r="R7" s="33"/>
      <c r="S7" s="33"/>
      <c r="T7" s="33"/>
    </row>
    <row r="8" spans="1:20" ht="24.95" customHeight="1">
      <c r="A8" s="33"/>
      <c r="C8" s="6"/>
      <c r="D8" s="6"/>
      <c r="E8" s="6"/>
      <c r="F8" s="37"/>
      <c r="G8" s="37"/>
      <c r="H8" s="37"/>
      <c r="I8" s="37"/>
      <c r="J8" s="37"/>
      <c r="K8" s="37"/>
      <c r="L8" s="37"/>
      <c r="M8" s="37"/>
      <c r="N8" s="37"/>
      <c r="O8" s="38"/>
      <c r="P8" s="39"/>
      <c r="Q8" s="33"/>
      <c r="R8" s="33"/>
      <c r="S8" s="33"/>
      <c r="T8" s="33"/>
    </row>
    <row r="9" spans="1:20" ht="30" customHeight="1">
      <c r="A9" s="33"/>
      <c r="B9" s="45" t="s">
        <v>81</v>
      </c>
      <c r="C9" s="46" t="s">
        <v>358</v>
      </c>
      <c r="D9" s="46" t="s">
        <v>359</v>
      </c>
      <c r="E9" s="46" t="s">
        <v>360</v>
      </c>
      <c r="F9" s="37"/>
      <c r="G9" s="37"/>
      <c r="H9" s="37"/>
      <c r="I9" s="37"/>
      <c r="J9" s="37"/>
      <c r="K9" s="37"/>
      <c r="L9" s="37"/>
      <c r="M9" s="37"/>
      <c r="N9" s="37"/>
      <c r="O9" s="38"/>
      <c r="P9" s="39"/>
      <c r="Q9" s="33"/>
      <c r="R9" s="33"/>
      <c r="S9" s="33"/>
      <c r="T9" s="33"/>
    </row>
    <row r="10" spans="1:20" ht="30" customHeight="1">
      <c r="A10" s="33"/>
      <c r="B10" s="47" t="s">
        <v>373</v>
      </c>
      <c r="C10" s="50" t="s">
        <v>374</v>
      </c>
      <c r="D10" s="48"/>
      <c r="E10" s="49"/>
      <c r="F10" s="37"/>
      <c r="G10" s="37"/>
      <c r="H10" s="37"/>
      <c r="I10" s="37"/>
      <c r="J10" s="37"/>
      <c r="K10" s="37"/>
      <c r="L10" s="37"/>
      <c r="M10" s="37"/>
      <c r="N10" s="37"/>
      <c r="O10" s="38"/>
      <c r="P10" s="39"/>
      <c r="Q10" s="33"/>
      <c r="R10" s="33"/>
      <c r="S10" s="33"/>
      <c r="T10" s="33"/>
    </row>
    <row r="11" spans="1:20" ht="30" customHeight="1">
      <c r="A11" s="33"/>
      <c r="B11" s="255" t="s">
        <v>375</v>
      </c>
      <c r="C11" s="257" t="s">
        <v>376</v>
      </c>
      <c r="D11" s="257"/>
      <c r="E11" s="258"/>
      <c r="F11" s="37"/>
      <c r="G11" s="37"/>
      <c r="H11" s="37"/>
      <c r="I11" s="37"/>
      <c r="J11" s="37"/>
      <c r="K11" s="37"/>
      <c r="L11" s="37"/>
      <c r="M11" s="37"/>
      <c r="N11" s="37"/>
      <c r="O11" s="38"/>
      <c r="P11" s="39"/>
      <c r="Q11" s="33"/>
      <c r="R11" s="33"/>
      <c r="S11" s="33"/>
      <c r="T11" s="33"/>
    </row>
    <row r="12" spans="1:20" ht="30" customHeight="1">
      <c r="A12" s="33"/>
      <c r="B12" s="47" t="s">
        <v>86</v>
      </c>
      <c r="C12" s="50" t="s">
        <v>377</v>
      </c>
      <c r="D12" s="50" t="s">
        <v>378</v>
      </c>
      <c r="E12" s="51"/>
      <c r="F12" s="37"/>
      <c r="G12" s="37"/>
      <c r="H12" s="37"/>
      <c r="I12" s="37"/>
      <c r="J12" s="37"/>
      <c r="K12" s="37"/>
      <c r="L12" s="37"/>
      <c r="M12" s="37"/>
      <c r="N12" s="37"/>
      <c r="O12" s="38"/>
      <c r="P12" s="39"/>
      <c r="Q12" s="33"/>
      <c r="R12" s="33"/>
      <c r="S12" s="33"/>
      <c r="T12" s="33"/>
    </row>
    <row r="13" spans="1:20" ht="30" customHeight="1">
      <c r="A13" s="33"/>
      <c r="B13" s="255" t="s">
        <v>97</v>
      </c>
      <c r="C13" s="257" t="s">
        <v>379</v>
      </c>
      <c r="D13" s="257"/>
      <c r="E13" s="258"/>
      <c r="F13" s="37"/>
      <c r="G13" s="37"/>
      <c r="H13" s="37"/>
      <c r="I13" s="37"/>
      <c r="J13" s="37"/>
      <c r="K13" s="37"/>
      <c r="L13" s="37"/>
      <c r="M13" s="37"/>
      <c r="N13" s="37"/>
      <c r="O13" s="38"/>
      <c r="P13" s="39"/>
      <c r="Q13" s="33"/>
      <c r="R13" s="33"/>
      <c r="S13" s="33"/>
      <c r="T13" s="33"/>
    </row>
    <row r="14" spans="1:20" ht="30" customHeight="1">
      <c r="A14" s="33"/>
      <c r="B14" s="47" t="s">
        <v>98</v>
      </c>
      <c r="C14" s="48" t="s">
        <v>380</v>
      </c>
      <c r="D14" s="48"/>
      <c r="E14" s="49"/>
      <c r="F14" s="37"/>
      <c r="G14" s="37"/>
      <c r="H14" s="37"/>
      <c r="I14" s="37"/>
      <c r="J14" s="37"/>
      <c r="K14" s="37"/>
      <c r="L14" s="37"/>
      <c r="M14" s="37"/>
      <c r="N14" s="37"/>
      <c r="O14" s="38"/>
      <c r="P14" s="39"/>
      <c r="Q14" s="33"/>
      <c r="R14" s="33"/>
      <c r="S14" s="33"/>
      <c r="T14" s="33"/>
    </row>
    <row r="15" spans="1:20" ht="30" customHeight="1">
      <c r="A15" s="33"/>
      <c r="B15" s="255" t="s">
        <v>96</v>
      </c>
      <c r="C15" s="257" t="s">
        <v>381</v>
      </c>
      <c r="D15" s="257"/>
      <c r="E15" s="258"/>
      <c r="F15" s="37"/>
      <c r="G15" s="37"/>
      <c r="H15" s="37"/>
      <c r="I15" s="37"/>
      <c r="J15" s="37"/>
      <c r="K15" s="37"/>
      <c r="L15" s="37"/>
      <c r="M15" s="37"/>
      <c r="N15" s="37"/>
      <c r="O15" s="38"/>
      <c r="P15" s="39"/>
      <c r="Q15" s="33"/>
      <c r="R15" s="33"/>
      <c r="S15" s="33"/>
      <c r="T15" s="33"/>
    </row>
    <row r="16" spans="1:20" ht="30" customHeight="1">
      <c r="A16" s="33"/>
      <c r="B16" s="47" t="s">
        <v>95</v>
      </c>
      <c r="C16" s="48" t="s">
        <v>382</v>
      </c>
      <c r="D16" s="48" t="s">
        <v>383</v>
      </c>
      <c r="E16" s="49"/>
      <c r="F16" s="37"/>
      <c r="G16" s="37"/>
      <c r="H16" s="37"/>
      <c r="I16" s="37"/>
      <c r="J16" s="37"/>
      <c r="K16" s="37"/>
      <c r="L16" s="37"/>
      <c r="M16" s="37"/>
      <c r="N16" s="37"/>
      <c r="O16" s="38"/>
      <c r="P16" s="39"/>
      <c r="Q16" s="33"/>
      <c r="R16" s="33"/>
      <c r="S16" s="33"/>
      <c r="T16" s="33"/>
    </row>
    <row r="17" spans="1:20" ht="24.95" customHeight="1">
      <c r="A17" s="33"/>
      <c r="C17" s="6"/>
      <c r="D17" s="6"/>
      <c r="E17" s="6"/>
      <c r="F17" s="40"/>
      <c r="G17" s="40"/>
      <c r="H17" s="40"/>
      <c r="I17" s="40"/>
      <c r="J17" s="40"/>
      <c r="K17" s="40"/>
      <c r="L17" s="40"/>
      <c r="M17" s="40"/>
      <c r="N17" s="40"/>
      <c r="O17" s="301"/>
      <c r="P17" s="39"/>
      <c r="Q17" s="33"/>
      <c r="R17" s="33"/>
      <c r="S17" s="33"/>
      <c r="T17" s="33"/>
    </row>
    <row r="18" spans="1:20" ht="30" customHeight="1">
      <c r="A18" s="33"/>
      <c r="B18" s="45" t="s">
        <v>384</v>
      </c>
      <c r="C18" s="46" t="s">
        <v>358</v>
      </c>
      <c r="D18" s="46" t="s">
        <v>359</v>
      </c>
      <c r="E18" s="46" t="s">
        <v>360</v>
      </c>
      <c r="F18" s="41"/>
      <c r="G18" s="41"/>
      <c r="H18" s="41"/>
      <c r="I18" s="41"/>
      <c r="J18" s="41"/>
      <c r="K18" s="41"/>
      <c r="L18" s="41"/>
      <c r="M18" s="41"/>
      <c r="N18" s="41"/>
      <c r="O18" s="301"/>
      <c r="P18" s="39"/>
      <c r="Q18" s="33"/>
      <c r="R18" s="33"/>
      <c r="S18" s="33"/>
      <c r="T18" s="33"/>
    </row>
    <row r="19" spans="1:20" ht="30" customHeight="1">
      <c r="A19" s="33"/>
      <c r="B19" s="47" t="s">
        <v>21</v>
      </c>
      <c r="C19" s="48" t="s">
        <v>385</v>
      </c>
      <c r="D19" s="48"/>
      <c r="E19" s="49"/>
      <c r="F19" s="37"/>
      <c r="G19" s="37"/>
      <c r="H19" s="37"/>
      <c r="I19" s="37"/>
      <c r="J19" s="37"/>
      <c r="K19" s="37"/>
      <c r="L19" s="37"/>
      <c r="M19" s="37"/>
      <c r="N19" s="37"/>
      <c r="O19" s="301"/>
      <c r="P19" s="39"/>
      <c r="Q19" s="33"/>
      <c r="R19" s="33"/>
      <c r="S19" s="33"/>
      <c r="T19" s="33"/>
    </row>
    <row r="20" spans="1:20" ht="30" customHeight="1">
      <c r="A20" s="33"/>
      <c r="B20" s="255" t="s">
        <v>87</v>
      </c>
      <c r="C20" s="257" t="s">
        <v>386</v>
      </c>
      <c r="D20" s="257"/>
      <c r="E20" s="258"/>
      <c r="F20" s="37"/>
      <c r="G20" s="37"/>
      <c r="H20" s="37"/>
      <c r="I20" s="37"/>
      <c r="J20" s="37"/>
      <c r="K20" s="37"/>
      <c r="L20" s="37"/>
      <c r="M20" s="37"/>
      <c r="N20" s="37"/>
      <c r="O20" s="301"/>
      <c r="P20" s="39"/>
      <c r="Q20" s="33"/>
      <c r="R20" s="33"/>
      <c r="S20" s="33"/>
      <c r="T20" s="33"/>
    </row>
    <row r="21" spans="1:20" ht="30" customHeight="1">
      <c r="A21" s="33"/>
      <c r="B21" s="47" t="s">
        <v>387</v>
      </c>
      <c r="C21" s="48" t="s">
        <v>388</v>
      </c>
      <c r="D21" s="48"/>
      <c r="E21" s="49"/>
      <c r="F21" s="37"/>
      <c r="G21" s="37"/>
      <c r="H21" s="37"/>
      <c r="I21" s="37"/>
      <c r="J21" s="37"/>
      <c r="K21" s="37"/>
      <c r="L21" s="37"/>
      <c r="M21" s="37"/>
      <c r="N21" s="37"/>
      <c r="O21" s="301"/>
      <c r="P21" s="39"/>
      <c r="Q21" s="33"/>
      <c r="R21" s="33"/>
      <c r="S21" s="33"/>
      <c r="T21" s="33"/>
    </row>
    <row r="22" spans="1:20" ht="30" customHeight="1">
      <c r="A22" s="33"/>
      <c r="B22" s="255" t="s">
        <v>89</v>
      </c>
      <c r="C22" s="257" t="s">
        <v>389</v>
      </c>
      <c r="D22" s="257"/>
      <c r="E22" s="258"/>
      <c r="F22" s="37"/>
      <c r="G22" s="37"/>
      <c r="H22" s="37"/>
      <c r="I22" s="37"/>
      <c r="J22" s="37"/>
      <c r="K22" s="37"/>
      <c r="L22" s="37"/>
      <c r="M22" s="37"/>
      <c r="N22" s="37"/>
      <c r="O22" s="301"/>
      <c r="P22" s="39"/>
      <c r="Q22" s="33"/>
      <c r="R22" s="33"/>
      <c r="S22" s="33"/>
      <c r="T22" s="33"/>
    </row>
    <row r="23" spans="1:20" ht="24.95" customHeight="1">
      <c r="A23" s="33"/>
      <c r="B23" s="47"/>
      <c r="C23" s="48"/>
      <c r="D23" s="48"/>
      <c r="E23" s="49"/>
      <c r="F23" s="37"/>
      <c r="G23" s="37"/>
      <c r="H23" s="37"/>
      <c r="I23" s="37"/>
      <c r="J23" s="37"/>
      <c r="K23" s="37"/>
      <c r="L23" s="37"/>
      <c r="M23" s="37"/>
      <c r="N23" s="37"/>
      <c r="O23" s="301"/>
      <c r="P23" s="39"/>
      <c r="Q23" s="33"/>
      <c r="R23" s="33"/>
      <c r="S23" s="33"/>
      <c r="T23" s="33"/>
    </row>
    <row r="24" spans="1:20" ht="30" customHeight="1">
      <c r="A24" s="33"/>
      <c r="B24" s="45" t="s">
        <v>390</v>
      </c>
      <c r="C24" s="46" t="s">
        <v>358</v>
      </c>
      <c r="D24" s="46" t="s">
        <v>359</v>
      </c>
      <c r="E24" s="46" t="s">
        <v>360</v>
      </c>
      <c r="F24" s="35"/>
      <c r="G24" s="35"/>
      <c r="H24" s="35"/>
      <c r="I24" s="35"/>
      <c r="J24" s="35"/>
      <c r="K24" s="35"/>
      <c r="L24" s="35"/>
      <c r="M24" s="35"/>
      <c r="N24" s="35"/>
      <c r="O24" s="38"/>
      <c r="P24" s="39"/>
      <c r="Q24" s="33"/>
      <c r="R24" s="33"/>
      <c r="S24" s="33"/>
      <c r="T24" s="33"/>
    </row>
    <row r="25" spans="1:20" ht="34.5">
      <c r="A25" s="33"/>
      <c r="B25" s="47" t="s">
        <v>79</v>
      </c>
      <c r="C25" s="52" t="s">
        <v>391</v>
      </c>
      <c r="D25" s="52" t="s">
        <v>392</v>
      </c>
      <c r="E25" s="53"/>
      <c r="F25" s="306"/>
      <c r="G25" s="306"/>
      <c r="H25" s="306"/>
      <c r="I25" s="42"/>
      <c r="J25" s="42"/>
      <c r="K25" s="42"/>
      <c r="L25" s="42"/>
      <c r="M25" s="42"/>
      <c r="N25" s="42"/>
      <c r="O25" s="301"/>
      <c r="P25" s="39"/>
      <c r="Q25" s="33"/>
      <c r="R25" s="33"/>
      <c r="S25" s="33"/>
      <c r="T25" s="33"/>
    </row>
    <row r="26" spans="1:20" ht="30" customHeight="1">
      <c r="A26" s="33"/>
      <c r="B26" s="255" t="s">
        <v>78</v>
      </c>
      <c r="C26" s="259" t="s">
        <v>393</v>
      </c>
      <c r="D26" s="259"/>
      <c r="E26" s="260"/>
      <c r="F26" s="306"/>
      <c r="G26" s="306"/>
      <c r="H26" s="306"/>
      <c r="I26" s="42"/>
      <c r="J26" s="42"/>
      <c r="K26" s="42"/>
      <c r="L26" s="42"/>
      <c r="M26" s="42"/>
      <c r="N26" s="42"/>
      <c r="O26" s="301"/>
      <c r="P26" s="39"/>
      <c r="Q26" s="33"/>
      <c r="R26" s="33"/>
      <c r="S26" s="33"/>
      <c r="T26" s="33"/>
    </row>
    <row r="27" spans="1:20" ht="30" customHeight="1">
      <c r="A27" s="33"/>
      <c r="B27" s="47" t="s">
        <v>394</v>
      </c>
      <c r="C27" s="52" t="s">
        <v>395</v>
      </c>
      <c r="D27" s="54"/>
      <c r="E27" s="53"/>
      <c r="F27" s="306"/>
      <c r="G27" s="306"/>
      <c r="H27" s="306"/>
      <c r="I27" s="42"/>
      <c r="J27" s="42"/>
      <c r="K27" s="42"/>
      <c r="L27" s="42"/>
      <c r="M27" s="42"/>
      <c r="N27" s="42"/>
      <c r="O27" s="43"/>
      <c r="P27" s="39"/>
      <c r="Q27" s="33"/>
      <c r="R27" s="33"/>
      <c r="S27" s="33"/>
      <c r="T27" s="33"/>
    </row>
    <row r="28" spans="1:20" ht="24.95" customHeight="1">
      <c r="A28" s="33"/>
      <c r="B28" s="47"/>
      <c r="C28" s="52"/>
      <c r="D28" s="54"/>
      <c r="E28" s="53"/>
      <c r="F28" s="301"/>
      <c r="G28" s="301"/>
      <c r="H28" s="301"/>
      <c r="I28" s="42"/>
      <c r="J28" s="42"/>
      <c r="K28" s="42"/>
      <c r="L28" s="42"/>
      <c r="M28" s="42"/>
      <c r="N28" s="42"/>
      <c r="O28" s="43"/>
      <c r="P28" s="39"/>
      <c r="Q28" s="33"/>
      <c r="R28" s="33"/>
      <c r="S28" s="33"/>
      <c r="T28" s="33"/>
    </row>
    <row r="29" spans="1:20" ht="30" customHeight="1">
      <c r="A29" s="33"/>
      <c r="B29" s="45" t="s">
        <v>89</v>
      </c>
      <c r="C29" s="46" t="s">
        <v>358</v>
      </c>
      <c r="D29" s="46" t="s">
        <v>359</v>
      </c>
      <c r="E29" s="46" t="s">
        <v>360</v>
      </c>
      <c r="F29" s="306"/>
      <c r="G29" s="306"/>
      <c r="H29" s="306"/>
      <c r="I29" s="42"/>
      <c r="J29" s="42"/>
      <c r="K29" s="42"/>
      <c r="L29" s="42"/>
      <c r="M29" s="42"/>
      <c r="N29" s="42"/>
      <c r="O29" s="43"/>
      <c r="P29" s="39"/>
      <c r="Q29" s="33"/>
      <c r="R29" s="33"/>
      <c r="S29" s="33"/>
      <c r="T29" s="33"/>
    </row>
    <row r="30" spans="1:20" ht="51.95" customHeight="1">
      <c r="A30" s="33"/>
      <c r="B30" s="47" t="s">
        <v>396</v>
      </c>
      <c r="C30" s="50" t="s">
        <v>397</v>
      </c>
      <c r="D30" s="53" t="s">
        <v>398</v>
      </c>
      <c r="E30" s="53" t="s">
        <v>399</v>
      </c>
      <c r="F30" s="35"/>
      <c r="G30" s="35"/>
      <c r="H30" s="35"/>
      <c r="I30" s="35"/>
      <c r="J30" s="35"/>
      <c r="K30" s="35"/>
      <c r="L30" s="35"/>
      <c r="M30" s="35"/>
      <c r="N30" s="35"/>
      <c r="O30" s="39"/>
      <c r="P30" s="39"/>
      <c r="Q30" s="33"/>
      <c r="R30" s="33"/>
      <c r="S30" s="33"/>
      <c r="T30" s="33"/>
    </row>
    <row r="31" spans="1:20" ht="51.75">
      <c r="A31" s="33"/>
      <c r="B31" s="255" t="s">
        <v>400</v>
      </c>
      <c r="C31" s="256" t="s">
        <v>401</v>
      </c>
      <c r="D31" s="259" t="s">
        <v>402</v>
      </c>
      <c r="E31" s="260" t="s">
        <v>403</v>
      </c>
      <c r="F31" s="35"/>
      <c r="G31" s="35"/>
      <c r="H31" s="35"/>
      <c r="I31" s="35"/>
      <c r="J31" s="35"/>
      <c r="K31" s="35"/>
      <c r="L31" s="35"/>
      <c r="M31" s="35"/>
      <c r="N31" s="35"/>
      <c r="O31" s="39"/>
      <c r="P31" s="39"/>
      <c r="Q31" s="33"/>
      <c r="R31" s="33"/>
      <c r="S31" s="33"/>
      <c r="T31" s="33"/>
    </row>
    <row r="32" spans="1:20" ht="51.75">
      <c r="A32" s="33"/>
      <c r="B32" s="47" t="s">
        <v>404</v>
      </c>
      <c r="C32" s="50" t="s">
        <v>405</v>
      </c>
      <c r="D32" s="50" t="s">
        <v>406</v>
      </c>
      <c r="E32" s="53"/>
      <c r="F32" s="35"/>
      <c r="G32" s="35"/>
      <c r="H32" s="35"/>
      <c r="I32" s="35"/>
      <c r="J32" s="35"/>
      <c r="K32" s="35"/>
      <c r="L32" s="35"/>
      <c r="M32" s="35"/>
      <c r="N32" s="35"/>
      <c r="O32" s="39"/>
      <c r="P32" s="39"/>
      <c r="Q32" s="33"/>
      <c r="R32" s="33"/>
      <c r="S32" s="33"/>
      <c r="T32" s="33"/>
    </row>
    <row r="33" spans="1:20" ht="51.95" customHeight="1">
      <c r="A33" s="33"/>
      <c r="B33" s="255" t="s">
        <v>89</v>
      </c>
      <c r="C33" s="256" t="s">
        <v>407</v>
      </c>
      <c r="D33" s="260"/>
      <c r="E33" s="260"/>
      <c r="F33" s="35"/>
      <c r="G33" s="35"/>
      <c r="H33" s="35"/>
      <c r="I33" s="35"/>
      <c r="J33" s="35"/>
      <c r="K33" s="35"/>
      <c r="L33" s="35"/>
      <c r="M33" s="35"/>
      <c r="N33" s="35"/>
      <c r="O33" s="39"/>
      <c r="P33" s="39"/>
      <c r="Q33" s="33"/>
      <c r="R33" s="33"/>
      <c r="S33" s="33"/>
      <c r="T33" s="33"/>
    </row>
    <row r="34" spans="1:20" ht="26.1" hidden="1" customHeight="1">
      <c r="A34" s="33"/>
      <c r="B34" s="55"/>
      <c r="C34" s="56"/>
      <c r="D34" s="56"/>
      <c r="E34" s="56"/>
      <c r="F34" s="39"/>
      <c r="G34" s="39"/>
      <c r="H34" s="39"/>
      <c r="I34" s="39"/>
      <c r="J34" s="39"/>
      <c r="K34" s="39"/>
      <c r="L34" s="39"/>
      <c r="M34" s="39"/>
      <c r="N34" s="39"/>
      <c r="O34" s="33"/>
      <c r="P34" s="33"/>
      <c r="Q34" s="33"/>
      <c r="R34" s="33"/>
      <c r="S34" s="33"/>
      <c r="T34" s="33"/>
    </row>
    <row r="35" spans="1:20" ht="26.1" hidden="1" customHeight="1">
      <c r="A35" s="33"/>
      <c r="B35" s="55"/>
      <c r="C35" s="56"/>
      <c r="D35" s="56"/>
      <c r="E35" s="56"/>
      <c r="F35" s="39"/>
      <c r="G35" s="39"/>
      <c r="H35" s="39"/>
      <c r="I35" s="39"/>
      <c r="J35" s="39"/>
      <c r="K35" s="39"/>
      <c r="L35" s="39"/>
      <c r="M35" s="39"/>
      <c r="N35" s="39"/>
      <c r="O35" s="33"/>
      <c r="P35" s="33"/>
      <c r="Q35" s="33"/>
      <c r="R35" s="33"/>
      <c r="S35" s="33"/>
      <c r="T35" s="33"/>
    </row>
    <row r="36" spans="1:20" ht="26.1" hidden="1" customHeight="1">
      <c r="A36" s="33"/>
      <c r="B36" s="57"/>
      <c r="C36" s="56"/>
      <c r="D36" s="56"/>
      <c r="E36" s="56"/>
      <c r="F36" s="33"/>
      <c r="G36" s="33"/>
      <c r="H36" s="33"/>
      <c r="I36" s="33"/>
      <c r="J36" s="33"/>
      <c r="K36" s="33"/>
      <c r="L36" s="33"/>
      <c r="M36" s="33"/>
      <c r="N36" s="33"/>
      <c r="O36" s="33"/>
      <c r="P36" s="33"/>
      <c r="Q36" s="33"/>
      <c r="R36" s="33"/>
      <c r="S36" s="33"/>
      <c r="T36" s="33"/>
    </row>
    <row r="37" spans="1:20" ht="26.1" hidden="1" customHeight="1">
      <c r="A37" s="33"/>
      <c r="B37" s="57"/>
      <c r="C37" s="56"/>
      <c r="D37" s="56"/>
      <c r="E37" s="56"/>
      <c r="F37" s="33"/>
      <c r="G37" s="33"/>
      <c r="H37" s="33"/>
      <c r="I37" s="33"/>
      <c r="J37" s="33"/>
      <c r="K37" s="33"/>
      <c r="L37" s="33"/>
      <c r="M37" s="33"/>
      <c r="N37" s="33"/>
      <c r="O37" s="33"/>
      <c r="P37" s="33"/>
      <c r="Q37" s="33"/>
      <c r="R37" s="33"/>
      <c r="S37" s="33"/>
      <c r="T37" s="33"/>
    </row>
    <row r="38" spans="1:20" ht="26.1" hidden="1" customHeight="1">
      <c r="A38" s="33"/>
      <c r="B38" s="57"/>
      <c r="C38" s="56"/>
      <c r="D38" s="56"/>
      <c r="E38" s="56"/>
      <c r="F38" s="33"/>
      <c r="G38" s="33"/>
      <c r="H38" s="33"/>
      <c r="I38" s="33"/>
      <c r="J38" s="33"/>
      <c r="K38" s="33"/>
      <c r="L38" s="33"/>
      <c r="M38" s="33"/>
      <c r="N38" s="33"/>
      <c r="O38" s="33"/>
      <c r="P38" s="33"/>
      <c r="Q38" s="33"/>
      <c r="R38" s="33"/>
      <c r="S38" s="33"/>
      <c r="T38" s="33"/>
    </row>
    <row r="39" spans="1:20" hidden="1">
      <c r="A39" s="33"/>
      <c r="B39" s="57"/>
      <c r="C39" s="56"/>
      <c r="D39" s="56"/>
      <c r="E39" s="56"/>
      <c r="F39" s="33"/>
      <c r="G39" s="33"/>
      <c r="H39" s="33"/>
      <c r="I39" s="33"/>
      <c r="J39" s="33"/>
      <c r="K39" s="33"/>
      <c r="L39" s="33"/>
      <c r="M39" s="33"/>
      <c r="N39" s="33"/>
      <c r="O39" s="33"/>
      <c r="P39" s="33"/>
      <c r="Q39" s="33"/>
      <c r="R39" s="33"/>
      <c r="S39" s="33"/>
      <c r="T39" s="33"/>
    </row>
    <row r="40" spans="1:20" hidden="1">
      <c r="A40" s="33"/>
      <c r="B40" s="57"/>
      <c r="C40" s="56"/>
      <c r="D40" s="56"/>
      <c r="E40" s="56"/>
      <c r="F40" s="33"/>
      <c r="G40" s="33"/>
      <c r="H40" s="33"/>
      <c r="I40" s="33"/>
      <c r="J40" s="33"/>
      <c r="K40" s="33"/>
      <c r="L40" s="33"/>
      <c r="M40" s="33"/>
      <c r="N40" s="33"/>
      <c r="O40" s="33"/>
      <c r="P40" s="33"/>
      <c r="Q40" s="33"/>
      <c r="R40" s="33"/>
      <c r="S40" s="33"/>
      <c r="T40" s="33"/>
    </row>
    <row r="41" spans="1:20" hidden="1">
      <c r="A41" s="33"/>
      <c r="B41" s="57"/>
      <c r="C41" s="56"/>
      <c r="D41" s="56"/>
      <c r="E41" s="56"/>
      <c r="F41" s="33"/>
      <c r="G41" s="33"/>
      <c r="H41" s="33"/>
      <c r="I41" s="33"/>
      <c r="J41" s="33"/>
      <c r="K41" s="33"/>
      <c r="L41" s="33"/>
      <c r="M41" s="33"/>
      <c r="N41" s="33"/>
      <c r="O41" s="33"/>
      <c r="P41" s="33"/>
      <c r="Q41" s="33"/>
      <c r="R41" s="33"/>
      <c r="S41" s="33"/>
      <c r="T41" s="33"/>
    </row>
    <row r="42" spans="1:20" hidden="1">
      <c r="A42" s="33"/>
      <c r="B42" s="57"/>
      <c r="C42" s="56"/>
      <c r="D42" s="56"/>
      <c r="E42" s="56"/>
      <c r="F42" s="33"/>
      <c r="G42" s="33"/>
      <c r="H42" s="33"/>
      <c r="I42" s="33"/>
      <c r="J42" s="33"/>
      <c r="K42" s="33"/>
      <c r="L42" s="33"/>
      <c r="M42" s="33"/>
      <c r="N42" s="33"/>
      <c r="O42" s="33"/>
      <c r="P42" s="33"/>
      <c r="Q42" s="33"/>
      <c r="R42" s="33"/>
      <c r="S42" s="33"/>
      <c r="T42" s="33"/>
    </row>
    <row r="43" spans="1:20" hidden="1">
      <c r="A43" s="33"/>
      <c r="B43" s="57"/>
      <c r="C43" s="56"/>
      <c r="D43" s="56"/>
      <c r="E43" s="56"/>
      <c r="F43" s="33"/>
      <c r="G43" s="33"/>
      <c r="H43" s="33"/>
      <c r="I43" s="33"/>
      <c r="J43" s="33"/>
      <c r="K43" s="33"/>
      <c r="L43" s="33"/>
      <c r="M43" s="33"/>
      <c r="N43" s="33"/>
      <c r="O43" s="33"/>
      <c r="P43" s="33"/>
      <c r="Q43" s="33"/>
      <c r="R43" s="33"/>
      <c r="S43" s="33"/>
      <c r="T43" s="33"/>
    </row>
    <row r="44" spans="1:20" hidden="1">
      <c r="A44" s="33"/>
      <c r="B44" s="57"/>
      <c r="C44" s="56"/>
      <c r="D44" s="56"/>
      <c r="E44" s="56"/>
      <c r="F44" s="33"/>
      <c r="G44" s="33"/>
      <c r="H44" s="33"/>
      <c r="I44" s="33"/>
      <c r="J44" s="33"/>
      <c r="K44" s="33"/>
      <c r="L44" s="33"/>
      <c r="M44" s="33"/>
      <c r="N44" s="33"/>
      <c r="O44" s="33"/>
      <c r="P44" s="33"/>
      <c r="Q44" s="33"/>
      <c r="R44" s="33"/>
      <c r="S44" s="33"/>
      <c r="T44" s="33"/>
    </row>
    <row r="45" spans="1:20" hidden="1">
      <c r="A45" s="33"/>
      <c r="B45" s="57"/>
      <c r="C45" s="56"/>
      <c r="D45" s="56"/>
      <c r="E45" s="56"/>
      <c r="F45" s="33"/>
      <c r="G45" s="33"/>
      <c r="H45" s="33"/>
      <c r="I45" s="33"/>
      <c r="J45" s="33"/>
      <c r="K45" s="33"/>
      <c r="L45" s="33"/>
      <c r="M45" s="33"/>
      <c r="N45" s="33"/>
      <c r="O45" s="33"/>
      <c r="P45" s="33"/>
      <c r="Q45" s="33"/>
      <c r="R45" s="33"/>
      <c r="S45" s="33"/>
      <c r="T45" s="33"/>
    </row>
    <row r="46" spans="1:20" hidden="1">
      <c r="A46" s="33"/>
      <c r="B46" s="57"/>
      <c r="C46" s="56"/>
      <c r="D46" s="56"/>
      <c r="E46" s="56"/>
      <c r="F46" s="33"/>
      <c r="G46" s="33"/>
      <c r="H46" s="33"/>
      <c r="I46" s="33"/>
      <c r="J46" s="33"/>
      <c r="K46" s="33"/>
      <c r="L46" s="33"/>
      <c r="M46" s="33"/>
      <c r="N46" s="33"/>
      <c r="O46" s="33"/>
      <c r="P46" s="33"/>
      <c r="Q46" s="33"/>
      <c r="R46" s="33"/>
      <c r="S46" s="33"/>
      <c r="T46" s="33"/>
    </row>
    <row r="47" spans="1:20" hidden="1">
      <c r="A47" s="33"/>
      <c r="B47" s="57"/>
      <c r="C47" s="56"/>
      <c r="D47" s="56"/>
      <c r="E47" s="56"/>
      <c r="F47" s="33"/>
      <c r="G47" s="33"/>
      <c r="H47" s="33"/>
      <c r="I47" s="33"/>
      <c r="J47" s="33"/>
      <c r="K47" s="33"/>
      <c r="L47" s="33"/>
      <c r="M47" s="33"/>
      <c r="N47" s="33"/>
      <c r="O47" s="33"/>
      <c r="P47" s="33"/>
      <c r="Q47" s="33"/>
      <c r="R47" s="33"/>
      <c r="S47" s="33"/>
      <c r="T47" s="33"/>
    </row>
    <row r="48" spans="1:20" hidden="1">
      <c r="A48" s="33"/>
      <c r="B48" s="57"/>
      <c r="C48" s="56"/>
      <c r="D48" s="56"/>
      <c r="E48" s="56"/>
      <c r="F48" s="33"/>
      <c r="G48" s="33"/>
      <c r="H48" s="33"/>
      <c r="I48" s="33"/>
      <c r="J48" s="33"/>
      <c r="K48" s="33"/>
      <c r="L48" s="33"/>
      <c r="M48" s="33"/>
      <c r="N48" s="33"/>
      <c r="O48" s="33"/>
      <c r="P48" s="33"/>
      <c r="Q48" s="33"/>
      <c r="R48" s="33"/>
      <c r="S48" s="33"/>
      <c r="T48" s="33"/>
    </row>
    <row r="49" spans="1:20" hidden="1">
      <c r="A49" s="33"/>
      <c r="B49" s="57"/>
      <c r="C49" s="56"/>
      <c r="D49" s="56"/>
      <c r="E49" s="56"/>
      <c r="F49" s="33"/>
      <c r="G49" s="33"/>
      <c r="H49" s="33"/>
      <c r="I49" s="33"/>
      <c r="J49" s="33"/>
      <c r="K49" s="33"/>
      <c r="L49" s="33"/>
      <c r="M49" s="33"/>
      <c r="N49" s="33"/>
      <c r="O49" s="33"/>
      <c r="P49" s="33"/>
      <c r="Q49" s="33"/>
      <c r="R49" s="33"/>
      <c r="S49" s="33"/>
      <c r="T49" s="33"/>
    </row>
    <row r="50" spans="1:20" hidden="1">
      <c r="A50" s="33"/>
      <c r="B50" s="57"/>
      <c r="C50" s="56"/>
      <c r="D50" s="56"/>
      <c r="E50" s="56"/>
      <c r="F50" s="33"/>
      <c r="G50" s="33"/>
      <c r="H50" s="33"/>
      <c r="I50" s="33"/>
      <c r="J50" s="33"/>
      <c r="K50" s="33"/>
      <c r="L50" s="33"/>
      <c r="M50" s="33"/>
      <c r="N50" s="33"/>
      <c r="O50" s="33"/>
      <c r="P50" s="33"/>
      <c r="Q50" s="33"/>
      <c r="R50" s="33"/>
      <c r="S50" s="33"/>
      <c r="T50" s="33"/>
    </row>
    <row r="51" spans="1:20" hidden="1">
      <c r="A51" s="33"/>
      <c r="B51" s="57"/>
      <c r="C51" s="56"/>
      <c r="D51" s="56"/>
      <c r="E51" s="56"/>
      <c r="F51" s="33"/>
      <c r="G51" s="33"/>
      <c r="H51" s="33"/>
      <c r="I51" s="33"/>
      <c r="J51" s="33"/>
      <c r="K51" s="33"/>
      <c r="L51" s="33"/>
      <c r="M51" s="33"/>
      <c r="N51" s="33"/>
      <c r="O51" s="33"/>
      <c r="P51" s="33"/>
      <c r="Q51" s="33"/>
      <c r="R51" s="33"/>
      <c r="S51" s="33"/>
      <c r="T51" s="33"/>
    </row>
    <row r="52" spans="1:20" hidden="1">
      <c r="A52" s="33"/>
      <c r="B52" s="57"/>
      <c r="C52" s="56"/>
      <c r="D52" s="56"/>
      <c r="E52" s="56"/>
      <c r="F52" s="33"/>
      <c r="G52" s="33"/>
      <c r="H52" s="33"/>
      <c r="I52" s="33"/>
      <c r="J52" s="33"/>
      <c r="K52" s="33"/>
      <c r="L52" s="33"/>
      <c r="M52" s="33"/>
      <c r="N52" s="33"/>
      <c r="O52" s="33"/>
      <c r="P52" s="33"/>
      <c r="Q52" s="33"/>
      <c r="R52" s="33"/>
      <c r="S52" s="33"/>
      <c r="T52" s="33"/>
    </row>
    <row r="53" spans="1:20" hidden="1">
      <c r="A53" s="33"/>
      <c r="B53" s="57"/>
      <c r="C53" s="56"/>
      <c r="D53" s="56"/>
      <c r="E53" s="56"/>
      <c r="F53" s="33"/>
      <c r="G53" s="33"/>
      <c r="H53" s="33"/>
      <c r="I53" s="33"/>
      <c r="J53" s="33"/>
      <c r="K53" s="33"/>
      <c r="L53" s="33"/>
      <c r="M53" s="33"/>
      <c r="N53" s="33"/>
      <c r="O53" s="33"/>
      <c r="P53" s="33"/>
      <c r="Q53" s="33"/>
      <c r="R53" s="33"/>
      <c r="S53" s="33"/>
      <c r="T53" s="33"/>
    </row>
    <row r="54" spans="1:20" hidden="1">
      <c r="A54" s="33"/>
      <c r="B54" s="57"/>
      <c r="C54" s="56"/>
      <c r="D54" s="56"/>
      <c r="E54" s="56"/>
      <c r="F54" s="33"/>
      <c r="G54" s="33"/>
      <c r="H54" s="33"/>
      <c r="I54" s="33"/>
      <c r="J54" s="33"/>
      <c r="K54" s="33"/>
      <c r="L54" s="33"/>
      <c r="M54" s="33"/>
      <c r="N54" s="33"/>
      <c r="O54" s="33"/>
      <c r="P54" s="33"/>
      <c r="Q54" s="33"/>
      <c r="R54" s="33"/>
      <c r="S54" s="33"/>
      <c r="T54" s="33"/>
    </row>
    <row r="55" spans="1:20" hidden="1">
      <c r="B55" s="58"/>
      <c r="C55" s="59"/>
      <c r="D55" s="59"/>
      <c r="E55" s="59"/>
      <c r="I55" s="33"/>
    </row>
    <row r="56" spans="1:20" hidden="1">
      <c r="B56" s="58"/>
      <c r="C56" s="59"/>
      <c r="D56" s="59"/>
      <c r="E56" s="59"/>
    </row>
    <row r="57" spans="1:20" hidden="1">
      <c r="B57" s="58"/>
      <c r="C57" s="59"/>
      <c r="D57" s="59"/>
      <c r="E57" s="59"/>
    </row>
    <row r="58" spans="1:20" hidden="1">
      <c r="B58" s="58"/>
      <c r="C58" s="59"/>
      <c r="D58" s="59"/>
      <c r="E58" s="59"/>
    </row>
    <row r="59" spans="1:20" hidden="1">
      <c r="B59" s="58"/>
      <c r="C59" s="59"/>
      <c r="D59" s="59"/>
      <c r="E59" s="59"/>
    </row>
    <row r="60" spans="1:20" hidden="1">
      <c r="B60" s="58"/>
      <c r="C60" s="59"/>
      <c r="D60" s="59"/>
      <c r="E60" s="59"/>
    </row>
    <row r="61" spans="1:20" hidden="1">
      <c r="B61" s="58"/>
      <c r="C61" s="59"/>
      <c r="D61" s="59"/>
      <c r="E61" s="59"/>
    </row>
    <row r="62" spans="1:20" hidden="1">
      <c r="B62" s="58"/>
      <c r="C62" s="59"/>
      <c r="D62" s="59"/>
      <c r="E62" s="59"/>
    </row>
    <row r="63" spans="1:20" hidden="1">
      <c r="B63" s="60"/>
      <c r="C63" s="59"/>
      <c r="D63" s="59"/>
      <c r="E63" s="59"/>
    </row>
    <row r="64" spans="1:20" hidden="1">
      <c r="B64" s="60"/>
      <c r="C64" s="59"/>
      <c r="D64" s="59"/>
      <c r="E64" s="59"/>
    </row>
    <row r="65"/>
  </sheetData>
  <mergeCells count="4">
    <mergeCell ref="F27:H27"/>
    <mergeCell ref="F29:H29"/>
    <mergeCell ref="F25:H25"/>
    <mergeCell ref="F26:H26"/>
  </mergeCells>
  <pageMargins left="0.7" right="0.7" top="0.75" bottom="0.75" header="0.3" footer="0.3"/>
  <pageSetup paperSize="9" orientation="portrait" horizontalDpi="1200" verticalDpi="1200" r:id="rId1"/>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41EDC-2E42-4F91-A115-07FD192CF777}">
  <dimension ref="A1:K53"/>
  <sheetViews>
    <sheetView showGridLines="0" workbookViewId="0">
      <selection activeCell="B17" sqref="B17"/>
    </sheetView>
  </sheetViews>
  <sheetFormatPr defaultColWidth="11.42578125" defaultRowHeight="15"/>
  <cols>
    <col min="1" max="1" width="38.42578125" style="217" bestFit="1" customWidth="1"/>
    <col min="2" max="8" width="11.42578125" style="230"/>
    <col min="9" max="16384" width="11.42578125" style="217"/>
  </cols>
  <sheetData>
    <row r="1" spans="1:11">
      <c r="A1" s="95" t="s">
        <v>408</v>
      </c>
      <c r="B1" s="102">
        <f>'1.IS'!B2</f>
        <v>2018</v>
      </c>
      <c r="C1" s="102">
        <f>'1.IS'!C2</f>
        <v>2019</v>
      </c>
      <c r="D1" s="102">
        <f>'1.IS'!D2</f>
        <v>2020</v>
      </c>
      <c r="E1" s="102">
        <f>'1.IS'!E2</f>
        <v>2021</v>
      </c>
      <c r="F1" s="102">
        <f>'1.IS'!F2</f>
        <v>2022</v>
      </c>
      <c r="G1" s="102">
        <f>'1.IS'!G2</f>
        <v>2023</v>
      </c>
      <c r="H1" s="102">
        <f>'1.IS'!H2</f>
        <v>2024</v>
      </c>
    </row>
    <row r="2" spans="1:11">
      <c r="A2" s="226" t="s">
        <v>409</v>
      </c>
      <c r="B2" s="282">
        <f>IFERROR(VALUE(VLOOKUP($A2, '8.TIKR_CF'!$A:$H, COLUMN(B2), FALSE)), 0)</f>
        <v>-838.3</v>
      </c>
      <c r="C2" s="282">
        <f>IFERROR(VALUE(VLOOKUP($A2, '8.TIKR_CF'!$A:$H, COLUMN(C2), FALSE)), 0)</f>
        <v>-1191.5</v>
      </c>
      <c r="D2" s="282">
        <f>IFERROR(VALUE(VLOOKUP($A2, '8.TIKR_CF'!$A:$H, COLUMN(D2), FALSE)), 0)</f>
        <v>-1000.8</v>
      </c>
      <c r="E2" s="282">
        <f>IFERROR(VALUE(VLOOKUP($A2, '8.TIKR_CF'!$A:$H, COLUMN(E2), FALSE)), 0)</f>
        <v>-940.3</v>
      </c>
      <c r="F2" s="282">
        <f>IFERROR(VALUE(VLOOKUP($A2, '8.TIKR_CF'!$A:$H, COLUMN(F2), FALSE)), 0)</f>
        <v>-2212.4</v>
      </c>
      <c r="G2" s="282">
        <f>IFERROR(VALUE(VLOOKUP($A2, '8.TIKR_CF'!$A:$H, COLUMN(G2), FALSE)), 0)</f>
        <v>-2196.1999999999998</v>
      </c>
      <c r="H2" s="282">
        <f>IFERROR(VALUE(VLOOKUP($A2, '8.TIKR_CF'!$A:$H, COLUMN(H2), FALSE)), 0)</f>
        <v>-2083.1</v>
      </c>
      <c r="J2" s="279"/>
      <c r="K2" s="280"/>
    </row>
    <row r="3" spans="1:11">
      <c r="A3" s="227" t="s">
        <v>410</v>
      </c>
      <c r="B3" s="285">
        <f>IFERROR(VALUE(VLOOKUP($A3,'8.TIKR_CF'!$A:$H,COLUMN(B3),FALSE)),0)</f>
        <v>1034.0999999999999</v>
      </c>
      <c r="C3" s="285">
        <f>IFERROR(VALUE(VLOOKUP($A3,'8.TIKR_CF'!$A:$H,COLUMN(C3),FALSE)),0)</f>
        <v>1019</v>
      </c>
      <c r="D3" s="285">
        <f>IFERROR(VALUE(VLOOKUP($A3,'8.TIKR_CF'!$A:$H,COLUMN(D3),FALSE)),0)</f>
        <v>1359.1</v>
      </c>
      <c r="E3" s="285">
        <f>IFERROR(VALUE(VLOOKUP($A3,'8.TIKR_CF'!$A:$H,COLUMN(E3),FALSE)),0)</f>
        <v>1826.4</v>
      </c>
      <c r="F3" s="285">
        <f>IFERROR(VALUE(VLOOKUP($A3,'8.TIKR_CF'!$A:$H,COLUMN(F3),FALSE)),0)</f>
        <v>864.7</v>
      </c>
      <c r="G3" s="285">
        <f>IFERROR(VALUE(VLOOKUP($A3,'8.TIKR_CF'!$A:$H,COLUMN(G3),FALSE)),0)</f>
        <v>125.6</v>
      </c>
      <c r="H3" s="285">
        <f>IFERROR(VALUE(VLOOKUP($A3,'8.TIKR_CF'!$A:$H,COLUMN(H3),FALSE)),0)</f>
        <v>305.2</v>
      </c>
      <c r="J3" s="279"/>
      <c r="K3" s="281"/>
    </row>
    <row r="4" spans="1:11">
      <c r="A4" s="226" t="s">
        <v>411</v>
      </c>
      <c r="B4" s="286">
        <f>B2+B3</f>
        <v>195.79999999999995</v>
      </c>
      <c r="C4" s="286">
        <f t="shared" ref="C4:H4" si="0">SUM(C2:C3)</f>
        <v>-172.5</v>
      </c>
      <c r="D4" s="286">
        <f t="shared" si="0"/>
        <v>358.29999999999995</v>
      </c>
      <c r="E4" s="286">
        <f t="shared" si="0"/>
        <v>886.10000000000014</v>
      </c>
      <c r="F4" s="286">
        <f t="shared" si="0"/>
        <v>-1347.7</v>
      </c>
      <c r="G4" s="286">
        <f t="shared" si="0"/>
        <v>-2070.6</v>
      </c>
      <c r="H4" s="286">
        <f t="shared" si="0"/>
        <v>-1777.8999999999999</v>
      </c>
      <c r="K4" s="280"/>
    </row>
    <row r="5" spans="1:11">
      <c r="A5" s="227" t="s">
        <v>412</v>
      </c>
      <c r="B5" s="285">
        <f>IFERROR(VALUE(VLOOKUP($A5,'8.TIKR_CF'!$A:$H,COLUMN(B5),FALSE)),"0")</f>
        <v>733.5</v>
      </c>
      <c r="C5" s="285">
        <f>IFERROR(VALUE(VLOOKUP($A5,'8.TIKR_CF'!$A:$H,COLUMN(C5),FALSE)),"0")</f>
        <v>828.3</v>
      </c>
      <c r="D5" s="285">
        <f>IFERROR(VALUE(VLOOKUP($A5,'8.TIKR_CF'!$A:$H,COLUMN(D5),FALSE)),"0")</f>
        <v>490.8</v>
      </c>
      <c r="E5" s="285">
        <f>IFERROR(VALUE(VLOOKUP($A5,'8.TIKR_CF'!$A:$H,COLUMN(E5),FALSE)),"0")</f>
        <v>471</v>
      </c>
      <c r="F5" s="285">
        <f>IFERROR(VALUE(VLOOKUP($A5,'8.TIKR_CF'!$A:$H,COLUMN(F5),FALSE)),"0")</f>
        <v>875.9</v>
      </c>
      <c r="G5" s="285">
        <f>IFERROR(VALUE(VLOOKUP($A5,'8.TIKR_CF'!$A:$H,COLUMN(G5),FALSE)),"0")</f>
        <v>786.2</v>
      </c>
      <c r="H5" s="285">
        <f>IFERROR(VALUE(VLOOKUP($A5,'8.TIKR_CF'!$A:$H,COLUMN(H5),FALSE)),"0")</f>
        <v>918.6</v>
      </c>
    </row>
    <row r="6" spans="1:11">
      <c r="A6" s="103" t="s">
        <v>413</v>
      </c>
      <c r="B6" s="287">
        <f t="shared" ref="B6:H6" si="1">IF(ABS(B4)&lt;B5,B4,-B5)</f>
        <v>195.79999999999995</v>
      </c>
      <c r="C6" s="287">
        <f t="shared" si="1"/>
        <v>-172.5</v>
      </c>
      <c r="D6" s="287">
        <f t="shared" si="1"/>
        <v>358.29999999999995</v>
      </c>
      <c r="E6" s="287">
        <f t="shared" si="1"/>
        <v>-471</v>
      </c>
      <c r="F6" s="287">
        <f t="shared" si="1"/>
        <v>-875.9</v>
      </c>
      <c r="G6" s="287">
        <f t="shared" si="1"/>
        <v>-786.2</v>
      </c>
      <c r="H6" s="287">
        <f t="shared" si="1"/>
        <v>-918.6</v>
      </c>
    </row>
    <row r="8" spans="1:11">
      <c r="A8" s="95" t="s">
        <v>414</v>
      </c>
      <c r="B8" s="102">
        <f>'1.IS'!B2</f>
        <v>2018</v>
      </c>
      <c r="C8" s="102">
        <f>'1.IS'!C2</f>
        <v>2019</v>
      </c>
      <c r="D8" s="102">
        <f>'1.IS'!D2</f>
        <v>2020</v>
      </c>
      <c r="E8" s="102">
        <f>'1.IS'!E2</f>
        <v>2021</v>
      </c>
      <c r="F8" s="102">
        <f>'1.IS'!F2</f>
        <v>2022</v>
      </c>
      <c r="G8" s="102">
        <f>'1.IS'!G2</f>
        <v>2023</v>
      </c>
      <c r="H8" s="102">
        <f>'1.IS'!H2</f>
        <v>2024</v>
      </c>
      <c r="I8" s="104"/>
      <c r="J8" s="104"/>
    </row>
    <row r="9" spans="1:11">
      <c r="A9" s="217" t="s">
        <v>61</v>
      </c>
      <c r="B9" s="288">
        <f>B4-B6</f>
        <v>0</v>
      </c>
      <c r="C9" s="288">
        <f t="shared" ref="C9:H9" si="2">C4-C6</f>
        <v>0</v>
      </c>
      <c r="D9" s="288">
        <f t="shared" si="2"/>
        <v>0</v>
      </c>
      <c r="E9" s="288">
        <f t="shared" si="2"/>
        <v>1357.1000000000001</v>
      </c>
      <c r="F9" s="288">
        <f t="shared" si="2"/>
        <v>-471.80000000000007</v>
      </c>
      <c r="G9" s="288">
        <f t="shared" si="2"/>
        <v>-1284.3999999999999</v>
      </c>
      <c r="H9" s="288">
        <f t="shared" si="2"/>
        <v>-859.29999999999984</v>
      </c>
      <c r="I9" s="229"/>
      <c r="J9" s="229"/>
    </row>
    <row r="10" spans="1:11">
      <c r="A10" s="225" t="s">
        <v>415</v>
      </c>
      <c r="B10" s="289">
        <f>IFERROR(VALUE(VLOOKUP("Cash Acquisitions*",'8.TIKR_CF'!$A:$H,COLUMN(B10),FALSE)),"0")</f>
        <v>35.5</v>
      </c>
      <c r="C10" s="289">
        <f>IFERROR(VALUE(VLOOKUP("Cash Acquisitions*",'8.TIKR_CF'!$A:$H,COLUMN(C10),FALSE)),"0")</f>
        <v>-424.9</v>
      </c>
      <c r="D10" s="289">
        <f>IFERROR(VALUE(VLOOKUP("Cash Acquisitions*",'8.TIKR_CF'!$A:$H,COLUMN(D10),FALSE)),"0")</f>
        <v>-222.8</v>
      </c>
      <c r="E10" s="289">
        <f>IFERROR(VALUE(VLOOKUP("Cash Acquisitions*",'8.TIKR_CF'!$A:$H,COLUMN(E10),FALSE)),"0")</f>
        <v>329</v>
      </c>
      <c r="F10" s="289">
        <f>IFERROR(VALUE(VLOOKUP("Cash Acquisitions*",'8.TIKR_CF'!$A:$H,COLUMN(F10),FALSE)),"0")</f>
        <v>0</v>
      </c>
      <c r="G10" s="289">
        <f>IFERROR(VALUE(VLOOKUP("Cash Acquisitions*",'8.TIKR_CF'!$A:$H,COLUMN(G10),FALSE)),"0")</f>
        <v>-33.6</v>
      </c>
      <c r="H10" s="289">
        <f>IFERROR(VALUE(VLOOKUP("Cash Acquisitions*",'8.TIKR_CF'!$A:$H,COLUMN(H10),FALSE)),"0")</f>
        <v>0</v>
      </c>
    </row>
    <row r="11" spans="1:11">
      <c r="A11" s="93" t="s">
        <v>416</v>
      </c>
      <c r="B11" s="290">
        <f>ABS(SUM(B9:B10))</f>
        <v>35.5</v>
      </c>
      <c r="C11" s="290">
        <f t="shared" ref="C11:H11" si="3">ABS(SUM(C9:C10))</f>
        <v>424.9</v>
      </c>
      <c r="D11" s="290">
        <f t="shared" si="3"/>
        <v>222.8</v>
      </c>
      <c r="E11" s="290">
        <f t="shared" si="3"/>
        <v>1686.1000000000001</v>
      </c>
      <c r="F11" s="290">
        <f t="shared" si="3"/>
        <v>471.80000000000007</v>
      </c>
      <c r="G11" s="290">
        <f t="shared" si="3"/>
        <v>1317.9999999999998</v>
      </c>
      <c r="H11" s="290">
        <f t="shared" si="3"/>
        <v>859.29999999999984</v>
      </c>
    </row>
    <row r="13" spans="1:11">
      <c r="A13" s="95" t="s">
        <v>81</v>
      </c>
      <c r="B13" s="102" t="str">
        <f>'1.IS'!I2</f>
        <v>2025e</v>
      </c>
      <c r="C13" s="102" t="str">
        <f>'1.IS'!J2</f>
        <v>2026e</v>
      </c>
      <c r="D13" s="102" t="str">
        <f>'1.IS'!K2</f>
        <v>2027e</v>
      </c>
      <c r="E13" s="102" t="str">
        <f>'1.IS'!L2</f>
        <v>2028e</v>
      </c>
      <c r="F13" s="102" t="str">
        <f>'1.IS'!M2</f>
        <v>2029e</v>
      </c>
      <c r="H13" s="213"/>
    </row>
    <row r="14" spans="1:11">
      <c r="A14" s="231" t="s">
        <v>417</v>
      </c>
      <c r="B14" s="232">
        <f>'4.Valoración'!$D$12</f>
        <v>672</v>
      </c>
      <c r="C14" s="232">
        <f>'4.Valoración'!$D$12</f>
        <v>672</v>
      </c>
      <c r="D14" s="232">
        <f>'4.Valoración'!$D$12</f>
        <v>672</v>
      </c>
      <c r="E14" s="232">
        <f>'4.Valoración'!$D$12</f>
        <v>672</v>
      </c>
      <c r="F14" s="232">
        <f>'4.Valoración'!$D$12</f>
        <v>672</v>
      </c>
    </row>
    <row r="16" spans="1:11">
      <c r="A16" s="95" t="s">
        <v>418</v>
      </c>
      <c r="B16" s="102">
        <f>'1.IS'!H2</f>
        <v>2024</v>
      </c>
    </row>
    <row r="17" spans="1:9">
      <c r="A17" s="217" t="s">
        <v>419</v>
      </c>
      <c r="B17" s="207">
        <f>SUM('3.ROIC'!$B$6:$H$6)/SUM('3.ROIC'!$B$6:$H$7)</f>
        <v>0.51681648015054749</v>
      </c>
    </row>
    <row r="18" spans="1:9">
      <c r="A18" s="217" t="s">
        <v>420</v>
      </c>
      <c r="B18" s="233">
        <f>1-B17</f>
        <v>0.48318351984945251</v>
      </c>
    </row>
    <row r="19" spans="1:9">
      <c r="A19" s="217" t="s">
        <v>421</v>
      </c>
      <c r="B19" s="228">
        <f>SUM('3.ROIC'!B4:H5)</f>
        <v>50821.8</v>
      </c>
    </row>
    <row r="20" spans="1:9">
      <c r="A20" s="217" t="s">
        <v>422</v>
      </c>
      <c r="B20" s="228">
        <f>SUM('3.ROIC'!B5:H5)</f>
        <v>4158.3000000000011</v>
      </c>
    </row>
    <row r="21" spans="1:9">
      <c r="A21" s="217" t="s">
        <v>423</v>
      </c>
      <c r="B21" s="228">
        <f>SUM('3.ROIC'!B6:H7)</f>
        <v>59941.200000000004</v>
      </c>
    </row>
    <row r="22" spans="1:9">
      <c r="A22" s="217" t="s">
        <v>424</v>
      </c>
      <c r="B22" s="228">
        <f>B21-B19</f>
        <v>9119.4000000000015</v>
      </c>
    </row>
    <row r="23" spans="1:9">
      <c r="A23" s="217" t="s">
        <v>425</v>
      </c>
      <c r="B23" s="228">
        <f>SUM('1.IS'!B11:H11)</f>
        <v>-116.39999999999999</v>
      </c>
    </row>
    <row r="24" spans="1:9">
      <c r="A24" s="217" t="s">
        <v>426</v>
      </c>
      <c r="B24" s="228">
        <f>SUM('1.IS'!B10:H10)</f>
        <v>-389.29999999999995</v>
      </c>
    </row>
    <row r="25" spans="1:9">
      <c r="A25" s="217" t="s">
        <v>427</v>
      </c>
      <c r="B25" s="233">
        <f>B23/B20</f>
        <v>-2.7992208354375575E-2</v>
      </c>
    </row>
    <row r="26" spans="1:9">
      <c r="A26" s="217" t="s">
        <v>428</v>
      </c>
      <c r="B26" s="233">
        <f>ABS(SUM('1.IS'!B10:H10))/B21</f>
        <v>6.4946981375080901E-3</v>
      </c>
    </row>
    <row r="27" spans="1:9">
      <c r="B27" s="233"/>
    </row>
    <row r="28" spans="1:9">
      <c r="A28" s="95" t="s">
        <v>429</v>
      </c>
      <c r="B28" s="102">
        <f>'1.IS'!B2</f>
        <v>2018</v>
      </c>
      <c r="C28" s="102">
        <f>'1.IS'!C2</f>
        <v>2019</v>
      </c>
      <c r="D28" s="102">
        <f>'1.IS'!D2</f>
        <v>2020</v>
      </c>
      <c r="E28" s="102">
        <f>'1.IS'!E2</f>
        <v>2021</v>
      </c>
      <c r="F28" s="102">
        <f>'1.IS'!F2</f>
        <v>2022</v>
      </c>
      <c r="G28" s="102">
        <f>'1.IS'!G2</f>
        <v>2023</v>
      </c>
      <c r="H28" s="102">
        <f>'1.IS'!H2</f>
        <v>2024</v>
      </c>
      <c r="I28" s="102" t="s">
        <v>430</v>
      </c>
    </row>
    <row r="29" spans="1:9">
      <c r="A29" s="217" t="s">
        <v>431</v>
      </c>
      <c r="B29" s="228">
        <f>B11</f>
        <v>35.5</v>
      </c>
      <c r="C29" s="228">
        <f t="shared" ref="C29:H29" si="4">C11</f>
        <v>424.9</v>
      </c>
      <c r="D29" s="228">
        <f t="shared" si="4"/>
        <v>222.8</v>
      </c>
      <c r="E29" s="228">
        <f t="shared" si="4"/>
        <v>1686.1000000000001</v>
      </c>
      <c r="F29" s="228">
        <f t="shared" si="4"/>
        <v>471.80000000000007</v>
      </c>
      <c r="G29" s="228">
        <f t="shared" si="4"/>
        <v>1317.9999999999998</v>
      </c>
      <c r="H29" s="228">
        <f t="shared" si="4"/>
        <v>859.29999999999984</v>
      </c>
      <c r="I29" s="228">
        <f>SUM(B29:H29)</f>
        <v>5018.4000000000005</v>
      </c>
    </row>
    <row r="30" spans="1:9">
      <c r="A30" s="217" t="s">
        <v>62</v>
      </c>
      <c r="B30" s="230" t="str">
        <f>IFERROR(ABS(VLOOKUP("Common &amp; Preferred Stock Dividends Paid*",'8.TIKR_CF'!$A:$H,COLUMN(B13),FALSE)),"0")</f>
        <v>0</v>
      </c>
      <c r="C30" s="230" t="str">
        <f>IFERROR(ABS(VLOOKUP("Common &amp; Preferred Stock Dividends Paid*",'8.TIKR_CF'!$A:$H,COLUMN(C13),FALSE)),"0")</f>
        <v>0</v>
      </c>
      <c r="D30" s="230" t="str">
        <f>IFERROR(ABS(VLOOKUP("Common &amp; Preferred Stock Dividends Paid*",'8.TIKR_CF'!$A:$H,COLUMN(D13),FALSE)),"0")</f>
        <v>0</v>
      </c>
      <c r="E30" s="230" t="str">
        <f>IFERROR(ABS(VLOOKUP("Common &amp; Preferred Stock Dividends Paid*",'8.TIKR_CF'!$A:$H,COLUMN(E13),FALSE)),"0")</f>
        <v>0</v>
      </c>
      <c r="F30" s="230" t="str">
        <f>IFERROR(ABS(VLOOKUP("Common &amp; Preferred Stock Dividends Paid*",'8.TIKR_CF'!$A:$H,COLUMN(F13),FALSE)),"0")</f>
        <v>0</v>
      </c>
      <c r="G30" s="230" t="str">
        <f>IFERROR(ABS(VLOOKUP("Common &amp; Preferred Stock Dividends Paid*",'8.TIKR_CF'!$A:$H,COLUMN(G13),FALSE)),"0")</f>
        <v>0</v>
      </c>
      <c r="H30" s="230" t="str">
        <f>IFERROR(ABS(VLOOKUP("Common &amp; Preferred Stock Dividends Paid*",'8.TIKR_CF'!$A:$H,COLUMN(H13),FALSE)),"0")</f>
        <v>0</v>
      </c>
      <c r="I30" s="228">
        <f>SUM(B30:H30)</f>
        <v>0</v>
      </c>
    </row>
    <row r="31" spans="1:9">
      <c r="A31" s="217" t="s">
        <v>63</v>
      </c>
      <c r="B31" s="230" t="str">
        <f>IFERROR(ABS(VLOOKUP("Repurchase of Common Stock*",'8.TIKR_CF'!$A:$H,COLUMN(B14),FALSE)),"0")</f>
        <v>0</v>
      </c>
      <c r="C31" s="230" t="str">
        <f>IFERROR(ABS(VLOOKUP("Repurchase of Common Stock*",'8.TIKR_CF'!$A:$H,COLUMN(C14),FALSE)),"0")</f>
        <v>0</v>
      </c>
      <c r="D31" s="230" t="str">
        <f>IFERROR(ABS(VLOOKUP("Repurchase of Common Stock*",'8.TIKR_CF'!$A:$H,COLUMN(D14),FALSE)),"0")</f>
        <v>0</v>
      </c>
      <c r="E31" s="230" t="str">
        <f>IFERROR(ABS(VLOOKUP("Repurchase of Common Stock*",'8.TIKR_CF'!$A:$H,COLUMN(E14),FALSE)),"0")</f>
        <v>0</v>
      </c>
      <c r="F31" s="230" t="str">
        <f>IFERROR(ABS(VLOOKUP("Repurchase of Common Stock*",'8.TIKR_CF'!$A:$H,COLUMN(F14),FALSE)),"0")</f>
        <v>0</v>
      </c>
      <c r="G31" s="230" t="str">
        <f>IFERROR(ABS(VLOOKUP("Repurchase of Common Stock*",'8.TIKR_CF'!$A:$H,COLUMN(G14),FALSE)),"0")</f>
        <v>0</v>
      </c>
      <c r="H31" s="230" t="str">
        <f>IFERROR(ABS(VLOOKUP("Repurchase of Common Stock*",'8.TIKR_CF'!$A:$H,COLUMN(H14),FALSE)),"0")</f>
        <v>0</v>
      </c>
      <c r="I31" s="228">
        <f>SUM(B31:H31)</f>
        <v>0</v>
      </c>
    </row>
    <row r="32" spans="1:9">
      <c r="A32" s="217" t="s">
        <v>432</v>
      </c>
      <c r="B32" s="230" t="str">
        <f>IFERROR((ABS(VLOOKUP("Cash Acquisitions*",'8.TIKR_CF'!$A:$H,COLUMN(B15),FALSE))-VLOOKUP("Divestitures*",'8.TIKR_CF'!$A:$H,COLUMN(B15),FALSE)),"0")</f>
        <v>0</v>
      </c>
      <c r="C32" s="230" t="str">
        <f>IFERROR((ABS(VLOOKUP("Cash Acquisitions*",'8.TIKR_CF'!$A:$H,COLUMN(C15),FALSE))-VLOOKUP("Divestitures*",'8.TIKR_CF'!$A:$H,COLUMN(C15),FALSE)),"0")</f>
        <v>0</v>
      </c>
      <c r="D32" s="230" t="str">
        <f>IFERROR((ABS(VLOOKUP("Cash Acquisitions*",'8.TIKR_CF'!$A:$H,COLUMN(D15),FALSE))-VLOOKUP("Divestitures*",'8.TIKR_CF'!$A:$H,COLUMN(D15),FALSE)),"0")</f>
        <v>0</v>
      </c>
      <c r="E32" s="230" t="str">
        <f>IFERROR((ABS(VLOOKUP("Cash Acquisitions*",'8.TIKR_CF'!$A:$H,COLUMN(E15),FALSE))-VLOOKUP("Divestitures*",'8.TIKR_CF'!$A:$H,COLUMN(E15),FALSE)),"0")</f>
        <v>0</v>
      </c>
      <c r="F32" s="230" t="str">
        <f>IFERROR((ABS(VLOOKUP("Cash Acquisitions*",'8.TIKR_CF'!$A:$H,COLUMN(F15),FALSE))-VLOOKUP("Divestitures*",'8.TIKR_CF'!$A:$H,COLUMN(F15),FALSE)),"0")</f>
        <v>0</v>
      </c>
      <c r="G32" s="230" t="str">
        <f>IFERROR((ABS(VLOOKUP("Cash Acquisitions*",'8.TIKR_CF'!$A:$H,COLUMN(G15),FALSE))-VLOOKUP("Divestitures*",'8.TIKR_CF'!$A:$H,COLUMN(G15),FALSE)),"0")</f>
        <v>0</v>
      </c>
      <c r="H32" s="230" t="str">
        <f>IFERROR((ABS(VLOOKUP("Cash Acquisitions*",'8.TIKR_CF'!$A:$H,COLUMN(H15),FALSE))-VLOOKUP("Divestitures*",'8.TIKR_CF'!$A:$H,COLUMN(H15),FALSE)),"0")</f>
        <v>0</v>
      </c>
      <c r="I32" s="228">
        <f>SUM(B32:H32)</f>
        <v>0</v>
      </c>
    </row>
    <row r="34" spans="1:9">
      <c r="A34" s="95" t="s">
        <v>433</v>
      </c>
      <c r="B34" s="102">
        <f>'1.IS'!C$2</f>
        <v>2019</v>
      </c>
      <c r="C34" s="102">
        <f>'1.IS'!D$2</f>
        <v>2020</v>
      </c>
      <c r="D34" s="102">
        <f>'1.IS'!E$2</f>
        <v>2021</v>
      </c>
      <c r="E34" s="102">
        <f>'1.IS'!F$2</f>
        <v>2022</v>
      </c>
      <c r="F34" s="102">
        <f>'1.IS'!G$2</f>
        <v>2023</v>
      </c>
      <c r="G34" s="102">
        <f>'1.IS'!H$2</f>
        <v>2024</v>
      </c>
      <c r="H34" s="102" t="s">
        <v>102</v>
      </c>
      <c r="I34" s="102"/>
    </row>
    <row r="35" spans="1:9">
      <c r="A35" s="234" t="s">
        <v>434</v>
      </c>
      <c r="B35" s="235">
        <f>'1.IS'!C4</f>
        <v>8.0043859649122806E-2</v>
      </c>
      <c r="C35" s="235">
        <f>'1.IS'!D4</f>
        <v>0.18261421319796955</v>
      </c>
      <c r="D35" s="235">
        <f>'1.IS'!E4</f>
        <v>0.33140179561469402</v>
      </c>
      <c r="E35" s="235">
        <f>'1.IS'!F4</f>
        <v>0.13768201601203597</v>
      </c>
      <c r="F35" s="235">
        <f>'1.IS'!G4</f>
        <v>0.30156233765007029</v>
      </c>
      <c r="G35" s="235">
        <f>'1.IS'!H4</f>
        <v>2.5560171997750292E-2</v>
      </c>
      <c r="H35" s="236">
        <f>AVERAGE(B35:G35)</f>
        <v>0.17647739902027382</v>
      </c>
      <c r="I35" s="237"/>
    </row>
    <row r="36" spans="1:9">
      <c r="A36" s="234" t="s">
        <v>38</v>
      </c>
      <c r="B36" s="235">
        <f>'1.IS'!C21</f>
        <v>3.1306732126136695E-2</v>
      </c>
      <c r="C36" s="235">
        <f>'1.IS'!D21</f>
        <v>0.36251078643130002</v>
      </c>
      <c r="D36" s="235">
        <f>'1.IS'!E21</f>
        <v>0.68011187882908375</v>
      </c>
      <c r="E36" s="235">
        <f>'1.IS'!F21</f>
        <v>0.13510478049721009</v>
      </c>
      <c r="F36" s="235">
        <f>'1.IS'!G21</f>
        <v>0.22152270436247856</v>
      </c>
      <c r="G36" s="235">
        <f>'1.IS'!H21</f>
        <v>-1.6602822978640821E-2</v>
      </c>
      <c r="H36" s="236">
        <f>AVERAGE(B36:G36)</f>
        <v>0.23565900987792807</v>
      </c>
      <c r="I36" s="237"/>
    </row>
    <row r="37" spans="1:9">
      <c r="A37" s="234" t="s">
        <v>435</v>
      </c>
      <c r="B37" s="235">
        <f>'2.FCF'!C15</f>
        <v>-0.18160737348831779</v>
      </c>
      <c r="C37" s="235">
        <f>'2.FCF'!D15</f>
        <v>1.0494243391556981</v>
      </c>
      <c r="D37" s="235">
        <f>'2.FCF'!E15</f>
        <v>0.72471123556177786</v>
      </c>
      <c r="E37" s="235">
        <f>'2.FCF'!F15</f>
        <v>-0.15025875190258764</v>
      </c>
      <c r="F37" s="235">
        <f>'2.FCF'!G15</f>
        <v>-0.53115521482649108</v>
      </c>
      <c r="G37" s="235">
        <f>'2.FCF'!H15</f>
        <v>2.8398706128062794</v>
      </c>
      <c r="H37" s="236">
        <f>AVERAGE(B37:G37)</f>
        <v>0.62516414121772657</v>
      </c>
      <c r="I37" s="237"/>
    </row>
    <row r="38" spans="1:9">
      <c r="A38" s="238"/>
      <c r="B38" s="237"/>
      <c r="C38" s="237"/>
      <c r="D38" s="237"/>
      <c r="E38" s="237"/>
      <c r="F38" s="237"/>
      <c r="G38" s="237"/>
      <c r="H38" s="237"/>
      <c r="I38" s="237"/>
    </row>
    <row r="39" spans="1:9">
      <c r="A39" s="95" t="s">
        <v>436</v>
      </c>
      <c r="B39" s="102">
        <f>'1.IS'!B$2</f>
        <v>2018</v>
      </c>
      <c r="C39" s="102">
        <f>'1.IS'!C$2</f>
        <v>2019</v>
      </c>
      <c r="D39" s="102">
        <f>'1.IS'!D$2</f>
        <v>2020</v>
      </c>
      <c r="E39" s="102">
        <f>'1.IS'!E$2</f>
        <v>2021</v>
      </c>
      <c r="F39" s="102">
        <f>'1.IS'!F$2</f>
        <v>2022</v>
      </c>
      <c r="G39" s="102">
        <f>'1.IS'!G$2</f>
        <v>2023</v>
      </c>
      <c r="H39" s="102">
        <f>'1.IS'!H$2</f>
        <v>2024</v>
      </c>
      <c r="I39" s="102" t="s">
        <v>102</v>
      </c>
    </row>
    <row r="40" spans="1:9">
      <c r="A40" s="234" t="s">
        <v>21</v>
      </c>
      <c r="B40" s="239">
        <f>'1.IS'!B6</f>
        <v>0.33048245614035088</v>
      </c>
      <c r="C40" s="239">
        <f>'1.IS'!C6</f>
        <v>0.29991539763113367</v>
      </c>
      <c r="D40" s="239">
        <f>'1.IS'!D6</f>
        <v>0.32494902886575816</v>
      </c>
      <c r="E40" s="239">
        <f>'1.IS'!E6</f>
        <v>0.38800171941325023</v>
      </c>
      <c r="F40" s="239">
        <f>'1.IS'!F6</f>
        <v>0.38713196746861622</v>
      </c>
      <c r="G40" s="239">
        <f>'1.IS'!G6</f>
        <v>0.35664132663243647</v>
      </c>
      <c r="H40" s="239">
        <f>'1.IS'!H6</f>
        <v>0.35174026727618185</v>
      </c>
      <c r="I40" s="240">
        <f>AVERAGE(B40:H40)</f>
        <v>0.34840888048967539</v>
      </c>
    </row>
    <row r="41" spans="1:9">
      <c r="A41" s="234" t="s">
        <v>87</v>
      </c>
      <c r="B41" s="239">
        <f>'1.IS'!B9</f>
        <v>0.26345942982456144</v>
      </c>
      <c r="C41" s="239">
        <f>'1.IS'!C9</f>
        <v>0.22983925549915396</v>
      </c>
      <c r="D41" s="239">
        <f>'1.IS'!D9</f>
        <v>0.28983796544693635</v>
      </c>
      <c r="E41" s="239">
        <f>'1.IS'!E9</f>
        <v>0.3626941056364516</v>
      </c>
      <c r="F41" s="239">
        <f>'1.IS'!F9</f>
        <v>0.34576402467246636</v>
      </c>
      <c r="G41" s="239">
        <f>'1.IS'!G9</f>
        <v>0.3281129234174574</v>
      </c>
      <c r="H41" s="239">
        <f>'1.IS'!H9</f>
        <v>0.31923829472559434</v>
      </c>
      <c r="I41" s="240">
        <f>AVERAGE(B41:H41)</f>
        <v>0.30556371417466016</v>
      </c>
    </row>
    <row r="42" spans="1:9">
      <c r="A42" s="234" t="s">
        <v>89</v>
      </c>
      <c r="B42" s="239">
        <f>'2.FCF'!B14</f>
        <v>0.31129385964912287</v>
      </c>
      <c r="C42" s="239">
        <f>'2.FCF'!C14</f>
        <v>0.23587986463620977</v>
      </c>
      <c r="D42" s="239">
        <f>'2.FCF'!D14</f>
        <v>0.40877061201130316</v>
      </c>
      <c r="E42" s="239">
        <f>'2.FCF'!E14</f>
        <v>0.52952554940626506</v>
      </c>
      <c r="F42" s="239">
        <f>'2.FCF'!F14</f>
        <v>0.39550568165717354</v>
      </c>
      <c r="G42" s="239">
        <f>'2.FCF'!G14</f>
        <v>0.14246784113794284</v>
      </c>
      <c r="H42" s="239">
        <f>'2.FCF'!H14</f>
        <v>0.53342367556054071</v>
      </c>
      <c r="I42" s="240">
        <f>AVERAGE(B42:H42)</f>
        <v>0.36526672629407975</v>
      </c>
    </row>
    <row r="43" spans="1:9">
      <c r="A43" s="238"/>
      <c r="B43" s="237"/>
      <c r="C43" s="235"/>
      <c r="D43" s="235"/>
      <c r="E43" s="235"/>
      <c r="F43" s="235"/>
      <c r="G43" s="235"/>
      <c r="H43" s="235"/>
      <c r="I43" s="237"/>
    </row>
    <row r="44" spans="1:9">
      <c r="A44" s="95" t="s">
        <v>437</v>
      </c>
      <c r="B44" s="102">
        <f>'1.IS'!B$2</f>
        <v>2018</v>
      </c>
      <c r="C44" s="102">
        <f>'1.IS'!C$2</f>
        <v>2019</v>
      </c>
      <c r="D44" s="102">
        <f>'1.IS'!D$2</f>
        <v>2020</v>
      </c>
      <c r="E44" s="102">
        <f>'1.IS'!E$2</f>
        <v>2021</v>
      </c>
      <c r="F44" s="102">
        <f>'1.IS'!F$2</f>
        <v>2022</v>
      </c>
      <c r="G44" s="102">
        <f>'1.IS'!G$2</f>
        <v>2023</v>
      </c>
      <c r="H44" s="102">
        <f>'1.IS'!H$2</f>
        <v>2024</v>
      </c>
      <c r="I44" s="102" t="s">
        <v>102</v>
      </c>
    </row>
    <row r="45" spans="1:9">
      <c r="A45" s="234" t="s">
        <v>89</v>
      </c>
      <c r="B45" s="241">
        <f>'2.FCF'!B13</f>
        <v>3406.8000000000006</v>
      </c>
      <c r="C45" s="241">
        <f>'2.FCF'!C13</f>
        <v>2788.0999999999995</v>
      </c>
      <c r="D45" s="241">
        <f>'2.FCF'!D13</f>
        <v>5714.0000000000009</v>
      </c>
      <c r="E45" s="241">
        <f>'2.FCF'!E13</f>
        <v>9855</v>
      </c>
      <c r="F45" s="241">
        <f>'2.FCF'!F13</f>
        <v>8374.1999999999989</v>
      </c>
      <c r="G45" s="241">
        <f>'2.FCF'!G13</f>
        <v>3926.199999999998</v>
      </c>
      <c r="H45" s="241">
        <f>'2.FCF'!H13</f>
        <v>15076.100000000006</v>
      </c>
      <c r="I45" s="242"/>
    </row>
    <row r="46" spans="1:9">
      <c r="A46" s="234" t="s">
        <v>79</v>
      </c>
      <c r="B46" s="239">
        <f>'3.ROIC'!B15</f>
        <v>0.13436919428516048</v>
      </c>
      <c r="C46" s="239">
        <f>'3.ROIC'!C15</f>
        <v>0.1271810547075006</v>
      </c>
      <c r="D46" s="239">
        <f>'3.ROIC'!D15</f>
        <v>0.16274088625715011</v>
      </c>
      <c r="E46" s="239">
        <f>'3.ROIC'!E15</f>
        <v>0.304239652456886</v>
      </c>
      <c r="F46" s="239">
        <f>'3.ROIC'!F15</f>
        <v>0.29372399916579883</v>
      </c>
      <c r="G46" s="239">
        <f>'3.ROIC'!G15</f>
        <v>0.30922625733605336</v>
      </c>
      <c r="H46" s="239">
        <f>'3.ROIC'!H15</f>
        <v>0.11628339150695821</v>
      </c>
      <c r="I46" s="240">
        <f>AVERAGE(B46:H46)</f>
        <v>0.20682349081650106</v>
      </c>
    </row>
    <row r="47" spans="1:9">
      <c r="A47" s="238"/>
      <c r="B47" s="237"/>
      <c r="C47" s="237"/>
      <c r="D47" s="237"/>
      <c r="E47" s="237"/>
      <c r="F47" s="237"/>
      <c r="G47" s="237"/>
      <c r="H47" s="237"/>
      <c r="I47" s="237"/>
    </row>
    <row r="48" spans="1:9">
      <c r="A48" s="95"/>
      <c r="B48" s="102">
        <f>'1.IS'!B$2</f>
        <v>2018</v>
      </c>
      <c r="C48" s="102">
        <f>'1.IS'!C$2</f>
        <v>2019</v>
      </c>
      <c r="D48" s="102">
        <f>'1.IS'!D$2</f>
        <v>2020</v>
      </c>
      <c r="E48" s="102">
        <f>'1.IS'!E$2</f>
        <v>2021</v>
      </c>
      <c r="F48" s="102">
        <f>'1.IS'!F$2</f>
        <v>2022</v>
      </c>
      <c r="G48" s="102">
        <f>'1.IS'!G$2</f>
        <v>2023</v>
      </c>
      <c r="H48" s="102">
        <f>'1.IS'!H$2</f>
        <v>2024</v>
      </c>
      <c r="I48" s="102" t="s">
        <v>102</v>
      </c>
    </row>
    <row r="49" spans="1:9">
      <c r="A49" s="234" t="s">
        <v>438</v>
      </c>
      <c r="B49" s="243">
        <f>('1.IS'!B3-'1.IS'!B5)/'1.IS'!B3</f>
        <v>0.66951754385964912</v>
      </c>
      <c r="C49" s="243">
        <f>('1.IS'!C3-'1.IS'!C5)/'1.IS'!C3</f>
        <v>0.70008460236886638</v>
      </c>
      <c r="D49" s="243">
        <f>('1.IS'!D3-'1.IS'!D5)/'1.IS'!D3</f>
        <v>0.67505097113424195</v>
      </c>
      <c r="E49" s="243">
        <f>('1.IS'!E3-'1.IS'!E5)/'1.IS'!E3</f>
        <v>0.61199828058674977</v>
      </c>
      <c r="F49" s="243">
        <f>('1.IS'!F3-'1.IS'!F5)/'1.IS'!F3</f>
        <v>0.61286803253138378</v>
      </c>
      <c r="G49" s="243">
        <f>('1.IS'!G3-'1.IS'!G5)/'1.IS'!G3</f>
        <v>0.64335867336756358</v>
      </c>
      <c r="H49" s="243">
        <f>('1.IS'!H3-'1.IS'!H5)/'1.IS'!H3</f>
        <v>0.64825973272381809</v>
      </c>
      <c r="I49" s="236">
        <f>AVERAGE(B49:H49)</f>
        <v>0.65159111951032467</v>
      </c>
    </row>
    <row r="50" spans="1:9">
      <c r="A50" s="234" t="s">
        <v>439</v>
      </c>
      <c r="B50" s="243">
        <f>'2.FCF'!B20</f>
        <v>1.7891081871345024E-2</v>
      </c>
      <c r="C50" s="243">
        <f>'2.FCF'!C20</f>
        <v>1.4593908629441625E-2</v>
      </c>
      <c r="D50" s="243">
        <f>'2.FCF'!D20</f>
        <v>2.5632220910684261E-2</v>
      </c>
      <c r="E50" s="243">
        <f>'2.FCF'!E20</f>
        <v>2.5307613776798667E-2</v>
      </c>
      <c r="F50" s="243">
        <f>'2.FCF'!F20</f>
        <v>4.136794279614988E-2</v>
      </c>
      <c r="G50" s="243">
        <f>'2.FCF'!G20</f>
        <v>2.8528403214979046E-2</v>
      </c>
      <c r="H50" s="243">
        <f>'2.FCF'!H20</f>
        <v>3.2501972550587517E-2</v>
      </c>
      <c r="I50" s="236">
        <f>AVERAGE(B50:H50)</f>
        <v>2.6546163392855145E-2</v>
      </c>
    </row>
    <row r="51" spans="1:9">
      <c r="A51" s="234" t="s">
        <v>440</v>
      </c>
      <c r="B51" s="243">
        <f>('1.IS'!B12/'1.IS'!B3)</f>
        <v>-6.4053362573099409E-3</v>
      </c>
      <c r="C51" s="243">
        <f>('1.IS'!C12/'1.IS'!C3)</f>
        <v>-5.2115059221658211E-3</v>
      </c>
      <c r="D51" s="243">
        <f>('1.IS'!D12/'1.IS'!D3)</f>
        <v>-5.6014593840540833E-3</v>
      </c>
      <c r="E51" s="243">
        <f>('1.IS'!E12/'1.IS'!E3)</f>
        <v>-5.3301810757079146E-3</v>
      </c>
      <c r="F51" s="243">
        <f>('1.IS'!F12/'1.IS'!F3)</f>
        <v>-4.9779440241057172E-3</v>
      </c>
      <c r="G51" s="243">
        <f>('1.IS'!G12/'1.IS'!G3)</f>
        <v>-4.0241667725021317E-3</v>
      </c>
      <c r="H51" s="243">
        <f>('1.IS'!H12/'1.IS'!H3)</f>
        <v>7.005650517109001E-4</v>
      </c>
      <c r="I51" s="236">
        <f>AVERAGE(B51:H51)</f>
        <v>-4.4071469120192447E-3</v>
      </c>
    </row>
    <row r="52" spans="1:9">
      <c r="A52" s="234" t="s">
        <v>441</v>
      </c>
      <c r="B52" s="243">
        <f>('1.IS'!B14+'1.IS'!B17)/'1.IS'!B3</f>
        <v>-3.0674342105263156E-2</v>
      </c>
      <c r="C52" s="243">
        <f>('1.IS'!C14+'1.IS'!C17)/'1.IS'!C3</f>
        <v>-1.0896785109983081E-2</v>
      </c>
      <c r="D52" s="243">
        <f>('1.IS'!D14+'1.IS'!D17)/'1.IS'!D3</f>
        <v>-3.9453446364059092E-2</v>
      </c>
      <c r="E52" s="243">
        <f>('1.IS'!E14+'1.IS'!E17)/'1.IS'!E3</f>
        <v>-5.488152168072645E-2</v>
      </c>
      <c r="F52" s="243">
        <f>('1.IS'!F14+'1.IS'!F17)/'1.IS'!F3</f>
        <v>-4.810753114757195E-2</v>
      </c>
      <c r="G52" s="243">
        <f>('1.IS'!G14+'1.IS'!G17)/'1.IS'!G3</f>
        <v>-5.2100078015857178E-2</v>
      </c>
      <c r="H52" s="243">
        <f>('1.IS'!H14+'1.IS'!H17)/'1.IS'!H3</f>
        <v>-5.9463112419461547E-2</v>
      </c>
      <c r="I52" s="236">
        <f>AVERAGE(B52:H52)</f>
        <v>-4.2225259548988918E-2</v>
      </c>
    </row>
    <row r="53" spans="1:9">
      <c r="A53" s="234" t="s">
        <v>442</v>
      </c>
      <c r="B53" s="243"/>
      <c r="C53" s="243">
        <f>'2.FCF'!C11/'1.IS'!C3</f>
        <v>3.3333333333333375E-2</v>
      </c>
      <c r="D53" s="243">
        <f>'2.FCF'!D11/'1.IS'!D3</f>
        <v>-0.10324426798297391</v>
      </c>
      <c r="E53" s="243">
        <f>'2.FCF'!E11/'1.IS'!E3</f>
        <v>-0.22704314652624788</v>
      </c>
      <c r="F53" s="243">
        <f>'2.FCF'!F11/'1.IS'!F3</f>
        <v>-0.10282713215638484</v>
      </c>
      <c r="G53" s="243">
        <f>'2.FCF'!G11/'1.IS'!G3</f>
        <v>0.12952083749115523</v>
      </c>
      <c r="H53" s="243">
        <f>'2.FCF'!H11/'1.IS'!H3</f>
        <v>-0.27294792820269703</v>
      </c>
      <c r="I53" s="236">
        <f>AVERAGE(B53:H53)</f>
        <v>-9.053471734063584E-2</v>
      </c>
    </row>
  </sheetData>
  <sheetProtection selectLockedCells="1" selectUn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6"/>
  <sheetViews>
    <sheetView showGridLines="0" topLeftCell="A10" zoomScale="85" zoomScaleNormal="85" workbookViewId="0">
      <selection activeCell="B22" sqref="B22"/>
    </sheetView>
  </sheetViews>
  <sheetFormatPr defaultColWidth="0" defaultRowHeight="17.25" zeroHeight="1"/>
  <cols>
    <col min="1" max="1" width="55.5703125" style="4" customWidth="1"/>
    <col min="2" max="2" width="14.140625" style="5" bestFit="1" customWidth="1"/>
    <col min="3" max="8" width="12.85546875" style="5" bestFit="1" customWidth="1"/>
    <col min="9" max="9" width="14.42578125" style="5" bestFit="1" customWidth="1"/>
    <col min="10" max="13" width="13.42578125" style="5" bestFit="1" customWidth="1"/>
    <col min="14" max="14" width="3" style="4" customWidth="1"/>
    <col min="15" max="15" width="28.5703125" style="4" customWidth="1"/>
    <col min="16" max="16" width="18.140625" style="5" customWidth="1"/>
    <col min="17" max="17" width="16.7109375" style="5" customWidth="1"/>
    <col min="18" max="18" width="1.28515625" style="6" customWidth="1"/>
    <col min="19" max="16384" width="11.42578125" style="6" hidden="1"/>
  </cols>
  <sheetData>
    <row r="1" spans="1:20" s="2" customFormat="1" ht="99.95" customHeight="1" thickBot="1">
      <c r="A1" s="26"/>
      <c r="B1" s="65" t="s">
        <v>14</v>
      </c>
      <c r="C1" s="27"/>
      <c r="D1" s="27"/>
      <c r="E1" s="27"/>
      <c r="F1" s="27"/>
      <c r="G1" s="27"/>
      <c r="H1" s="27"/>
      <c r="I1" s="27"/>
      <c r="J1" s="27"/>
      <c r="K1" s="3"/>
      <c r="L1" s="3"/>
      <c r="M1" s="3"/>
      <c r="N1"/>
      <c r="O1" s="26"/>
      <c r="P1" s="27"/>
      <c r="Q1" s="27"/>
      <c r="R1" s="1"/>
      <c r="S1" s="1"/>
    </row>
    <row r="2" spans="1:20" ht="44.1" customHeight="1" thickTop="1">
      <c r="A2" s="137" t="s">
        <v>15</v>
      </c>
      <c r="B2" s="67">
        <f>IFERROR(YEAR(VLOOKUP("*Income Statement | TIKR.com*",'6.TIKR_IS'!$A:$H,COLUMN(B3),FALSE)),"2015")</f>
        <v>2018</v>
      </c>
      <c r="C2" s="67">
        <f>IFERROR(YEAR(VLOOKUP("Income Statement | TIKR.com*",'6.TIKR_IS'!$A:$H,COLUMN(C3),FALSE)),B2+1)</f>
        <v>2019</v>
      </c>
      <c r="D2" s="67">
        <f>IFERROR(YEAR(VLOOKUP("Income Statement | TIKR.com*",'6.TIKR_IS'!$A:$H,COLUMN(D3),FALSE)),C2+1)</f>
        <v>2020</v>
      </c>
      <c r="E2" s="67">
        <f>IFERROR(YEAR(VLOOKUP("Income Statement | TIKR.com*",'6.TIKR_IS'!$A:$H,COLUMN(E3),FALSE)),D2+1)</f>
        <v>2021</v>
      </c>
      <c r="F2" s="67">
        <f>IFERROR(YEAR(VLOOKUP("Income Statement | TIKR.com*",'6.TIKR_IS'!$A:$H,COLUMN(F3),FALSE)),E2+1)</f>
        <v>2022</v>
      </c>
      <c r="G2" s="67">
        <f>IFERROR(YEAR(VLOOKUP("Income Statement*",'6.TIKR_IS'!$A:$H,COLUMN(G3),FALSE)),F2+1)</f>
        <v>2023</v>
      </c>
      <c r="H2" s="67">
        <f>IFERROR(YEAR(VLOOKUP("Income Statement*",'6.TIKR_IS'!$A:$H,COLUMN(H3),FALSE)),G2+1)</f>
        <v>2024</v>
      </c>
      <c r="I2" s="8" t="str">
        <f>(H2+1)&amp;"e"</f>
        <v>2025e</v>
      </c>
      <c r="J2" s="8" t="str">
        <f>(LEFT(I2,4)+1)&amp;"e"</f>
        <v>2026e</v>
      </c>
      <c r="K2" s="8" t="str">
        <f>(LEFT(J2,4)+1)&amp;"e"</f>
        <v>2027e</v>
      </c>
      <c r="L2" s="8" t="str">
        <f>(LEFT(K2,4)+1)&amp;"e"</f>
        <v>2028e</v>
      </c>
      <c r="M2" s="8" t="str">
        <f>(LEFT(L2,4)+1)&amp;"e"</f>
        <v>2029e</v>
      </c>
      <c r="O2" s="83" t="s">
        <v>16</v>
      </c>
      <c r="P2" s="79" t="str">
        <f>"Promedio "&amp;CHAR(10)&amp;B2&amp;" - "&amp;H2</f>
        <v>Promedio 
2018 - 2024</v>
      </c>
      <c r="Q2" s="264" t="str">
        <f>"Estimaciones "&amp;CHAR(10)&amp;I2&amp;" - "&amp;M2</f>
        <v>Estimaciones 
2025e - 2029e</v>
      </c>
      <c r="R2" s="33"/>
      <c r="S2" s="33"/>
      <c r="T2" s="33"/>
    </row>
    <row r="3" spans="1:20" ht="24.95" customHeight="1">
      <c r="A3" s="147" t="s">
        <v>17</v>
      </c>
      <c r="B3" s="139">
        <f>IFERROR(VALUE(VLOOKUP("Revenue*",'6.TIKR_IS'!$A:$H,COLUMN(B3),FALSE)),"0")</f>
        <v>10944</v>
      </c>
      <c r="C3" s="139">
        <f>IFERROR(VALUE(VLOOKUP("Revenue*",'6.TIKR_IS'!$A:$H,COLUMN(C3),FALSE)),"0")</f>
        <v>11820</v>
      </c>
      <c r="D3" s="139">
        <f>IFERROR(VALUE(VLOOKUP("Revenue*",'6.TIKR_IS'!$A:$H,COLUMN(D3),FALSE)),"0")</f>
        <v>13978.5</v>
      </c>
      <c r="E3" s="139">
        <f>IFERROR(VALUE(VLOOKUP("Revenue*",'6.TIKR_IS'!$A:$H,COLUMN(E3),FALSE)),"0")</f>
        <v>18611</v>
      </c>
      <c r="F3" s="139">
        <f>IFERROR(VALUE(VLOOKUP("Revenue*",'6.TIKR_IS'!$A:$H,COLUMN(F3),FALSE)),"0")</f>
        <v>21173.4</v>
      </c>
      <c r="G3" s="139">
        <f>IFERROR(VALUE(VLOOKUP("Revenue*",'6.TIKR_IS'!$A:$H,COLUMN(G3),FALSE)),"0")</f>
        <v>27558.5</v>
      </c>
      <c r="H3" s="139">
        <f>IFERROR(VALUE(VLOOKUP("Revenue*",'6.TIKR_IS'!$A:$H,COLUMN(H3),FALSE)),"0")</f>
        <v>28262.9</v>
      </c>
      <c r="I3" s="9">
        <f>IFERROR((H3*$Q$3)+H3,"")</f>
        <v>33250.6630807701</v>
      </c>
      <c r="J3" s="9">
        <f>IFERROR((I3*$Q$3)+I3,"")</f>
        <v>39118.653616963849</v>
      </c>
      <c r="K3" s="9">
        <f>IFERROR((J3*$Q$3)+J3,"")</f>
        <v>46022.211860460658</v>
      </c>
      <c r="L3" s="9">
        <f>IFERROR((K3*$Q$3)+K3,"")</f>
        <v>54144.092106754753</v>
      </c>
      <c r="M3" s="148">
        <f>IFERROR((L3*$Q$3)+L3,"")</f>
        <v>63699.300654068968</v>
      </c>
      <c r="N3" s="6"/>
      <c r="O3" s="80" t="s">
        <v>18</v>
      </c>
      <c r="P3" s="68">
        <f>IFERROR(AVERAGE(C4:H4),"")</f>
        <v>0.17647739902027382</v>
      </c>
      <c r="Q3" s="265">
        <f>P3</f>
        <v>0.17647739902027382</v>
      </c>
      <c r="R3" s="33"/>
      <c r="S3" s="33"/>
      <c r="T3" s="33"/>
    </row>
    <row r="4" spans="1:20" ht="24.95" customHeight="1">
      <c r="A4" s="131" t="s">
        <v>19</v>
      </c>
      <c r="B4" s="140"/>
      <c r="C4" s="11">
        <f t="shared" ref="C4:H4" si="0">IFERROR((C3-B3)/B3,"")</f>
        <v>8.0043859649122806E-2</v>
      </c>
      <c r="D4" s="11">
        <f t="shared" si="0"/>
        <v>0.18261421319796955</v>
      </c>
      <c r="E4" s="11">
        <f t="shared" si="0"/>
        <v>0.33140179561469402</v>
      </c>
      <c r="F4" s="11">
        <f t="shared" si="0"/>
        <v>0.13768201601203597</v>
      </c>
      <c r="G4" s="11">
        <f t="shared" si="0"/>
        <v>0.30156233765007029</v>
      </c>
      <c r="H4" s="10">
        <f t="shared" si="0"/>
        <v>2.5560171997750292E-2</v>
      </c>
      <c r="I4" s="11">
        <f>$Q$3</f>
        <v>0.17647739902027382</v>
      </c>
      <c r="J4" s="11">
        <f>$Q$3</f>
        <v>0.17647739902027382</v>
      </c>
      <c r="K4" s="11">
        <f>$Q$3</f>
        <v>0.17647739902027382</v>
      </c>
      <c r="L4" s="11">
        <f>$Q$3</f>
        <v>0.17647739902027382</v>
      </c>
      <c r="M4" s="149">
        <f>$Q$3</f>
        <v>0.17647739902027382</v>
      </c>
      <c r="N4" s="6"/>
      <c r="O4" s="81" t="s">
        <v>20</v>
      </c>
      <c r="P4" s="69">
        <f>IFERROR(AVERAGE(B9:H9),"")</f>
        <v>0.30556371417466016</v>
      </c>
      <c r="Q4" s="265">
        <f>P4</f>
        <v>0.30556371417466016</v>
      </c>
      <c r="R4" s="33"/>
      <c r="S4" s="33"/>
      <c r="T4" s="33"/>
    </row>
    <row r="5" spans="1:20" ht="24.95" customHeight="1">
      <c r="A5" s="150" t="s">
        <v>21</v>
      </c>
      <c r="B5" s="141">
        <f t="shared" ref="B5:H5" si="1">B8-B7</f>
        <v>3616.8</v>
      </c>
      <c r="C5" s="105">
        <f t="shared" si="1"/>
        <v>3545</v>
      </c>
      <c r="D5" s="105">
        <f t="shared" si="1"/>
        <v>4542.3</v>
      </c>
      <c r="E5" s="105">
        <f t="shared" si="1"/>
        <v>7221.1</v>
      </c>
      <c r="F5" s="105">
        <f t="shared" si="1"/>
        <v>8196.9</v>
      </c>
      <c r="G5" s="105">
        <f t="shared" si="1"/>
        <v>9828.5</v>
      </c>
      <c r="H5" s="106">
        <f t="shared" si="1"/>
        <v>9941.2000000000007</v>
      </c>
      <c r="I5" s="105">
        <f>IFERROR(I8-I7,"")</f>
        <v>11240.908248470383</v>
      </c>
      <c r="J5" s="105">
        <f t="shared" ref="J5:M5" si="2">IFERROR(J8-J7,"")</f>
        <v>13224.674498785978</v>
      </c>
      <c r="K5" s="105">
        <f t="shared" si="2"/>
        <v>15558.530657221472</v>
      </c>
      <c r="L5" s="105">
        <f t="shared" si="2"/>
        <v>18304.259680185107</v>
      </c>
      <c r="M5" s="151">
        <f t="shared" si="2"/>
        <v>21534.547819535845</v>
      </c>
      <c r="N5" s="6"/>
      <c r="O5" s="80" t="s">
        <v>22</v>
      </c>
      <c r="P5" s="68">
        <f>IFERROR(AVERAGE(B15:H15),"")</f>
        <v>0.1354288111883957</v>
      </c>
      <c r="Q5" s="265">
        <f>H15</f>
        <v>0.18585773688401308</v>
      </c>
      <c r="R5" s="33"/>
      <c r="S5" s="33"/>
      <c r="T5" s="33"/>
    </row>
    <row r="6" spans="1:20" ht="24.95" customHeight="1" thickBot="1">
      <c r="A6" s="131" t="s">
        <v>23</v>
      </c>
      <c r="B6" s="140">
        <f t="shared" ref="B6:H6" si="3">IFERROR((B5/B3),"")</f>
        <v>0.33048245614035088</v>
      </c>
      <c r="C6" s="11">
        <f t="shared" si="3"/>
        <v>0.29991539763113367</v>
      </c>
      <c r="D6" s="11">
        <f t="shared" si="3"/>
        <v>0.32494902886575816</v>
      </c>
      <c r="E6" s="11">
        <f t="shared" si="3"/>
        <v>0.38800171941325023</v>
      </c>
      <c r="F6" s="11">
        <f t="shared" si="3"/>
        <v>0.38713196746861622</v>
      </c>
      <c r="G6" s="11">
        <f t="shared" si="3"/>
        <v>0.35664132663243647</v>
      </c>
      <c r="H6" s="10">
        <f t="shared" si="3"/>
        <v>0.35174026727618185</v>
      </c>
      <c r="I6" s="11">
        <f>IFERROR(I5/I3,"")</f>
        <v>0.33806568672524767</v>
      </c>
      <c r="J6" s="11">
        <f>IFERROR(J5/J3,"")</f>
        <v>0.33806568672524767</v>
      </c>
      <c r="K6" s="11">
        <f>IFERROR(K5/K3,"")</f>
        <v>0.33806568672524773</v>
      </c>
      <c r="L6" s="11">
        <f>IFERROR(L5/L3,"")</f>
        <v>0.33806568672524767</v>
      </c>
      <c r="M6" s="149">
        <f>IFERROR(M5/M3,"")</f>
        <v>0.33806568672524767</v>
      </c>
      <c r="N6" s="6"/>
      <c r="O6" s="82" t="s">
        <v>24</v>
      </c>
      <c r="P6" s="70">
        <f>IFERROR(AVERAGE(C23:H23),"")</f>
        <v>-1.3204621526586522E-2</v>
      </c>
      <c r="Q6" s="266">
        <f>P6</f>
        <v>-1.3204621526586522E-2</v>
      </c>
      <c r="R6" s="33"/>
      <c r="S6" s="33"/>
      <c r="T6" s="33"/>
    </row>
    <row r="7" spans="1:20" ht="24.95" customHeight="1" thickTop="1">
      <c r="A7" s="152" t="s">
        <v>25</v>
      </c>
      <c r="B7" s="142">
        <f>IFERROR(-VALUE(VLOOKUP("Depreciation And Amortization*",'8.TIKR_CF'!$A:$H,COLUMN(B7),FALSE))-IFERROR(VALUE(VLOOKUP("Amortization of Goodwill and Intangible Assets*",'8.TIKR_CF'!$A:$H,COLUMN(B7),FALSE)),"0"),"0")</f>
        <v>-733.5</v>
      </c>
      <c r="C7" s="142">
        <f>IFERROR(-VALUE(VLOOKUP("Depreciation And Amortization*",'8.TIKR_CF'!$A:$H,COLUMN(C7),FALSE))-IFERROR(VALUE(VLOOKUP("Amortization of Goodwill and Intangible Assets*",'8.TIKR_CF'!$A:$H,COLUMN(C7),FALSE)),"0"),"0")</f>
        <v>-828.3</v>
      </c>
      <c r="D7" s="142">
        <f>IFERROR(-VALUE(VLOOKUP("Depreciation And Amortization*",'8.TIKR_CF'!$A:$H,COLUMN(D7),FALSE))-IFERROR(VALUE(VLOOKUP("Amortization of Goodwill and Intangible Assets*",'8.TIKR_CF'!$A:$H,COLUMN(D7),FALSE)),"0"),"0")</f>
        <v>-490.8</v>
      </c>
      <c r="E7" s="142">
        <f>IFERROR(-VALUE(VLOOKUP("Depreciation And Amortization*",'8.TIKR_CF'!$A:$H,COLUMN(E7),FALSE))-IFERROR(VALUE(VLOOKUP("Amortization of Goodwill and Intangible Assets*",'8.TIKR_CF'!$A:$H,COLUMN(E7),FALSE)),"0"),"0")</f>
        <v>-471</v>
      </c>
      <c r="F7" s="142">
        <f>IFERROR(-VALUE(VLOOKUP("Depreciation And Amortization*",'8.TIKR_CF'!$A:$H,COLUMN(F7),FALSE))-IFERROR(VALUE(VLOOKUP("Amortization of Goodwill and Intangible Assets*",'8.TIKR_CF'!$A:$H,COLUMN(F7),FALSE)),"0"),"0")</f>
        <v>-875.9</v>
      </c>
      <c r="G7" s="142">
        <f>IFERROR(-VALUE(VLOOKUP("Depreciation And Amortization*",'8.TIKR_CF'!$A:$H,COLUMN(G7),FALSE))-IFERROR(VALUE(VLOOKUP("Amortization of Goodwill and Intangible Assets*",'8.TIKR_CF'!$A:$H,COLUMN(G7),FALSE)),"0"),"0")</f>
        <v>-786.2</v>
      </c>
      <c r="H7" s="142">
        <f>IFERROR(-VALUE(VLOOKUP("Depreciation And Amortization*",'8.TIKR_CF'!$A:$H,COLUMN(H7),FALSE))-IFERROR(VALUE(VLOOKUP("Amortization of Goodwill and Intangible Assets*",'8.TIKR_CF'!$A:$H,COLUMN(H7),FALSE)),"0"),"0")</f>
        <v>-918.6</v>
      </c>
      <c r="I7" s="107">
        <f>IFERROR((H7*$Q$3)+H7,"")</f>
        <v>-1080.7121387400236</v>
      </c>
      <c r="J7" s="107">
        <f>IFERROR((I7*$Q$3)+I7,"")</f>
        <v>-1271.4334060745002</v>
      </c>
      <c r="K7" s="107">
        <f>IFERROR((J7*$Q$3)+J7,"")</f>
        <v>-1495.8126666060157</v>
      </c>
      <c r="L7" s="107">
        <f>IFERROR((K7*$Q$3)+K7,"")</f>
        <v>-1759.7897954302252</v>
      </c>
      <c r="M7" s="153">
        <f>IFERROR((L7*$Q$3)+L7,"")</f>
        <v>-2070.3529213501711</v>
      </c>
      <c r="N7" s="6"/>
      <c r="O7" s="6"/>
      <c r="P7" s="7"/>
      <c r="Q7" s="7"/>
      <c r="R7" s="33"/>
      <c r="S7" s="33"/>
      <c r="T7" s="33"/>
    </row>
    <row r="8" spans="1:20" ht="24.95" customHeight="1">
      <c r="A8" s="147" t="s">
        <v>26</v>
      </c>
      <c r="B8" s="143">
        <f>IFERROR(VALUE(VLOOKUP("Operating Income*",'6.TIKR_IS'!$A:$H,COLUMN(B2),FALSE)),"0")</f>
        <v>2883.3</v>
      </c>
      <c r="C8" s="143">
        <f>IFERROR(VALUE(VLOOKUP("Operating Income*",'6.TIKR_IS'!$A:$H,COLUMN(C2),FALSE)),"0")</f>
        <v>2716.7</v>
      </c>
      <c r="D8" s="143">
        <f>IFERROR(VALUE(VLOOKUP("Operating Income*",'6.TIKR_IS'!$A:$H,COLUMN(D2),FALSE)),"0")</f>
        <v>4051.5</v>
      </c>
      <c r="E8" s="143">
        <f>IFERROR(VALUE(VLOOKUP("Operating Income*",'6.TIKR_IS'!$A:$H,COLUMN(E2),FALSE)),"0")</f>
        <v>6750.1</v>
      </c>
      <c r="F8" s="143">
        <f>IFERROR(VALUE(VLOOKUP("Operating Income*",'6.TIKR_IS'!$A:$H,COLUMN(F2),FALSE)),"0")</f>
        <v>7321</v>
      </c>
      <c r="G8" s="143">
        <f>IFERROR(VALUE(VLOOKUP("Operating Income*",'6.TIKR_IS'!$A:$H,COLUMN(G2),FALSE)),"0")</f>
        <v>9042.2999999999993</v>
      </c>
      <c r="H8" s="143">
        <f>IFERROR(VALUE(VLOOKUP("Operating Income*",'6.TIKR_IS'!$A:$H,COLUMN(H2),FALSE)),"0")</f>
        <v>9022.6</v>
      </c>
      <c r="I8" s="105">
        <f>IFERROR(I3*$Q$4,"")</f>
        <v>10160.196109730359</v>
      </c>
      <c r="J8" s="105">
        <f>IFERROR(J3*$Q$4,"")</f>
        <v>11953.241092711478</v>
      </c>
      <c r="K8" s="105">
        <f>IFERROR(K3*$Q$4,"")</f>
        <v>14062.717990615456</v>
      </c>
      <c r="L8" s="105">
        <f>IFERROR(L3*$Q$4,"")</f>
        <v>16544.469884754883</v>
      </c>
      <c r="M8" s="151">
        <f>IFERROR(M3*$Q$4,"")</f>
        <v>19464.194898185673</v>
      </c>
      <c r="N8" s="6"/>
      <c r="O8" s="6"/>
      <c r="P8" s="6"/>
      <c r="Q8" s="6"/>
      <c r="R8" s="33"/>
      <c r="S8" s="33"/>
      <c r="T8" s="33"/>
    </row>
    <row r="9" spans="1:20" ht="24.95" customHeight="1">
      <c r="A9" s="131" t="s">
        <v>27</v>
      </c>
      <c r="B9" s="140">
        <f t="shared" ref="B9:M9" si="4">IFERROR((B8/B3),"")</f>
        <v>0.26345942982456144</v>
      </c>
      <c r="C9" s="11">
        <f t="shared" si="4"/>
        <v>0.22983925549915396</v>
      </c>
      <c r="D9" s="11">
        <f t="shared" si="4"/>
        <v>0.28983796544693635</v>
      </c>
      <c r="E9" s="11">
        <f t="shared" si="4"/>
        <v>0.3626941056364516</v>
      </c>
      <c r="F9" s="11">
        <f t="shared" si="4"/>
        <v>0.34576402467246636</v>
      </c>
      <c r="G9" s="11">
        <f t="shared" si="4"/>
        <v>0.3281129234174574</v>
      </c>
      <c r="H9" s="10">
        <f t="shared" si="4"/>
        <v>0.31923829472559434</v>
      </c>
      <c r="I9" s="11">
        <f t="shared" si="4"/>
        <v>0.30556371417466016</v>
      </c>
      <c r="J9" s="11">
        <f t="shared" si="4"/>
        <v>0.30556371417466016</v>
      </c>
      <c r="K9" s="11">
        <f t="shared" si="4"/>
        <v>0.30556371417466016</v>
      </c>
      <c r="L9" s="11">
        <f t="shared" si="4"/>
        <v>0.30556371417466016</v>
      </c>
      <c r="M9" s="149">
        <f t="shared" si="4"/>
        <v>0.30556371417466016</v>
      </c>
      <c r="N9" s="6"/>
      <c r="O9" s="6"/>
      <c r="P9" s="6"/>
      <c r="Q9" s="6"/>
      <c r="R9" s="33"/>
      <c r="S9" s="33"/>
      <c r="T9" s="33"/>
    </row>
    <row r="10" spans="1:20" ht="24.95" customHeight="1">
      <c r="A10" s="152" t="s">
        <v>28</v>
      </c>
      <c r="B10" s="142">
        <f>IFERROR(VALUE(VLOOKUP("Interest Expense*",'6.TIKR_IS'!$A:$H,COLUMN(B10),FALSE)),"0")</f>
        <v>-41.8</v>
      </c>
      <c r="C10" s="142">
        <f>IFERROR(VALUE(VLOOKUP("Interest Expense*",'6.TIKR_IS'!$A:$H,COLUMN(C10),FALSE)),"0")</f>
        <v>-36.6</v>
      </c>
      <c r="D10" s="142">
        <f>IFERROR(VALUE(VLOOKUP("Interest Expense*",'6.TIKR_IS'!$A:$H,COLUMN(D10),FALSE)),"0")</f>
        <v>-43.4</v>
      </c>
      <c r="E10" s="142">
        <f>IFERROR(VALUE(VLOOKUP("Interest Expense*",'6.TIKR_IS'!$A:$H,COLUMN(E10),FALSE)),"0")</f>
        <v>-54.6</v>
      </c>
      <c r="F10" s="142">
        <f>IFERROR(VALUE(VLOOKUP("Interest Expense*",'6.TIKR_IS'!$A:$H,COLUMN(F10),FALSE)),"0")</f>
        <v>-60.8</v>
      </c>
      <c r="G10" s="142">
        <f>IFERROR(VALUE(VLOOKUP("Interest Expense*",'6.TIKR_IS'!$A:$H,COLUMN(G10),FALSE)),"0")</f>
        <v>-152.1</v>
      </c>
      <c r="H10" s="142">
        <f>IFERROR(VALUE(VLOOKUP("Interest Expense*",'6.TIKR_IS'!$A:$H,COLUMN(H10),FALSE)),"0")</f>
        <v>0</v>
      </c>
      <c r="I10" s="107">
        <f>IFERROR(-TIKR_Cálculos!$B$26*SUM('3.ROIC'!I6:I7),"")</f>
        <v>-98.105062056246013</v>
      </c>
      <c r="J10" s="107">
        <f>IFERROR(-TIKR_Cálculos!$B$26*SUM('3.ROIC'!J6:J7),"")</f>
        <v>-108.55829449503106</v>
      </c>
      <c r="K10" s="107">
        <f>IFERROR(-TIKR_Cálculos!$B$26*SUM('3.ROIC'!K6:K7),"")</f>
        <v>-120.85628620596722</v>
      </c>
      <c r="L10" s="107">
        <f>IFERROR(-TIKR_Cálculos!$B$26*SUM('3.ROIC'!L6:L7),"")</f>
        <v>-135.32459550722228</v>
      </c>
      <c r="M10" s="153">
        <f>IFERROR(-TIKR_Cálculos!$B$26*SUM('3.ROIC'!M6:M7),"")</f>
        <v>-152.34623440218368</v>
      </c>
      <c r="N10" s="6"/>
      <c r="O10" s="6"/>
      <c r="P10" s="6"/>
      <c r="Q10" s="6"/>
      <c r="R10" s="33"/>
      <c r="S10" s="33"/>
      <c r="T10" s="33"/>
    </row>
    <row r="11" spans="1:20" ht="24.95" customHeight="1">
      <c r="A11" s="152" t="s">
        <v>29</v>
      </c>
      <c r="B11" s="142">
        <f>IFERROR(VALUE(VLOOKUP("Total Other Income/Expenses Net*",'6.TIKR_IS'!$A:$H,COLUMN(B11),FALSE)),"0")</f>
        <v>-28.3</v>
      </c>
      <c r="C11" s="142">
        <f>IFERROR(VALUE(VLOOKUP("Total Other Income/Expenses Net*",'6.TIKR_IS'!$A:$H,COLUMN(C11),FALSE)),"0")</f>
        <v>-25</v>
      </c>
      <c r="D11" s="142">
        <f>IFERROR(VALUE(VLOOKUP("Total Other Income/Expenses Net*",'6.TIKR_IS'!$A:$H,COLUMN(D11),FALSE)),"0")</f>
        <v>-34.9</v>
      </c>
      <c r="E11" s="142">
        <f>IFERROR(VALUE(VLOOKUP("Total Other Income/Expenses Net*",'6.TIKR_IS'!$A:$H,COLUMN(E11),FALSE)),"0")</f>
        <v>-44.6</v>
      </c>
      <c r="F11" s="142">
        <f>IFERROR(VALUE(VLOOKUP("Total Other Income/Expenses Net*",'6.TIKR_IS'!$A:$H,COLUMN(F11),FALSE)),"0")</f>
        <v>-44.6</v>
      </c>
      <c r="G11" s="142">
        <f>IFERROR(VALUE(VLOOKUP("Total Other Income/Expenses Net*",'6.TIKR_IS'!$A:$H,COLUMN(G11),FALSE)),"0")</f>
        <v>41.2</v>
      </c>
      <c r="H11" s="142">
        <f>IFERROR(VALUE(VLOOKUP("Total Other Income/Expenses Net*",'6.TIKR_IS'!$A:$H,COLUMN(H11),FALSE)),"0")</f>
        <v>19.8</v>
      </c>
      <c r="I11" s="107">
        <f>IFERROR(TIKR_Cálculos!$B$25*'3.ROIC'!I5,"")</f>
        <v>-31.912879493750342</v>
      </c>
      <c r="J11" s="107">
        <f>IFERROR(TIKR_Cálculos!$B$25*'3.ROIC'!J5,"")</f>
        <v>-35.125568964700022</v>
      </c>
      <c r="K11" s="107">
        <f>IFERROR(TIKR_Cálculos!$B$25*'3.ROIC'!K5,"")</f>
        <v>-38.905225517342721</v>
      </c>
      <c r="L11" s="107">
        <f>IFERROR(TIKR_Cálculos!$B$25*'3.ROIC'!L5,"")</f>
        <v>-43.351906027585748</v>
      </c>
      <c r="M11" s="153">
        <f>IFERROR(TIKR_Cálculos!$B$25*'3.ROIC'!M5,"")</f>
        <v>-48.583325148550593</v>
      </c>
      <c r="N11" s="6"/>
      <c r="O11" s="6"/>
      <c r="P11" s="6"/>
      <c r="Q11" s="6"/>
      <c r="R11" s="33"/>
      <c r="S11" s="33"/>
      <c r="T11" s="33"/>
    </row>
    <row r="12" spans="1:20" ht="24.95" customHeight="1">
      <c r="A12" s="131" t="s">
        <v>30</v>
      </c>
      <c r="B12" s="144">
        <f>B10+B11</f>
        <v>-70.099999999999994</v>
      </c>
      <c r="C12" s="107">
        <f t="shared" ref="C12:H12" si="5">C10+C11</f>
        <v>-61.6</v>
      </c>
      <c r="D12" s="107">
        <f t="shared" si="5"/>
        <v>-78.3</v>
      </c>
      <c r="E12" s="107">
        <f t="shared" si="5"/>
        <v>-99.2</v>
      </c>
      <c r="F12" s="107">
        <f t="shared" si="5"/>
        <v>-105.4</v>
      </c>
      <c r="G12" s="107">
        <f t="shared" si="5"/>
        <v>-110.89999999999999</v>
      </c>
      <c r="H12" s="108">
        <f t="shared" si="5"/>
        <v>19.8</v>
      </c>
      <c r="I12" s="107">
        <f>IFERROR(SUM(I10:I11),"")</f>
        <v>-130.01794154999635</v>
      </c>
      <c r="J12" s="107">
        <f t="shared" ref="J12:M12" si="6">IFERROR(SUM(J10:J11),"")</f>
        <v>-143.68386345973107</v>
      </c>
      <c r="K12" s="107">
        <f t="shared" si="6"/>
        <v>-159.76151172330995</v>
      </c>
      <c r="L12" s="107">
        <f t="shared" si="6"/>
        <v>-178.67650153480804</v>
      </c>
      <c r="M12" s="153">
        <f t="shared" si="6"/>
        <v>-200.92955955073427</v>
      </c>
      <c r="N12" s="6"/>
      <c r="O12" s="6"/>
      <c r="P12" s="7"/>
      <c r="Q12" s="7"/>
      <c r="R12" s="33"/>
      <c r="S12" s="33"/>
      <c r="T12" s="33"/>
    </row>
    <row r="13" spans="1:20" ht="24.95" customHeight="1" collapsed="1">
      <c r="A13" s="131" t="s">
        <v>31</v>
      </c>
      <c r="B13" s="144">
        <f t="shared" ref="B13:M13" si="7">IFERROR(B8+B12,"")</f>
        <v>2813.2000000000003</v>
      </c>
      <c r="C13" s="107">
        <f t="shared" si="7"/>
        <v>2655.1</v>
      </c>
      <c r="D13" s="107">
        <f t="shared" si="7"/>
        <v>3973.2</v>
      </c>
      <c r="E13" s="107">
        <f t="shared" si="7"/>
        <v>6650.9000000000005</v>
      </c>
      <c r="F13" s="107">
        <f t="shared" si="7"/>
        <v>7215.6</v>
      </c>
      <c r="G13" s="107">
        <f t="shared" si="7"/>
        <v>8931.4</v>
      </c>
      <c r="H13" s="108">
        <f t="shared" si="7"/>
        <v>9042.4</v>
      </c>
      <c r="I13" s="107">
        <f t="shared" si="7"/>
        <v>10030.178168180362</v>
      </c>
      <c r="J13" s="107">
        <f t="shared" si="7"/>
        <v>11809.557229251746</v>
      </c>
      <c r="K13" s="107">
        <f t="shared" si="7"/>
        <v>13902.956478892145</v>
      </c>
      <c r="L13" s="107">
        <f t="shared" si="7"/>
        <v>16365.793383220074</v>
      </c>
      <c r="M13" s="153">
        <f t="shared" si="7"/>
        <v>19263.265338634938</v>
      </c>
      <c r="N13" s="6"/>
      <c r="O13" s="6"/>
      <c r="P13" s="7"/>
      <c r="Q13" s="7"/>
      <c r="R13" s="33"/>
      <c r="S13" s="33"/>
      <c r="T13" s="33"/>
    </row>
    <row r="14" spans="1:20" ht="24.95" customHeight="1">
      <c r="A14" s="152" t="s">
        <v>32</v>
      </c>
      <c r="B14" s="142">
        <f>IFERROR(VALUE(VLOOKUP("Income Tax Expense*",'6.TIKR_IS'!$A:$H,COLUMN(B14),FALSE)),"0")</f>
        <v>-335.7</v>
      </c>
      <c r="C14" s="142">
        <f>IFERROR(VALUE(VLOOKUP("Income Tax Expense*",'6.TIKR_IS'!$A:$H,COLUMN(C14),FALSE)),"0")</f>
        <v>-128.80000000000001</v>
      </c>
      <c r="D14" s="142">
        <f>IFERROR(VALUE(VLOOKUP("Income Tax Expense*",'6.TIKR_IS'!$A:$H,COLUMN(D14),FALSE)),"0")</f>
        <v>-551.5</v>
      </c>
      <c r="E14" s="142">
        <f>IFERROR(VALUE(VLOOKUP("Income Tax Expense*",'6.TIKR_IS'!$A:$H,COLUMN(E14),FALSE)),"0")</f>
        <v>-1021.4</v>
      </c>
      <c r="F14" s="142">
        <f>IFERROR(VALUE(VLOOKUP("Income Tax Expense*",'6.TIKR_IS'!$A:$H,COLUMN(F14),FALSE)),"0")</f>
        <v>-1018.6</v>
      </c>
      <c r="G14" s="142">
        <f>IFERROR(VALUE(VLOOKUP("Income Tax Expense*",'6.TIKR_IS'!$A:$H,COLUMN(G14),FALSE)),"0")</f>
        <v>-1435.8</v>
      </c>
      <c r="H14" s="142">
        <f>IFERROR(VALUE(VLOOKUP("Income Tax Expense*",'6.TIKR_IS'!$A:$H,COLUMN(H14),FALSE)),"0")</f>
        <v>-1680.6</v>
      </c>
      <c r="I14" s="107">
        <f>IFERROR(-I13*I15,"")</f>
        <v>-1864.186214881438</v>
      </c>
      <c r="J14" s="107">
        <f>IFERROR(-J13*J15,"")</f>
        <v>-2194.8975802309656</v>
      </c>
      <c r="K14" s="107">
        <f>IFERROR(-K13*K15,"")</f>
        <v>-2583.9720271638212</v>
      </c>
      <c r="L14" s="107">
        <f>IFERROR(-L13*L15,"")</f>
        <v>-3041.7093205166389</v>
      </c>
      <c r="M14" s="153">
        <f>IFERROR(-M13*M15,"")</f>
        <v>-3580.2269008349413</v>
      </c>
      <c r="N14" s="6"/>
      <c r="O14" s="6"/>
      <c r="P14" s="6"/>
      <c r="Q14" s="6"/>
      <c r="R14" s="33"/>
      <c r="S14" s="33"/>
      <c r="T14" s="33"/>
    </row>
    <row r="15" spans="1:20" ht="24.95" customHeight="1">
      <c r="A15" s="131" t="s">
        <v>33</v>
      </c>
      <c r="B15" s="140">
        <f t="shared" ref="B15:H15" si="8">IFERROR((ABS(B14)/B13),"")</f>
        <v>0.11933030001421867</v>
      </c>
      <c r="C15" s="11">
        <f t="shared" si="8"/>
        <v>4.851041392037965E-2</v>
      </c>
      <c r="D15" s="11">
        <f t="shared" si="8"/>
        <v>0.13880499345615627</v>
      </c>
      <c r="E15" s="11">
        <f t="shared" si="8"/>
        <v>0.15357320061946503</v>
      </c>
      <c r="F15" s="11">
        <f t="shared" si="8"/>
        <v>0.14116636177171682</v>
      </c>
      <c r="G15" s="11">
        <f t="shared" si="8"/>
        <v>0.1607586716528204</v>
      </c>
      <c r="H15" s="10">
        <f t="shared" si="8"/>
        <v>0.18585773688401308</v>
      </c>
      <c r="I15" s="11">
        <f>$Q$5</f>
        <v>0.18585773688401308</v>
      </c>
      <c r="J15" s="11">
        <f>$Q$5</f>
        <v>0.18585773688401308</v>
      </c>
      <c r="K15" s="11">
        <f>$Q$5</f>
        <v>0.18585773688401308</v>
      </c>
      <c r="L15" s="11">
        <f>$Q$5</f>
        <v>0.18585773688401308</v>
      </c>
      <c r="M15" s="149">
        <f>$Q$5</f>
        <v>0.18585773688401308</v>
      </c>
      <c r="N15" s="6"/>
      <c r="O15" s="6"/>
      <c r="P15" s="7"/>
      <c r="Q15" s="7"/>
      <c r="R15" s="33"/>
      <c r="S15" s="33"/>
      <c r="T15" s="33"/>
    </row>
    <row r="16" spans="1:20" ht="24.95" customHeight="1">
      <c r="A16" s="131" t="s">
        <v>34</v>
      </c>
      <c r="B16" s="144">
        <f t="shared" ref="B16:H16" si="9">B13+B14</f>
        <v>2477.5000000000005</v>
      </c>
      <c r="C16" s="107">
        <f t="shared" si="9"/>
        <v>2526.2999999999997</v>
      </c>
      <c r="D16" s="107">
        <f t="shared" si="9"/>
        <v>3421.7</v>
      </c>
      <c r="E16" s="107">
        <f t="shared" si="9"/>
        <v>5629.5000000000009</v>
      </c>
      <c r="F16" s="107">
        <f t="shared" si="9"/>
        <v>6197</v>
      </c>
      <c r="G16" s="107">
        <f t="shared" si="9"/>
        <v>7495.5999999999995</v>
      </c>
      <c r="H16" s="108">
        <f t="shared" si="9"/>
        <v>7361.7999999999993</v>
      </c>
      <c r="I16" s="107">
        <f>IFERROR(I13+I14,"")</f>
        <v>8165.9919532989243</v>
      </c>
      <c r="J16" s="107">
        <f>IFERROR(J13+J14,"")</f>
        <v>9614.6596490207812</v>
      </c>
      <c r="K16" s="107">
        <f>IFERROR(K13+K14,"")</f>
        <v>11318.984451728324</v>
      </c>
      <c r="L16" s="107">
        <f>IFERROR(L13+L14,"")</f>
        <v>13324.084062703436</v>
      </c>
      <c r="M16" s="153">
        <f>IFERROR(M13+M14,"")</f>
        <v>15683.038437799996</v>
      </c>
      <c r="N16" s="6"/>
      <c r="O16" s="6"/>
      <c r="P16" s="7"/>
      <c r="Q16" s="7"/>
      <c r="R16" s="33"/>
      <c r="S16" s="33"/>
      <c r="T16" s="33"/>
    </row>
    <row r="17" spans="1:20" ht="24.95" customHeight="1">
      <c r="A17" s="152" t="s">
        <v>35</v>
      </c>
      <c r="B17" s="142" t="str">
        <f>IFERROR(VALUE(VLOOKUP("Minority Interest*",'6.TIKR_IS'!$A:$H,COLUMN(B17),FALSE)),"0")</f>
        <v>0</v>
      </c>
      <c r="C17" s="142" t="str">
        <f>IFERROR(VALUE(VLOOKUP("Minority Interest*",'6.TIKR_IS'!$A:$H,COLUMN(C17),FALSE)),"0")</f>
        <v>0</v>
      </c>
      <c r="D17" s="142" t="str">
        <f>IFERROR(VALUE(VLOOKUP("Minority Interest*",'6.TIKR_IS'!$A:$H,COLUMN(D17),FALSE)),"0")</f>
        <v>0</v>
      </c>
      <c r="E17" s="142" t="str">
        <f>IFERROR(VALUE(VLOOKUP("Minority Interest*",'6.TIKR_IS'!$A:$H,COLUMN(E17),FALSE)),"0")</f>
        <v>0</v>
      </c>
      <c r="F17" s="142" t="str">
        <f>IFERROR(VALUE(VLOOKUP("Minority Interest*",'6.TIKR_IS'!$A:$H,COLUMN(F17),FALSE)),"0")</f>
        <v>0</v>
      </c>
      <c r="G17" s="142" t="str">
        <f>IFERROR(VALUE(VLOOKUP("Minority Interest*",'6.TIKR_IS'!$A:$H,COLUMN(G17),FALSE)),"0")</f>
        <v>0</v>
      </c>
      <c r="H17" s="142" t="str">
        <f>IFERROR(VALUE(VLOOKUP("Minority Interest*",'6.TIKR_IS'!$A:$H,COLUMN(H17),FALSE)),"0")</f>
        <v>0</v>
      </c>
      <c r="I17" s="107">
        <f>IFERROR(H17/H16*I16,"")</f>
        <v>0</v>
      </c>
      <c r="J17" s="107">
        <f>IFERROR(I17/I16*J16,"")</f>
        <v>0</v>
      </c>
      <c r="K17" s="107">
        <f>IFERROR(J17/J16*K16,"")</f>
        <v>0</v>
      </c>
      <c r="L17" s="107">
        <f>IFERROR(K17/K16*L16,"")</f>
        <v>0</v>
      </c>
      <c r="M17" s="153">
        <f>IFERROR(L17/L16*M16,"")</f>
        <v>0</v>
      </c>
      <c r="N17" s="6"/>
      <c r="O17" s="6"/>
      <c r="P17" s="7"/>
      <c r="Q17" s="7"/>
      <c r="R17" s="33"/>
      <c r="S17" s="33"/>
      <c r="T17" s="33"/>
    </row>
    <row r="18" spans="1:20" ht="24.95" customHeight="1">
      <c r="A18" s="150" t="s">
        <v>36</v>
      </c>
      <c r="B18" s="141">
        <f t="shared" ref="B18:H18" si="10">B16+B17</f>
        <v>2477.5000000000005</v>
      </c>
      <c r="C18" s="105">
        <f t="shared" si="10"/>
        <v>2526.2999999999997</v>
      </c>
      <c r="D18" s="105">
        <f t="shared" si="10"/>
        <v>3421.7</v>
      </c>
      <c r="E18" s="105">
        <f t="shared" si="10"/>
        <v>5629.5000000000009</v>
      </c>
      <c r="F18" s="105">
        <f t="shared" si="10"/>
        <v>6197</v>
      </c>
      <c r="G18" s="105">
        <f t="shared" si="10"/>
        <v>7495.5999999999995</v>
      </c>
      <c r="H18" s="106">
        <f t="shared" si="10"/>
        <v>7361.7999999999993</v>
      </c>
      <c r="I18" s="105">
        <f>IFERROR(I16+I17,"")</f>
        <v>8165.9919532989243</v>
      </c>
      <c r="J18" s="105">
        <f>IFERROR(J16+J17,"")</f>
        <v>9614.6596490207812</v>
      </c>
      <c r="K18" s="105">
        <f>IFERROR(K16+K17,"")</f>
        <v>11318.984451728324</v>
      </c>
      <c r="L18" s="105">
        <f>IFERROR(L16+L17,"")</f>
        <v>13324.084062703436</v>
      </c>
      <c r="M18" s="151">
        <f>IFERROR(M16+M17,"")</f>
        <v>15683.038437799996</v>
      </c>
      <c r="N18" s="6"/>
      <c r="O18" s="6"/>
      <c r="P18" s="7"/>
      <c r="Q18" s="7"/>
      <c r="R18" s="33"/>
      <c r="S18" s="33"/>
      <c r="T18" s="33"/>
    </row>
    <row r="19" spans="1:20" ht="24.95" customHeight="1">
      <c r="A19" s="131" t="s">
        <v>37</v>
      </c>
      <c r="B19" s="140">
        <f t="shared" ref="B19:M19" si="11">IFERROR(B18/B3,"")</f>
        <v>0.22637975146198835</v>
      </c>
      <c r="C19" s="11">
        <f t="shared" si="11"/>
        <v>0.21373096446700504</v>
      </c>
      <c r="D19" s="11">
        <f t="shared" si="11"/>
        <v>0.24478305969882319</v>
      </c>
      <c r="E19" s="11">
        <f t="shared" si="11"/>
        <v>0.30248240288001726</v>
      </c>
      <c r="F19" s="11">
        <f t="shared" si="11"/>
        <v>0.2926785495007887</v>
      </c>
      <c r="G19" s="11">
        <f t="shared" si="11"/>
        <v>0.27198867862909809</v>
      </c>
      <c r="H19" s="10">
        <f t="shared" si="11"/>
        <v>0.26047574735784362</v>
      </c>
      <c r="I19" s="11">
        <f t="shared" si="11"/>
        <v>0.24558884535513437</v>
      </c>
      <c r="J19" s="11">
        <f t="shared" si="11"/>
        <v>0.24578196742567268</v>
      </c>
      <c r="K19" s="11">
        <f t="shared" si="11"/>
        <v>0.24594612023532209</v>
      </c>
      <c r="L19" s="11">
        <f t="shared" si="11"/>
        <v>0.24608564931576696</v>
      </c>
      <c r="M19" s="149">
        <f t="shared" si="11"/>
        <v>0.24620424834755544</v>
      </c>
      <c r="N19" s="6"/>
      <c r="O19" s="6"/>
      <c r="P19" s="7"/>
      <c r="Q19" s="7"/>
      <c r="R19" s="33"/>
      <c r="S19" s="33"/>
      <c r="T19" s="33"/>
    </row>
    <row r="20" spans="1:20" ht="24.95" customHeight="1">
      <c r="A20" s="131" t="s">
        <v>38</v>
      </c>
      <c r="B20" s="145">
        <f t="shared" ref="B20:M20" si="12">IFERROR(B18/B22,"")</f>
        <v>5.8102720450281442</v>
      </c>
      <c r="C20" s="109">
        <f t="shared" si="12"/>
        <v>5.9921726755218208</v>
      </c>
      <c r="D20" s="109">
        <f t="shared" si="12"/>
        <v>8.1643999045573832</v>
      </c>
      <c r="E20" s="109">
        <f t="shared" si="12"/>
        <v>13.717105263157897</v>
      </c>
      <c r="F20" s="109">
        <f t="shared" si="12"/>
        <v>15.57035175879397</v>
      </c>
      <c r="G20" s="109">
        <f t="shared" si="12"/>
        <v>19.019538188277085</v>
      </c>
      <c r="H20" s="110">
        <f t="shared" si="12"/>
        <v>18.703760162601622</v>
      </c>
      <c r="I20" s="109">
        <f t="shared" si="12"/>
        <v>21.024552027952982</v>
      </c>
      <c r="J20" s="109">
        <f t="shared" si="12"/>
        <v>25.08560685697832</v>
      </c>
      <c r="K20" s="109">
        <f t="shared" si="12"/>
        <v>29.927542279219917</v>
      </c>
      <c r="L20" s="109">
        <f t="shared" si="12"/>
        <v>35.700462860204333</v>
      </c>
      <c r="M20" s="154">
        <f t="shared" si="12"/>
        <v>42.583326344656413</v>
      </c>
      <c r="N20" s="6"/>
      <c r="O20" s="6"/>
      <c r="P20" s="6"/>
      <c r="Q20" s="6"/>
      <c r="R20" s="33"/>
      <c r="S20" s="33"/>
      <c r="T20" s="33"/>
    </row>
    <row r="21" spans="1:20" ht="24.95" customHeight="1">
      <c r="A21" s="131" t="s">
        <v>19</v>
      </c>
      <c r="B21" s="140"/>
      <c r="C21" s="11">
        <f t="shared" ref="C21:M21" si="13">IFERROR((C20-B20)/B20,"")</f>
        <v>3.1306732126136695E-2</v>
      </c>
      <c r="D21" s="11">
        <f t="shared" si="13"/>
        <v>0.36251078643130002</v>
      </c>
      <c r="E21" s="11">
        <f t="shared" si="13"/>
        <v>0.68011187882908375</v>
      </c>
      <c r="F21" s="11">
        <f t="shared" si="13"/>
        <v>0.13510478049721009</v>
      </c>
      <c r="G21" s="11">
        <f t="shared" si="13"/>
        <v>0.22152270436247856</v>
      </c>
      <c r="H21" s="10">
        <f t="shared" si="13"/>
        <v>-1.6602822978640821E-2</v>
      </c>
      <c r="I21" s="11">
        <f t="shared" si="13"/>
        <v>0.12408156676387508</v>
      </c>
      <c r="J21" s="11">
        <f t="shared" si="13"/>
        <v>0.19315773404474934</v>
      </c>
      <c r="K21" s="11">
        <f t="shared" si="13"/>
        <v>0.19301647553703358</v>
      </c>
      <c r="L21" s="11">
        <f t="shared" si="13"/>
        <v>0.19289658091947037</v>
      </c>
      <c r="M21" s="149">
        <f t="shared" si="13"/>
        <v>0.19279479684630302</v>
      </c>
      <c r="N21" s="6"/>
      <c r="O21" s="6"/>
      <c r="P21" s="6"/>
      <c r="Q21" s="6"/>
      <c r="R21" s="33"/>
      <c r="S21" s="33"/>
      <c r="T21" s="33"/>
    </row>
    <row r="22" spans="1:20" ht="24.95" customHeight="1">
      <c r="A22" s="152" t="s">
        <v>39</v>
      </c>
      <c r="B22" s="146">
        <f>IFERROR(VALUE(VLOOKUP("*Diluted Weighted Average Shares Outstanding*",'6.TIKR_IS'!$A:$H,COLUMN(B22),FALSE)),"0")</f>
        <v>426.4</v>
      </c>
      <c r="C22" s="146">
        <f>IFERROR(VALUE(VLOOKUP("*Diluted Weighted Average Shares Outstanding*",'6.TIKR_IS'!$A:$H,COLUMN(C22),FALSE)),"0")</f>
        <v>421.6</v>
      </c>
      <c r="D22" s="146">
        <f>IFERROR(VALUE(VLOOKUP("*Diluted Weighted Average Shares Outstanding*",'6.TIKR_IS'!$A:$H,COLUMN(D22),FALSE)),"0")</f>
        <v>419.1</v>
      </c>
      <c r="E22" s="146">
        <f>IFERROR(VALUE(VLOOKUP("*Diluted Weighted Average Shares Outstanding*",'6.TIKR_IS'!$A:$H,COLUMN(E22),FALSE)),"0")</f>
        <v>410.4</v>
      </c>
      <c r="F22" s="146">
        <f>IFERROR(VALUE(VLOOKUP("*Diluted Weighted Average Shares Outstanding*",'6.TIKR_IS'!$A:$H,COLUMN(F22),FALSE)),"0")</f>
        <v>398</v>
      </c>
      <c r="G22" s="146">
        <f>IFERROR(VALUE(VLOOKUP("*Diluted Weighted Average Shares Outstanding*",'6.TIKR_IS'!$A:$H,COLUMN(G22),FALSE)),"0")</f>
        <v>394.1</v>
      </c>
      <c r="H22" s="146">
        <f>IFERROR(VALUE(VLOOKUP("*Diluted Weighted Average Shares Outstanding*",'6.TIKR_IS'!$A:$H,COLUMN(H22),FALSE)),"0")</f>
        <v>393.6</v>
      </c>
      <c r="I22" s="12">
        <f>IFERROR(H22*(1+$Q$6),"")</f>
        <v>388.40266096713555</v>
      </c>
      <c r="J22" s="12">
        <f>IFERROR(I22*(1+$Q$6),"")</f>
        <v>383.27395082914541</v>
      </c>
      <c r="K22" s="12">
        <f>IFERROR(J22*(1+$Q$6),"")</f>
        <v>378.212963367447</v>
      </c>
      <c r="L22" s="12">
        <f>IFERROR(K22*(1+$Q$6),"")</f>
        <v>373.21880432973114</v>
      </c>
      <c r="M22" s="155">
        <f>IFERROR(L22*(1+$Q$6),"")</f>
        <v>368.29059127195188</v>
      </c>
      <c r="N22" s="6"/>
      <c r="O22" s="6"/>
      <c r="P22" s="7"/>
      <c r="Q22" s="7"/>
      <c r="R22" s="33"/>
      <c r="S22" s="33"/>
      <c r="T22" s="33"/>
    </row>
    <row r="23" spans="1:20" ht="24.95" customHeight="1">
      <c r="A23" s="28" t="s">
        <v>19</v>
      </c>
      <c r="B23" s="156"/>
      <c r="C23" s="157">
        <f t="shared" ref="C23:M23" si="14">IFERROR((C22-B22)/B22,"")</f>
        <v>-1.1257035647279444E-2</v>
      </c>
      <c r="D23" s="157">
        <f t="shared" si="14"/>
        <v>-5.9297912713472479E-3</v>
      </c>
      <c r="E23" s="157">
        <f t="shared" si="14"/>
        <v>-2.0758768790264961E-2</v>
      </c>
      <c r="F23" s="157">
        <f t="shared" si="14"/>
        <v>-3.0214424951267003E-2</v>
      </c>
      <c r="G23" s="157">
        <f t="shared" si="14"/>
        <v>-9.7989949748743151E-3</v>
      </c>
      <c r="H23" s="158">
        <f t="shared" si="14"/>
        <v>-1.2687135244861709E-3</v>
      </c>
      <c r="I23" s="157">
        <f t="shared" si="14"/>
        <v>-1.3204621526586576E-2</v>
      </c>
      <c r="J23" s="157">
        <f t="shared" si="14"/>
        <v>-1.3204621526586562E-2</v>
      </c>
      <c r="K23" s="157">
        <f t="shared" si="14"/>
        <v>-1.3204621526586536E-2</v>
      </c>
      <c r="L23" s="157">
        <f t="shared" si="14"/>
        <v>-1.3204621526586496E-2</v>
      </c>
      <c r="M23" s="159">
        <f t="shared" si="14"/>
        <v>-1.3204621526586547E-2</v>
      </c>
      <c r="N23" s="6"/>
      <c r="O23" s="6"/>
      <c r="P23" s="7"/>
      <c r="Q23" s="7"/>
      <c r="R23" s="33"/>
      <c r="S23" s="33"/>
      <c r="T23" s="33"/>
    </row>
    <row r="24" spans="1:20" ht="15.75" customHeight="1">
      <c r="A24" s="61"/>
      <c r="B24" s="62"/>
      <c r="C24" s="62"/>
      <c r="D24" s="62"/>
      <c r="E24" s="62"/>
      <c r="F24" s="62"/>
      <c r="G24" s="62"/>
      <c r="H24" s="63"/>
      <c r="I24" s="63"/>
      <c r="J24" s="62"/>
      <c r="K24" s="62"/>
      <c r="L24" s="62"/>
      <c r="M24" s="62"/>
      <c r="N24" s="6"/>
      <c r="O24" s="6"/>
      <c r="P24" s="7"/>
      <c r="Q24" s="7"/>
      <c r="R24" s="33"/>
      <c r="S24" s="33"/>
      <c r="T24" s="33"/>
    </row>
    <row r="25" spans="1:20" ht="15.95" hidden="1" customHeight="1">
      <c r="R25" s="33"/>
      <c r="S25" s="33"/>
      <c r="T25" s="33"/>
    </row>
    <row r="26" spans="1:20" ht="9.75" hidden="1" customHeight="1">
      <c r="R26" s="33"/>
      <c r="S26" s="33"/>
      <c r="T26" s="33"/>
    </row>
    <row r="27" spans="1:20" s="30" customFormat="1" ht="20.100000000000001" hidden="1" customHeight="1">
      <c r="R27" s="61"/>
      <c r="S27" s="61"/>
      <c r="T27" s="61"/>
    </row>
    <row r="28" spans="1:20" s="30" customFormat="1" ht="20.100000000000001" hidden="1" customHeight="1">
      <c r="R28" s="61"/>
      <c r="S28" s="61"/>
      <c r="T28" s="61"/>
    </row>
    <row r="29" spans="1:20" s="30" customFormat="1" ht="20.100000000000001" hidden="1" customHeight="1">
      <c r="R29" s="61"/>
      <c r="S29" s="61"/>
      <c r="T29" s="61"/>
    </row>
    <row r="30" spans="1:20" s="30" customFormat="1" ht="20.100000000000001" hidden="1" customHeight="1">
      <c r="R30" s="61"/>
      <c r="S30" s="61"/>
      <c r="T30" s="61"/>
    </row>
    <row r="31" spans="1:20" ht="15.95" hidden="1" customHeight="1">
      <c r="R31" s="33"/>
      <c r="S31" s="33"/>
      <c r="T31" s="33"/>
    </row>
    <row r="32" spans="1:20" ht="15.95" hidden="1" customHeight="1">
      <c r="R32" s="33"/>
      <c r="S32" s="33"/>
      <c r="T32" s="33"/>
    </row>
    <row r="33" spans="18:20" ht="15.95" hidden="1" customHeight="1">
      <c r="R33" s="33"/>
      <c r="S33" s="33"/>
      <c r="T33" s="33"/>
    </row>
    <row r="34" spans="18:20" ht="15.95" hidden="1" customHeight="1">
      <c r="R34" s="33"/>
      <c r="S34" s="33"/>
      <c r="T34" s="33"/>
    </row>
    <row r="35" spans="18:20" ht="15.95" hidden="1" customHeight="1">
      <c r="R35" s="33"/>
      <c r="S35" s="33"/>
      <c r="T35" s="33"/>
    </row>
    <row r="36" spans="18:20" ht="15.95" hidden="1" customHeight="1">
      <c r="R36" s="33"/>
      <c r="S36" s="33"/>
      <c r="T36" s="33"/>
    </row>
    <row r="55" spans="1:1" hidden="1">
      <c r="A55" s="64"/>
    </row>
    <row r="56" spans="1:1" hidden="1">
      <c r="A56" s="64"/>
    </row>
  </sheetData>
  <pageMargins left="0.7" right="0.7" top="0.75" bottom="0.75" header="0.3" footer="0.3"/>
  <pageSetup paperSize="9" orientation="portrait" r:id="rId1"/>
  <ignoredErrors>
    <ignoredError sqref="I22:M22" formula="1"/>
  </ignoredErrors>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0"/>
  <sheetViews>
    <sheetView showGridLines="0" topLeftCell="A23" zoomScale="85" zoomScaleNormal="85" workbookViewId="0">
      <selection activeCell="B27" sqref="B27:H27"/>
    </sheetView>
  </sheetViews>
  <sheetFormatPr defaultColWidth="0" defaultRowHeight="17.25"/>
  <cols>
    <col min="1" max="1" width="64" style="4" bestFit="1" customWidth="1"/>
    <col min="2" max="13" width="14.7109375" style="5" customWidth="1"/>
    <col min="14" max="14" width="18" style="5" customWidth="1"/>
    <col min="15" max="15" width="13.42578125" style="4" customWidth="1"/>
    <col min="16" max="17" width="15.42578125" style="4" hidden="1" customWidth="1"/>
    <col min="18" max="16384" width="9.140625" style="4" hidden="1"/>
  </cols>
  <sheetData>
    <row r="1" spans="1:14" ht="99.95" customHeight="1">
      <c r="B1" s="19" t="s">
        <v>40</v>
      </c>
    </row>
    <row r="2" spans="1:14" s="6" customFormat="1" ht="39.950000000000003" customHeight="1">
      <c r="A2" s="137" t="s">
        <v>41</v>
      </c>
      <c r="B2" s="67">
        <f>'1.IS'!B$2</f>
        <v>2018</v>
      </c>
      <c r="C2" s="67">
        <f>'1.IS'!C$2</f>
        <v>2019</v>
      </c>
      <c r="D2" s="67">
        <f>'1.IS'!D$2</f>
        <v>2020</v>
      </c>
      <c r="E2" s="67">
        <f>'1.IS'!E$2</f>
        <v>2021</v>
      </c>
      <c r="F2" s="67">
        <f>'1.IS'!F$2</f>
        <v>2022</v>
      </c>
      <c r="G2" s="67">
        <f>'1.IS'!G$2</f>
        <v>2023</v>
      </c>
      <c r="H2" s="67">
        <f>'1.IS'!H$2</f>
        <v>2024</v>
      </c>
      <c r="I2" s="8" t="str">
        <f>'1.IS'!I$2</f>
        <v>2025e</v>
      </c>
      <c r="J2" s="8" t="str">
        <f>'1.IS'!J$2</f>
        <v>2026e</v>
      </c>
      <c r="K2" s="8" t="str">
        <f>'1.IS'!K$2</f>
        <v>2027e</v>
      </c>
      <c r="L2" s="8" t="str">
        <f>'1.IS'!L$2</f>
        <v>2028e</v>
      </c>
      <c r="M2" s="8" t="str">
        <f>'1.IS'!M$2</f>
        <v>2029e</v>
      </c>
      <c r="N2" s="18"/>
    </row>
    <row r="3" spans="1:14" s="6" customFormat="1" ht="27.95" customHeight="1">
      <c r="A3" s="150" t="s">
        <v>21</v>
      </c>
      <c r="B3" s="141">
        <f>VALUE('1.IS'!B5)</f>
        <v>3616.8</v>
      </c>
      <c r="C3" s="141">
        <f>VALUE('1.IS'!C5)</f>
        <v>3545</v>
      </c>
      <c r="D3" s="141">
        <f>VALUE('1.IS'!D5)</f>
        <v>4542.3</v>
      </c>
      <c r="E3" s="141">
        <f>VALUE('1.IS'!E5)</f>
        <v>7221.1</v>
      </c>
      <c r="F3" s="141">
        <f>VALUE('1.IS'!F5)</f>
        <v>8196.9</v>
      </c>
      <c r="G3" s="141">
        <f>VALUE('1.IS'!G5)</f>
        <v>9828.5</v>
      </c>
      <c r="H3" s="141">
        <f>VALUE('1.IS'!H5)</f>
        <v>9941.2000000000007</v>
      </c>
      <c r="I3" s="141">
        <f>'1.IS'!I5</f>
        <v>11240.908248470383</v>
      </c>
      <c r="J3" s="105">
        <f>'1.IS'!J5</f>
        <v>13224.674498785978</v>
      </c>
      <c r="K3" s="105">
        <f>'1.IS'!K5</f>
        <v>15558.530657221472</v>
      </c>
      <c r="L3" s="105">
        <f>'1.IS'!L5</f>
        <v>18304.259680185107</v>
      </c>
      <c r="M3" s="151">
        <f>'1.IS'!M5</f>
        <v>21534.547819535845</v>
      </c>
      <c r="N3" s="9"/>
    </row>
    <row r="4" spans="1:14" s="6" customFormat="1" ht="24.95" customHeight="1">
      <c r="A4" s="152" t="s">
        <v>42</v>
      </c>
      <c r="B4" s="142">
        <f>IFERROR(VALUE(VLOOKUP("CapEx Mantenimiento",TIKR_Cálculos!$A:$H,COLUMN(B4),FALSE)),"0")</f>
        <v>195.79999999999995</v>
      </c>
      <c r="C4" s="142">
        <f>IFERROR(VALUE(VLOOKUP("CapEx Mantenimiento",TIKR_Cálculos!$A:$H,COLUMN(C4),FALSE)),"0")</f>
        <v>-172.5</v>
      </c>
      <c r="D4" s="142">
        <f>IFERROR(VALUE(VLOOKUP("CapEx Mantenimiento",TIKR_Cálculos!$A:$H,COLUMN(D4),FALSE)),"0")</f>
        <v>358.29999999999995</v>
      </c>
      <c r="E4" s="142">
        <f>IFERROR(VALUE(VLOOKUP("CapEx Mantenimiento",TIKR_Cálculos!$A:$H,COLUMN(E4),FALSE)),"0")</f>
        <v>-471</v>
      </c>
      <c r="F4" s="142">
        <f>IFERROR(VALUE(VLOOKUP("CapEx Mantenimiento",TIKR_Cálculos!$A:$H,COLUMN(F4),FALSE)),"0")</f>
        <v>-875.9</v>
      </c>
      <c r="G4" s="142">
        <f>IFERROR(VALUE(VLOOKUP("CapEx Mantenimiento",TIKR_Cálculos!$A:$H,COLUMN(G4),FALSE)),"0")</f>
        <v>-786.2</v>
      </c>
      <c r="H4" s="142">
        <f>IFERROR(VALUE(VLOOKUP("CapEx Mantenimiento",TIKR_Cálculos!$A:$H,COLUMN(H4),FALSE)),"0")</f>
        <v>-918.6</v>
      </c>
      <c r="I4" s="160">
        <f>IFERROR((H4*'1.IS'!$Q$3)+'2.FCF'!H4,"")</f>
        <v>-1080.7121387400236</v>
      </c>
      <c r="J4" s="111">
        <f>IFERROR((I4*'1.IS'!$Q$3)+'2.FCF'!I4,"")</f>
        <v>-1271.4334060745002</v>
      </c>
      <c r="K4" s="111">
        <f>IFERROR((J4*'1.IS'!$Q$3)+'2.FCF'!J4,"")</f>
        <v>-1495.8126666060157</v>
      </c>
      <c r="L4" s="111">
        <f>IFERROR((K4*'1.IS'!$Q$3)+'2.FCF'!K4,"")</f>
        <v>-1759.7897954302252</v>
      </c>
      <c r="M4" s="165">
        <f>IFERROR((L4*'1.IS'!$Q$3)+'2.FCF'!L4,"")</f>
        <v>-2070.3529213501711</v>
      </c>
      <c r="N4" s="15"/>
    </row>
    <row r="5" spans="1:14" s="6" customFormat="1" ht="24.95" customHeight="1">
      <c r="A5" s="128" t="s">
        <v>43</v>
      </c>
      <c r="B5" s="160">
        <f>VALUE('1.IS'!B12)</f>
        <v>-70.099999999999994</v>
      </c>
      <c r="C5" s="160">
        <f>VALUE('1.IS'!C12)</f>
        <v>-61.6</v>
      </c>
      <c r="D5" s="160">
        <f>VALUE('1.IS'!D12)</f>
        <v>-78.3</v>
      </c>
      <c r="E5" s="160">
        <f>VALUE('1.IS'!E12)</f>
        <v>-99.2</v>
      </c>
      <c r="F5" s="160">
        <f>VALUE('1.IS'!F12)</f>
        <v>-105.4</v>
      </c>
      <c r="G5" s="160">
        <f>VALUE('1.IS'!G12)</f>
        <v>-110.89999999999999</v>
      </c>
      <c r="H5" s="160">
        <f>VALUE('1.IS'!H12)</f>
        <v>19.8</v>
      </c>
      <c r="I5" s="160">
        <f>'1.IS'!I12</f>
        <v>-130.01794154999635</v>
      </c>
      <c r="J5" s="111">
        <f>'1.IS'!J12</f>
        <v>-143.68386345973107</v>
      </c>
      <c r="K5" s="111">
        <f>'1.IS'!K12</f>
        <v>-159.76151172330995</v>
      </c>
      <c r="L5" s="111">
        <f>'1.IS'!L12</f>
        <v>-178.67650153480804</v>
      </c>
      <c r="M5" s="165">
        <f>'1.IS'!M12</f>
        <v>-200.92955955073427</v>
      </c>
      <c r="N5" s="15"/>
    </row>
    <row r="6" spans="1:14" s="6" customFormat="1" ht="24.95" customHeight="1">
      <c r="A6" s="128" t="s">
        <v>44</v>
      </c>
      <c r="B6" s="160">
        <f>'1.IS'!B14</f>
        <v>-335.7</v>
      </c>
      <c r="C6" s="111">
        <f>'1.IS'!C14</f>
        <v>-128.80000000000001</v>
      </c>
      <c r="D6" s="111">
        <f>'1.IS'!D14</f>
        <v>-551.5</v>
      </c>
      <c r="E6" s="111">
        <f>'1.IS'!E14</f>
        <v>-1021.4</v>
      </c>
      <c r="F6" s="111">
        <f>'1.IS'!F14</f>
        <v>-1018.6</v>
      </c>
      <c r="G6" s="111">
        <f>'1.IS'!G14</f>
        <v>-1435.8</v>
      </c>
      <c r="H6" s="111">
        <f>'1.IS'!H14</f>
        <v>-1680.6</v>
      </c>
      <c r="I6" s="160">
        <f>'1.IS'!I14</f>
        <v>-1864.186214881438</v>
      </c>
      <c r="J6" s="111">
        <f>'1.IS'!J14</f>
        <v>-2194.8975802309656</v>
      </c>
      <c r="K6" s="111">
        <f>'1.IS'!K14</f>
        <v>-2583.9720271638212</v>
      </c>
      <c r="L6" s="111">
        <f>'1.IS'!L14</f>
        <v>-3041.7093205166389</v>
      </c>
      <c r="M6" s="165">
        <f>'1.IS'!M14</f>
        <v>-3580.2269008349413</v>
      </c>
      <c r="N6" s="15"/>
    </row>
    <row r="7" spans="1:14" s="6" customFormat="1" ht="24.95" customHeight="1">
      <c r="A7" s="166" t="s">
        <v>45</v>
      </c>
      <c r="B7" s="142">
        <f>IFERROR(VALUE(VLOOKUP("Inventory*",'7.TIKR_BS'!$A:$H,COLUMN(B7),FALSE)),"0")</f>
        <v>3439.5</v>
      </c>
      <c r="C7" s="142">
        <f>IFERROR(VALUE(VLOOKUP("Inventory*",'7.TIKR_BS'!$A:$H,COLUMN(C7),FALSE)),"0")</f>
        <v>3809.2</v>
      </c>
      <c r="D7" s="142">
        <f>IFERROR(VALUE(VLOOKUP("Inventory*",'7.TIKR_BS'!$A:$H,COLUMN(D7),FALSE)),"0")</f>
        <v>4569.3999999999996</v>
      </c>
      <c r="E7" s="142">
        <f>IFERROR(VALUE(VLOOKUP("Inventory*",'7.TIKR_BS'!$A:$H,COLUMN(E7),FALSE)),"0")</f>
        <v>5179.2</v>
      </c>
      <c r="F7" s="142">
        <f>IFERROR(VALUE(VLOOKUP("Inventory*",'7.TIKR_BS'!$A:$H,COLUMN(F7),FALSE)),"0")</f>
        <v>7199.7</v>
      </c>
      <c r="G7" s="142">
        <f>IFERROR(VALUE(VLOOKUP("Inventory*",'7.TIKR_BS'!$A:$H,COLUMN(G7),FALSE)),"0")</f>
        <v>9542.6</v>
      </c>
      <c r="H7" s="142">
        <f>IFERROR(VALUE(VLOOKUP("Inventory*",'7.TIKR_BS'!$A:$H,COLUMN(H7),FALSE)),"0")</f>
        <v>10891.5</v>
      </c>
      <c r="I7" s="161"/>
      <c r="J7" s="112"/>
      <c r="K7" s="112"/>
      <c r="L7" s="112"/>
      <c r="M7" s="167"/>
      <c r="N7" s="15"/>
    </row>
    <row r="8" spans="1:14" s="6" customFormat="1" ht="24.95" customHeight="1">
      <c r="A8" s="166" t="s">
        <v>46</v>
      </c>
      <c r="B8" s="142">
        <f>IFERROR(VALUE(VLOOKUP("Net Receivables*",'7.TIKR_BS'!$A:$H,COLUMN(B8),FALSE)),"0")</f>
        <v>2400.9</v>
      </c>
      <c r="C8" s="142">
        <f>IFERROR(VALUE(VLOOKUP("Net Receivables*",'7.TIKR_BS'!$A:$H,COLUMN(C8),FALSE)),"0")</f>
        <v>2850.5</v>
      </c>
      <c r="D8" s="142">
        <f>IFERROR(VALUE(VLOOKUP("Net Receivables*",'7.TIKR_BS'!$A:$H,COLUMN(D8),FALSE)),"0")</f>
        <v>3207.3</v>
      </c>
      <c r="E8" s="142">
        <f>IFERROR(VALUE(VLOOKUP("Net Receivables*",'7.TIKR_BS'!$A:$H,COLUMN(E8),FALSE)),"0")</f>
        <v>4420.2</v>
      </c>
      <c r="F8" s="142">
        <f>IFERROR(VALUE(VLOOKUP("Net Receivables*",'7.TIKR_BS'!$A:$H,COLUMN(F8),FALSE)),"0")</f>
        <v>7047</v>
      </c>
      <c r="G8" s="142">
        <f>IFERROR(VALUE(VLOOKUP("Net Receivables*",'7.TIKR_BS'!$A:$H,COLUMN(G8),FALSE)),"0")</f>
        <v>7256.8</v>
      </c>
      <c r="H8" s="142">
        <f>IFERROR(VALUE(VLOOKUP("Net Receivables*",'7.TIKR_BS'!$A:$H,COLUMN(H8),FALSE)),"0")</f>
        <v>5164.3</v>
      </c>
      <c r="I8" s="161"/>
      <c r="J8" s="112"/>
      <c r="K8" s="112"/>
      <c r="L8" s="112"/>
      <c r="M8" s="167"/>
      <c r="N8" s="15"/>
    </row>
    <row r="9" spans="1:14" s="6" customFormat="1" ht="24.95" customHeight="1">
      <c r="A9" s="166" t="s">
        <v>47</v>
      </c>
      <c r="B9" s="142">
        <f>IFERROR(VALUE(VLOOKUP("Other Current Liabilities*",'7.TIKR_BS'!$A:$H,COLUMN(B9),FALSE)),"0")+IFERROR(VALUE(VLOOKUP("Deferred Revenue*",'7.TIKR_BS'!$A:$H,COLUMN(B9),FALSE)),"0")+IFERROR(VALUE(VLOOKUP("Deferred Revenue Non Current*",'7.TIKR_BS'!$A:$H,COLUMN(B9),FALSE)),"0")</f>
        <v>3864.6</v>
      </c>
      <c r="C9" s="142">
        <f>IFERROR(VALUE(VLOOKUP("Other Current Liabilities*",'7.TIKR_BS'!$A:$H,COLUMN(C9),FALSE)),"0")+IFERROR(VALUE(VLOOKUP("Deferred Revenue*",'7.TIKR_BS'!$A:$H,COLUMN(C9),FALSE)),"0")+IFERROR(VALUE(VLOOKUP("Deferred Revenue Non Current*",'7.TIKR_BS'!$A:$H,COLUMN(C9),FALSE)),"0")</f>
        <v>4289.8999999999996</v>
      </c>
      <c r="D9" s="142">
        <f>IFERROR(VALUE(VLOOKUP("Other Current Liabilities*",'7.TIKR_BS'!$A:$H,COLUMN(D9),FALSE)),"0")+IFERROR(VALUE(VLOOKUP("Deferred Revenue*",'7.TIKR_BS'!$A:$H,COLUMN(D9),FALSE)),"0")+IFERROR(VALUE(VLOOKUP("Deferred Revenue Non Current*",'7.TIKR_BS'!$A:$H,COLUMN(D9),FALSE)),"0")</f>
        <v>6850.1</v>
      </c>
      <c r="E9" s="142">
        <f>IFERROR(VALUE(VLOOKUP("Other Current Liabilities*",'7.TIKR_BS'!$A:$H,COLUMN(E9),FALSE)),"0")+IFERROR(VALUE(VLOOKUP("Deferred Revenue*",'7.TIKR_BS'!$A:$H,COLUMN(E9),FALSE)),"0")+IFERROR(VALUE(VLOOKUP("Deferred Revenue Non Current*",'7.TIKR_BS'!$A:$H,COLUMN(E9),FALSE)),"0")</f>
        <v>12898.3</v>
      </c>
      <c r="F9" s="142">
        <f>IFERROR(VALUE(VLOOKUP("Other Current Liabilities*",'7.TIKR_BS'!$A:$H,COLUMN(F9),FALSE)),"0")+IFERROR(VALUE(VLOOKUP("Deferred Revenue*",'7.TIKR_BS'!$A:$H,COLUMN(F9),FALSE)),"0")+IFERROR(VALUE(VLOOKUP("Deferred Revenue Non Current*",'7.TIKR_BS'!$A:$H,COLUMN(F9),FALSE)),"0")</f>
        <v>19722.8</v>
      </c>
      <c r="G9" s="142">
        <f>IFERROR(VALUE(VLOOKUP("Other Current Liabilities*",'7.TIKR_BS'!$A:$H,COLUMN(G9),FALSE)),"0")+IFERROR(VALUE(VLOOKUP("Deferred Revenue*",'7.TIKR_BS'!$A:$H,COLUMN(G9),FALSE)),"0")+IFERROR(VALUE(VLOOKUP("Deferred Revenue Non Current*",'7.TIKR_BS'!$A:$H,COLUMN(G9),FALSE)),"0")</f>
        <v>18706.099999999999</v>
      </c>
      <c r="H9" s="142">
        <f>IFERROR(VALUE(VLOOKUP("Other Current Liabilities*",'7.TIKR_BS'!$A:$H,COLUMN(H9),FALSE)),"0")+IFERROR(VALUE(VLOOKUP("Deferred Revenue*",'7.TIKR_BS'!$A:$H,COLUMN(H9),FALSE)),"0")+IFERROR(VALUE(VLOOKUP("Deferred Revenue Non Current*",'7.TIKR_BS'!$A:$H,COLUMN(H9),FALSE)),"0")</f>
        <v>25676.800000000003</v>
      </c>
      <c r="I9" s="161"/>
      <c r="J9" s="112"/>
      <c r="K9" s="112"/>
      <c r="L9" s="112"/>
      <c r="M9" s="167"/>
      <c r="N9" s="15"/>
    </row>
    <row r="10" spans="1:14" s="6" customFormat="1" ht="24.95" customHeight="1" thickBot="1">
      <c r="A10" s="168" t="s">
        <v>48</v>
      </c>
      <c r="B10" s="160">
        <f>B7+B8-B9</f>
        <v>1975.7999999999997</v>
      </c>
      <c r="C10" s="111">
        <f t="shared" ref="C10:H10" si="0">C7+C8-C9</f>
        <v>2369.8000000000002</v>
      </c>
      <c r="D10" s="111">
        <f t="shared" si="0"/>
        <v>926.59999999999945</v>
      </c>
      <c r="E10" s="111">
        <f t="shared" si="0"/>
        <v>-3298.8999999999996</v>
      </c>
      <c r="F10" s="111">
        <f t="shared" si="0"/>
        <v>-5476.0999999999985</v>
      </c>
      <c r="G10" s="111">
        <f t="shared" si="0"/>
        <v>-1906.6999999999971</v>
      </c>
      <c r="H10" s="111">
        <f t="shared" si="0"/>
        <v>-9621.0000000000036</v>
      </c>
      <c r="I10" s="160">
        <f>IFERROR(IF(AND(I7&lt;&gt;"",I8&lt;&gt;"",I9&lt;&gt;""),I7+I8-I9,H10+I11),"")</f>
        <v>-12797.174893435202</v>
      </c>
      <c r="J10" s="111">
        <f>IFERROR(IF(AND(J7&lt;&gt;"",J8&lt;&gt;"",J9&lt;&gt;""),J7+J8-J9,I10+J11),"")</f>
        <v>-16533.872870897339</v>
      </c>
      <c r="K10" s="111">
        <f>IFERROR(IF(AND(K7&lt;&gt;"",K8&lt;&gt;"",K9&lt;&gt;""),K7+K8-K9,J10+K11),"")</f>
        <v>-20930.013588346312</v>
      </c>
      <c r="L10" s="111">
        <f>IFERROR(IF(AND(L7&lt;&gt;"",L8&lt;&gt;"",L9&lt;&gt;""),L7+L8-L9,K10+L11),"")</f>
        <v>-26101.973785337803</v>
      </c>
      <c r="M10" s="165">
        <f>IFERROR(IF(AND(M7&lt;&gt;"",M8&lt;&gt;"",M9&lt;&gt;""),M7+M8-M9,L10+M11),"")</f>
        <v>-32186.668065730733</v>
      </c>
      <c r="N10" s="15"/>
    </row>
    <row r="11" spans="1:14" s="6" customFormat="1" ht="24.95" customHeight="1" thickTop="1" thickBot="1">
      <c r="A11" s="128" t="s">
        <v>49</v>
      </c>
      <c r="B11" s="160"/>
      <c r="C11" s="111">
        <f>(C7+C8-C9)-(B7+B8-B9)</f>
        <v>394.00000000000045</v>
      </c>
      <c r="D11" s="111">
        <f t="shared" ref="D11:H11" si="1">(D7+D8-D9)-(C7+C8-C9)</f>
        <v>-1443.2000000000007</v>
      </c>
      <c r="E11" s="111">
        <f t="shared" si="1"/>
        <v>-4225.4999999999991</v>
      </c>
      <c r="F11" s="111">
        <f t="shared" si="1"/>
        <v>-2177.1999999999989</v>
      </c>
      <c r="G11" s="111">
        <f t="shared" si="1"/>
        <v>3569.4000000000015</v>
      </c>
      <c r="H11" s="111">
        <f t="shared" si="1"/>
        <v>-7714.3000000000065</v>
      </c>
      <c r="I11" s="267">
        <f>IFERROR((SUM(C11:H11)/SUM('1.IS'!C3:H3))*'1.IS'!I3,"")</f>
        <v>-3176.1748934351981</v>
      </c>
      <c r="J11" s="268">
        <f>IFERROR(IF(AND(J7&lt;&gt;"",J8&lt;&gt;"",J9&lt;&gt;""),(J7+J8-J9)-(I7+I8-I9),(I11/'1.IS'!I3)*'1.IS'!J3),"")</f>
        <v>-3736.6979774621368</v>
      </c>
      <c r="K11" s="268">
        <f>IFERROR(IF(AND(K7&lt;&gt;"",K8&lt;&gt;"",K9&lt;&gt;""),(K7+K8-K9)-(J7+J8-J9),(J11/'1.IS'!J3)*'1.IS'!K3),"")</f>
        <v>-4396.1407174489732</v>
      </c>
      <c r="L11" s="268">
        <f>IFERROR(IF(AND(L7&lt;&gt;"",L8&lt;&gt;"",L9&lt;&gt;""),(L7+L8-L9)-(K7+K8-K9),(K11/'1.IS'!K3)*'1.IS'!L3),"")</f>
        <v>-5171.9601969914893</v>
      </c>
      <c r="M11" s="269">
        <f>IFERROR(IF(AND(M7&lt;&gt;"",M8&lt;&gt;"",M9&lt;&gt;""),(M7+M8-M9)-(L7+L8-L9),(L11/'1.IS'!L3)*'1.IS'!M3),"")</f>
        <v>-6084.6942803929305</v>
      </c>
      <c r="N11" s="15"/>
    </row>
    <row r="12" spans="1:14" s="6" customFormat="1" ht="24.95" customHeight="1" thickTop="1">
      <c r="A12" s="169" t="s">
        <v>50</v>
      </c>
      <c r="B12" s="161" t="str">
        <f>'1.IS'!B17</f>
        <v>0</v>
      </c>
      <c r="C12" s="112" t="str">
        <f>'1.IS'!C17</f>
        <v>0</v>
      </c>
      <c r="D12" s="112" t="str">
        <f>'1.IS'!D17</f>
        <v>0</v>
      </c>
      <c r="E12" s="112" t="str">
        <f>'1.IS'!E17</f>
        <v>0</v>
      </c>
      <c r="F12" s="112" t="str">
        <f>'1.IS'!F17</f>
        <v>0</v>
      </c>
      <c r="G12" s="112" t="str">
        <f>'1.IS'!G17</f>
        <v>0</v>
      </c>
      <c r="H12" s="112" t="str">
        <f>'1.IS'!H17</f>
        <v>0</v>
      </c>
      <c r="I12" s="161">
        <f>'1.IS'!I17</f>
        <v>0</v>
      </c>
      <c r="J12" s="112">
        <f>'1.IS'!J17</f>
        <v>0</v>
      </c>
      <c r="K12" s="112">
        <f>'1.IS'!K17</f>
        <v>0</v>
      </c>
      <c r="L12" s="112">
        <f>'1.IS'!L17</f>
        <v>0</v>
      </c>
      <c r="M12" s="167">
        <f>'1.IS'!M17</f>
        <v>0</v>
      </c>
      <c r="N12" s="17"/>
    </row>
    <row r="13" spans="1:14" s="6" customFormat="1" ht="24.95" customHeight="1">
      <c r="A13" s="170" t="s">
        <v>51</v>
      </c>
      <c r="B13" s="162">
        <f>B3+B4+B5+B6-B11+B12</f>
        <v>3406.8000000000006</v>
      </c>
      <c r="C13" s="113">
        <f t="shared" ref="C13:H13" si="2">C3+C4+C5+C6-C11+C12</f>
        <v>2788.0999999999995</v>
      </c>
      <c r="D13" s="113">
        <f t="shared" si="2"/>
        <v>5714.0000000000009</v>
      </c>
      <c r="E13" s="113">
        <f t="shared" si="2"/>
        <v>9855</v>
      </c>
      <c r="F13" s="113">
        <f t="shared" si="2"/>
        <v>8374.1999999999989</v>
      </c>
      <c r="G13" s="113">
        <f t="shared" si="2"/>
        <v>3926.199999999998</v>
      </c>
      <c r="H13" s="113">
        <f t="shared" si="2"/>
        <v>15076.100000000006</v>
      </c>
      <c r="I13" s="162">
        <f>IFERROR(I3+I4+I5+I6-I11+I12,"")</f>
        <v>11342.166846734122</v>
      </c>
      <c r="J13" s="113">
        <f t="shared" ref="J13:M13" si="3">IFERROR(J3+J4+J5+J6-J11+J12,"")</f>
        <v>13351.357626482917</v>
      </c>
      <c r="K13" s="113">
        <f t="shared" si="3"/>
        <v>15715.125169177296</v>
      </c>
      <c r="L13" s="113">
        <f t="shared" si="3"/>
        <v>18496.044259694925</v>
      </c>
      <c r="M13" s="171">
        <f t="shared" si="3"/>
        <v>21767.732718192929</v>
      </c>
      <c r="N13" s="15"/>
    </row>
    <row r="14" spans="1:14" s="6" customFormat="1" ht="24.95" customHeight="1">
      <c r="A14" s="172" t="s">
        <v>52</v>
      </c>
      <c r="B14" s="163">
        <f>IFERROR(B13/'1.IS'!B3,"")</f>
        <v>0.31129385964912287</v>
      </c>
      <c r="C14" s="24">
        <f>IFERROR(C13/'1.IS'!C3,"")</f>
        <v>0.23587986463620977</v>
      </c>
      <c r="D14" s="24">
        <f>IFERROR(D13/'1.IS'!D3,"")</f>
        <v>0.40877061201130316</v>
      </c>
      <c r="E14" s="24">
        <f>IFERROR(E13/'1.IS'!E3,"")</f>
        <v>0.52952554940626506</v>
      </c>
      <c r="F14" s="24">
        <f>IFERROR(F13/'1.IS'!F3,"")</f>
        <v>0.39550568165717354</v>
      </c>
      <c r="G14" s="24">
        <f>IFERROR(G13/'1.IS'!G3,"")</f>
        <v>0.14246784113794284</v>
      </c>
      <c r="H14" s="75">
        <f>IFERROR(H13/'1.IS'!H3,"")</f>
        <v>0.53342367556054071</v>
      </c>
      <c r="I14" s="66">
        <f>IFERROR(I13/'1.IS'!I3,"")</f>
        <v>0.34111099737116679</v>
      </c>
      <c r="J14" s="24">
        <f>IFERROR(J13/'1.IS'!J3,"")</f>
        <v>0.34130411944170508</v>
      </c>
      <c r="K14" s="24">
        <f>IFERROR(K13/'1.IS'!K3,"")</f>
        <v>0.34146827225135451</v>
      </c>
      <c r="L14" s="24">
        <f>IFERROR(L13/'1.IS'!L3,"")</f>
        <v>0.34160780133179941</v>
      </c>
      <c r="M14" s="173">
        <f>IFERROR(M13/'1.IS'!M3,"")</f>
        <v>0.34172640036358792</v>
      </c>
      <c r="N14" s="15"/>
    </row>
    <row r="15" spans="1:14" s="6" customFormat="1" ht="24.95" customHeight="1">
      <c r="A15" s="131" t="s">
        <v>19</v>
      </c>
      <c r="B15" s="164"/>
      <c r="C15" s="24">
        <f t="shared" ref="C15:M15" si="4">IFERROR((C13-B13)/B13,"")</f>
        <v>-0.18160737348831779</v>
      </c>
      <c r="D15" s="24">
        <f t="shared" si="4"/>
        <v>1.0494243391556981</v>
      </c>
      <c r="E15" s="24">
        <f t="shared" si="4"/>
        <v>0.72471123556177786</v>
      </c>
      <c r="F15" s="24">
        <f t="shared" si="4"/>
        <v>-0.15025875190258764</v>
      </c>
      <c r="G15" s="24">
        <f t="shared" si="4"/>
        <v>-0.53115521482649108</v>
      </c>
      <c r="H15" s="75">
        <f t="shared" si="4"/>
        <v>2.8398706128062794</v>
      </c>
      <c r="I15" s="66">
        <f t="shared" si="4"/>
        <v>-0.24767235248279609</v>
      </c>
      <c r="J15" s="24">
        <f t="shared" si="4"/>
        <v>0.17714346887141091</v>
      </c>
      <c r="K15" s="24">
        <f t="shared" si="4"/>
        <v>0.17704323476481204</v>
      </c>
      <c r="L15" s="24">
        <f t="shared" si="4"/>
        <v>0.17695812540977765</v>
      </c>
      <c r="M15" s="173">
        <f t="shared" si="4"/>
        <v>0.17688584718773628</v>
      </c>
      <c r="N15" s="15"/>
    </row>
    <row r="16" spans="1:14" s="6" customFormat="1" ht="24.95" customHeight="1" thickBot="1">
      <c r="A16" s="131" t="s">
        <v>53</v>
      </c>
      <c r="B16" s="117">
        <f>IFERROR(B13/'1.IS'!B22,"")</f>
        <v>7.989681050656662</v>
      </c>
      <c r="C16" s="115">
        <f>IFERROR(C13/'1.IS'!C22,"")</f>
        <v>6.6131404174573039</v>
      </c>
      <c r="D16" s="115">
        <f>IFERROR(D13/'1.IS'!D22,"")</f>
        <v>13.633977570985447</v>
      </c>
      <c r="E16" s="115">
        <f>IFERROR(E13/'1.IS'!E22,"")</f>
        <v>24.013157894736842</v>
      </c>
      <c r="F16" s="115">
        <f>IFERROR(F13/'1.IS'!F22,"")</f>
        <v>21.040703517587936</v>
      </c>
      <c r="G16" s="115">
        <f>IFERROR(G13/'1.IS'!G22,"")</f>
        <v>9.9624460796752032</v>
      </c>
      <c r="H16" s="115">
        <f>IFERROR(H13/'1.IS'!H22,"")</f>
        <v>38.303099593495951</v>
      </c>
      <c r="I16" s="117">
        <f>IFERROR(I13/'1.IS'!I22,"")</f>
        <v>29.202083267122191</v>
      </c>
      <c r="J16" s="115">
        <f>IFERROR(J13/'1.IS'!J22,"")</f>
        <v>34.835024915206517</v>
      </c>
      <c r="K16" s="115">
        <f>IFERROR(K13/'1.IS'!K22,"")</f>
        <v>41.550995579994193</v>
      </c>
      <c r="L16" s="115">
        <f>IFERROR(L13/'1.IS'!L22,"")</f>
        <v>49.558178862161647</v>
      </c>
      <c r="M16" s="116">
        <f>IFERROR(M13/'1.IS'!M22,"")</f>
        <v>59.10477550625037</v>
      </c>
      <c r="N16" s="16"/>
    </row>
    <row r="17" spans="1:14" s="6" customFormat="1" ht="24.95" customHeight="1" thickTop="1" thickBot="1">
      <c r="A17" s="218" t="s">
        <v>54</v>
      </c>
      <c r="B17" s="174">
        <f>IFERROR(VALUE(VLOOKUP("Net Change in Cash*",'8.TIKR_CF'!$A:$H,COLUMN(B17),FALSE)),"0")</f>
        <v>862.1</v>
      </c>
      <c r="C17" s="174">
        <f>IFERROR(VALUE(VLOOKUP("Net Change in Cash*",'8.TIKR_CF'!$A:$H,COLUMN(C17),FALSE)),"0")</f>
        <v>411.2</v>
      </c>
      <c r="D17" s="174">
        <f>IFERROR(VALUE(VLOOKUP("Net Change in Cash*",'8.TIKR_CF'!$A:$H,COLUMN(D17),FALSE)),"0")</f>
        <v>2517.1</v>
      </c>
      <c r="E17" s="174">
        <f>IFERROR(VALUE(VLOOKUP("Net Change in Cash*",'8.TIKR_CF'!$A:$H,COLUMN(E17),FALSE)),"0")</f>
        <v>902.4</v>
      </c>
      <c r="F17" s="174">
        <f>IFERROR(VALUE(VLOOKUP("Net Change in Cash*",'8.TIKR_CF'!$A:$H,COLUMN(F17),FALSE)),"0")</f>
        <v>316.5</v>
      </c>
      <c r="G17" s="174">
        <f>IFERROR(VALUE(VLOOKUP("Net Change in Cash*",'8.TIKR_CF'!$A:$H,COLUMN(G17),FALSE)),"0")</f>
        <v>-263.60000000000002</v>
      </c>
      <c r="H17" s="174">
        <f>IFERROR(VALUE(VLOOKUP("Net Change in Cash*",'8.TIKR_CF'!$A:$H,COLUMN(H17),FALSE)),"0")</f>
        <v>0</v>
      </c>
      <c r="I17" s="267">
        <f>IFERROR((SUM($B17:$H17)/SUM('1.IS'!$B3:$H3))*'1.IS'!I3,"")</f>
        <v>1192.2908853563715</v>
      </c>
      <c r="J17" s="268">
        <f>IFERROR((SUM($B17:$H17)/SUM('1.IS'!$B3:$H3))*'1.IS'!J3,"")</f>
        <v>1402.7032796796432</v>
      </c>
      <c r="K17" s="268">
        <f>IFERROR((SUM($B17:$H17)/SUM('1.IS'!$B3:$H3))*'1.IS'!K3,"")</f>
        <v>1650.2487060747144</v>
      </c>
      <c r="L17" s="268">
        <f>IFERROR((SUM($B17:$H17)/SUM('1.IS'!$B3:$H3))*'1.IS'!L3,"")</f>
        <v>1941.4803054593524</v>
      </c>
      <c r="M17" s="269">
        <f>IFERROR((SUM($B17:$H17)/SUM('1.IS'!$B3:$H3))*'1.IS'!M3,"")</f>
        <v>2284.1077000159057</v>
      </c>
      <c r="N17" s="16"/>
    </row>
    <row r="18" spans="1:14" s="6" customFormat="1" ht="24.75" customHeight="1" thickTop="1">
      <c r="A18" s="20"/>
      <c r="B18" s="14"/>
      <c r="C18" s="14"/>
      <c r="D18" s="14"/>
      <c r="E18" s="14"/>
      <c r="F18" s="14"/>
      <c r="G18" s="14"/>
      <c r="H18" s="14"/>
      <c r="I18" s="14"/>
      <c r="J18" s="14"/>
      <c r="K18" s="14"/>
      <c r="L18" s="14"/>
      <c r="M18" s="14"/>
      <c r="N18" s="7"/>
    </row>
    <row r="19" spans="1:14" s="134" customFormat="1" ht="39.950000000000003" customHeight="1">
      <c r="A19" s="137" t="s">
        <v>55</v>
      </c>
      <c r="B19" s="67">
        <f>'1.IS'!B$2</f>
        <v>2018</v>
      </c>
      <c r="C19" s="67">
        <f>'1.IS'!C$2</f>
        <v>2019</v>
      </c>
      <c r="D19" s="67">
        <f>'1.IS'!D$2</f>
        <v>2020</v>
      </c>
      <c r="E19" s="67">
        <f>'1.IS'!E$2</f>
        <v>2021</v>
      </c>
      <c r="F19" s="67">
        <f>'1.IS'!F$2</f>
        <v>2022</v>
      </c>
      <c r="G19" s="67">
        <f>'1.IS'!G$2</f>
        <v>2023</v>
      </c>
      <c r="H19" s="67">
        <f>'1.IS'!H$2</f>
        <v>2024</v>
      </c>
      <c r="I19" s="8" t="str">
        <f>'1.IS'!I$2</f>
        <v>2025e</v>
      </c>
      <c r="J19" s="8" t="str">
        <f>'1.IS'!J$2</f>
        <v>2026e</v>
      </c>
      <c r="K19" s="8" t="str">
        <f>'1.IS'!K$2</f>
        <v>2027e</v>
      </c>
      <c r="L19" s="8" t="str">
        <f>'1.IS'!L$2</f>
        <v>2028e</v>
      </c>
      <c r="M19" s="8" t="str">
        <f>'1.IS'!M$2</f>
        <v>2029e</v>
      </c>
      <c r="N19" s="126" t="str">
        <f>"Promedio "&amp;CHAR(10)&amp;B2&amp;" - "&amp;H2</f>
        <v>Promedio 
2018 - 2024</v>
      </c>
    </row>
    <row r="20" spans="1:14" s="6" customFormat="1" ht="24.95" customHeight="1">
      <c r="A20" s="128" t="s">
        <v>56</v>
      </c>
      <c r="B20" s="163">
        <f>IFERROR(ABS(B4)/'1.IS'!B$3,"")</f>
        <v>1.7891081871345024E-2</v>
      </c>
      <c r="C20" s="24">
        <f>IFERROR(ABS(C4)/'1.IS'!C$3,"")</f>
        <v>1.4593908629441625E-2</v>
      </c>
      <c r="D20" s="24">
        <f>IFERROR(ABS(D4)/'1.IS'!D$3,"")</f>
        <v>2.5632220910684261E-2</v>
      </c>
      <c r="E20" s="24">
        <f>IFERROR(ABS(E4)/'1.IS'!E$3,"")</f>
        <v>2.5307613776798667E-2</v>
      </c>
      <c r="F20" s="24">
        <f>IFERROR(ABS(F4)/'1.IS'!F$3,"")</f>
        <v>4.136794279614988E-2</v>
      </c>
      <c r="G20" s="24">
        <f>IFERROR(ABS(G4)/'1.IS'!G$3,"")</f>
        <v>2.8528403214979046E-2</v>
      </c>
      <c r="H20" s="24">
        <f>IFERROR(ABS(H4)/'1.IS'!H$3,"")</f>
        <v>3.2501972550587517E-2</v>
      </c>
      <c r="I20" s="163">
        <f>IFERROR(ABS(I4)/'1.IS'!I$3,"")</f>
        <v>3.2501972550587517E-2</v>
      </c>
      <c r="J20" s="24">
        <f>IFERROR(ABS(J4)/'1.IS'!J$3,"")</f>
        <v>3.2501972550587517E-2</v>
      </c>
      <c r="K20" s="24">
        <f>IFERROR(ABS(K4)/'1.IS'!K$3,"")</f>
        <v>3.2501972550587517E-2</v>
      </c>
      <c r="L20" s="24">
        <f>IFERROR(ABS(L4)/'1.IS'!L$3,"")</f>
        <v>3.2501972550587517E-2</v>
      </c>
      <c r="M20" s="24">
        <f>IFERROR(ABS(M4)/'1.IS'!M$3,"")</f>
        <v>3.2501972550587517E-2</v>
      </c>
      <c r="N20" s="177">
        <f>IFERROR(AVERAGE(B20:H20),"")</f>
        <v>2.6546163392855145E-2</v>
      </c>
    </row>
    <row r="21" spans="1:14" s="6" customFormat="1" ht="24.75" customHeight="1">
      <c r="A21" s="128" t="s">
        <v>57</v>
      </c>
      <c r="B21" s="163">
        <f>IFERROR((B7+B8-B9)/'1.IS'!B$3,"")</f>
        <v>0.18053728070175437</v>
      </c>
      <c r="C21" s="24">
        <f>IFERROR((C7+C8-C9)/'1.IS'!C$3,"")</f>
        <v>0.20049069373942471</v>
      </c>
      <c r="D21" s="24">
        <f>IFERROR((D7+D8-D9)/'1.IS'!D$3,"")</f>
        <v>6.6287512966341125E-2</v>
      </c>
      <c r="E21" s="24">
        <f>IFERROR((E7+E8-E9)/'1.IS'!E$3,"")</f>
        <v>-0.17725538659932297</v>
      </c>
      <c r="F21" s="24">
        <f>IFERROR((F7+F8-F9)/'1.IS'!F$3,"")</f>
        <v>-0.25863111262244126</v>
      </c>
      <c r="G21" s="24">
        <f>IFERROR((G7+G8-G9)/'1.IS'!G$3,"")</f>
        <v>-6.9187365059781819E-2</v>
      </c>
      <c r="H21" s="24">
        <f>IFERROR((H7+H8-H9)/'1.IS'!H$3,"")</f>
        <v>-0.34041092739952389</v>
      </c>
      <c r="I21" s="163">
        <f>IFERROR(I10/'1.IS'!I$3,"")</f>
        <v>-0.38486976522390642</v>
      </c>
      <c r="J21" s="24">
        <f>IFERROR(J10/'1.IS'!J$3,"")</f>
        <v>-0.42265955860319809</v>
      </c>
      <c r="K21" s="24">
        <f>IFERROR(K10/'1.IS'!K$3,"")</f>
        <v>-0.45478069702095392</v>
      </c>
      <c r="L21" s="24">
        <f>IFERROR(L10/'1.IS'!L$3,"")</f>
        <v>-0.4820835066155158</v>
      </c>
      <c r="M21" s="24">
        <f>IFERROR(M10/'1.IS'!M$3,"")</f>
        <v>-0.50529076042022014</v>
      </c>
      <c r="N21" s="177">
        <f>IFERROR(AVERAGE(B21:H21),"")</f>
        <v>-5.6881329181935683E-2</v>
      </c>
    </row>
    <row r="22" spans="1:14" s="6" customFormat="1" ht="24.95" customHeight="1">
      <c r="A22" s="128" t="s">
        <v>58</v>
      </c>
      <c r="B22" s="163">
        <f>IFERROR(B13/'1.IS'!B$3,"")</f>
        <v>0.31129385964912287</v>
      </c>
      <c r="C22" s="24">
        <f>IFERROR(C13/'1.IS'!C$3,"")</f>
        <v>0.23587986463620977</v>
      </c>
      <c r="D22" s="24">
        <f>IFERROR(D13/'1.IS'!D$3,"")</f>
        <v>0.40877061201130316</v>
      </c>
      <c r="E22" s="24">
        <f>IFERROR(E13/'1.IS'!E$3,"")</f>
        <v>0.52952554940626506</v>
      </c>
      <c r="F22" s="24">
        <f>IFERROR(F13/'1.IS'!F$3,"")</f>
        <v>0.39550568165717354</v>
      </c>
      <c r="G22" s="24">
        <f>IFERROR(G13/'1.IS'!G$3,"")</f>
        <v>0.14246784113794284</v>
      </c>
      <c r="H22" s="24">
        <f>IFERROR(H13/'1.IS'!H$3,"")</f>
        <v>0.53342367556054071</v>
      </c>
      <c r="I22" s="163">
        <f>IFERROR(I13/'1.IS'!I$3,"")</f>
        <v>0.34111099737116679</v>
      </c>
      <c r="J22" s="24">
        <f>IFERROR(J13/'1.IS'!J$3,"")</f>
        <v>0.34130411944170508</v>
      </c>
      <c r="K22" s="24">
        <f>IFERROR(K13/'1.IS'!K$3,"")</f>
        <v>0.34146827225135451</v>
      </c>
      <c r="L22" s="24">
        <f>IFERROR(L13/'1.IS'!L$3,"")</f>
        <v>0.34160780133179941</v>
      </c>
      <c r="M22" s="24">
        <f>IFERROR(M13/'1.IS'!M$3,"")</f>
        <v>0.34172640036358792</v>
      </c>
      <c r="N22" s="177">
        <f>IFERROR(AVERAGE(B22:H22),"")</f>
        <v>0.36526672629407975</v>
      </c>
    </row>
    <row r="23" spans="1:14" ht="24.95" customHeight="1">
      <c r="A23" s="28" t="s">
        <v>59</v>
      </c>
      <c r="B23" s="176">
        <f t="shared" ref="B23:M23" si="5">IFERROR(B13/B3,"")</f>
        <v>0.94193762441937634</v>
      </c>
      <c r="C23" s="175">
        <f t="shared" si="5"/>
        <v>0.78648801128349777</v>
      </c>
      <c r="D23" s="175">
        <f t="shared" si="5"/>
        <v>1.2579530193954607</v>
      </c>
      <c r="E23" s="175">
        <f t="shared" si="5"/>
        <v>1.3647505227735386</v>
      </c>
      <c r="F23" s="175">
        <f t="shared" si="5"/>
        <v>1.0216301284631994</v>
      </c>
      <c r="G23" s="175">
        <f t="shared" si="5"/>
        <v>0.39947092638754622</v>
      </c>
      <c r="H23" s="175">
        <f t="shared" si="5"/>
        <v>1.5165271798173263</v>
      </c>
      <c r="I23" s="176">
        <f t="shared" si="5"/>
        <v>1.0090080441922937</v>
      </c>
      <c r="J23" s="175">
        <f t="shared" si="5"/>
        <v>1.0095793002473195</v>
      </c>
      <c r="K23" s="175">
        <f t="shared" si="5"/>
        <v>1.0100648650830752</v>
      </c>
      <c r="L23" s="175">
        <f t="shared" si="5"/>
        <v>1.0104775928041181</v>
      </c>
      <c r="M23" s="175">
        <f t="shared" si="5"/>
        <v>1.0108284093360689</v>
      </c>
      <c r="N23" s="178">
        <f>IFERROR(AVERAGE(B23:H23),"")</f>
        <v>1.0412510589342781</v>
      </c>
    </row>
    <row r="24" spans="1:14" ht="24.95" customHeight="1">
      <c r="A24" s="131"/>
      <c r="B24" s="132"/>
      <c r="C24" s="132"/>
      <c r="D24" s="132"/>
      <c r="E24" s="132"/>
      <c r="F24" s="132"/>
      <c r="G24" s="132"/>
      <c r="H24" s="132"/>
      <c r="I24" s="132"/>
      <c r="J24" s="132"/>
      <c r="K24" s="132"/>
      <c r="L24" s="132"/>
      <c r="M24" s="132"/>
      <c r="N24" s="133"/>
    </row>
    <row r="25" spans="1:14" ht="39.950000000000003" customHeight="1">
      <c r="A25" s="137" t="s">
        <v>60</v>
      </c>
      <c r="B25" s="67">
        <f>'1.IS'!B$2</f>
        <v>2018</v>
      </c>
      <c r="C25" s="67">
        <f>'1.IS'!C$2</f>
        <v>2019</v>
      </c>
      <c r="D25" s="67">
        <f>'1.IS'!D$2</f>
        <v>2020</v>
      </c>
      <c r="E25" s="67">
        <f>'1.IS'!E$2</f>
        <v>2021</v>
      </c>
      <c r="F25" s="67">
        <f>'1.IS'!F$2</f>
        <v>2022</v>
      </c>
      <c r="G25" s="67">
        <f>'1.IS'!G$2</f>
        <v>2023</v>
      </c>
      <c r="H25" s="67">
        <f>'1.IS'!H$2</f>
        <v>2024</v>
      </c>
      <c r="I25" s="126" t="str">
        <f>"Promedio "&amp;CHAR(10)&amp;B2&amp;" - "&amp;H2</f>
        <v>Promedio 
2018 - 2024</v>
      </c>
      <c r="J25" s="126" t="str">
        <f>"Acumulado"&amp;CHAR(10)&amp;B2&amp;" - "&amp;H2</f>
        <v>Acumulado
2018 - 2024</v>
      </c>
      <c r="K25" s="132"/>
      <c r="L25" s="132"/>
      <c r="M25" s="132"/>
      <c r="N25" s="133"/>
    </row>
    <row r="26" spans="1:14" ht="24.95" customHeight="1">
      <c r="A26" s="128" t="s">
        <v>61</v>
      </c>
      <c r="B26" s="163">
        <f>IFERROR(TIKR_Cálculos!B11/B13,"")</f>
        <v>1.0420335798990253E-2</v>
      </c>
      <c r="C26" s="24">
        <f>IFERROR(TIKR_Cálculos!C11/C13,"")</f>
        <v>0.15239769018327895</v>
      </c>
      <c r="D26" s="24">
        <f>IFERROR(TIKR_Cálculos!D11/D13,"")</f>
        <v>3.8991949597479869E-2</v>
      </c>
      <c r="E26" s="24">
        <f>IFERROR(TIKR_Cálculos!E11/E13,"")</f>
        <v>0.17109081684424152</v>
      </c>
      <c r="F26" s="24">
        <f>IFERROR(TIKR_Cálculos!F11/F13,"")</f>
        <v>5.6339710061856674E-2</v>
      </c>
      <c r="G26" s="24">
        <f>IFERROR(TIKR_Cálculos!G11/G13,"")</f>
        <v>0.33569354592226591</v>
      </c>
      <c r="H26" s="24">
        <f>IFERROR(TIKR_Cálculos!H11/H13,"")</f>
        <v>5.6997499353280988E-2</v>
      </c>
      <c r="I26" s="224">
        <f>IFERROR(AVERAGE(B26:H26),"")</f>
        <v>0.11741879253734203</v>
      </c>
      <c r="J26" s="244">
        <f>IFERROR(TIKR_Cálculos!I29/SUM('2.FCF'!$B$13:$H$13),"")</f>
        <v>0.10212371083670463</v>
      </c>
      <c r="K26" s="6"/>
      <c r="L26" s="132"/>
      <c r="M26" s="132"/>
      <c r="N26" s="133"/>
    </row>
    <row r="27" spans="1:14" ht="24.95" customHeight="1">
      <c r="A27" s="128" t="s">
        <v>62</v>
      </c>
      <c r="B27" s="163">
        <f>IFERROR(ABS(VALUE(VLOOKUP("Dividends Paid*",'8.TIKR_CF'!$A:$H,COLUMN(B18),FALSE)))/B13,"0")</f>
        <v>0.17526711283315718</v>
      </c>
      <c r="C27" s="163">
        <f>IFERROR(ABS(VALUE(VLOOKUP("Dividends Paid*",'8.TIKR_CF'!$A:$H,COLUMN(C18),FALSE)))/C13,"0")</f>
        <v>0.47548509737814293</v>
      </c>
      <c r="D27" s="163">
        <f>IFERROR(ABS(VALUE(VLOOKUP("Dividends Paid*",'8.TIKR_CF'!$A:$H,COLUMN(D18),FALSE)))/D13,"0")</f>
        <v>0.18662933146657332</v>
      </c>
      <c r="E27" s="163">
        <f>IFERROR(ABS(VALUE(VLOOKUP("Dividends Paid*",'8.TIKR_CF'!$A:$H,COLUMN(E18),FALSE)))/E13,"0")</f>
        <v>0.13884322678843225</v>
      </c>
      <c r="F27" s="163">
        <f>IFERROR(ABS(VALUE(VLOOKUP("Dividends Paid*",'8.TIKR_CF'!$A:$H,COLUMN(F18),FALSE)))/F13,"0")</f>
        <v>0.30567696018724183</v>
      </c>
      <c r="G27" s="163">
        <f>IFERROR(ABS(VALUE(VLOOKUP("Dividends Paid*",'8.TIKR_CF'!$A:$H,COLUMN(G18),FALSE)))/G13,"0")</f>
        <v>0.59811013193418605</v>
      </c>
      <c r="H27" s="163">
        <f>IFERROR(ABS(VALUE(VLOOKUP("Dividends Paid*",'8.TIKR_CF'!$A:$H,COLUMN(H18),FALSE)))/H13,"0")</f>
        <v>0.1627012290977109</v>
      </c>
      <c r="I27" s="224">
        <f t="shared" ref="I27:I29" si="6">IFERROR(AVERAGE(B27:H27),"")</f>
        <v>0.29181615566934921</v>
      </c>
      <c r="J27" s="244">
        <f>IFERROR(TIKR_Cálculos!I30/SUM('2.FCF'!$B$13:$H$13),"")</f>
        <v>0</v>
      </c>
      <c r="K27" s="6"/>
    </row>
    <row r="28" spans="1:14" ht="24.95" customHeight="1">
      <c r="A28" s="128" t="s">
        <v>63</v>
      </c>
      <c r="B28" s="163">
        <f>IFERROR(ABS(VALUE(VLOOKUP("Common Stock Repurchased*",'8.TIKR_CF'!$A:$H,COLUMN(B19),FALSE))/B13),"0")</f>
        <v>0.33644475754373598</v>
      </c>
      <c r="C28" s="163">
        <f>IFERROR(ABS(VALUE(VLOOKUP("Common Stock Repurchased*",'8.TIKR_CF'!$A:$H,COLUMN(C19),FALSE))/C13),"0")</f>
        <v>0.14705354901187193</v>
      </c>
      <c r="D28" s="163">
        <f>IFERROR(ABS(VALUE(VLOOKUP("Common Stock Repurchased*",'8.TIKR_CF'!$A:$H,COLUMN(D19),FALSE))/D13),"0")</f>
        <v>0.21132306615330762</v>
      </c>
      <c r="E28" s="163">
        <f>IFERROR(ABS(VALUE(VLOOKUP("Common Stock Repurchased*",'8.TIKR_CF'!$A:$H,COLUMN(E19),FALSE))/E13),"0")</f>
        <v>0.8686250634195839</v>
      </c>
      <c r="F28" s="163">
        <f>IFERROR(ABS(VALUE(VLOOKUP("Common Stock Repurchased*",'8.TIKR_CF'!$A:$H,COLUMN(F19),FALSE))/F13),"0")</f>
        <v>0.5540469537388647</v>
      </c>
      <c r="G28" s="163">
        <f>IFERROR(ABS(VALUE(VLOOKUP("Common Stock Repurchased*",'8.TIKR_CF'!$A:$H,COLUMN(G19),FALSE))/G13),"0")</f>
        <v>0.25469920024451137</v>
      </c>
      <c r="H28" s="163">
        <f>IFERROR(ABS(VALUE(VLOOKUP("Common Stock Repurchased*",'8.TIKR_CF'!$A:$H,COLUMN(H19),FALSE))/H13),"0")</f>
        <v>3.3165075848528451E-2</v>
      </c>
      <c r="I28" s="224">
        <f t="shared" si="6"/>
        <v>0.34362252370862911</v>
      </c>
      <c r="J28" s="244">
        <f>IFERROR(TIKR_Cálculos!I31/SUM('2.FCF'!$B$13:$H$13),"")</f>
        <v>0</v>
      </c>
      <c r="K28" s="6"/>
    </row>
    <row r="29" spans="1:14" ht="24.95" customHeight="1">
      <c r="A29" s="247" t="s">
        <v>64</v>
      </c>
      <c r="B29" s="187">
        <f>IFERROR((ABS(VLOOKUP("Cash Acquisitions*",'8.TIKR_CF'!$A:$H,COLUMN(B20),FALSE))-IFERROR(VLOOKUP("Divestitures*",'8.TIKR_CF'!$A:$H,COLUMN(B20),FALSE),"0"))/B13,"0")</f>
        <v>1.0420335798990253E-2</v>
      </c>
      <c r="C29" s="183">
        <f>IFERROR((ABS(VLOOKUP("Cash Acquisitions*",'8.TIKR_CF'!$A:$H,COLUMN(C20),FALSE))-IFERROR(VLOOKUP("Divestitures*",'8.TIKR_CF'!$A:$H,COLUMN(C20),FALSE),"0"))/C13,"0")</f>
        <v>0.15239769018327895</v>
      </c>
      <c r="D29" s="183">
        <f>IFERROR((ABS(VLOOKUP("Cash Acquisitions*",'8.TIKR_CF'!$A:$H,COLUMN(D20),FALSE))-IFERROR(VLOOKUP("Divestitures*",'8.TIKR_CF'!$A:$H,COLUMN(D20),FALSE),"0"))/D13,"0")</f>
        <v>3.8991949597479869E-2</v>
      </c>
      <c r="E29" s="183">
        <f>IFERROR((ABS(VLOOKUP("Cash Acquisitions*",'8.TIKR_CF'!$A:$H,COLUMN(E20),FALSE))-IFERROR(VLOOKUP("Divestitures*",'8.TIKR_CF'!$A:$H,COLUMN(E20),FALSE),"0"))/E13,"0")</f>
        <v>3.3384069000507353E-2</v>
      </c>
      <c r="F29" s="183">
        <f>IFERROR((ABS(VLOOKUP("Cash Acquisitions*",'8.TIKR_CF'!$A:$H,COLUMN(F20),FALSE))-IFERROR(VLOOKUP("Divestitures*",'8.TIKR_CF'!$A:$H,COLUMN(F20),FALSE),"0"))/F13,"0")</f>
        <v>0</v>
      </c>
      <c r="G29" s="183">
        <f>IFERROR((ABS(VLOOKUP("Cash Acquisitions*",'8.TIKR_CF'!$A:$H,COLUMN(G20),FALSE))-IFERROR(VLOOKUP("Divestitures*",'8.TIKR_CF'!$A:$H,COLUMN(G20),FALSE),"0"))/G13,"0")</f>
        <v>8.5578931282155827E-3</v>
      </c>
      <c r="H29" s="183">
        <f>IFERROR((ABS(VLOOKUP("Cash Acquisitions*",'8.TIKR_CF'!$A:$H,COLUMN(H20),FALSE))-IFERROR(VLOOKUP("Divestitures*",'8.TIKR_CF'!$A:$H,COLUMN(H20),FALSE),"0"))/H13,"0")</f>
        <v>0</v>
      </c>
      <c r="I29" s="248">
        <f t="shared" si="6"/>
        <v>3.4821705386924577E-2</v>
      </c>
      <c r="J29" s="245">
        <f>IFERROR(TIKR_Cálculos!I32/SUM('2.FCF'!$B$13:$H$13),"")</f>
        <v>0</v>
      </c>
      <c r="K29" s="4"/>
    </row>
    <row r="30" spans="1:14" ht="24.95" customHeight="1">
      <c r="A30" s="246" t="s">
        <v>65</v>
      </c>
      <c r="B30" s="133">
        <f>SUM(B26:B29)</f>
        <v>0.53255254197487367</v>
      </c>
      <c r="C30" s="133">
        <f t="shared" ref="C30:J30" si="7">SUM(C26:C29)</f>
        <v>0.92733402675657284</v>
      </c>
      <c r="D30" s="133">
        <f t="shared" si="7"/>
        <v>0.47593629681484068</v>
      </c>
      <c r="E30" s="133">
        <f t="shared" si="7"/>
        <v>1.211943176052765</v>
      </c>
      <c r="F30" s="133">
        <f t="shared" si="7"/>
        <v>0.91606362398796315</v>
      </c>
      <c r="G30" s="133">
        <f t="shared" si="7"/>
        <v>1.197060771229179</v>
      </c>
      <c r="H30" s="133">
        <f t="shared" si="7"/>
        <v>0.25286380429952032</v>
      </c>
      <c r="I30" s="133">
        <f t="shared" si="7"/>
        <v>0.7876791773022449</v>
      </c>
      <c r="J30" s="133">
        <f t="shared" si="7"/>
        <v>0.10212371083670463</v>
      </c>
    </row>
  </sheetData>
  <pageMargins left="0.7" right="0.7" top="0.75" bottom="0.75" header="0.3" footer="0.3"/>
  <pageSetup paperSize="9"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9"/>
  <sheetViews>
    <sheetView showGridLines="0" topLeftCell="A7" zoomScale="85" zoomScaleNormal="85" workbookViewId="0">
      <selection activeCell="G16" sqref="G16"/>
    </sheetView>
  </sheetViews>
  <sheetFormatPr defaultColWidth="0" defaultRowHeight="17.25"/>
  <cols>
    <col min="1" max="1" width="51.7109375" style="22" bestFit="1" customWidth="1"/>
    <col min="2" max="2" width="14.7109375" style="5" customWidth="1"/>
    <col min="3" max="3" width="17" style="5" customWidth="1"/>
    <col min="4" max="15" width="14.7109375" style="5" customWidth="1"/>
    <col min="16" max="16" width="24.7109375" style="5" hidden="1" customWidth="1"/>
    <col min="17" max="17" width="15.5703125" style="5" hidden="1" customWidth="1"/>
    <col min="18" max="18" width="14.7109375" style="5" hidden="1" customWidth="1"/>
    <col min="19" max="19" width="16.42578125" style="5" hidden="1" customWidth="1"/>
    <col min="20" max="16384" width="9.140625" style="4" hidden="1"/>
  </cols>
  <sheetData>
    <row r="1" spans="1:19" ht="99.95" customHeight="1">
      <c r="B1" s="19" t="s">
        <v>66</v>
      </c>
      <c r="S1" s="25"/>
    </row>
    <row r="2" spans="1:19" s="6" customFormat="1" ht="39.950000000000003" customHeight="1">
      <c r="A2" s="137" t="s">
        <v>67</v>
      </c>
      <c r="B2" s="67">
        <f>'1.IS'!B$2</f>
        <v>2018</v>
      </c>
      <c r="C2" s="67">
        <f>'1.IS'!C$2</f>
        <v>2019</v>
      </c>
      <c r="D2" s="67">
        <f>'1.IS'!D$2</f>
        <v>2020</v>
      </c>
      <c r="E2" s="67">
        <f>'1.IS'!E$2</f>
        <v>2021</v>
      </c>
      <c r="F2" s="67">
        <f>'1.IS'!F$2</f>
        <v>2022</v>
      </c>
      <c r="G2" s="67">
        <f>'1.IS'!G$2</f>
        <v>2023</v>
      </c>
      <c r="H2" s="67">
        <f>'1.IS'!H$2</f>
        <v>2024</v>
      </c>
      <c r="I2" s="8" t="str">
        <f>'1.IS'!I$2</f>
        <v>2025e</v>
      </c>
      <c r="J2" s="8" t="str">
        <f>'1.IS'!J$2</f>
        <v>2026e</v>
      </c>
      <c r="K2" s="8" t="str">
        <f>'1.IS'!K$2</f>
        <v>2027e</v>
      </c>
      <c r="L2" s="8" t="str">
        <f>'1.IS'!L$2</f>
        <v>2028e</v>
      </c>
      <c r="M2" s="8" t="str">
        <f>'1.IS'!M$2</f>
        <v>2029e</v>
      </c>
      <c r="N2" s="18"/>
      <c r="O2" s="18"/>
    </row>
    <row r="3" spans="1:19" s="6" customFormat="1" ht="24.95" customHeight="1">
      <c r="A3" s="74" t="s">
        <v>68</v>
      </c>
      <c r="B3" s="160">
        <f>IFERROR(('1.IS'!B8)*PRODUCT(1-'1.IS'!$Q$5),"")</f>
        <v>2347.4163872423251</v>
      </c>
      <c r="C3" s="111">
        <f>IFERROR(('1.IS'!C8)*PRODUCT(1-'1.IS'!$Q$5),"")</f>
        <v>2211.7802862072017</v>
      </c>
      <c r="D3" s="111">
        <f>IFERROR(('1.IS'!D8)*PRODUCT(1-'1.IS'!$Q$5),"")</f>
        <v>3298.4973790144209</v>
      </c>
      <c r="E3" s="111">
        <f>IFERROR(('1.IS'!E8)*PRODUCT(1-'1.IS'!$Q$5),"")</f>
        <v>5495.5416902592233</v>
      </c>
      <c r="F3" s="111">
        <f>IFERROR(('1.IS'!F8)*PRODUCT(1-'1.IS'!$Q$5),"")</f>
        <v>5960.33550827214</v>
      </c>
      <c r="G3" s="111">
        <f>IFERROR(('1.IS'!G8)*PRODUCT(1-'1.IS'!$Q$5),"")</f>
        <v>7361.7185857736877</v>
      </c>
      <c r="H3" s="112">
        <f>IFERROR('1.IS'!H8*PRODUCT(1-'1.IS'!$Q$5),"")</f>
        <v>7345.6799831903036</v>
      </c>
      <c r="I3" s="144">
        <f>IFERROR('1.IS'!I8*PRODUCT(1-'1.IS'!$Q$5),"")</f>
        <v>8271.8450544781208</v>
      </c>
      <c r="J3" s="107">
        <f>IFERROR('1.IS'!J8*PRODUCT(1-'1.IS'!$Q$5),"")</f>
        <v>9731.6387547911345</v>
      </c>
      <c r="K3" s="107">
        <f>IFERROR('1.IS'!K8*PRODUCT(1-'1.IS'!$Q$5),"")</f>
        <v>11449.053050441571</v>
      </c>
      <c r="L3" s="107">
        <f>IFERROR('1.IS'!L8*PRODUCT(1-'1.IS'!$Q$5),"")</f>
        <v>13469.552154028632</v>
      </c>
      <c r="M3" s="153">
        <f>IFERROR('1.IS'!M8*PRODUCT(1-'1.IS'!$Q$5),"")</f>
        <v>15846.623684139531</v>
      </c>
      <c r="N3" s="107"/>
      <c r="O3" s="107"/>
      <c r="S3" s="13"/>
    </row>
    <row r="4" spans="1:19" s="6" customFormat="1" ht="24.95" customHeight="1">
      <c r="A4" s="138" t="s">
        <v>69</v>
      </c>
      <c r="B4" s="142">
        <f>IFERROR(VALUE(VLOOKUP("Cash And Cash Equivalents*",'7.TIKR_BS'!$A:$H,COLUMN(B4),FALSE)),"0")</f>
        <v>3121.1</v>
      </c>
      <c r="C4" s="142">
        <f>IFERROR(VALUE(VLOOKUP("Cash And Cash Equivalents*",'7.TIKR_BS'!$A:$H,COLUMN(C4),FALSE)),"0")</f>
        <v>3532.3</v>
      </c>
      <c r="D4" s="142">
        <f>IFERROR(VALUE(VLOOKUP("Cash And Cash Equivalents*",'7.TIKR_BS'!$A:$H,COLUMN(D4),FALSE)),"0")</f>
        <v>6049.4</v>
      </c>
      <c r="E4" s="142">
        <f>IFERROR(VALUE(VLOOKUP("Cash And Cash Equivalents*",'7.TIKR_BS'!$A:$H,COLUMN(E4),FALSE)),"0")</f>
        <v>6951.8</v>
      </c>
      <c r="F4" s="142">
        <f>IFERROR(VALUE(VLOOKUP("Cash And Cash Equivalents*",'7.TIKR_BS'!$A:$H,COLUMN(F4),FALSE)),"0")</f>
        <v>7268.3</v>
      </c>
      <c r="G4" s="142">
        <f>IFERROR(VALUE(VLOOKUP("Cash And Cash Equivalents*",'7.TIKR_BS'!$A:$H,COLUMN(G4),FALSE)),"0")</f>
        <v>7004.7</v>
      </c>
      <c r="H4" s="142">
        <f>IFERROR(VALUE(VLOOKUP("Cash And Cash Equivalents*",'7.TIKR_BS'!$A:$H,COLUMN(H4),FALSE)),"0")</f>
        <v>12735.9</v>
      </c>
      <c r="I4" s="144">
        <f>IFERROR(((H4+H5)+'2.FCF'!I17)*(1-(SUM($B$5:$H$5)/SUM($B$4:$H$5))),0)</f>
        <v>12793.527940348964</v>
      </c>
      <c r="J4" s="107">
        <f>IFERROR(((I4+I5)+'2.FCF'!J17)*(1-(SUM($B$5:$H$5)/SUM($B$4:$H$5))),0)</f>
        <v>14081.460372717182</v>
      </c>
      <c r="K4" s="107">
        <f>IFERROR(((J4+J5)+'2.FCF'!K17)*(1-(SUM($B$5:$H$5)/SUM($B$4:$H$5))),0)</f>
        <v>15596.683770863598</v>
      </c>
      <c r="L4" s="107">
        <f>IFERROR(((K4+K5)+'2.FCF'!L17)*(1-(SUM($B$5:$H$5)/SUM($B$4:$H$5))),0)</f>
        <v>17379.309853249553</v>
      </c>
      <c r="M4" s="153">
        <f>IFERROR(((L4+L5)+'2.FCF'!M17)*(1-(SUM($B$5:$H$5)/SUM($B$4:$H$5))),0)</f>
        <v>19476.529150080682</v>
      </c>
      <c r="N4" s="107"/>
      <c r="O4" s="107"/>
      <c r="S4" s="13"/>
    </row>
    <row r="5" spans="1:19" s="6" customFormat="1" ht="24.95" customHeight="1">
      <c r="A5" s="138" t="s">
        <v>70</v>
      </c>
      <c r="B5" s="142">
        <f>IFERROR(VALUE(VLOOKUP("Total Cash And Short Term Investments*",'7.TIKR_BS'!$A:$H,COLUMN(B5),FALSE))-B4,"0")</f>
        <v>913.30000000000018</v>
      </c>
      <c r="C5" s="142">
        <f>IFERROR(VALUE(VLOOKUP("Total Cash And Short Term Investments*",'7.TIKR_BS'!$A:$H,COLUMN(C5),FALSE))-C4,"0")</f>
        <v>1185.8000000000002</v>
      </c>
      <c r="D5" s="142">
        <f>IFERROR(VALUE(VLOOKUP("Total Cash And Short Term Investments*",'7.TIKR_BS'!$A:$H,COLUMN(D5),FALSE))-D4,"0")</f>
        <v>1302.2000000000007</v>
      </c>
      <c r="E5" s="142">
        <f>IFERROR(VALUE(VLOOKUP("Total Cash And Short Term Investments*",'7.TIKR_BS'!$A:$H,COLUMN(E5),FALSE))-E4,"0")</f>
        <v>638.5</v>
      </c>
      <c r="F5" s="142">
        <f>IFERROR(VALUE(VLOOKUP("Total Cash And Short Term Investments*",'7.TIKR_BS'!$A:$H,COLUMN(F5),FALSE))-F4,"0")</f>
        <v>107.69999999999982</v>
      </c>
      <c r="G5" s="142">
        <f>IFERROR(VALUE(VLOOKUP("Total Cash And Short Term Investments*",'7.TIKR_BS'!$A:$H,COLUMN(G5),FALSE))-G4,"0")</f>
        <v>5.4000000000005457</v>
      </c>
      <c r="H5" s="142">
        <f>IFERROR(VALUE(VLOOKUP("Total Cash And Short Term Investments*",'7.TIKR_BS'!$A:$H,COLUMN(H5),FALSE))-H4,"0")</f>
        <v>5.3999999999996362</v>
      </c>
      <c r="I5" s="144">
        <f>IFERROR(((H4+H5)+'2.FCF'!I17)*(SUM($B$5:$H$5)/SUM($B$4:$H$5)),0)</f>
        <v>1140.0629450074064</v>
      </c>
      <c r="J5" s="107">
        <f>IFERROR(((I4+I5)+'2.FCF'!J17)*(SUM($B$5:$H$5)/SUM($B$4:$H$5)),0)</f>
        <v>1254.833792318833</v>
      </c>
      <c r="K5" s="107">
        <f>IFERROR(((J4+J5)+'2.FCF'!K17)*(SUM($B$5:$H$5)/SUM($B$4:$H$5)),0)</f>
        <v>1389.8591002471333</v>
      </c>
      <c r="L5" s="107">
        <f>IFERROR(((K4+K5)+'2.FCF'!L17)*(SUM($B$5:$H$5)/SUM($B$4:$H$5)),0)</f>
        <v>1548.7133233205316</v>
      </c>
      <c r="M5" s="153">
        <f>IFERROR(((L4+L5)+'2.FCF'!M17)*(SUM($B$5:$H$5)/SUM($B$4:$H$5)),0)</f>
        <v>1735.6017265053094</v>
      </c>
      <c r="N5" s="107"/>
      <c r="O5" s="107"/>
      <c r="S5" s="13"/>
    </row>
    <row r="6" spans="1:19" s="6" customFormat="1" ht="24.75" customHeight="1">
      <c r="A6" s="138" t="s">
        <v>71</v>
      </c>
      <c r="B6" s="291">
        <f>IFERROR(VALUE(VLOOKUP("Short Term Debt*",'7.TIKR_BS'!$A:$H,COLUMN(B6),FALSE)),"0")+IFERROR(VALUE(VLOOKUP("Other Current Liabilities*",'7.TIKR_BS'!$A:$H,COLUMN(B6),FALSE)),"0")</f>
        <v>1099.3</v>
      </c>
      <c r="C6" s="291">
        <f>IFERROR(VALUE(VLOOKUP("Short Term Debt*",'7.TIKR_BS'!$A:$H,COLUMN(C6),FALSE)),"0")+IFERROR(VALUE(VLOOKUP("Other Current Liabilities*",'7.TIKR_BS'!$A:$H,COLUMN(C6),FALSE)),"0")</f>
        <v>1105.5</v>
      </c>
      <c r="D6" s="291">
        <f>IFERROR(VALUE(VLOOKUP("Short Term Debt*",'7.TIKR_BS'!$A:$H,COLUMN(D6),FALSE)),"0")+IFERROR(VALUE(VLOOKUP("Other Current Liabilities*",'7.TIKR_BS'!$A:$H,COLUMN(D6),FALSE)),"0")</f>
        <v>1271.4000000000001</v>
      </c>
      <c r="E6" s="291">
        <f>IFERROR(VALUE(VLOOKUP("Short Term Debt*",'7.TIKR_BS'!$A:$H,COLUMN(E6),FALSE)),"0")+IFERROR(VALUE(VLOOKUP("Other Current Liabilities*",'7.TIKR_BS'!$A:$H,COLUMN(E6),FALSE)),"0")</f>
        <v>2246.5</v>
      </c>
      <c r="F6" s="291">
        <f>IFERROR(VALUE(VLOOKUP("Short Term Debt*",'7.TIKR_BS'!$A:$H,COLUMN(F6),FALSE)),"0")+IFERROR(VALUE(VLOOKUP("Other Current Liabilities*",'7.TIKR_BS'!$A:$H,COLUMN(F6),FALSE)),"0")</f>
        <v>2718.1000000000004</v>
      </c>
      <c r="G6" s="291">
        <f>IFERROR(VALUE(VLOOKUP("Short Term Debt*",'7.TIKR_BS'!$A:$H,COLUMN(G6),FALSE)),"0")+IFERROR(VALUE(VLOOKUP("Other Current Liabilities*",'7.TIKR_BS'!$A:$H,COLUMN(G6),FALSE)),"0")</f>
        <v>2486.4</v>
      </c>
      <c r="H6" s="291">
        <f>IFERROR(VALUE(VLOOKUP("Short Term Debt*",'7.TIKR_BS'!$A:$H,COLUMN(H6),FALSE)),"0")+IFERROR(VALUE(VLOOKUP("Other Current Liabilities*",'7.TIKR_BS'!$A:$H,COLUMN(H6),FALSE)),"0")</f>
        <v>20051.400000000001</v>
      </c>
      <c r="I6" s="144">
        <f>IFERROR(IF((I4+I5+'4.Valoración'!I4)*TIKR_Cálculos!$B$17&gt;0,(I4+I5+'4.Valoración'!I4)*TIKR_Cálculos!$B$17,0),"0")</f>
        <v>7806.7235433229462</v>
      </c>
      <c r="J6" s="107">
        <f>IFERROR(IF((J4+J5+'4.Valoración'!J4)*TIKR_Cálculos!$B$17&gt;0,(J4+J5+'4.Valoración'!J4)*TIKR_Cálculos!$B$17,0),"0")</f>
        <v>8638.5409243353952</v>
      </c>
      <c r="K6" s="107">
        <f>IFERROR(IF((K4+K5+'4.Valoración'!K4)*TIKR_Cálculos!$B$17&gt;0,(K4+K5+'4.Valoración'!K4)*TIKR_Cálculos!$B$17,0),"0")</f>
        <v>9617.1552732087766</v>
      </c>
      <c r="L6" s="107">
        <f>IFERROR(IF((L4+L5+'4.Valoración'!L4)*TIKR_Cálculos!$B$17&gt;0,(L4+L5+'4.Valoración'!L4)*TIKR_Cálculos!$B$17,0),"0")</f>
        <v>10768.472937015251</v>
      </c>
      <c r="M6" s="153">
        <f>IFERROR(IF((M4+M5+'4.Valoración'!M4)*TIKR_Cálculos!$B$17&gt;0,(M4+M5+'4.Valoración'!M4)*TIKR_Cálculos!$B$17,0),"0")</f>
        <v>12122.972147576389</v>
      </c>
      <c r="N6" s="107"/>
      <c r="O6" s="107"/>
      <c r="S6" s="13"/>
    </row>
    <row r="7" spans="1:19" s="6" customFormat="1" ht="24.95" customHeight="1">
      <c r="A7" s="138" t="s">
        <v>72</v>
      </c>
      <c r="B7" s="142">
        <f>IFERROR(VALUE(VLOOKUP("Long Term Debt*",'7.TIKR_BS'!$A:$H,COLUMN(B7),FALSE)),"0")+IFERROR(VALUE(VLOOKUP("Other Non Current Liabilities*",'7.TIKR_BS'!$A:$H,COLUMN(B7),FALSE)),"0")</f>
        <v>3228.3</v>
      </c>
      <c r="C7" s="142">
        <f>IFERROR(VALUE(VLOOKUP("Long Term Debt*",'7.TIKR_BS'!$A:$H,COLUMN(C7),FALSE)),"0")+IFERROR(VALUE(VLOOKUP("Other Non Current Liabilities*",'7.TIKR_BS'!$A:$H,COLUMN(C7),FALSE)),"0")</f>
        <v>3349.3</v>
      </c>
      <c r="D7" s="142">
        <f>IFERROR(VALUE(VLOOKUP("Long Term Debt*",'7.TIKR_BS'!$A:$H,COLUMN(D7),FALSE)),"0")+IFERROR(VALUE(VLOOKUP("Other Non Current Liabilities*",'7.TIKR_BS'!$A:$H,COLUMN(D7),FALSE)),"0")</f>
        <v>4920.3</v>
      </c>
      <c r="E7" s="142">
        <f>IFERROR(VALUE(VLOOKUP("Long Term Debt*",'7.TIKR_BS'!$A:$H,COLUMN(E7),FALSE)),"0")+IFERROR(VALUE(VLOOKUP("Other Non Current Liabilities*",'7.TIKR_BS'!$A:$H,COLUMN(E7),FALSE)),"0")</f>
        <v>4326.1000000000004</v>
      </c>
      <c r="F7" s="142">
        <f>IFERROR(VALUE(VLOOKUP("Long Term Debt*",'7.TIKR_BS'!$A:$H,COLUMN(F7),FALSE)),"0")+IFERROR(VALUE(VLOOKUP("Other Non Current Liabilities*",'7.TIKR_BS'!$A:$H,COLUMN(F7),FALSE)),"0")</f>
        <v>3969.1</v>
      </c>
      <c r="G7" s="142">
        <f>IFERROR(VALUE(VLOOKUP("Long Term Debt*",'7.TIKR_BS'!$A:$H,COLUMN(G7),FALSE)),"0")+IFERROR(VALUE(VLOOKUP("Other Non Current Liabilities*",'7.TIKR_BS'!$A:$H,COLUMN(G7),FALSE)),"0")</f>
        <v>5032.7</v>
      </c>
      <c r="H7" s="142">
        <f>IFERROR(VALUE(VLOOKUP("Long Term Debt*",'7.TIKR_BS'!$A:$H,COLUMN(H7),FALSE)),"0")+IFERROR(VALUE(VLOOKUP("Other Non Current Liabilities*",'7.TIKR_BS'!$A:$H,COLUMN(H7),FALSE)),"0")</f>
        <v>4136.8</v>
      </c>
      <c r="I7" s="144">
        <f>IFERROR(IF((I4+I5+'4.Valoración'!I4)*TIKR_Cálculos!$B$18&gt;0,(I4+I5+'4.Valoración'!I4)*TIKR_Cálculos!$B$18,0),"0")</f>
        <v>7298.6839720273101</v>
      </c>
      <c r="J7" s="107">
        <f>IFERROR(IF((J4+J5+'4.Valoración'!J4)*TIKR_Cálculos!$B$18&gt;0,(J4+J5+'4.Valoración'!J4)*TIKR_Cálculos!$B$18,0),"0")</f>
        <v>8076.3690216845298</v>
      </c>
      <c r="K7" s="107">
        <f>IFERROR(IF((K4+K5+'4.Valoración'!K4)*TIKR_Cálculos!$B$18&gt;0,(K4+K5+'4.Valoración'!K4)*TIKR_Cálculos!$B$18,0),"0")</f>
        <v>8991.2979061622063</v>
      </c>
      <c r="L7" s="107">
        <f>IFERROR(IF((L4+L5+'4.Valoración'!L4)*TIKR_Cálculos!$B$18&gt;0,(L4+L5+'4.Valoración'!L4)*TIKR_Cálculos!$B$18,0),"0")</f>
        <v>10067.691060461026</v>
      </c>
      <c r="M7" s="153">
        <f>IFERROR(IF((M4+M5+'4.Valoración'!M4)*TIKR_Cálculos!$B$18&gt;0,(M4+M5+'4.Valoración'!M4)*TIKR_Cálculos!$B$18,0),"0")</f>
        <v>11334.043278953728</v>
      </c>
      <c r="N7" s="107"/>
      <c r="O7" s="107"/>
      <c r="P7" s="107"/>
      <c r="Q7" s="107"/>
      <c r="R7" s="107"/>
      <c r="S7" s="12"/>
    </row>
    <row r="8" spans="1:19" s="6" customFormat="1" ht="24.95" customHeight="1">
      <c r="A8" s="138" t="s">
        <v>73</v>
      </c>
      <c r="B8" s="142">
        <f>IFERROR(VALUE(VLOOKUP("Other Current Liabilities*",'7.TIKR_BS'!$A:$H,COLUMN(B8),FALSE)),"0")</f>
        <v>911.4</v>
      </c>
      <c r="C8" s="142">
        <f>IFERROR(VALUE(VLOOKUP("Other Current Liabilities*",'7.TIKR_BS'!$A:$H,COLUMN(C8),FALSE)),"0")</f>
        <v>3.9</v>
      </c>
      <c r="D8" s="142">
        <f>IFERROR(VALUE(VLOOKUP("Other Current Liabilities*",'7.TIKR_BS'!$A:$H,COLUMN(D8),FALSE)),"0")</f>
        <v>1256</v>
      </c>
      <c r="E8" s="142">
        <f>IFERROR(VALUE(VLOOKUP("Other Current Liabilities*",'7.TIKR_BS'!$A:$H,COLUMN(E8),FALSE)),"0")</f>
        <v>1737.4</v>
      </c>
      <c r="F8" s="142">
        <f>IFERROR(VALUE(VLOOKUP("Other Current Liabilities*",'7.TIKR_BS'!$A:$H,COLUMN(F8),FALSE)),"0")</f>
        <v>1971.9</v>
      </c>
      <c r="G8" s="142">
        <f>IFERROR(VALUE(VLOOKUP("Other Current Liabilities*",'7.TIKR_BS'!$A:$H,COLUMN(G8),FALSE)),"0")</f>
        <v>2439.6</v>
      </c>
      <c r="H8" s="142">
        <f>IFERROR(VALUE(VLOOKUP("Other Current Liabilities*",'7.TIKR_BS'!$A:$H,COLUMN(H8),FALSE)),"0")</f>
        <v>20051.400000000001</v>
      </c>
      <c r="I8" s="144">
        <f>IFERROR(H8*'1.IS'!$Q$3+H8,"")</f>
        <v>23590.018918715119</v>
      </c>
      <c r="J8" s="107">
        <f>IFERROR(I8*'1.IS'!$Q$3+I8,"")</f>
        <v>27753.124100329016</v>
      </c>
      <c r="K8" s="107">
        <f>IFERROR(J8*'1.IS'!$Q$3+J8,"")</f>
        <v>32650.923256241957</v>
      </c>
      <c r="L8" s="107">
        <f>IFERROR(K8*'1.IS'!$Q$3+K8,"")</f>
        <v>38413.073268114109</v>
      </c>
      <c r="M8" s="153">
        <f>IFERROR(L8*'1.IS'!$Q$3+L8,"")</f>
        <v>45192.112526846096</v>
      </c>
      <c r="N8" s="107"/>
      <c r="O8" s="107"/>
      <c r="P8" s="107"/>
      <c r="Q8" s="107"/>
      <c r="R8" s="107"/>
      <c r="S8" s="12"/>
    </row>
    <row r="9" spans="1:19" s="6" customFormat="1" ht="24.95" customHeight="1">
      <c r="A9" s="138" t="s">
        <v>74</v>
      </c>
      <c r="B9" s="142">
        <f>IFERROR(VALUE(VLOOKUP("Other Non Current Liabilities*",'7.TIKR_BS'!$A:$H,COLUMN(B9),FALSE)),"0")</f>
        <v>201.8</v>
      </c>
      <c r="C9" s="142">
        <f>IFERROR(VALUE(VLOOKUP("Other Non Current Liabilities*",'7.TIKR_BS'!$A:$H,COLUMN(C9),FALSE)),"0")</f>
        <v>241</v>
      </c>
      <c r="D9" s="142">
        <f>IFERROR(VALUE(VLOOKUP("Other Non Current Liabilities*",'7.TIKR_BS'!$A:$H,COLUMN(D9),FALSE)),"0")</f>
        <v>257.5</v>
      </c>
      <c r="E9" s="142">
        <f>IFERROR(VALUE(VLOOKUP("Other Non Current Liabilities*",'7.TIKR_BS'!$A:$H,COLUMN(E9),FALSE)),"0")</f>
        <v>251.1</v>
      </c>
      <c r="F9" s="142">
        <f>IFERROR(VALUE(VLOOKUP("Other Non Current Liabilities*",'7.TIKR_BS'!$A:$H,COLUMN(F9),FALSE)),"0")</f>
        <v>454.9</v>
      </c>
      <c r="G9" s="142">
        <f>IFERROR(VALUE(VLOOKUP("Other Non Current Liabilities*",'7.TIKR_BS'!$A:$H,COLUMN(G9),FALSE)),"0")</f>
        <v>401.2</v>
      </c>
      <c r="H9" s="142">
        <f>IFERROR(VALUE(VLOOKUP("Other Non Current Liabilities*",'7.TIKR_BS'!$A:$H,COLUMN(H9),FALSE)),"0")</f>
        <v>459.5</v>
      </c>
      <c r="I9" s="144">
        <f>IFERROR(H9*'1.IS'!$Q$3+H9,"")</f>
        <v>540.59136484981582</v>
      </c>
      <c r="J9" s="107">
        <f>IFERROR(I9*'1.IS'!$Q$3+I9,"")</f>
        <v>635.99352285133114</v>
      </c>
      <c r="K9" s="107">
        <f>IFERROR(J9*'1.IS'!$Q$3+J9,"")</f>
        <v>748.23200555787514</v>
      </c>
      <c r="L9" s="107">
        <f>IFERROR(K9*'1.IS'!$Q$3+K9,"")</f>
        <v>880.27804376245194</v>
      </c>
      <c r="M9" s="153">
        <f>IFERROR(L9*'1.IS'!$Q$3+L9,"")</f>
        <v>1035.6272233403042</v>
      </c>
      <c r="N9" s="107"/>
      <c r="O9" s="107"/>
      <c r="P9" s="107"/>
      <c r="Q9" s="107"/>
      <c r="R9" s="107"/>
      <c r="S9" s="12"/>
    </row>
    <row r="10" spans="1:19" s="6" customFormat="1" ht="24.95" customHeight="1">
      <c r="A10" s="138" t="s">
        <v>75</v>
      </c>
      <c r="B10" s="142">
        <f>IFERROR(VALUE(VLOOKUP("Total Stockholders Equity*",'7.TIKR_BS'!$A:$H,COLUMN(B10),FALSE)),"0")</f>
        <v>12942.4</v>
      </c>
      <c r="C10" s="142">
        <f>IFERROR(VALUE(VLOOKUP("Total Stockholders Equity*",'7.TIKR_BS'!$A:$H,COLUMN(C10),FALSE)),"0")</f>
        <v>13876.9</v>
      </c>
      <c r="D10" s="142">
        <f>IFERROR(VALUE(VLOOKUP("Total Stockholders Equity*",'7.TIKR_BS'!$A:$H,COLUMN(D10),FALSE)),"0")</f>
        <v>13865.4</v>
      </c>
      <c r="E10" s="142">
        <f>IFERROR(VALUE(VLOOKUP("Total Stockholders Equity*",'7.TIKR_BS'!$A:$H,COLUMN(E10),FALSE)),"0")</f>
        <v>10140.6</v>
      </c>
      <c r="F10" s="142">
        <f>IFERROR(VALUE(VLOOKUP("Total Stockholders Equity*",'7.TIKR_BS'!$A:$H,COLUMN(F10),FALSE)),"0")</f>
        <v>11286</v>
      </c>
      <c r="G10" s="142">
        <f>IFERROR(VALUE(VLOOKUP("Total Stockholders Equity*",'7.TIKR_BS'!$A:$H,COLUMN(G10),FALSE)),"0")</f>
        <v>13452.4</v>
      </c>
      <c r="H10" s="142">
        <f>IFERROR(VALUE(VLOOKUP("Total Stockholders Equity*",'7.TIKR_BS'!$A:$H,COLUMN(H10),FALSE)),"0")</f>
        <v>18476.8</v>
      </c>
      <c r="I10" s="144">
        <f>IFERROR(H10*'1.IS'!$Q$3+H10,"")</f>
        <v>21737.537606217793</v>
      </c>
      <c r="J10" s="107">
        <f>IFERROR(I10*'1.IS'!$Q$3+I10,"")</f>
        <v>25573.721704068499</v>
      </c>
      <c r="K10" s="107">
        <f>IFERROR(J10*'1.IS'!$Q$3+J10,"")</f>
        <v>30086.905593670832</v>
      </c>
      <c r="L10" s="107">
        <f>IFERROR(K10*'1.IS'!$Q$3+K10,"")</f>
        <v>35396.564437410387</v>
      </c>
      <c r="M10" s="153">
        <f>IFERROR(L10*'1.IS'!$Q$3+L10,"")</f>
        <v>41643.258063578091</v>
      </c>
      <c r="N10" s="107"/>
      <c r="O10" s="107"/>
      <c r="P10" s="107"/>
      <c r="Q10" s="107"/>
      <c r="R10" s="107"/>
      <c r="S10" s="12"/>
    </row>
    <row r="11" spans="1:19" s="6" customFormat="1" ht="24.95" customHeight="1">
      <c r="A11" s="179" t="s">
        <v>76</v>
      </c>
      <c r="B11" s="186">
        <f t="shared" ref="B11:H11" si="0">B10+B6+B7+B8+B9-B5</f>
        <v>17469.900000000001</v>
      </c>
      <c r="C11" s="180">
        <f t="shared" si="0"/>
        <v>17390.800000000003</v>
      </c>
      <c r="D11" s="180">
        <f t="shared" si="0"/>
        <v>20268.399999999998</v>
      </c>
      <c r="E11" s="180">
        <f t="shared" si="0"/>
        <v>18063.2</v>
      </c>
      <c r="F11" s="180">
        <f t="shared" si="0"/>
        <v>20292.300000000003</v>
      </c>
      <c r="G11" s="180">
        <f t="shared" si="0"/>
        <v>23806.899999999998</v>
      </c>
      <c r="H11" s="184">
        <f t="shared" si="0"/>
        <v>63170.5</v>
      </c>
      <c r="I11" s="185">
        <f>IFERROR(I10+I6+I7+I8+I9-I5,"")</f>
        <v>59833.492460125584</v>
      </c>
      <c r="J11" s="181">
        <f>IFERROR(J10+J6+J7+J8+J9-J5,"")</f>
        <v>69422.91548094993</v>
      </c>
      <c r="K11" s="181">
        <f>IFERROR(K10+K6+K7+K8+K9-K5,"")</f>
        <v>80704.654934594495</v>
      </c>
      <c r="L11" s="181">
        <f>IFERROR(L10+L6+L7+L8+L9-L5,"")</f>
        <v>93977.366423442669</v>
      </c>
      <c r="M11" s="182">
        <f>IFERROR(M10+M6+M7+M8+M9-M5,"")</f>
        <v>109592.41151378929</v>
      </c>
      <c r="N11" s="107"/>
      <c r="O11" s="107"/>
      <c r="P11" s="107"/>
      <c r="Q11" s="107"/>
      <c r="R11" s="107"/>
      <c r="S11" s="12"/>
    </row>
    <row r="12" spans="1:19" s="189" customFormat="1" ht="30" customHeight="1">
      <c r="A12" s="4"/>
      <c r="B12" s="5"/>
      <c r="C12" s="5"/>
      <c r="D12" s="5"/>
      <c r="E12" s="5"/>
      <c r="F12" s="5"/>
      <c r="G12" s="5"/>
      <c r="H12" s="5"/>
      <c r="I12" s="5"/>
      <c r="J12" s="5"/>
      <c r="K12" s="5"/>
      <c r="L12" s="5"/>
      <c r="M12" s="5"/>
      <c r="N12" s="5"/>
      <c r="O12" s="5"/>
      <c r="P12" s="5"/>
      <c r="Q12" s="5"/>
      <c r="R12" s="5"/>
      <c r="S12" s="23"/>
    </row>
    <row r="13" spans="1:19" s="190" customFormat="1" ht="39.950000000000003" customHeight="1">
      <c r="A13" s="71" t="s">
        <v>77</v>
      </c>
      <c r="B13" s="72">
        <f>'1.IS'!B$2</f>
        <v>2018</v>
      </c>
      <c r="C13" s="72">
        <f>'1.IS'!C$2</f>
        <v>2019</v>
      </c>
      <c r="D13" s="72">
        <f>'1.IS'!D$2</f>
        <v>2020</v>
      </c>
      <c r="E13" s="72">
        <f>'1.IS'!E$2</f>
        <v>2021</v>
      </c>
      <c r="F13" s="72">
        <f>'1.IS'!F$2</f>
        <v>2022</v>
      </c>
      <c r="G13" s="72">
        <f>'1.IS'!G$2</f>
        <v>2023</v>
      </c>
      <c r="H13" s="76">
        <f>'1.IS'!H$2</f>
        <v>2024</v>
      </c>
      <c r="I13" s="73" t="str">
        <f>'1.IS'!I$2</f>
        <v>2025e</v>
      </c>
      <c r="J13" s="73" t="str">
        <f>'1.IS'!J$2</f>
        <v>2026e</v>
      </c>
      <c r="K13" s="73" t="str">
        <f>'1.IS'!K$2</f>
        <v>2027e</v>
      </c>
      <c r="L13" s="73" t="str">
        <f>'1.IS'!L$2</f>
        <v>2028e</v>
      </c>
      <c r="M13" s="73" t="str">
        <f>'1.IS'!M$2</f>
        <v>2029e</v>
      </c>
      <c r="N13" s="78" t="str">
        <f>"Promedio "&amp;CHAR(10)&amp;B$2&amp;" - "&amp;H$2</f>
        <v>Promedio 
2018 - 2024</v>
      </c>
    </row>
    <row r="14" spans="1:19" s="77" customFormat="1" ht="24.95" customHeight="1">
      <c r="A14" s="261" t="s">
        <v>78</v>
      </c>
      <c r="B14" s="163">
        <f>IFERROR('1.IS'!B18/B10,"")</f>
        <v>0.19142508344665599</v>
      </c>
      <c r="C14" s="24">
        <f>IFERROR('1.IS'!C18/C10,"")</f>
        <v>0.1820507462041234</v>
      </c>
      <c r="D14" s="24">
        <f>IFERROR('1.IS'!D18/D10,"")</f>
        <v>0.2467797539198292</v>
      </c>
      <c r="E14" s="24">
        <f>IFERROR('1.IS'!E18/E10,"")</f>
        <v>0.55514466599609502</v>
      </c>
      <c r="F14" s="24">
        <f>IFERROR('1.IS'!F18/F10,"")</f>
        <v>0.54908736487683851</v>
      </c>
      <c r="G14" s="24">
        <f>IFERROR('1.IS'!G18/G10,"")</f>
        <v>0.55719425530016942</v>
      </c>
      <c r="H14" s="75">
        <f>IFERROR('1.IS'!H18/H10,"")</f>
        <v>0.39843479390370623</v>
      </c>
      <c r="I14" s="140">
        <f>IFERROR('1.IS'!I18/I10,"")</f>
        <v>0.37566315473391654</v>
      </c>
      <c r="J14" s="24">
        <f>IFERROR('1.IS'!J18/J10,"")</f>
        <v>0.37595856247591819</v>
      </c>
      <c r="K14" s="24">
        <f>IFERROR('1.IS'!K18/K10,"")</f>
        <v>0.37620965760298786</v>
      </c>
      <c r="L14" s="24">
        <f>IFERROR('1.IS'!L18/L10,"")</f>
        <v>0.37642308722541734</v>
      </c>
      <c r="M14" s="24">
        <f>IFERROR('1.IS'!M18/M10,"")</f>
        <v>0.37660450135424567</v>
      </c>
      <c r="N14" s="177">
        <f>IFERROR(AVERAGE(B14:H14),"")</f>
        <v>0.38287380909248825</v>
      </c>
      <c r="O14" s="219"/>
      <c r="P14" s="219"/>
      <c r="Q14" s="219"/>
      <c r="R14" s="219"/>
    </row>
    <row r="15" spans="1:19" s="77" customFormat="1" ht="24.95" customHeight="1">
      <c r="A15" s="170" t="s">
        <v>79</v>
      </c>
      <c r="B15" s="163">
        <f t="shared" ref="B15:M15" si="1">IFERROR(B3/B11,"")</f>
        <v>0.13436919428516048</v>
      </c>
      <c r="C15" s="24">
        <f t="shared" si="1"/>
        <v>0.1271810547075006</v>
      </c>
      <c r="D15" s="24">
        <f t="shared" si="1"/>
        <v>0.16274088625715011</v>
      </c>
      <c r="E15" s="24">
        <f t="shared" si="1"/>
        <v>0.304239652456886</v>
      </c>
      <c r="F15" s="24">
        <f t="shared" si="1"/>
        <v>0.29372399916579883</v>
      </c>
      <c r="G15" s="24">
        <f t="shared" si="1"/>
        <v>0.30922625733605336</v>
      </c>
      <c r="H15" s="75">
        <f t="shared" si="1"/>
        <v>0.11628339150695821</v>
      </c>
      <c r="I15" s="140">
        <f t="shared" si="1"/>
        <v>0.13824773909012028</v>
      </c>
      <c r="J15" s="24">
        <f t="shared" si="1"/>
        <v>0.14017905596980518</v>
      </c>
      <c r="K15" s="24">
        <f t="shared" si="1"/>
        <v>0.14186360204030649</v>
      </c>
      <c r="L15" s="24">
        <f t="shared" si="1"/>
        <v>0.14332761883683356</v>
      </c>
      <c r="M15" s="24">
        <f t="shared" si="1"/>
        <v>0.14459599405881907</v>
      </c>
      <c r="N15" s="177">
        <f>IFERROR(AVERAGE(B15:H15),"")</f>
        <v>0.20682349081650106</v>
      </c>
      <c r="O15" s="219"/>
      <c r="P15" s="219"/>
      <c r="Q15" s="219"/>
      <c r="R15" s="219"/>
    </row>
    <row r="16" spans="1:19" s="77" customFormat="1" ht="24.95" customHeight="1">
      <c r="A16" s="220" t="s">
        <v>80</v>
      </c>
      <c r="B16" s="187">
        <f>IFERROR(TIKR_Cálculos!B11/'2.FCF'!B13,"")</f>
        <v>1.0420335798990253E-2</v>
      </c>
      <c r="C16" s="183">
        <f>IFERROR(TIKR_Cálculos!C11/'2.FCF'!C13,"")</f>
        <v>0.15239769018327895</v>
      </c>
      <c r="D16" s="183">
        <f>IFERROR(TIKR_Cálculos!D11/'2.FCF'!D13,"")</f>
        <v>3.8991949597479869E-2</v>
      </c>
      <c r="E16" s="183">
        <f>IFERROR(TIKR_Cálculos!E11/'2.FCF'!E13,"")</f>
        <v>0.17109081684424152</v>
      </c>
      <c r="F16" s="183">
        <f>IFERROR(TIKR_Cálculos!F11/'2.FCF'!F13,"")</f>
        <v>5.6339710061856674E-2</v>
      </c>
      <c r="G16" s="183">
        <f>IFERROR(TIKR_Cálculos!G11/'2.FCF'!G13,"")</f>
        <v>0.33569354592226591</v>
      </c>
      <c r="H16" s="183">
        <f>IFERROR(TIKR_Cálculos!H11/'2.FCF'!H13,"")</f>
        <v>5.6997499353280988E-2</v>
      </c>
      <c r="I16" s="156"/>
      <c r="J16" s="183"/>
      <c r="K16" s="183"/>
      <c r="L16" s="183"/>
      <c r="M16" s="183"/>
      <c r="N16" s="188">
        <f>IFERROR(AVERAGE(B16:H16),"")</f>
        <v>0.11741879253734203</v>
      </c>
      <c r="O16" s="219"/>
      <c r="P16" s="219"/>
      <c r="Q16" s="219"/>
      <c r="R16" s="219"/>
    </row>
    <row r="17" spans="1:13" ht="37.5" customHeight="1">
      <c r="A17" s="189"/>
      <c r="B17" s="222"/>
      <c r="C17" s="222"/>
      <c r="D17" s="222"/>
      <c r="E17" s="222"/>
      <c r="F17" s="223"/>
      <c r="G17" s="223"/>
      <c r="H17" s="222"/>
    </row>
    <row r="18" spans="1:13">
      <c r="I18" s="221"/>
      <c r="M18" s="221"/>
    </row>
    <row r="19" spans="1:13">
      <c r="I19" s="221"/>
      <c r="J19" s="221"/>
      <c r="K19" s="221"/>
      <c r="L19" s="221"/>
      <c r="M19" s="221"/>
    </row>
  </sheetData>
  <pageMargins left="0.7" right="0.7" top="0.75" bottom="0.75" header="0.3" footer="0.3"/>
  <pageSetup paperSize="9"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B42"/>
  <sheetViews>
    <sheetView showGridLines="0" tabSelected="1" topLeftCell="A13" zoomScale="90" zoomScaleNormal="90" workbookViewId="0">
      <selection activeCell="D19" sqref="D19"/>
    </sheetView>
  </sheetViews>
  <sheetFormatPr defaultColWidth="0" defaultRowHeight="15" zeroHeight="1"/>
  <cols>
    <col min="1" max="1" width="47" style="21" bestFit="1" customWidth="1"/>
    <col min="2" max="13" width="12.7109375" style="3" customWidth="1"/>
    <col min="14" max="14" width="60.85546875" customWidth="1"/>
    <col min="15" max="20" width="0" hidden="1" customWidth="1"/>
    <col min="23" max="16382" width="9.140625" hidden="1"/>
    <col min="16383" max="16383" width="5.28515625" hidden="1" customWidth="1"/>
    <col min="16384" max="16384" width="5.28515625" hidden="1"/>
  </cols>
  <sheetData>
    <row r="1" spans="1:14" ht="90" customHeight="1">
      <c r="B1" s="19" t="s">
        <v>81</v>
      </c>
      <c r="N1" s="26"/>
    </row>
    <row r="2" spans="1:14" s="6" customFormat="1" ht="39.950000000000003" customHeight="1">
      <c r="A2" s="137" t="s">
        <v>82</v>
      </c>
      <c r="B2" s="67">
        <f>'1.IS'!B$2</f>
        <v>2018</v>
      </c>
      <c r="C2" s="67">
        <f>'1.IS'!C$2</f>
        <v>2019</v>
      </c>
      <c r="D2" s="67">
        <f>'1.IS'!D$2</f>
        <v>2020</v>
      </c>
      <c r="E2" s="67">
        <f>'1.IS'!E$2</f>
        <v>2021</v>
      </c>
      <c r="F2" s="67">
        <f>'1.IS'!F$2</f>
        <v>2022</v>
      </c>
      <c r="G2" s="67">
        <f>'1.IS'!G$2</f>
        <v>2023</v>
      </c>
      <c r="H2" s="67">
        <f>'1.IS'!H$2</f>
        <v>2024</v>
      </c>
      <c r="I2" s="8" t="str">
        <f>'1.IS'!I$2</f>
        <v>2025e</v>
      </c>
      <c r="J2" s="8" t="str">
        <f>'1.IS'!J$2</f>
        <v>2026e</v>
      </c>
      <c r="K2" s="8" t="str">
        <f>'1.IS'!K$2</f>
        <v>2027e</v>
      </c>
      <c r="L2" s="8" t="str">
        <f>'1.IS'!L$2</f>
        <v>2028e</v>
      </c>
      <c r="M2" s="8" t="str">
        <f>'1.IS'!M$2</f>
        <v>2029e</v>
      </c>
    </row>
    <row r="3" spans="1:14" s="6" customFormat="1" ht="24.95" customHeight="1">
      <c r="A3" s="74" t="s">
        <v>83</v>
      </c>
      <c r="B3" s="160"/>
      <c r="C3" s="111"/>
      <c r="D3" s="111"/>
      <c r="E3" s="111"/>
      <c r="F3" s="111"/>
      <c r="G3" s="111"/>
      <c r="H3" s="107">
        <f>$D$12*'1.IS'!H22</f>
        <v>264499.20000000001</v>
      </c>
      <c r="I3" s="144">
        <f>IFERROR($D$12*'1.IS'!I22,"")</f>
        <v>261006.58816991508</v>
      </c>
      <c r="J3" s="111">
        <f>IFERROR($D$12*'1.IS'!J22,"")</f>
        <v>257560.09495718571</v>
      </c>
      <c r="K3" s="111">
        <f>IFERROR($D$12*'1.IS'!K22,"")</f>
        <v>254159.1113829244</v>
      </c>
      <c r="L3" s="111">
        <f>IFERROR($D$12*'1.IS'!L22,"")</f>
        <v>250803.03650957934</v>
      </c>
      <c r="M3" s="165">
        <f>IFERROR($D$12*'1.IS'!M22,"")</f>
        <v>247491.27733475168</v>
      </c>
      <c r="N3" s="134"/>
    </row>
    <row r="4" spans="1:14" s="6" customFormat="1" ht="24.95" customHeight="1" thickBot="1">
      <c r="A4" s="74" t="s">
        <v>84</v>
      </c>
      <c r="B4" s="160">
        <f>('3.ROIC'!B7+'3.ROIC'!B6)-('3.ROIC'!B4+'3.ROIC'!B5)</f>
        <v>293.20000000000027</v>
      </c>
      <c r="C4" s="111">
        <f>('3.ROIC'!C7+'3.ROIC'!C6)-('3.ROIC'!C4+'3.ROIC'!C5)</f>
        <v>-263.30000000000018</v>
      </c>
      <c r="D4" s="111">
        <f>('3.ROIC'!D7+'3.ROIC'!D6)-('3.ROIC'!D4+'3.ROIC'!D5)</f>
        <v>-1159.8999999999996</v>
      </c>
      <c r="E4" s="111">
        <f>('3.ROIC'!E7+'3.ROIC'!E6)-('3.ROIC'!E4+'3.ROIC'!E5)</f>
        <v>-1017.6999999999998</v>
      </c>
      <c r="F4" s="111">
        <f>('3.ROIC'!F7+'3.ROIC'!F6)-('3.ROIC'!F4+'3.ROIC'!F5)</f>
        <v>-688.79999999999927</v>
      </c>
      <c r="G4" s="111">
        <f>('3.ROIC'!G7+'3.ROIC'!G6)-('3.ROIC'!G4+'3.ROIC'!G5)</f>
        <v>509</v>
      </c>
      <c r="H4" s="107">
        <f>('3.ROIC'!H7+'3.ROIC'!H6)-('3.ROIC'!H4+'3.ROIC'!H5)</f>
        <v>11446.900000000001</v>
      </c>
      <c r="I4" s="144">
        <f>IFERROR(I5*'1.IS'!I5,"")</f>
        <v>1171.8166299938848</v>
      </c>
      <c r="J4" s="107">
        <f>IFERROR(J5*'1.IS'!J5,"")</f>
        <v>1378.6157809839083</v>
      </c>
      <c r="K4" s="107">
        <f>IFERROR(K5*'1.IS'!K5,"")</f>
        <v>1621.9103082602519</v>
      </c>
      <c r="L4" s="107">
        <f>IFERROR(L5*'1.IS'!L5,"")</f>
        <v>1908.1408209061915</v>
      </c>
      <c r="M4" s="153">
        <f>IFERROR(M5*'1.IS'!M5,"")</f>
        <v>2244.8845499441263</v>
      </c>
      <c r="N4" s="134"/>
    </row>
    <row r="5" spans="1:14" s="6" customFormat="1" ht="24.95" customHeight="1" thickTop="1" thickBot="1">
      <c r="A5" s="128" t="s">
        <v>85</v>
      </c>
      <c r="B5" s="194">
        <f>IFERROR('4.Valoración'!B4/'1.IS'!B5,"")</f>
        <v>8.1066135810661424E-2</v>
      </c>
      <c r="C5" s="127">
        <f>IFERROR('4.Valoración'!C4/'1.IS'!C5,"")</f>
        <v>-7.42736248236954E-2</v>
      </c>
      <c r="D5" s="127">
        <f>IFERROR('4.Valoración'!D4/'1.IS'!D5,"")</f>
        <v>-0.25535521652026499</v>
      </c>
      <c r="E5" s="127">
        <f>IFERROR('4.Valoración'!E4/'1.IS'!E5,"")</f>
        <v>-0.14093420669981024</v>
      </c>
      <c r="F5" s="127">
        <f>IFERROR('4.Valoración'!F4/'1.IS'!F5,"")</f>
        <v>-8.4031768107455176E-2</v>
      </c>
      <c r="G5" s="127">
        <f>IFERROR('4.Valoración'!G4/'1.IS'!G5,"")</f>
        <v>5.1788167065167624E-2</v>
      </c>
      <c r="H5" s="135">
        <f>IFERROR('4.Valoración'!H4/'1.IS'!H5,"")</f>
        <v>1.1514605882589628</v>
      </c>
      <c r="I5" s="274">
        <f>IFERROR(AVERAGE('4.Valoración'!B5:H5),"")</f>
        <v>0.10424572499765229</v>
      </c>
      <c r="J5" s="275">
        <f>I5</f>
        <v>0.10424572499765229</v>
      </c>
      <c r="K5" s="275">
        <f t="shared" ref="K5:M5" si="0">J5</f>
        <v>0.10424572499765229</v>
      </c>
      <c r="L5" s="275">
        <f t="shared" si="0"/>
        <v>0.10424572499765229</v>
      </c>
      <c r="M5" s="276">
        <f t="shared" si="0"/>
        <v>0.10424572499765229</v>
      </c>
      <c r="N5" s="136"/>
    </row>
    <row r="6" spans="1:14" s="6" customFormat="1" ht="24.95" customHeight="1" thickTop="1">
      <c r="A6" s="193" t="s">
        <v>86</v>
      </c>
      <c r="B6" s="186"/>
      <c r="C6" s="180"/>
      <c r="D6" s="180"/>
      <c r="E6" s="180"/>
      <c r="F6" s="180"/>
      <c r="G6" s="180"/>
      <c r="H6" s="180">
        <f>H3+H4</f>
        <v>275946.10000000003</v>
      </c>
      <c r="I6" s="186">
        <f>IFERROR((I3+I4),"")</f>
        <v>262178.40479990898</v>
      </c>
      <c r="J6" s="180">
        <f>IFERROR((J3+J4),"")</f>
        <v>258938.71073816961</v>
      </c>
      <c r="K6" s="180">
        <f>IFERROR((K3+K4),"")</f>
        <v>255781.02169118464</v>
      </c>
      <c r="L6" s="180">
        <f>IFERROR((L3+L4),"")</f>
        <v>252711.17733048552</v>
      </c>
      <c r="M6" s="195">
        <f>IFERROR((M3+M4),"")</f>
        <v>249736.16188469582</v>
      </c>
    </row>
    <row r="7" spans="1:14" s="6" customFormat="1" ht="24.95" customHeight="1">
      <c r="A7" s="20" t="s">
        <v>21</v>
      </c>
      <c r="B7" s="118">
        <f>'1.IS'!B5</f>
        <v>3616.8</v>
      </c>
      <c r="C7" s="118">
        <f>'1.IS'!C5</f>
        <v>3545</v>
      </c>
      <c r="D7" s="118">
        <f>'1.IS'!D5</f>
        <v>4542.3</v>
      </c>
      <c r="E7" s="118">
        <f>'1.IS'!E5</f>
        <v>7221.1</v>
      </c>
      <c r="F7" s="118">
        <f>'1.IS'!F5</f>
        <v>8196.9</v>
      </c>
      <c r="G7" s="118">
        <f>'1.IS'!G5</f>
        <v>9828.5</v>
      </c>
      <c r="H7" s="119">
        <f>'1.IS'!H5</f>
        <v>9941.2000000000007</v>
      </c>
      <c r="I7" s="120">
        <f>'1.IS'!I5</f>
        <v>11240.908248470383</v>
      </c>
      <c r="J7" s="118">
        <f>'1.IS'!J5</f>
        <v>13224.674498785978</v>
      </c>
      <c r="K7" s="118">
        <f>'1.IS'!K5</f>
        <v>15558.530657221472</v>
      </c>
      <c r="L7" s="118">
        <f>'1.IS'!L5</f>
        <v>18304.259680185107</v>
      </c>
      <c r="M7" s="118">
        <f>'1.IS'!M5</f>
        <v>21534.547819535845</v>
      </c>
      <c r="N7" s="29"/>
    </row>
    <row r="8" spans="1:14" s="6" customFormat="1" ht="24.95" customHeight="1">
      <c r="A8" s="20" t="s">
        <v>87</v>
      </c>
      <c r="B8" s="118">
        <f>'1.IS'!B8</f>
        <v>2883.3</v>
      </c>
      <c r="C8" s="118">
        <f>'1.IS'!C8</f>
        <v>2716.7</v>
      </c>
      <c r="D8" s="118">
        <f>'1.IS'!D8</f>
        <v>4051.5</v>
      </c>
      <c r="E8" s="118">
        <f>'1.IS'!E8</f>
        <v>6750.1</v>
      </c>
      <c r="F8" s="118">
        <f>'1.IS'!F8</f>
        <v>7321</v>
      </c>
      <c r="G8" s="118">
        <f>'1.IS'!G8</f>
        <v>9042.2999999999993</v>
      </c>
      <c r="H8" s="119">
        <f>'1.IS'!H8</f>
        <v>9022.6</v>
      </c>
      <c r="I8" s="120">
        <f>'1.IS'!I8</f>
        <v>10160.196109730359</v>
      </c>
      <c r="J8" s="118">
        <f>'1.IS'!J8</f>
        <v>11953.241092711478</v>
      </c>
      <c r="K8" s="118">
        <f>'1.IS'!K8</f>
        <v>14062.717990615456</v>
      </c>
      <c r="L8" s="118">
        <f>'1.IS'!L8</f>
        <v>16544.469884754883</v>
      </c>
      <c r="M8" s="118">
        <f>'1.IS'!M8</f>
        <v>19464.194898185673</v>
      </c>
      <c r="N8" s="29"/>
    </row>
    <row r="9" spans="1:14" s="6" customFormat="1" ht="24.95" customHeight="1">
      <c r="A9" s="20" t="s">
        <v>88</v>
      </c>
      <c r="B9" s="118">
        <f>'1.IS'!B18</f>
        <v>2477.5000000000005</v>
      </c>
      <c r="C9" s="118">
        <f>'1.IS'!C18</f>
        <v>2526.2999999999997</v>
      </c>
      <c r="D9" s="118">
        <f>'1.IS'!D18</f>
        <v>3421.7</v>
      </c>
      <c r="E9" s="118">
        <f>'1.IS'!E18</f>
        <v>5629.5000000000009</v>
      </c>
      <c r="F9" s="118">
        <f>'1.IS'!F18</f>
        <v>6197</v>
      </c>
      <c r="G9" s="118">
        <f>'1.IS'!G18</f>
        <v>7495.5999999999995</v>
      </c>
      <c r="H9" s="119">
        <f>'1.IS'!H18</f>
        <v>7361.7999999999993</v>
      </c>
      <c r="I9" s="120">
        <f>'1.IS'!I18</f>
        <v>8165.9919532989243</v>
      </c>
      <c r="J9" s="118">
        <f>'1.IS'!J18</f>
        <v>9614.6596490207812</v>
      </c>
      <c r="K9" s="118">
        <f>'1.IS'!K18</f>
        <v>11318.984451728324</v>
      </c>
      <c r="L9" s="118">
        <f>'1.IS'!L18</f>
        <v>13324.084062703436</v>
      </c>
      <c r="M9" s="118">
        <f>'1.IS'!M18</f>
        <v>15683.038437799996</v>
      </c>
      <c r="N9" s="29"/>
    </row>
    <row r="10" spans="1:14" s="6" customFormat="1" ht="24.95" customHeight="1">
      <c r="A10" s="28" t="s">
        <v>89</v>
      </c>
      <c r="B10" s="121">
        <f>'2.FCF'!B13</f>
        <v>3406.8000000000006</v>
      </c>
      <c r="C10" s="121">
        <f>'2.FCF'!C13</f>
        <v>2788.0999999999995</v>
      </c>
      <c r="D10" s="121">
        <f>'2.FCF'!D13</f>
        <v>5714.0000000000009</v>
      </c>
      <c r="E10" s="121">
        <f>'2.FCF'!E13</f>
        <v>9855</v>
      </c>
      <c r="F10" s="121">
        <f>'2.FCF'!F13</f>
        <v>8374.1999999999989</v>
      </c>
      <c r="G10" s="121">
        <f>'2.FCF'!G13</f>
        <v>3926.199999999998</v>
      </c>
      <c r="H10" s="121">
        <f>'2.FCF'!H13</f>
        <v>15076.100000000006</v>
      </c>
      <c r="I10" s="122">
        <f>'2.FCF'!I13</f>
        <v>11342.166846734122</v>
      </c>
      <c r="J10" s="121">
        <f>'2.FCF'!J13</f>
        <v>13351.357626482917</v>
      </c>
      <c r="K10" s="121">
        <f>'2.FCF'!K13</f>
        <v>15715.125169177296</v>
      </c>
      <c r="L10" s="121">
        <f>'2.FCF'!L13</f>
        <v>18496.044259694925</v>
      </c>
      <c r="M10" s="121">
        <f>'2.FCF'!M13</f>
        <v>21767.732718192929</v>
      </c>
      <c r="N10" s="29"/>
    </row>
    <row r="11" spans="1:14" s="6" customFormat="1" ht="20.100000000000001" customHeight="1" thickBot="1">
      <c r="A11" s="131"/>
      <c r="B11" s="114"/>
      <c r="C11" s="114"/>
      <c r="D11" s="114"/>
      <c r="E11" s="114"/>
      <c r="F11" s="114"/>
      <c r="G11" s="114"/>
      <c r="H11" s="114"/>
      <c r="I11" s="114"/>
      <c r="J11" s="114"/>
      <c r="K11" s="114"/>
      <c r="L11" s="114"/>
      <c r="M11" s="114"/>
      <c r="N11" s="29"/>
    </row>
    <row r="12" spans="1:14" s="6" customFormat="1" ht="24.95" customHeight="1" thickTop="1" thickBot="1">
      <c r="A12" s="302" t="s">
        <v>90</v>
      </c>
      <c r="B12" s="303"/>
      <c r="C12" s="304"/>
      <c r="D12" s="263">
        <v>672</v>
      </c>
      <c r="E12" s="114"/>
      <c r="F12" s="114"/>
      <c r="G12" s="114"/>
      <c r="H12" s="114"/>
      <c r="I12" s="114"/>
      <c r="J12" s="114"/>
      <c r="K12" s="114"/>
      <c r="L12" s="114"/>
      <c r="M12" s="114"/>
      <c r="N12" s="29"/>
    </row>
    <row r="13" spans="1:14" s="6" customFormat="1" ht="20.100000000000001" customHeight="1" thickTop="1" thickBot="1">
      <c r="A13" s="84"/>
      <c r="B13" s="31"/>
      <c r="C13" s="31"/>
      <c r="D13" s="31"/>
      <c r="E13" s="31"/>
      <c r="F13" s="31"/>
      <c r="G13" s="31"/>
      <c r="H13" s="31"/>
      <c r="I13" s="31"/>
      <c r="J13" s="31"/>
      <c r="K13" s="31"/>
      <c r="L13" s="31"/>
      <c r="M13" s="31"/>
    </row>
    <row r="14" spans="1:14" s="6" customFormat="1" ht="39.950000000000003" customHeight="1" thickTop="1">
      <c r="A14" s="137" t="s">
        <v>91</v>
      </c>
      <c r="B14" s="191" t="s">
        <v>92</v>
      </c>
      <c r="C14" s="191" t="s">
        <v>93</v>
      </c>
      <c r="D14" s="270" t="s">
        <v>94</v>
      </c>
      <c r="E14" s="86"/>
      <c r="G14" s="7"/>
      <c r="H14" s="7"/>
      <c r="I14" s="7"/>
      <c r="J14" s="7"/>
      <c r="K14" s="7"/>
      <c r="L14" s="7"/>
      <c r="M14" s="7"/>
    </row>
    <row r="15" spans="1:14" s="6" customFormat="1" ht="24.95" customHeight="1" thickBot="1">
      <c r="A15" s="198" t="s">
        <v>95</v>
      </c>
      <c r="B15" s="199">
        <f>IF(D12&lt;&gt;"",IFERROR(D12/'1.IS'!H20,""),"")</f>
        <v>35.928604417397928</v>
      </c>
      <c r="C15" s="199">
        <f>IF(D12&lt;&gt;"",IFERROR(D12/'1.IS'!I20,""),"")</f>
        <v>31.962631075637148</v>
      </c>
      <c r="D15" s="271">
        <v>26</v>
      </c>
      <c r="E15" s="87"/>
      <c r="G15" s="7"/>
      <c r="H15" s="7"/>
      <c r="I15" s="7"/>
      <c r="J15" s="7"/>
      <c r="K15" s="7"/>
      <c r="L15" s="7"/>
      <c r="M15" s="7"/>
    </row>
    <row r="16" spans="1:14" s="6" customFormat="1" ht="24.95" customHeight="1" thickBot="1">
      <c r="A16" s="201" t="s">
        <v>96</v>
      </c>
      <c r="B16" s="206">
        <f>IF(D12&lt;&gt;"",IFERROR(H6/H10,""),"")</f>
        <v>18.303546673211237</v>
      </c>
      <c r="C16" s="206">
        <f>IF(D12&lt;&gt;"",IFERROR(I6/I10,""),"")</f>
        <v>23.115371898747984</v>
      </c>
      <c r="D16" s="272">
        <v>28</v>
      </c>
      <c r="E16" s="88"/>
      <c r="G16" s="7"/>
      <c r="H16" s="7"/>
      <c r="I16" s="7"/>
      <c r="J16" s="7"/>
      <c r="K16" s="7"/>
      <c r="L16" s="7"/>
      <c r="M16" s="7"/>
    </row>
    <row r="17" spans="1:14" s="6" customFormat="1" ht="24.95" customHeight="1">
      <c r="A17" s="74" t="s">
        <v>97</v>
      </c>
      <c r="B17" s="200">
        <f>IF(D12&lt;&gt;"",IFERROR(H6/H7,""),"")</f>
        <v>27.757826016979841</v>
      </c>
      <c r="C17" s="89">
        <f>IF(D12&lt;&gt;"",IFERROR(I6/I7,""),"")</f>
        <v>23.323596190333209</v>
      </c>
      <c r="D17" s="271">
        <v>21</v>
      </c>
      <c r="E17" s="87"/>
      <c r="G17" s="7"/>
      <c r="H17" s="7"/>
      <c r="I17" s="7"/>
      <c r="J17" s="7"/>
      <c r="K17" s="7"/>
      <c r="L17" s="7"/>
      <c r="M17" s="7"/>
    </row>
    <row r="18" spans="1:14" s="6" customFormat="1" ht="24.95" customHeight="1" thickBot="1">
      <c r="A18" s="28" t="s">
        <v>98</v>
      </c>
      <c r="B18" s="208">
        <f>IF(D12&lt;&gt;"",IFERROR(H6/H8,""),"")</f>
        <v>30.583878261255073</v>
      </c>
      <c r="C18" s="209">
        <f>IF(D12&lt;&gt;"",IFERROR(I6/I8,""),"")</f>
        <v>25.80446302102597</v>
      </c>
      <c r="D18" s="273">
        <v>24</v>
      </c>
      <c r="E18" s="87"/>
      <c r="G18" s="7"/>
      <c r="H18" s="7"/>
      <c r="I18" s="7"/>
      <c r="J18" s="7"/>
      <c r="K18" s="7"/>
      <c r="L18" s="7"/>
      <c r="M18" s="7"/>
      <c r="N18" s="29"/>
    </row>
    <row r="19" spans="1:14" s="6" customFormat="1" ht="20.100000000000001" customHeight="1" thickTop="1">
      <c r="A19" s="90"/>
      <c r="B19" s="32"/>
      <c r="C19" s="7"/>
      <c r="D19" s="7"/>
      <c r="E19" s="7"/>
      <c r="F19" s="7"/>
      <c r="G19" s="7"/>
      <c r="H19" s="7"/>
      <c r="I19" s="7"/>
      <c r="J19" s="7"/>
      <c r="K19" s="7"/>
      <c r="L19" s="7"/>
      <c r="M19" s="7"/>
    </row>
    <row r="20" spans="1:14" s="6" customFormat="1" ht="39.950000000000003" customHeight="1">
      <c r="A20" s="192" t="s">
        <v>99</v>
      </c>
      <c r="B20" s="191" t="str">
        <f>I2</f>
        <v>2025e</v>
      </c>
      <c r="C20" s="191" t="str">
        <f>J2</f>
        <v>2026e</v>
      </c>
      <c r="D20" s="191" t="str">
        <f>K2</f>
        <v>2027e</v>
      </c>
      <c r="E20" s="191" t="str">
        <f>L2</f>
        <v>2028e</v>
      </c>
      <c r="F20" s="126" t="str">
        <f>M2</f>
        <v>2029e</v>
      </c>
      <c r="H20" s="305" t="str">
        <f>"Retorno Anualizado"&amp;CHAR(10)&amp;"valorando por..."</f>
        <v>Retorno Anualizado
valorando por...</v>
      </c>
      <c r="I20" s="305"/>
      <c r="J20" s="191" t="str">
        <f>"CAGR"&amp;CHAR(10)&amp;"5 años"</f>
        <v>CAGR
5 años</v>
      </c>
      <c r="L20" s="7"/>
      <c r="M20" s="7"/>
    </row>
    <row r="21" spans="1:14" s="6" customFormat="1" ht="24.95" customHeight="1" thickBot="1">
      <c r="A21" s="84" t="s">
        <v>100</v>
      </c>
      <c r="B21" s="16">
        <f>IF(D12&lt;&gt;"",IFERROR(IF(--I4&lt;0,(I9*$D$15-I4),IF(--I4&gt;0,I9*$D$15))/'1.IS'!I22,""),"")</f>
        <v>546.6383527267775</v>
      </c>
      <c r="C21" s="16">
        <f>IF(D12&lt;&gt;"",IFERROR(IF(--J4&lt;0,(J9*$D$15-J4),IF(--J4&gt;0,J9*$D$15))/'1.IS'!J22,""),"")</f>
        <v>652.22577828143631</v>
      </c>
      <c r="D21" s="16">
        <f>IF(D12&lt;&gt;"",IFERROR(IF(--K4&lt;0,(K9*$D$15-K4),IF(--K4&gt;0,K9*$D$15))/'1.IS'!K22,""),"")</f>
        <v>778.11609925971788</v>
      </c>
      <c r="E21" s="16">
        <f>IF(D12&lt;&gt;"",IFERROR(IF(--L4&lt;0,(L9*$D$15-L4),IF(--L4&gt;0,L9*$D$15))/'1.IS'!L22,""),"")</f>
        <v>928.21203436531266</v>
      </c>
      <c r="F21" s="196">
        <f>IF(D12&lt;&gt;"",IFERROR(IF(--M4&lt;0,(M9*$D$15-M4),IF(--M4&gt;0,M9*$D$15))/'1.IS'!M22,""),"")</f>
        <v>1107.1664849610668</v>
      </c>
      <c r="H21" s="84" t="s">
        <v>100</v>
      </c>
      <c r="I21" s="84"/>
      <c r="J21" s="197">
        <f>IFERROR((F21/$D$12)^(1/5)-1,"")</f>
        <v>0.10501642018946034</v>
      </c>
      <c r="L21" s="7"/>
      <c r="M21" s="7"/>
    </row>
    <row r="22" spans="1:14" s="6" customFormat="1" ht="24.95" customHeight="1" thickBot="1">
      <c r="A22" s="201" t="s">
        <v>101</v>
      </c>
      <c r="B22" s="202">
        <f>IF(D12&lt;&gt;"",IFERROR(((I10*$D$16)-I4)/'1.IS'!I22,""),"")</f>
        <v>814.64131654168625</v>
      </c>
      <c r="C22" s="202">
        <f>IF(D12&lt;&gt;"",IFERROR(((J10*$D$16)-J4)/'1.IS'!J22,""),"")</f>
        <v>971.78375142580842</v>
      </c>
      <c r="D22" s="202">
        <f>IF(D12&lt;&gt;"",IFERROR(((K10*$D$16)-K4)/'1.IS'!K22,""),"")</f>
        <v>1159.1395242652793</v>
      </c>
      <c r="E22" s="202">
        <f>IF(D12&lt;&gt;"",IFERROR(((L10*$D$16)-L4)/'1.IS'!L22,""),"")</f>
        <v>1382.5163482242256</v>
      </c>
      <c r="F22" s="203">
        <f>IF(D12&lt;&gt;"",IFERROR(((M10*$D$16)-M4)/'1.IS'!M22,""),"")</f>
        <v>1648.8382976665655</v>
      </c>
      <c r="H22" s="201" t="s">
        <v>96</v>
      </c>
      <c r="I22" s="204"/>
      <c r="J22" s="205">
        <f>IFERROR((F22/$D$12)^(1/5)-1,"")</f>
        <v>0.19663515818346777</v>
      </c>
      <c r="L22" s="7"/>
      <c r="M22" s="7"/>
    </row>
    <row r="23" spans="1:14" s="6" customFormat="1" ht="24.95" customHeight="1">
      <c r="A23" s="20" t="s">
        <v>97</v>
      </c>
      <c r="B23" s="16">
        <f>IF(D12&lt;&gt;"",IFERROR(((I7*$D$17)-I4)/'1.IS'!I22,""),"")</f>
        <v>604.75192420929125</v>
      </c>
      <c r="C23" s="16">
        <f>IF(D12&lt;&gt;"",IFERROR(((J7*$D$17)-J4)/'1.IS'!J22,""),"")</f>
        <v>720.9974695533308</v>
      </c>
      <c r="D23" s="16">
        <f>IF(D12&lt;&gt;"",IFERROR(((K7*$D$17)-K4)/'1.IS'!K22,""),"")</f>
        <v>859.58775870286001</v>
      </c>
      <c r="E23" s="16">
        <f>IF(D12&lt;&gt;"",IFERROR(((L7*$D$17)-L4)/'1.IS'!L22,""),"")</f>
        <v>1024.8179031329478</v>
      </c>
      <c r="F23" s="196">
        <f>IF(D12&lt;&gt;"",IFERROR(((M7*$D$17)-M4)/'1.IS'!M22,""),"")</f>
        <v>1221.8086215730541</v>
      </c>
      <c r="H23" s="20" t="s">
        <v>97</v>
      </c>
      <c r="I23" s="20"/>
      <c r="J23" s="197">
        <f>IFERROR((F23/$D$12)^(1/5)-1,"")</f>
        <v>0.12700743841195039</v>
      </c>
      <c r="L23" s="7"/>
      <c r="M23" s="7"/>
    </row>
    <row r="24" spans="1:14" s="6" customFormat="1" ht="24.95" customHeight="1">
      <c r="A24" s="84" t="s">
        <v>98</v>
      </c>
      <c r="B24" s="85">
        <f>IF(D12&lt;&gt;"",IFERROR(((I8*$D$18)-I4)/'1.IS'!I22,""),"")</f>
        <v>624.79718702047819</v>
      </c>
      <c r="C24" s="85">
        <f>IF(D12&lt;&gt;"",IFERROR(((J8*$D$18)-J4)/'1.IS'!J22,""),"")</f>
        <v>744.89583710676027</v>
      </c>
      <c r="D24" s="85">
        <f>IF(D12&lt;&gt;"",IFERROR(((K8*$D$18)-K4)/'1.IS'!K22,""),"")</f>
        <v>888.07987562337576</v>
      </c>
      <c r="E24" s="85">
        <f>IF(D12&lt;&gt;"",IFERROR(((L8*$D$18)-L4)/'1.IS'!L22,""),"")</f>
        <v>1058.7867809149723</v>
      </c>
      <c r="F24" s="196">
        <f>IF(D12&lt;&gt;"",IFERROR(((M8*$D$18)-M4)/'1.IS'!M22,""),"")</f>
        <v>1262.3070043709731</v>
      </c>
      <c r="H24" s="84" t="s">
        <v>98</v>
      </c>
      <c r="I24" s="84"/>
      <c r="J24" s="197">
        <f>IFERROR((F24/$D$12)^(1/5)-1,"")</f>
        <v>0.13438152239379497</v>
      </c>
      <c r="L24" s="7"/>
      <c r="M24" s="7"/>
    </row>
    <row r="25" spans="1:14" s="6" customFormat="1" ht="24.95" customHeight="1">
      <c r="A25" s="249" t="s">
        <v>102</v>
      </c>
      <c r="B25" s="250">
        <f>IFERROR(AVERAGE(B21:B24),"")</f>
        <v>647.70719512455833</v>
      </c>
      <c r="C25" s="250">
        <f>IFERROR(AVERAGE(C21:C24),"")</f>
        <v>772.47570909183401</v>
      </c>
      <c r="D25" s="250">
        <f>IFERROR(AVERAGE(D21:D24),"")</f>
        <v>921.23081446280821</v>
      </c>
      <c r="E25" s="250">
        <f>IFERROR(AVERAGE(E21:E24),"")</f>
        <v>1098.5832666593647</v>
      </c>
      <c r="F25" s="251">
        <f>IFERROR(AVERAGE(F21:F24),"")</f>
        <v>1310.030102142915</v>
      </c>
      <c r="H25" s="210" t="s">
        <v>102</v>
      </c>
      <c r="I25" s="211"/>
      <c r="J25" s="212">
        <f>IFERROR(AVERAGE(J21:J24),"")</f>
        <v>0.14076013479466837</v>
      </c>
      <c r="L25" s="7"/>
      <c r="M25" s="7"/>
    </row>
    <row r="26" spans="1:14" s="6" customFormat="1" ht="24.95" customHeight="1">
      <c r="A26" s="210" t="s">
        <v>103</v>
      </c>
      <c r="B26" s="252">
        <f>IFERROR((B25/$D$12)-1,"")</f>
        <v>-3.6150007255121519E-2</v>
      </c>
      <c r="C26" s="252">
        <f t="shared" ref="C26:F26" si="1">IFERROR((C25/$D$12)-1,"")</f>
        <v>0.14951742424380066</v>
      </c>
      <c r="D26" s="252">
        <f t="shared" si="1"/>
        <v>0.3708791881887028</v>
      </c>
      <c r="E26" s="252">
        <f t="shared" si="1"/>
        <v>0.63479652776691164</v>
      </c>
      <c r="F26" s="253">
        <f t="shared" si="1"/>
        <v>0.94944955676029008</v>
      </c>
      <c r="G26" s="7"/>
      <c r="H26" s="7"/>
      <c r="I26" s="7"/>
      <c r="J26" s="7"/>
      <c r="K26" s="7"/>
      <c r="L26" s="7"/>
      <c r="M26" s="7"/>
    </row>
    <row r="27" spans="1:14" s="6" customFormat="1" ht="17.25" hidden="1">
      <c r="H27" s="7"/>
      <c r="I27" s="7"/>
      <c r="J27" s="7"/>
      <c r="K27" s="7"/>
      <c r="L27" s="7"/>
      <c r="M27" s="7"/>
    </row>
    <row r="28" spans="1:14" s="6" customFormat="1" ht="24.95" hidden="1" customHeight="1">
      <c r="H28" s="7"/>
      <c r="I28" s="7"/>
      <c r="J28" s="7"/>
      <c r="K28" s="7"/>
      <c r="L28" s="7"/>
      <c r="M28" s="7"/>
    </row>
    <row r="29" spans="1:14" s="6" customFormat="1" ht="24.95" hidden="1" customHeight="1">
      <c r="H29" s="7"/>
      <c r="I29" s="7"/>
      <c r="J29" s="7"/>
      <c r="K29" s="7"/>
      <c r="L29" s="7"/>
      <c r="M29" s="7"/>
    </row>
    <row r="30" spans="1:14" s="6" customFormat="1" ht="24.95" hidden="1" customHeight="1">
      <c r="H30" s="7"/>
      <c r="I30" s="7"/>
      <c r="J30" s="7"/>
      <c r="K30" s="7"/>
      <c r="L30" s="7"/>
      <c r="M30" s="7"/>
    </row>
    <row r="31" spans="1:14" s="6" customFormat="1" ht="24.95" hidden="1" customHeight="1">
      <c r="H31" s="7"/>
      <c r="I31" s="7"/>
      <c r="J31" s="7"/>
      <c r="K31" s="7"/>
      <c r="L31" s="7"/>
      <c r="M31" s="7"/>
    </row>
    <row r="32" spans="1:14" s="6" customFormat="1" ht="17.25" hidden="1">
      <c r="H32" s="7"/>
      <c r="I32" s="7"/>
      <c r="J32" s="7"/>
      <c r="K32" s="7"/>
      <c r="L32" s="7"/>
      <c r="M32" s="7"/>
    </row>
    <row r="33" spans="1:13" s="6" customFormat="1" ht="17.25" hidden="1">
      <c r="A33" s="30"/>
      <c r="B33" s="7"/>
      <c r="C33" s="7"/>
      <c r="D33" s="7"/>
      <c r="E33" s="7"/>
      <c r="F33" s="7"/>
      <c r="G33" s="7"/>
      <c r="H33" s="7"/>
      <c r="I33" s="7"/>
      <c r="J33" s="7"/>
      <c r="K33" s="7"/>
      <c r="L33" s="7"/>
      <c r="M33" s="7"/>
    </row>
    <row r="34" spans="1:13" s="6" customFormat="1" ht="17.25" hidden="1">
      <c r="A34" s="30"/>
      <c r="B34" s="7"/>
      <c r="C34" s="7"/>
      <c r="D34" s="7"/>
      <c r="E34" s="7"/>
      <c r="F34" s="7"/>
      <c r="G34" s="7"/>
      <c r="H34" s="7"/>
      <c r="I34" s="7"/>
      <c r="J34" s="7"/>
      <c r="K34" s="7"/>
      <c r="L34" s="7"/>
      <c r="M34" s="7"/>
    </row>
    <row r="35" spans="1:13" s="6" customFormat="1" ht="17.25" hidden="1">
      <c r="A35" s="30"/>
      <c r="B35" s="7"/>
      <c r="C35" s="7"/>
      <c r="D35" s="7"/>
      <c r="E35" s="7"/>
      <c r="F35" s="7"/>
      <c r="G35" s="7"/>
      <c r="H35" s="7"/>
      <c r="I35" s="7"/>
      <c r="J35" s="7"/>
      <c r="K35" s="7"/>
      <c r="L35" s="7"/>
      <c r="M35" s="7"/>
    </row>
    <row r="36" spans="1:13" s="6" customFormat="1" ht="17.25" hidden="1">
      <c r="C36" s="7"/>
      <c r="D36" s="7"/>
      <c r="E36" s="7"/>
      <c r="F36" s="7"/>
      <c r="G36" s="7"/>
      <c r="H36" s="7"/>
      <c r="I36" s="7"/>
      <c r="J36" s="7"/>
      <c r="K36" s="7"/>
      <c r="L36" s="7"/>
      <c r="M36" s="7"/>
    </row>
    <row r="37" spans="1:13" s="6" customFormat="1" ht="17.25" hidden="1">
      <c r="C37" s="7"/>
      <c r="D37" s="7"/>
      <c r="E37" s="7"/>
      <c r="F37" s="7"/>
      <c r="G37" s="7"/>
      <c r="H37" s="7"/>
      <c r="I37" s="7"/>
      <c r="J37" s="7"/>
      <c r="K37" s="7"/>
      <c r="L37" s="7"/>
      <c r="M37" s="7"/>
    </row>
    <row r="38" spans="1:13" s="6" customFormat="1" ht="17.25" hidden="1">
      <c r="C38" s="7"/>
      <c r="D38" s="7"/>
      <c r="E38" s="7"/>
      <c r="F38" s="7"/>
      <c r="G38" s="7"/>
      <c r="H38" s="7"/>
      <c r="I38" s="7"/>
      <c r="J38" s="7"/>
      <c r="K38" s="7"/>
      <c r="L38" s="7"/>
      <c r="M38" s="7"/>
    </row>
    <row r="39" spans="1:13" s="6" customFormat="1" ht="17.25" hidden="1">
      <c r="C39" s="7"/>
      <c r="D39" s="7"/>
      <c r="E39" s="7"/>
      <c r="F39" s="7"/>
      <c r="G39" s="7"/>
      <c r="H39" s="7"/>
      <c r="I39" s="7"/>
      <c r="J39" s="7"/>
      <c r="K39" s="7"/>
      <c r="L39" s="7"/>
      <c r="M39" s="7"/>
    </row>
    <row r="40" spans="1:13" s="6" customFormat="1" ht="17.25" hidden="1">
      <c r="C40" s="7"/>
      <c r="D40" s="7"/>
      <c r="E40" s="7"/>
      <c r="F40" s="7"/>
      <c r="G40" s="7"/>
      <c r="H40" s="7"/>
      <c r="I40" s="7"/>
      <c r="J40" s="7"/>
      <c r="K40" s="7"/>
      <c r="L40" s="7"/>
      <c r="M40" s="7"/>
    </row>
    <row r="41" spans="1:13" s="4" customFormat="1" ht="17.25" hidden="1">
      <c r="A41" s="22"/>
      <c r="B41" s="5"/>
      <c r="C41" s="5"/>
      <c r="D41" s="5"/>
      <c r="E41" s="5"/>
      <c r="F41" s="5"/>
      <c r="G41" s="5"/>
      <c r="H41" s="5"/>
      <c r="I41" s="5"/>
      <c r="J41" s="5"/>
      <c r="K41" s="5"/>
      <c r="L41" s="5"/>
      <c r="M41" s="5"/>
    </row>
    <row r="42" spans="1:13" ht="54.75" customHeight="1">
      <c r="B42" s="207"/>
      <c r="C42" s="207"/>
      <c r="D42" s="207"/>
      <c r="E42" s="207"/>
      <c r="F42" s="207"/>
      <c r="G42" s="207"/>
    </row>
  </sheetData>
  <mergeCells count="2">
    <mergeCell ref="A12:C12"/>
    <mergeCell ref="H20:I20"/>
  </mergeCells>
  <conditionalFormatting sqref="J21:J25">
    <cfRule type="cellIs" dxfId="2" priority="1" operator="greaterThan">
      <formula>0.15</formula>
    </cfRule>
    <cfRule type="cellIs" dxfId="1" priority="2" operator="between">
      <formula>0</formula>
      <formula>0.15</formula>
    </cfRule>
    <cfRule type="cellIs" dxfId="0" priority="3" operator="between">
      <formula>-1</formula>
      <formula>0</formula>
    </cfRule>
  </conditionalFormatting>
  <pageMargins left="0.7" right="0.7" top="0.75" bottom="0.75" header="0.3" footer="0.3"/>
  <pageSetup paperSize="9" orientation="portrait" horizontalDpi="1200" verticalDpi="1200"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78F2D-A912-4254-99DB-696E457A7EE4}">
  <dimension ref="A1:S86"/>
  <sheetViews>
    <sheetView showGridLines="0" zoomScaleNormal="100" workbookViewId="0"/>
  </sheetViews>
  <sheetFormatPr defaultColWidth="0" defaultRowHeight="17.25"/>
  <cols>
    <col min="1" max="1" width="41.85546875" style="4" bestFit="1" customWidth="1"/>
    <col min="2" max="7" width="10.7109375" style="5" customWidth="1"/>
    <col min="8" max="9" width="12.7109375" style="5" customWidth="1"/>
    <col min="10" max="19" width="11.42578125" style="4" customWidth="1"/>
    <col min="20" max="16384" width="11.42578125" style="4" hidden="1"/>
  </cols>
  <sheetData>
    <row r="1" spans="2:2" ht="65.25" customHeight="1">
      <c r="B1" s="19" t="s">
        <v>104</v>
      </c>
    </row>
    <row r="31" spans="2:2" ht="20.100000000000001" customHeight="1"/>
    <row r="32" spans="2:2" s="6" customFormat="1" ht="20.100000000000001" customHeight="1">
      <c r="B32" s="19"/>
    </row>
    <row r="33" s="6" customFormat="1"/>
    <row r="34" s="6" customFormat="1"/>
    <row r="35" s="6" customFormat="1"/>
    <row r="36" s="6" customFormat="1"/>
    <row r="37" s="6" customFormat="1"/>
    <row r="38" s="6" customFormat="1"/>
    <row r="39" s="6" customFormat="1"/>
    <row r="40" s="6" customFormat="1"/>
    <row r="41" s="6" customFormat="1"/>
    <row r="42" s="6" customFormat="1"/>
    <row r="43" s="6" customFormat="1"/>
    <row r="44" s="6" customFormat="1"/>
    <row r="45" s="6" customFormat="1"/>
    <row r="46" s="6" customFormat="1"/>
    <row r="47" s="6" customFormat="1"/>
    <row r="48" s="6" customFormat="1"/>
    <row r="49" spans="2:9" s="6" customFormat="1"/>
    <row r="50" spans="2:9" s="6" customFormat="1"/>
    <row r="51" spans="2:9" s="6" customFormat="1"/>
    <row r="52" spans="2:9" s="6" customFormat="1">
      <c r="B52" s="214"/>
      <c r="C52" s="214"/>
      <c r="D52" s="214"/>
      <c r="E52" s="214"/>
      <c r="F52" s="214"/>
      <c r="G52" s="214"/>
      <c r="H52" s="214"/>
      <c r="I52" s="7"/>
    </row>
    <row r="53" spans="2:9" s="6" customFormat="1">
      <c r="B53" s="214"/>
      <c r="C53" s="214"/>
      <c r="D53" s="214"/>
      <c r="E53" s="214"/>
      <c r="F53" s="214"/>
      <c r="G53" s="214"/>
      <c r="H53" s="214"/>
      <c r="I53" s="7"/>
    </row>
    <row r="54" spans="2:9" s="6" customFormat="1">
      <c r="B54" s="214"/>
      <c r="C54" s="214"/>
      <c r="D54" s="214"/>
      <c r="E54" s="214"/>
      <c r="F54" s="214"/>
      <c r="G54" s="214"/>
      <c r="H54" s="214"/>
      <c r="I54" s="7"/>
    </row>
    <row r="55" spans="2:9" s="6" customFormat="1">
      <c r="B55" s="214"/>
      <c r="C55" s="214"/>
      <c r="D55" s="214"/>
      <c r="E55" s="214"/>
      <c r="F55" s="214"/>
      <c r="G55" s="214"/>
      <c r="H55" s="214"/>
      <c r="I55" s="7"/>
    </row>
    <row r="56" spans="2:9" s="6" customFormat="1">
      <c r="B56" s="7"/>
      <c r="C56" s="7"/>
      <c r="D56" s="7"/>
      <c r="E56" s="7"/>
      <c r="F56" s="7"/>
      <c r="G56" s="7"/>
      <c r="H56" s="7"/>
      <c r="I56" s="7"/>
    </row>
    <row r="57" spans="2:9" s="6" customFormat="1">
      <c r="B57" s="7"/>
      <c r="C57" s="7"/>
      <c r="D57" s="7"/>
      <c r="E57" s="7"/>
      <c r="F57" s="7"/>
      <c r="G57" s="7"/>
      <c r="H57" s="7"/>
      <c r="I57" s="7"/>
    </row>
    <row r="58" spans="2:9" s="6" customFormat="1">
      <c r="B58" s="7"/>
      <c r="C58" s="7"/>
      <c r="D58" s="7"/>
      <c r="E58" s="7"/>
      <c r="F58" s="7"/>
      <c r="G58" s="7"/>
      <c r="H58" s="7"/>
      <c r="I58" s="7"/>
    </row>
    <row r="59" spans="2:9" s="6" customFormat="1">
      <c r="B59" s="7"/>
      <c r="C59" s="7"/>
      <c r="D59" s="7"/>
      <c r="E59" s="7"/>
      <c r="F59" s="7"/>
      <c r="G59" s="7"/>
      <c r="H59" s="7"/>
      <c r="I59" s="7"/>
    </row>
    <row r="60" spans="2:9" s="6" customFormat="1">
      <c r="B60" s="7"/>
      <c r="C60" s="7"/>
      <c r="D60" s="7"/>
      <c r="E60" s="7"/>
      <c r="F60" s="7"/>
      <c r="G60" s="7"/>
      <c r="H60" s="7"/>
      <c r="I60" s="7"/>
    </row>
    <row r="61" spans="2:9" s="6" customFormat="1">
      <c r="B61" s="7"/>
      <c r="C61" s="7"/>
      <c r="D61" s="7"/>
      <c r="E61" s="7"/>
      <c r="F61" s="7"/>
      <c r="G61" s="7"/>
      <c r="H61" s="7"/>
      <c r="I61" s="7"/>
    </row>
    <row r="62" spans="2:9" s="6" customFormat="1">
      <c r="B62" s="7"/>
      <c r="C62" s="7"/>
      <c r="D62" s="7"/>
      <c r="E62" s="7"/>
      <c r="F62" s="7"/>
      <c r="G62" s="7"/>
      <c r="H62" s="7"/>
      <c r="I62" s="7"/>
    </row>
    <row r="63" spans="2:9" s="6" customFormat="1">
      <c r="B63" s="7"/>
      <c r="C63" s="7"/>
      <c r="D63" s="7"/>
      <c r="E63" s="7"/>
      <c r="F63" s="7"/>
      <c r="G63" s="7"/>
      <c r="H63" s="7"/>
      <c r="I63" s="7"/>
    </row>
    <row r="64" spans="2:9" s="6" customFormat="1">
      <c r="B64" s="7"/>
      <c r="C64" s="7"/>
      <c r="D64" s="7"/>
      <c r="E64" s="7"/>
      <c r="F64" s="7"/>
      <c r="G64" s="7"/>
      <c r="H64" s="7"/>
      <c r="I64" s="7"/>
    </row>
    <row r="65" spans="2:9" s="6" customFormat="1">
      <c r="B65" s="7"/>
      <c r="C65" s="7"/>
      <c r="D65" s="7"/>
      <c r="E65" s="7"/>
      <c r="F65" s="7"/>
      <c r="G65" s="7"/>
      <c r="H65" s="7"/>
      <c r="I65" s="7"/>
    </row>
    <row r="66" spans="2:9" s="6" customFormat="1">
      <c r="B66" s="7"/>
      <c r="C66" s="7"/>
      <c r="D66" s="7"/>
      <c r="E66" s="7"/>
      <c r="F66" s="7"/>
      <c r="G66" s="7"/>
      <c r="H66" s="7"/>
      <c r="I66" s="7"/>
    </row>
    <row r="67" spans="2:9" s="6" customFormat="1">
      <c r="B67" s="7"/>
      <c r="C67" s="7"/>
      <c r="D67" s="7"/>
      <c r="E67" s="7"/>
      <c r="F67" s="7"/>
      <c r="G67" s="7"/>
      <c r="H67" s="7"/>
      <c r="I67" s="7"/>
    </row>
    <row r="68" spans="2:9" s="6" customFormat="1">
      <c r="B68" s="7"/>
      <c r="C68" s="7"/>
      <c r="D68" s="7"/>
      <c r="E68" s="7"/>
      <c r="F68" s="7"/>
      <c r="G68" s="7"/>
      <c r="H68" s="7"/>
      <c r="I68" s="7"/>
    </row>
    <row r="69" spans="2:9" s="6" customFormat="1">
      <c r="B69" s="7"/>
      <c r="C69" s="7"/>
      <c r="D69" s="7"/>
      <c r="E69" s="7"/>
      <c r="F69" s="7"/>
      <c r="G69" s="7"/>
      <c r="H69" s="7"/>
      <c r="I69" s="7"/>
    </row>
    <row r="70" spans="2:9" s="6" customFormat="1">
      <c r="B70" s="7"/>
      <c r="C70" s="7"/>
      <c r="D70" s="7"/>
      <c r="E70" s="7"/>
      <c r="F70" s="7"/>
      <c r="G70" s="7"/>
      <c r="H70" s="7"/>
      <c r="I70" s="7"/>
    </row>
    <row r="71" spans="2:9" s="6" customFormat="1">
      <c r="B71" s="7"/>
      <c r="C71" s="7"/>
      <c r="D71" s="7"/>
      <c r="E71" s="7"/>
      <c r="F71" s="7"/>
      <c r="G71" s="7"/>
      <c r="H71" s="7"/>
      <c r="I71" s="7"/>
    </row>
    <row r="72" spans="2:9" s="6" customFormat="1">
      <c r="B72" s="7"/>
      <c r="C72" s="7"/>
      <c r="D72" s="7"/>
      <c r="E72" s="7"/>
      <c r="F72" s="7"/>
      <c r="G72" s="7"/>
      <c r="H72" s="7"/>
      <c r="I72" s="7"/>
    </row>
    <row r="73" spans="2:9" s="6" customFormat="1">
      <c r="B73" s="7"/>
      <c r="C73" s="7"/>
      <c r="D73" s="7"/>
      <c r="E73" s="7"/>
      <c r="F73" s="7"/>
      <c r="G73" s="7"/>
      <c r="H73" s="7"/>
      <c r="I73" s="7"/>
    </row>
    <row r="74" spans="2:9" s="6" customFormat="1">
      <c r="B74" s="7"/>
      <c r="C74" s="7"/>
      <c r="D74" s="7"/>
      <c r="E74" s="7"/>
      <c r="F74" s="7"/>
      <c r="G74" s="7"/>
      <c r="H74" s="7"/>
      <c r="I74" s="7"/>
    </row>
    <row r="75" spans="2:9" s="6" customFormat="1">
      <c r="B75" s="7"/>
      <c r="C75" s="7"/>
      <c r="D75" s="7"/>
      <c r="E75" s="7"/>
      <c r="F75" s="7"/>
      <c r="G75" s="7"/>
      <c r="H75" s="7"/>
      <c r="I75" s="7"/>
    </row>
    <row r="76" spans="2:9" s="6" customFormat="1">
      <c r="B76" s="7"/>
      <c r="C76" s="7"/>
      <c r="D76" s="7"/>
      <c r="E76" s="7"/>
      <c r="F76" s="7"/>
      <c r="G76" s="7"/>
      <c r="H76" s="7"/>
      <c r="I76" s="7"/>
    </row>
    <row r="77" spans="2:9" s="6" customFormat="1">
      <c r="B77" s="7"/>
      <c r="C77" s="7"/>
      <c r="D77" s="7"/>
      <c r="E77" s="7"/>
      <c r="F77" s="7"/>
      <c r="G77" s="7"/>
      <c r="H77" s="7"/>
      <c r="I77" s="7"/>
    </row>
    <row r="78" spans="2:9" s="6" customFormat="1">
      <c r="B78" s="7"/>
      <c r="C78" s="7"/>
      <c r="D78" s="7"/>
      <c r="E78" s="7"/>
      <c r="F78" s="7"/>
      <c r="G78" s="7"/>
      <c r="H78" s="7"/>
      <c r="I78" s="7"/>
    </row>
    <row r="79" spans="2:9" s="6" customFormat="1">
      <c r="B79" s="7"/>
      <c r="C79" s="7"/>
      <c r="D79" s="7"/>
      <c r="E79" s="7"/>
      <c r="F79" s="7"/>
      <c r="G79" s="7"/>
      <c r="H79" s="7"/>
      <c r="I79" s="7"/>
    </row>
    <row r="80" spans="2:9" s="6" customFormat="1">
      <c r="B80" s="7"/>
      <c r="C80" s="7"/>
      <c r="D80" s="7"/>
      <c r="E80" s="7"/>
      <c r="F80" s="7"/>
      <c r="G80" s="7"/>
      <c r="H80" s="7"/>
      <c r="I80" s="7"/>
    </row>
    <row r="81" spans="2:9" s="6" customFormat="1">
      <c r="B81" s="7"/>
      <c r="C81" s="7"/>
      <c r="D81" s="7"/>
      <c r="E81" s="7"/>
      <c r="F81" s="7"/>
      <c r="G81" s="7"/>
      <c r="H81" s="7"/>
      <c r="I81" s="7"/>
    </row>
    <row r="82" spans="2:9" s="6" customFormat="1">
      <c r="B82" s="7"/>
      <c r="C82" s="7"/>
      <c r="D82" s="7"/>
      <c r="E82" s="7"/>
      <c r="F82" s="7"/>
      <c r="G82" s="7"/>
      <c r="H82" s="7"/>
      <c r="I82" s="7"/>
    </row>
    <row r="83" spans="2:9" s="6" customFormat="1">
      <c r="B83" s="7"/>
      <c r="C83" s="7"/>
      <c r="D83" s="7"/>
      <c r="E83" s="7"/>
      <c r="F83" s="7"/>
      <c r="G83" s="7"/>
      <c r="H83" s="7"/>
      <c r="I83" s="7"/>
    </row>
    <row r="84" spans="2:9" s="6" customFormat="1">
      <c r="B84" s="7"/>
      <c r="C84" s="7"/>
      <c r="D84" s="7"/>
      <c r="E84" s="7"/>
      <c r="F84" s="7"/>
      <c r="G84" s="7"/>
      <c r="H84" s="7"/>
      <c r="I84" s="7"/>
    </row>
    <row r="85" spans="2:9" s="6" customFormat="1">
      <c r="B85" s="7"/>
      <c r="C85" s="7"/>
      <c r="D85" s="7"/>
      <c r="E85" s="7"/>
      <c r="F85" s="7"/>
      <c r="G85" s="7"/>
      <c r="H85" s="7"/>
      <c r="I85" s="7"/>
    </row>
    <row r="86" spans="2:9" s="6" customFormat="1">
      <c r="B86" s="7"/>
      <c r="C86" s="7"/>
      <c r="D86" s="7"/>
      <c r="E86" s="7"/>
      <c r="F86" s="7"/>
      <c r="G86" s="7"/>
      <c r="H86" s="7"/>
      <c r="I86" s="7"/>
    </row>
  </sheetData>
  <pageMargins left="0.7" right="0.7" top="0.75" bottom="0.75" header="0.3" footer="0.3"/>
  <pageSetup paperSize="9"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FADD4-C8A4-4400-B68A-D96FC1366435}">
  <dimension ref="A1:J110"/>
  <sheetViews>
    <sheetView showGridLines="0" workbookViewId="0">
      <selection sqref="A1:H38"/>
    </sheetView>
  </sheetViews>
  <sheetFormatPr defaultColWidth="0" defaultRowHeight="15"/>
  <cols>
    <col min="1" max="1" width="48.42578125" bestFit="1" customWidth="1"/>
    <col min="2" max="8" width="11.42578125" style="3" customWidth="1"/>
    <col min="9" max="16384" width="11.42578125" hidden="1"/>
  </cols>
  <sheetData>
    <row r="1" spans="1:10">
      <c r="A1" s="93" t="s">
        <v>105</v>
      </c>
      <c r="B1" s="94">
        <v>43465</v>
      </c>
      <c r="C1" s="94">
        <v>43830</v>
      </c>
      <c r="D1" s="94">
        <v>44196</v>
      </c>
      <c r="E1" s="94">
        <v>44561</v>
      </c>
      <c r="F1" s="94">
        <v>44926</v>
      </c>
      <c r="G1" s="94">
        <v>45291</v>
      </c>
      <c r="H1" s="94">
        <v>45657</v>
      </c>
      <c r="I1" t="s">
        <v>106</v>
      </c>
      <c r="J1" t="s">
        <v>107</v>
      </c>
    </row>
    <row r="2" spans="1:10" s="93" customFormat="1">
      <c r="A2" s="93" t="s">
        <v>108</v>
      </c>
      <c r="B2" s="94"/>
      <c r="C2" s="94"/>
      <c r="D2" s="94"/>
      <c r="E2" s="94"/>
      <c r="F2" s="94"/>
      <c r="G2" s="94"/>
      <c r="H2" s="94"/>
      <c r="I2" s="123"/>
    </row>
    <row r="3" spans="1:10">
      <c r="A3" t="s">
        <v>109</v>
      </c>
      <c r="B3" s="92">
        <v>10944</v>
      </c>
      <c r="C3" s="92">
        <v>11820</v>
      </c>
      <c r="D3" s="92">
        <v>13978.5</v>
      </c>
      <c r="E3" s="92">
        <v>18611</v>
      </c>
      <c r="F3" s="92">
        <v>21173.4</v>
      </c>
      <c r="G3" s="92">
        <v>27558.5</v>
      </c>
      <c r="H3" s="92">
        <v>28262.9</v>
      </c>
      <c r="I3" t="s">
        <v>110</v>
      </c>
      <c r="J3" t="s">
        <v>111</v>
      </c>
    </row>
    <row r="4" spans="1:10">
      <c r="A4" t="s">
        <v>112</v>
      </c>
      <c r="B4" s="92">
        <v>0.20899999999999999</v>
      </c>
      <c r="C4" s="92">
        <v>0.08</v>
      </c>
      <c r="D4" s="92">
        <v>0.183</v>
      </c>
      <c r="E4" s="92">
        <v>0.33100000000000002</v>
      </c>
      <c r="F4" s="92">
        <v>0.13800000000000001</v>
      </c>
      <c r="G4" s="92">
        <v>0.30199999999999999</v>
      </c>
      <c r="H4" s="92">
        <v>2.5999999999999999E-2</v>
      </c>
      <c r="I4" s="124" t="s">
        <v>113</v>
      </c>
      <c r="J4" t="s">
        <v>114</v>
      </c>
    </row>
    <row r="5" spans="1:10">
      <c r="A5" t="s">
        <v>115</v>
      </c>
      <c r="B5" s="92">
        <v>-6225.7</v>
      </c>
      <c r="C5" s="92">
        <v>-6919.9</v>
      </c>
      <c r="D5" s="92">
        <v>-7181.3</v>
      </c>
      <c r="E5" s="92">
        <v>-8802</v>
      </c>
      <c r="F5" s="92">
        <v>-10660.7</v>
      </c>
      <c r="G5" s="92">
        <v>-13722.5</v>
      </c>
      <c r="H5" s="92">
        <v>-13770.9</v>
      </c>
      <c r="I5" s="124" t="s">
        <v>116</v>
      </c>
      <c r="J5" t="s">
        <v>117</v>
      </c>
    </row>
    <row r="6" spans="1:10">
      <c r="A6" t="s">
        <v>118</v>
      </c>
      <c r="B6" s="92">
        <v>4718.3</v>
      </c>
      <c r="C6" s="92">
        <v>4900.1000000000004</v>
      </c>
      <c r="D6" s="92">
        <v>6797.2</v>
      </c>
      <c r="E6" s="92">
        <v>9809</v>
      </c>
      <c r="F6" s="92">
        <v>10512.7</v>
      </c>
      <c r="G6" s="92">
        <v>13836</v>
      </c>
      <c r="H6" s="92">
        <v>14492</v>
      </c>
      <c r="I6" s="124" t="s">
        <v>119</v>
      </c>
      <c r="J6" t="s">
        <v>120</v>
      </c>
    </row>
    <row r="7" spans="1:10">
      <c r="A7" t="s">
        <v>112</v>
      </c>
      <c r="B7" s="92">
        <v>0.157</v>
      </c>
      <c r="C7" s="92">
        <v>3.9E-2</v>
      </c>
      <c r="D7" s="92">
        <v>0.38700000000000001</v>
      </c>
      <c r="E7" s="92">
        <v>0.443</v>
      </c>
      <c r="F7" s="92">
        <v>7.1999999999999995E-2</v>
      </c>
      <c r="G7" s="92">
        <v>0.316</v>
      </c>
      <c r="H7" s="92">
        <v>4.7E-2</v>
      </c>
      <c r="I7" s="124" t="s">
        <v>121</v>
      </c>
      <c r="J7" t="s">
        <v>122</v>
      </c>
    </row>
    <row r="8" spans="1:10">
      <c r="A8" t="s">
        <v>123</v>
      </c>
      <c r="B8" s="92">
        <v>0.43099999999999999</v>
      </c>
      <c r="C8" s="92">
        <v>0.41499999999999998</v>
      </c>
      <c r="D8" s="92">
        <v>0.48599999999999999</v>
      </c>
      <c r="E8" s="92">
        <v>0.52700000000000002</v>
      </c>
      <c r="F8" s="92">
        <v>0.497</v>
      </c>
      <c r="G8" s="92">
        <v>0.502</v>
      </c>
      <c r="H8" s="92">
        <v>0.51300000000000001</v>
      </c>
      <c r="I8" s="124" t="s">
        <v>124</v>
      </c>
      <c r="J8" t="s">
        <v>125</v>
      </c>
    </row>
    <row r="9" spans="1:10">
      <c r="A9" t="s">
        <v>126</v>
      </c>
      <c r="B9" s="92">
        <v>-488</v>
      </c>
      <c r="C9" s="92">
        <v>-520.5</v>
      </c>
      <c r="D9" s="92">
        <v>-544.9</v>
      </c>
      <c r="E9" s="92">
        <v>-725.6</v>
      </c>
      <c r="F9" s="92">
        <v>-909.6</v>
      </c>
      <c r="G9" s="92">
        <v>-1068.8</v>
      </c>
      <c r="H9" s="92">
        <v>-1165.7</v>
      </c>
      <c r="I9" s="124" t="s">
        <v>127</v>
      </c>
      <c r="J9" t="s">
        <v>128</v>
      </c>
    </row>
    <row r="10" spans="1:10">
      <c r="A10" t="s">
        <v>129</v>
      </c>
      <c r="B10" s="92">
        <v>-1347</v>
      </c>
      <c r="C10" s="92">
        <v>-1662.9</v>
      </c>
      <c r="D10" s="92">
        <v>-2200.8000000000002</v>
      </c>
      <c r="E10" s="92">
        <v>-2547</v>
      </c>
      <c r="F10" s="92">
        <v>-2282.1</v>
      </c>
      <c r="G10" s="92">
        <v>-3724.9</v>
      </c>
      <c r="H10" s="92">
        <v>-4303.7</v>
      </c>
      <c r="I10" s="124" t="s">
        <v>130</v>
      </c>
      <c r="J10" t="s">
        <v>131</v>
      </c>
    </row>
    <row r="11" spans="1:10">
      <c r="A11" t="s">
        <v>132</v>
      </c>
      <c r="B11" s="92"/>
      <c r="C11" s="92"/>
      <c r="D11" s="92"/>
      <c r="E11" s="92">
        <v>-213.7</v>
      </c>
      <c r="F11" s="92"/>
      <c r="G11" s="92"/>
      <c r="H11" s="92"/>
      <c r="I11" s="124" t="s">
        <v>133</v>
      </c>
      <c r="J11" t="s">
        <v>134</v>
      </c>
    </row>
    <row r="12" spans="1:10">
      <c r="A12" t="s">
        <v>135</v>
      </c>
      <c r="B12" s="92">
        <v>-1835</v>
      </c>
      <c r="C12" s="92">
        <v>-2183.4</v>
      </c>
      <c r="D12" s="92">
        <v>-2745.7</v>
      </c>
      <c r="E12" s="92">
        <v>-3272.6</v>
      </c>
      <c r="F12" s="92">
        <v>-3191.7</v>
      </c>
      <c r="G12" s="92">
        <v>-4793.7</v>
      </c>
      <c r="H12" s="92">
        <v>-5469.4</v>
      </c>
      <c r="I12" s="124" t="s">
        <v>136</v>
      </c>
      <c r="J12" t="s">
        <v>137</v>
      </c>
    </row>
    <row r="13" spans="1:10">
      <c r="A13" t="s">
        <v>138</v>
      </c>
      <c r="B13" s="92">
        <v>2883.3</v>
      </c>
      <c r="C13" s="92">
        <v>2716.7</v>
      </c>
      <c r="D13" s="92">
        <v>4051.5</v>
      </c>
      <c r="E13" s="92">
        <v>6750.1</v>
      </c>
      <c r="F13" s="92">
        <v>7321</v>
      </c>
      <c r="G13" s="92">
        <v>9042.2999999999993</v>
      </c>
      <c r="H13" s="92">
        <v>9022.6</v>
      </c>
      <c r="I13" s="124" t="s">
        <v>139</v>
      </c>
      <c r="J13" t="s">
        <v>140</v>
      </c>
    </row>
    <row r="14" spans="1:10">
      <c r="A14" t="s">
        <v>112</v>
      </c>
      <c r="B14" s="92">
        <v>0.155</v>
      </c>
      <c r="C14" s="92">
        <v>-5.8000000000000003E-2</v>
      </c>
      <c r="D14" s="92">
        <v>0.49099999999999999</v>
      </c>
      <c r="E14" s="92">
        <v>0.66600000000000004</v>
      </c>
      <c r="F14" s="92">
        <v>8.5000000000000006E-2</v>
      </c>
      <c r="G14" s="92">
        <v>0.23499999999999999</v>
      </c>
      <c r="H14" s="92">
        <v>-2E-3</v>
      </c>
      <c r="I14" s="124" t="s">
        <v>141</v>
      </c>
      <c r="J14" t="s">
        <v>142</v>
      </c>
    </row>
    <row r="15" spans="1:10">
      <c r="A15" t="s">
        <v>143</v>
      </c>
      <c r="B15" s="92">
        <v>0.26300000000000001</v>
      </c>
      <c r="C15" s="92">
        <v>0.23</v>
      </c>
      <c r="D15" s="92">
        <v>0.28999999999999998</v>
      </c>
      <c r="E15" s="92">
        <v>0.36299999999999999</v>
      </c>
      <c r="F15" s="92">
        <v>0.34599999999999997</v>
      </c>
      <c r="G15" s="92">
        <v>0.32800000000000001</v>
      </c>
      <c r="H15" s="92">
        <v>0.31900000000000001</v>
      </c>
      <c r="I15" s="124" t="s">
        <v>144</v>
      </c>
      <c r="J15" t="s">
        <v>145</v>
      </c>
    </row>
    <row r="16" spans="1:10">
      <c r="A16" t="s">
        <v>146</v>
      </c>
      <c r="B16" s="92">
        <v>-41.8</v>
      </c>
      <c r="C16" s="92">
        <v>-36.6</v>
      </c>
      <c r="D16" s="92">
        <v>-43.4</v>
      </c>
      <c r="E16" s="92">
        <v>-54.6</v>
      </c>
      <c r="F16" s="92">
        <v>-60.8</v>
      </c>
      <c r="G16" s="92">
        <v>-152.1</v>
      </c>
      <c r="H16" s="92"/>
      <c r="I16" t="s">
        <v>147</v>
      </c>
      <c r="J16" t="s">
        <v>148</v>
      </c>
    </row>
    <row r="17" spans="1:10">
      <c r="A17" t="s">
        <v>149</v>
      </c>
      <c r="B17" s="92">
        <v>-28.3</v>
      </c>
      <c r="C17" s="92">
        <v>-25</v>
      </c>
      <c r="D17" s="92">
        <v>-34.9</v>
      </c>
      <c r="E17" s="92">
        <v>-44.6</v>
      </c>
      <c r="F17" s="92">
        <v>-44.6</v>
      </c>
      <c r="G17" s="92">
        <v>41.2</v>
      </c>
      <c r="H17" s="92">
        <v>19.8</v>
      </c>
      <c r="I17" t="s">
        <v>150</v>
      </c>
      <c r="J17" t="s">
        <v>151</v>
      </c>
    </row>
    <row r="18" spans="1:10">
      <c r="A18" t="s">
        <v>152</v>
      </c>
      <c r="B18" s="92">
        <v>2855</v>
      </c>
      <c r="C18" s="92">
        <v>2691.7</v>
      </c>
      <c r="D18" s="92">
        <v>4016.6</v>
      </c>
      <c r="E18" s="92">
        <v>6705.5</v>
      </c>
      <c r="F18" s="92">
        <v>7276.4</v>
      </c>
      <c r="G18" s="92">
        <v>9083.5</v>
      </c>
      <c r="H18" s="92">
        <v>9042.4</v>
      </c>
      <c r="I18" s="124" t="s">
        <v>153</v>
      </c>
      <c r="J18" t="s">
        <v>154</v>
      </c>
    </row>
    <row r="19" spans="1:10">
      <c r="A19" t="s">
        <v>112</v>
      </c>
      <c r="B19" s="92">
        <v>0.16700000000000001</v>
      </c>
      <c r="C19" s="92">
        <v>-5.7000000000000002E-2</v>
      </c>
      <c r="D19" s="92">
        <v>0.49199999999999999</v>
      </c>
      <c r="E19" s="92">
        <v>0.66900000000000004</v>
      </c>
      <c r="F19" s="92">
        <v>8.5000000000000006E-2</v>
      </c>
      <c r="G19" s="92">
        <v>0.248</v>
      </c>
      <c r="H19" s="92">
        <v>-5.0000000000000001E-3</v>
      </c>
      <c r="I19" s="124" t="s">
        <v>155</v>
      </c>
      <c r="J19" t="s">
        <v>156</v>
      </c>
    </row>
    <row r="20" spans="1:10">
      <c r="A20" t="s">
        <v>157</v>
      </c>
      <c r="B20" s="92">
        <v>0.26100000000000001</v>
      </c>
      <c r="C20" s="92">
        <v>0.22800000000000001</v>
      </c>
      <c r="D20" s="92">
        <v>0.28699999999999998</v>
      </c>
      <c r="E20" s="92">
        <v>0.36</v>
      </c>
      <c r="F20" s="92">
        <v>0.34399999999999997</v>
      </c>
      <c r="G20" s="92">
        <v>0.33</v>
      </c>
      <c r="H20" s="92">
        <v>0.32</v>
      </c>
      <c r="I20" t="s">
        <v>158</v>
      </c>
      <c r="J20" t="s">
        <v>159</v>
      </c>
    </row>
    <row r="21" spans="1:10">
      <c r="A21" t="s">
        <v>160</v>
      </c>
      <c r="B21" s="92">
        <v>-335.7</v>
      </c>
      <c r="C21" s="92">
        <v>-128.80000000000001</v>
      </c>
      <c r="D21" s="92">
        <v>-551.5</v>
      </c>
      <c r="E21" s="92">
        <v>-1021.4</v>
      </c>
      <c r="F21" s="92">
        <v>-1018.6</v>
      </c>
      <c r="G21" s="92">
        <v>-1435.8</v>
      </c>
      <c r="H21" s="92">
        <v>-1680.6</v>
      </c>
      <c r="I21" s="124" t="s">
        <v>161</v>
      </c>
      <c r="J21" t="s">
        <v>162</v>
      </c>
    </row>
    <row r="22" spans="1:10">
      <c r="A22" t="s">
        <v>163</v>
      </c>
      <c r="B22" s="92">
        <v>0.11799999999999999</v>
      </c>
      <c r="C22" s="92">
        <v>4.8000000000000001E-2</v>
      </c>
      <c r="D22" s="92">
        <v>0.13700000000000001</v>
      </c>
      <c r="E22" s="92">
        <v>0.152</v>
      </c>
      <c r="F22" s="92">
        <v>0.14000000000000001</v>
      </c>
      <c r="G22" s="92">
        <v>0.158</v>
      </c>
      <c r="H22" s="92">
        <v>0.186</v>
      </c>
      <c r="I22" s="124" t="s">
        <v>164</v>
      </c>
      <c r="J22" t="s">
        <v>165</v>
      </c>
    </row>
    <row r="23" spans="1:10">
      <c r="A23" t="s">
        <v>36</v>
      </c>
      <c r="B23" s="92">
        <v>2519.3000000000002</v>
      </c>
      <c r="C23" s="92">
        <v>2581.1</v>
      </c>
      <c r="D23" s="92">
        <v>3553.7</v>
      </c>
      <c r="E23" s="92">
        <v>5883.2</v>
      </c>
      <c r="F23" s="92">
        <v>5624.2</v>
      </c>
      <c r="G23" s="92">
        <v>7839</v>
      </c>
      <c r="H23" s="92">
        <v>7571.6</v>
      </c>
      <c r="I23" s="124" t="s">
        <v>166</v>
      </c>
      <c r="J23" t="s">
        <v>167</v>
      </c>
    </row>
    <row r="24" spans="1:10">
      <c r="A24" t="s">
        <v>112</v>
      </c>
      <c r="B24" s="92">
        <v>0.18</v>
      </c>
      <c r="C24" s="92">
        <v>2.5000000000000001E-2</v>
      </c>
      <c r="D24" s="92">
        <v>0.377</v>
      </c>
      <c r="E24" s="92">
        <v>0.65600000000000003</v>
      </c>
      <c r="F24" s="92">
        <v>-4.3999999999999997E-2</v>
      </c>
      <c r="G24" s="92">
        <v>0.39400000000000002</v>
      </c>
      <c r="H24" s="92">
        <v>-3.4000000000000002E-2</v>
      </c>
      <c r="I24" s="124" t="s">
        <v>168</v>
      </c>
      <c r="J24" t="s">
        <v>169</v>
      </c>
    </row>
    <row r="25" spans="1:10">
      <c r="A25" t="s">
        <v>170</v>
      </c>
      <c r="B25" s="92">
        <v>0.23</v>
      </c>
      <c r="C25" s="92">
        <v>0.218</v>
      </c>
      <c r="D25" s="92">
        <v>0.254</v>
      </c>
      <c r="E25" s="92">
        <v>0.316</v>
      </c>
      <c r="F25" s="92">
        <v>0.26600000000000001</v>
      </c>
      <c r="G25" s="92">
        <v>0.28399999999999997</v>
      </c>
      <c r="H25" s="92">
        <v>0.26800000000000002</v>
      </c>
      <c r="I25" s="124" t="s">
        <v>171</v>
      </c>
      <c r="J25" t="s">
        <v>172</v>
      </c>
    </row>
    <row r="26" spans="1:10">
      <c r="A26" t="s">
        <v>173</v>
      </c>
      <c r="B26" s="92">
        <v>426.4</v>
      </c>
      <c r="C26" s="92">
        <v>421.6</v>
      </c>
      <c r="D26" s="92">
        <v>419.1</v>
      </c>
      <c r="E26" s="92">
        <v>410.4</v>
      </c>
      <c r="F26" s="92">
        <v>398</v>
      </c>
      <c r="G26" s="92">
        <v>394.1</v>
      </c>
      <c r="H26" s="92">
        <v>393.6</v>
      </c>
      <c r="I26" s="124" t="s">
        <v>174</v>
      </c>
      <c r="J26" t="s">
        <v>175</v>
      </c>
    </row>
    <row r="27" spans="1:10">
      <c r="A27" t="s">
        <v>112</v>
      </c>
      <c r="B27" s="92">
        <v>-1.2E-2</v>
      </c>
      <c r="C27" s="92">
        <v>-1.0999999999999999E-2</v>
      </c>
      <c r="D27" s="92">
        <v>-6.0000000000000001E-3</v>
      </c>
      <c r="E27" s="92">
        <v>-2.1000000000000001E-2</v>
      </c>
      <c r="F27" s="92">
        <v>-0.03</v>
      </c>
      <c r="G27" s="92">
        <v>-0.01</v>
      </c>
      <c r="H27" s="92">
        <v>-1E-3</v>
      </c>
      <c r="I27" s="124" t="s">
        <v>176</v>
      </c>
      <c r="J27" t="s">
        <v>177</v>
      </c>
    </row>
    <row r="28" spans="1:10">
      <c r="A28" t="s">
        <v>178</v>
      </c>
      <c r="B28" s="92">
        <v>5.91</v>
      </c>
      <c r="C28" s="92">
        <v>6.15</v>
      </c>
      <c r="D28" s="92">
        <v>8.48</v>
      </c>
      <c r="E28" s="92">
        <v>14.34</v>
      </c>
      <c r="F28" s="92">
        <v>14.13</v>
      </c>
      <c r="G28" s="92">
        <v>19.89</v>
      </c>
      <c r="H28" s="92">
        <v>38.47</v>
      </c>
      <c r="I28" s="124" t="s">
        <v>179</v>
      </c>
      <c r="J28" t="s">
        <v>180</v>
      </c>
    </row>
    <row r="29" spans="1:10">
      <c r="A29" t="s">
        <v>112</v>
      </c>
      <c r="B29" s="92">
        <v>0.23400000000000001</v>
      </c>
      <c r="C29" s="92">
        <v>4.1000000000000002E-2</v>
      </c>
      <c r="D29" s="92">
        <v>0.379</v>
      </c>
      <c r="E29" s="92">
        <v>0.69099999999999995</v>
      </c>
      <c r="F29" s="92">
        <v>-1.4999999999999999E-2</v>
      </c>
      <c r="G29" s="92">
        <v>0.40799999999999997</v>
      </c>
      <c r="H29" s="92">
        <v>0.93400000000000005</v>
      </c>
      <c r="I29" s="124" t="s">
        <v>181</v>
      </c>
      <c r="J29" t="s">
        <v>182</v>
      </c>
    </row>
    <row r="30" spans="1:10">
      <c r="A30" t="s">
        <v>183</v>
      </c>
      <c r="B30" s="92"/>
      <c r="C30" s="92"/>
      <c r="D30" s="92"/>
      <c r="E30" s="92"/>
      <c r="F30" s="92"/>
      <c r="G30" s="92"/>
      <c r="H30" s="92"/>
      <c r="I30" s="124"/>
    </row>
    <row r="31" spans="1:10">
      <c r="A31" t="s">
        <v>184</v>
      </c>
      <c r="B31" s="92">
        <v>5.93</v>
      </c>
      <c r="C31" s="92">
        <v>6.16</v>
      </c>
      <c r="D31" s="92">
        <v>8.5</v>
      </c>
      <c r="E31" s="92">
        <v>14.36</v>
      </c>
      <c r="F31" s="92">
        <v>14.14</v>
      </c>
      <c r="G31" s="92">
        <v>19.91</v>
      </c>
      <c r="H31" s="92">
        <v>38.5</v>
      </c>
      <c r="I31" s="124" t="s">
        <v>179</v>
      </c>
      <c r="J31">
        <v>45658</v>
      </c>
    </row>
    <row r="32" spans="1:10">
      <c r="A32" t="s">
        <v>112</v>
      </c>
      <c r="B32" s="92">
        <v>0.23300000000000001</v>
      </c>
      <c r="C32" s="92">
        <v>3.9E-2</v>
      </c>
      <c r="D32" s="92">
        <v>0.38</v>
      </c>
      <c r="E32" s="92">
        <v>0.68899999999999995</v>
      </c>
      <c r="F32" s="92">
        <v>-1.4999999999999999E-2</v>
      </c>
      <c r="G32" s="92">
        <v>0.40799999999999997</v>
      </c>
      <c r="H32" s="92">
        <v>0.93400000000000005</v>
      </c>
      <c r="I32" s="124" t="s">
        <v>185</v>
      </c>
      <c r="J32" t="s">
        <v>186</v>
      </c>
    </row>
    <row r="33" spans="1:10">
      <c r="A33" t="s">
        <v>187</v>
      </c>
      <c r="B33" s="92">
        <v>424.9</v>
      </c>
      <c r="C33" s="92">
        <v>420.8</v>
      </c>
      <c r="D33" s="92">
        <v>418.3</v>
      </c>
      <c r="E33" s="92">
        <v>409.8</v>
      </c>
      <c r="F33" s="92">
        <v>397.7</v>
      </c>
      <c r="G33" s="92">
        <v>393.8</v>
      </c>
      <c r="H33" s="92">
        <v>393.3</v>
      </c>
      <c r="I33" t="s">
        <v>188</v>
      </c>
      <c r="J33" t="s">
        <v>189</v>
      </c>
    </row>
    <row r="34" spans="1:10">
      <c r="A34" t="s">
        <v>112</v>
      </c>
      <c r="B34" s="92">
        <v>-1.0999999999999999E-2</v>
      </c>
      <c r="C34" s="92">
        <v>-0.01</v>
      </c>
      <c r="D34" s="92">
        <v>-6.0000000000000001E-3</v>
      </c>
      <c r="E34" s="92">
        <v>-0.02</v>
      </c>
      <c r="F34" s="92">
        <v>-0.03</v>
      </c>
      <c r="G34" s="92">
        <v>-0.01</v>
      </c>
      <c r="H34" s="92">
        <v>-1E-3</v>
      </c>
      <c r="I34" s="124" t="s">
        <v>176</v>
      </c>
      <c r="J34" t="s">
        <v>190</v>
      </c>
    </row>
    <row r="35" spans="1:10">
      <c r="A35" t="s">
        <v>21</v>
      </c>
      <c r="B35" s="92">
        <v>3630.3</v>
      </c>
      <c r="C35" s="92">
        <v>3556.6</v>
      </c>
      <c r="D35" s="92">
        <v>4542.3</v>
      </c>
      <c r="E35" s="92">
        <v>7007.4</v>
      </c>
      <c r="F35" s="92">
        <v>8213.1</v>
      </c>
      <c r="G35" s="92">
        <v>9828.5</v>
      </c>
      <c r="H35" s="92">
        <v>9961</v>
      </c>
      <c r="I35" t="s">
        <v>191</v>
      </c>
      <c r="J35" t="s">
        <v>140</v>
      </c>
    </row>
    <row r="36" spans="1:10">
      <c r="A36" t="s">
        <v>112</v>
      </c>
      <c r="B36" s="292">
        <v>0.28799999999999998</v>
      </c>
      <c r="C36" s="292">
        <v>-0.02</v>
      </c>
      <c r="D36" s="92">
        <v>0.27700000000000002</v>
      </c>
      <c r="E36" s="92">
        <v>0.54300000000000004</v>
      </c>
      <c r="F36" s="92">
        <v>0.17199999999999999</v>
      </c>
      <c r="G36" s="92">
        <v>0.19700000000000001</v>
      </c>
      <c r="H36" s="92">
        <v>1.2999999999999999E-2</v>
      </c>
      <c r="I36" s="124" t="s">
        <v>192</v>
      </c>
      <c r="J36" t="s">
        <v>193</v>
      </c>
    </row>
    <row r="37" spans="1:10">
      <c r="A37" t="s">
        <v>194</v>
      </c>
      <c r="B37" s="292">
        <v>0.33200000000000002</v>
      </c>
      <c r="C37" s="92">
        <v>0.30099999999999999</v>
      </c>
      <c r="D37" s="92">
        <v>0.32500000000000001</v>
      </c>
      <c r="E37" s="92">
        <v>0.377</v>
      </c>
      <c r="F37" s="92">
        <v>0.38800000000000001</v>
      </c>
      <c r="G37" s="92">
        <v>0.35699999999999998</v>
      </c>
      <c r="H37" s="92">
        <v>0.35199999999999998</v>
      </c>
      <c r="I37" t="s">
        <v>195</v>
      </c>
      <c r="J37" t="s">
        <v>145</v>
      </c>
    </row>
    <row r="38" spans="1:10">
      <c r="A38" t="s">
        <v>196</v>
      </c>
      <c r="B38" s="92">
        <v>733.5</v>
      </c>
      <c r="C38" s="92">
        <v>839.9</v>
      </c>
      <c r="D38" s="92">
        <v>490.8</v>
      </c>
      <c r="E38" s="92">
        <v>257.3</v>
      </c>
      <c r="F38" s="92">
        <v>892.1</v>
      </c>
      <c r="G38" s="92">
        <v>786.2</v>
      </c>
      <c r="H38" s="92">
        <v>918.6</v>
      </c>
      <c r="I38" t="s">
        <v>197</v>
      </c>
    </row>
    <row r="39" spans="1:10">
      <c r="A39" t="s">
        <v>198</v>
      </c>
      <c r="B39" s="92"/>
      <c r="C39" s="92"/>
      <c r="D39" s="92"/>
      <c r="E39" s="92">
        <v>0.21</v>
      </c>
      <c r="F39" s="92"/>
      <c r="G39" s="92"/>
      <c r="H39" s="92">
        <v>2.08</v>
      </c>
      <c r="I39" s="124"/>
    </row>
    <row r="40" spans="1:10">
      <c r="A40" t="s">
        <v>198</v>
      </c>
      <c r="B40" s="92">
        <v>13594</v>
      </c>
      <c r="C40" s="92">
        <v>14768</v>
      </c>
      <c r="D40" s="92">
        <v>14743</v>
      </c>
      <c r="E40" s="92">
        <v>14374</v>
      </c>
      <c r="F40" s="92">
        <v>17833</v>
      </c>
      <c r="G40" s="92">
        <v>21397</v>
      </c>
      <c r="H40" s="92"/>
    </row>
    <row r="41" spans="1:10">
      <c r="B41" s="92"/>
      <c r="C41" s="92"/>
      <c r="D41" s="92"/>
      <c r="E41" s="92"/>
      <c r="F41" s="92"/>
      <c r="G41" s="92"/>
      <c r="H41" s="92"/>
      <c r="I41" s="124"/>
    </row>
    <row r="42" spans="1:10">
      <c r="B42" s="92"/>
      <c r="C42" s="92"/>
      <c r="D42" s="92"/>
      <c r="E42" s="92"/>
      <c r="F42" s="92"/>
      <c r="G42" s="92"/>
      <c r="H42" s="92"/>
      <c r="I42" s="124"/>
    </row>
    <row r="44" spans="1:10">
      <c r="B44" s="92"/>
      <c r="C44" s="92"/>
      <c r="D44" s="92"/>
      <c r="E44" s="92"/>
      <c r="F44" s="92"/>
      <c r="G44" s="92"/>
      <c r="H44" s="92"/>
      <c r="I44" s="124"/>
    </row>
    <row r="45" spans="1:10">
      <c r="B45" s="92"/>
      <c r="C45" s="92"/>
      <c r="D45" s="92"/>
      <c r="E45" s="92"/>
      <c r="F45" s="92"/>
      <c r="G45" s="92"/>
      <c r="H45" s="92"/>
      <c r="I45" s="124"/>
    </row>
    <row r="46" spans="1:10">
      <c r="B46" s="92"/>
      <c r="C46" s="92"/>
      <c r="D46" s="92"/>
      <c r="E46" s="92"/>
      <c r="F46" s="92"/>
      <c r="G46" s="92"/>
      <c r="H46" s="92"/>
    </row>
    <row r="47" spans="1:10">
      <c r="B47" s="92"/>
      <c r="C47" s="92"/>
      <c r="D47" s="92"/>
      <c r="E47" s="92"/>
      <c r="F47" s="92"/>
      <c r="G47" s="92"/>
      <c r="H47" s="92"/>
      <c r="I47" s="124"/>
    </row>
    <row r="48" spans="1:10">
      <c r="B48" s="92"/>
      <c r="C48" s="92"/>
      <c r="D48" s="92"/>
      <c r="E48" s="92"/>
      <c r="F48" s="92"/>
      <c r="G48" s="92"/>
      <c r="H48" s="92"/>
      <c r="I48" s="124"/>
    </row>
    <row r="49" spans="2:9">
      <c r="B49" s="92"/>
      <c r="C49" s="92"/>
      <c r="D49" s="92"/>
      <c r="E49" s="92"/>
      <c r="F49" s="92"/>
      <c r="G49" s="92"/>
      <c r="H49" s="92"/>
      <c r="I49" s="124"/>
    </row>
    <row r="50" spans="2:9">
      <c r="B50" s="92"/>
      <c r="C50" s="92"/>
      <c r="D50" s="92"/>
      <c r="E50" s="92"/>
      <c r="F50" s="92"/>
      <c r="G50" s="92"/>
      <c r="H50" s="92"/>
      <c r="I50" s="124"/>
    </row>
    <row r="51" spans="2:9">
      <c r="B51" s="92"/>
      <c r="C51" s="92"/>
      <c r="D51" s="92"/>
      <c r="E51" s="92"/>
      <c r="F51" s="92"/>
      <c r="G51" s="92"/>
      <c r="H51" s="92"/>
    </row>
    <row r="52" spans="2:9">
      <c r="B52" s="92"/>
      <c r="C52" s="92"/>
      <c r="D52" s="92"/>
      <c r="E52" s="92"/>
      <c r="F52" s="92"/>
      <c r="G52" s="92"/>
      <c r="H52" s="92"/>
    </row>
    <row r="53" spans="2:9">
      <c r="B53" s="92"/>
      <c r="C53" s="92"/>
      <c r="D53" s="92"/>
      <c r="E53" s="92"/>
      <c r="F53" s="92"/>
      <c r="G53" s="92"/>
      <c r="H53" s="92"/>
    </row>
    <row r="54" spans="2:9">
      <c r="B54" s="92"/>
      <c r="C54" s="92"/>
      <c r="D54" s="92"/>
      <c r="E54" s="92"/>
      <c r="F54" s="92"/>
      <c r="G54" s="92"/>
      <c r="H54" s="92"/>
    </row>
    <row r="55" spans="2:9">
      <c r="B55" s="92"/>
      <c r="C55" s="92"/>
      <c r="D55" s="92"/>
      <c r="E55" s="92"/>
      <c r="F55" s="92"/>
      <c r="G55" s="92"/>
      <c r="H55" s="92"/>
    </row>
    <row r="56" spans="2:9">
      <c r="B56" s="92"/>
      <c r="C56" s="92"/>
      <c r="D56" s="92"/>
      <c r="E56" s="92"/>
      <c r="F56" s="92"/>
      <c r="G56" s="92"/>
      <c r="H56" s="92"/>
    </row>
    <row r="57" spans="2:9">
      <c r="B57" s="92"/>
      <c r="C57" s="92"/>
      <c r="D57" s="92"/>
      <c r="E57" s="92"/>
      <c r="F57" s="92"/>
      <c r="G57" s="92"/>
      <c r="H57" s="92"/>
    </row>
    <row r="58" spans="2:9">
      <c r="D58" s="92"/>
      <c r="E58" s="92"/>
      <c r="F58" s="92"/>
      <c r="G58" s="92"/>
      <c r="H58" s="92"/>
    </row>
    <row r="59" spans="2:9">
      <c r="B59" s="92"/>
      <c r="C59" s="92"/>
      <c r="D59" s="92"/>
      <c r="E59" s="92"/>
      <c r="F59" s="92"/>
      <c r="G59" s="92"/>
      <c r="H59" s="92"/>
    </row>
    <row r="60" spans="2:9">
      <c r="B60" s="92"/>
      <c r="C60" s="92"/>
      <c r="D60" s="92"/>
      <c r="E60" s="92"/>
      <c r="F60" s="92"/>
      <c r="G60" s="92"/>
      <c r="H60" s="92"/>
    </row>
    <row r="61" spans="2:9">
      <c r="B61" s="91"/>
      <c r="C61" s="91"/>
      <c r="D61" s="91"/>
      <c r="E61" s="91"/>
      <c r="F61" s="91"/>
      <c r="G61" s="91"/>
    </row>
    <row r="63" spans="2:9">
      <c r="B63" s="92"/>
      <c r="C63" s="92"/>
      <c r="D63" s="92"/>
      <c r="E63" s="92"/>
      <c r="F63" s="92"/>
      <c r="G63" s="92"/>
      <c r="H63" s="92"/>
    </row>
    <row r="64" spans="2:9">
      <c r="B64" s="92"/>
      <c r="C64" s="92"/>
      <c r="D64" s="92"/>
      <c r="E64" s="92"/>
      <c r="F64" s="92"/>
      <c r="G64" s="92"/>
      <c r="H64" s="92"/>
    </row>
    <row r="66" spans="2:8">
      <c r="B66" s="92"/>
      <c r="C66" s="92"/>
      <c r="D66" s="92"/>
      <c r="E66" s="92"/>
      <c r="F66" s="92"/>
      <c r="G66" s="92"/>
      <c r="H66" s="92"/>
    </row>
    <row r="67" spans="2:8">
      <c r="B67" s="92"/>
      <c r="C67" s="92"/>
      <c r="D67" s="92"/>
      <c r="E67" s="92"/>
      <c r="F67" s="92"/>
      <c r="G67" s="92"/>
      <c r="H67" s="92"/>
    </row>
    <row r="103" spans="7:7">
      <c r="G103" s="92"/>
    </row>
    <row r="110" spans="7:7">
      <c r="G110" s="92"/>
    </row>
  </sheetData>
  <pageMargins left="0.7" right="0.7" top="0.75" bottom="0.75" header="0.3" footer="0.3"/>
  <pageSetup paperSize="9"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17B4B-89B8-4AC6-982A-7000E3238168}">
  <dimension ref="A1:J64"/>
  <sheetViews>
    <sheetView showGridLines="0" workbookViewId="0">
      <selection sqref="A1:H39"/>
    </sheetView>
  </sheetViews>
  <sheetFormatPr defaultColWidth="0" defaultRowHeight="15"/>
  <cols>
    <col min="1" max="1" width="40.28515625" bestFit="1" customWidth="1"/>
    <col min="2" max="8" width="11.42578125" style="3" customWidth="1"/>
    <col min="9" max="16384" width="11.42578125" hidden="1"/>
  </cols>
  <sheetData>
    <row r="1" spans="1:10">
      <c r="A1" s="293" t="s">
        <v>199</v>
      </c>
      <c r="B1" s="94">
        <v>43465</v>
      </c>
      <c r="C1" s="94">
        <v>43830</v>
      </c>
      <c r="D1" s="94">
        <v>44196</v>
      </c>
      <c r="E1" s="94">
        <v>44561</v>
      </c>
      <c r="F1" s="94">
        <v>44926</v>
      </c>
      <c r="G1" s="94">
        <v>45291</v>
      </c>
      <c r="H1" s="94">
        <v>45657</v>
      </c>
      <c r="I1" t="s">
        <v>106</v>
      </c>
      <c r="J1" t="s">
        <v>107</v>
      </c>
    </row>
    <row r="2" spans="1:10">
      <c r="A2" s="293" t="s">
        <v>108</v>
      </c>
      <c r="B2" s="94"/>
      <c r="C2" s="94"/>
      <c r="D2" s="94"/>
      <c r="E2" s="94"/>
      <c r="F2" s="94"/>
      <c r="G2" s="94"/>
      <c r="H2" s="94"/>
      <c r="I2" s="125"/>
    </row>
    <row r="3" spans="1:10">
      <c r="A3" s="294" t="s">
        <v>200</v>
      </c>
      <c r="B3" s="92">
        <v>3121.1</v>
      </c>
      <c r="C3" s="92">
        <v>3532.3</v>
      </c>
      <c r="D3" s="92">
        <v>6049.4</v>
      </c>
      <c r="E3" s="92">
        <v>6951.8</v>
      </c>
      <c r="F3" s="92">
        <v>7268.3</v>
      </c>
      <c r="G3" s="92">
        <v>7004.7</v>
      </c>
      <c r="H3" s="92">
        <v>12735.9</v>
      </c>
      <c r="I3" t="s">
        <v>201</v>
      </c>
      <c r="J3" t="s">
        <v>202</v>
      </c>
    </row>
    <row r="4" spans="1:10">
      <c r="A4" s="294" t="s">
        <v>203</v>
      </c>
      <c r="B4" s="92">
        <v>913.3</v>
      </c>
      <c r="C4" s="92">
        <v>1185.8</v>
      </c>
      <c r="D4" s="92">
        <v>1302.2</v>
      </c>
      <c r="E4" s="92">
        <v>638.5</v>
      </c>
      <c r="F4" s="92">
        <v>107.7</v>
      </c>
      <c r="G4" s="92">
        <v>5.4</v>
      </c>
      <c r="H4" s="92">
        <v>5.4</v>
      </c>
      <c r="I4" s="124" t="s">
        <v>204</v>
      </c>
      <c r="J4" t="s">
        <v>205</v>
      </c>
    </row>
    <row r="5" spans="1:10">
      <c r="A5" s="294" t="s">
        <v>206</v>
      </c>
      <c r="B5" s="92">
        <v>4034.4</v>
      </c>
      <c r="C5" s="92">
        <v>4718.1000000000004</v>
      </c>
      <c r="D5" s="92">
        <v>7351.6</v>
      </c>
      <c r="E5" s="92">
        <v>7590.3</v>
      </c>
      <c r="F5" s="92">
        <v>7376</v>
      </c>
      <c r="G5" s="92">
        <v>7010.1</v>
      </c>
      <c r="H5" s="92">
        <v>12741.3</v>
      </c>
      <c r="I5" s="124" t="s">
        <v>207</v>
      </c>
      <c r="J5" t="s">
        <v>208</v>
      </c>
    </row>
    <row r="6" spans="1:10">
      <c r="A6" s="294" t="s">
        <v>209</v>
      </c>
      <c r="B6" s="92">
        <v>2400.9</v>
      </c>
      <c r="C6" s="92">
        <v>2850.5</v>
      </c>
      <c r="D6" s="92">
        <v>3207.3</v>
      </c>
      <c r="E6" s="92">
        <v>4420.2</v>
      </c>
      <c r="F6" s="92">
        <v>7047</v>
      </c>
      <c r="G6" s="92">
        <v>7256.8</v>
      </c>
      <c r="H6" s="92">
        <v>5164.3</v>
      </c>
      <c r="I6" s="124" t="s">
        <v>210</v>
      </c>
      <c r="J6" t="s">
        <v>211</v>
      </c>
    </row>
    <row r="7" spans="1:10">
      <c r="A7" s="294" t="s">
        <v>212</v>
      </c>
      <c r="B7" s="92">
        <v>3439.5</v>
      </c>
      <c r="C7" s="92">
        <v>3809.2</v>
      </c>
      <c r="D7" s="92">
        <v>4569.3999999999996</v>
      </c>
      <c r="E7" s="92">
        <v>5179.2</v>
      </c>
      <c r="F7" s="92">
        <v>7199.7</v>
      </c>
      <c r="G7" s="92">
        <v>9542.6</v>
      </c>
      <c r="H7" s="92">
        <v>10891.5</v>
      </c>
      <c r="I7" s="124" t="s">
        <v>213</v>
      </c>
      <c r="J7" t="s">
        <v>214</v>
      </c>
    </row>
    <row r="8" spans="1:10">
      <c r="A8" s="294" t="s">
        <v>215</v>
      </c>
      <c r="B8" s="92">
        <v>83.7</v>
      </c>
      <c r="C8" s="92">
        <v>131.1</v>
      </c>
      <c r="D8" s="92">
        <v>801.7</v>
      </c>
      <c r="E8" s="92">
        <v>1000.5</v>
      </c>
      <c r="F8" s="92">
        <v>266.39999999999998</v>
      </c>
      <c r="G8" s="92">
        <v>584.4</v>
      </c>
      <c r="H8" s="92">
        <v>1940.3</v>
      </c>
      <c r="I8" s="124" t="s">
        <v>216</v>
      </c>
      <c r="J8" t="s">
        <v>217</v>
      </c>
    </row>
    <row r="9" spans="1:10">
      <c r="A9" s="294" t="s">
        <v>218</v>
      </c>
      <c r="B9" s="92">
        <v>10430.5</v>
      </c>
      <c r="C9" s="92">
        <v>11971.9</v>
      </c>
      <c r="D9" s="92">
        <v>15930</v>
      </c>
      <c r="E9" s="92">
        <v>18190.2</v>
      </c>
      <c r="F9" s="92">
        <v>22549.599999999999</v>
      </c>
      <c r="G9" s="92">
        <v>24393.9</v>
      </c>
      <c r="H9" s="92">
        <v>30737.4</v>
      </c>
      <c r="I9" s="124" t="s">
        <v>219</v>
      </c>
      <c r="J9" t="s">
        <v>220</v>
      </c>
    </row>
    <row r="10" spans="1:10">
      <c r="A10" s="294" t="s">
        <v>221</v>
      </c>
      <c r="B10" s="92">
        <v>1727.1</v>
      </c>
      <c r="C10" s="92">
        <v>2323.1999999999998</v>
      </c>
      <c r="D10" s="92">
        <v>2815.2</v>
      </c>
      <c r="E10" s="92">
        <v>3147.5</v>
      </c>
      <c r="F10" s="92">
        <v>4136.8999999999996</v>
      </c>
      <c r="G10" s="92">
        <v>5799.8</v>
      </c>
      <c r="H10" s="92">
        <v>7234</v>
      </c>
      <c r="I10" s="124" t="s">
        <v>222</v>
      </c>
      <c r="J10" t="s">
        <v>223</v>
      </c>
    </row>
    <row r="11" spans="1:10">
      <c r="A11" s="294" t="s">
        <v>224</v>
      </c>
      <c r="B11" s="92">
        <v>4562.7</v>
      </c>
      <c r="C11" s="92">
        <v>4562.7</v>
      </c>
      <c r="D11" s="92">
        <v>4629.1000000000004</v>
      </c>
      <c r="E11" s="92">
        <v>4555.6000000000004</v>
      </c>
      <c r="F11" s="92">
        <v>4577.1000000000004</v>
      </c>
      <c r="G11" s="92">
        <v>4588.6000000000004</v>
      </c>
      <c r="H11" s="92">
        <v>4588.6000000000004</v>
      </c>
      <c r="I11" t="s">
        <v>225</v>
      </c>
      <c r="J11" t="s">
        <v>226</v>
      </c>
    </row>
    <row r="12" spans="1:10">
      <c r="A12" s="294" t="s">
        <v>227</v>
      </c>
      <c r="B12" s="92">
        <v>2592.6999999999998</v>
      </c>
      <c r="C12" s="92">
        <v>2519.4</v>
      </c>
      <c r="D12" s="92">
        <v>1049</v>
      </c>
      <c r="E12" s="92">
        <v>952.1</v>
      </c>
      <c r="F12" s="92">
        <v>3345.7</v>
      </c>
      <c r="G12" s="92">
        <v>741.7</v>
      </c>
      <c r="H12" s="92">
        <v>621.29999999999995</v>
      </c>
      <c r="I12" t="s">
        <v>228</v>
      </c>
      <c r="J12" t="s">
        <v>229</v>
      </c>
    </row>
    <row r="13" spans="1:10">
      <c r="A13" s="294" t="s">
        <v>230</v>
      </c>
      <c r="B13" s="92">
        <v>915.8</v>
      </c>
      <c r="C13" s="92">
        <v>833</v>
      </c>
      <c r="D13" s="92">
        <v>820.7</v>
      </c>
      <c r="E13" s="92">
        <v>892.5</v>
      </c>
      <c r="F13" s="92">
        <v>923.6</v>
      </c>
      <c r="G13" s="92">
        <v>1920.7</v>
      </c>
      <c r="H13" s="92">
        <v>2676.8</v>
      </c>
      <c r="I13" s="124" t="s">
        <v>231</v>
      </c>
    </row>
    <row r="14" spans="1:10">
      <c r="A14" s="294" t="s">
        <v>232</v>
      </c>
      <c r="B14" s="92">
        <v>365.9</v>
      </c>
      <c r="C14" s="92">
        <v>573.4</v>
      </c>
      <c r="D14" s="92">
        <v>671.5</v>
      </c>
      <c r="E14" s="92">
        <v>1098.7</v>
      </c>
      <c r="F14" s="92">
        <v>2188.9</v>
      </c>
      <c r="G14" s="92">
        <v>1872.3</v>
      </c>
      <c r="H14" s="92">
        <v>1940.7</v>
      </c>
      <c r="I14" s="124" t="s">
        <v>233</v>
      </c>
      <c r="J14" t="s">
        <v>234</v>
      </c>
    </row>
    <row r="15" spans="1:10">
      <c r="A15" s="294" t="s">
        <v>235</v>
      </c>
      <c r="B15" s="92">
        <v>1081.2</v>
      </c>
      <c r="C15" s="92">
        <v>1251.5</v>
      </c>
      <c r="D15" s="92">
        <v>1351.9</v>
      </c>
      <c r="E15" s="92">
        <v>1394.4</v>
      </c>
      <c r="F15" s="92">
        <v>1104.2</v>
      </c>
      <c r="G15" s="92">
        <v>640.5</v>
      </c>
      <c r="H15" s="92">
        <v>790.8</v>
      </c>
      <c r="I15" s="124" t="s">
        <v>236</v>
      </c>
      <c r="J15" t="s">
        <v>237</v>
      </c>
    </row>
    <row r="16" spans="1:10">
      <c r="A16" s="294" t="s">
        <v>238</v>
      </c>
      <c r="B16" s="92">
        <v>11245.4</v>
      </c>
      <c r="C16" s="92">
        <v>12063.2</v>
      </c>
      <c r="D16" s="92">
        <v>11337.4</v>
      </c>
      <c r="E16" s="92">
        <v>12040.8</v>
      </c>
      <c r="F16" s="92">
        <v>16276.4</v>
      </c>
      <c r="G16" s="92">
        <v>15563.6</v>
      </c>
      <c r="H16" s="92">
        <v>17852.2</v>
      </c>
      <c r="I16" s="124" t="s">
        <v>239</v>
      </c>
      <c r="J16" t="s">
        <v>240</v>
      </c>
    </row>
    <row r="17" spans="1:10">
      <c r="A17" s="294" t="s">
        <v>241</v>
      </c>
      <c r="B17" s="92"/>
      <c r="C17" s="92"/>
      <c r="D17" s="92"/>
      <c r="E17" s="92"/>
      <c r="F17" s="92"/>
      <c r="G17" s="92">
        <v>0</v>
      </c>
      <c r="H17" s="92">
        <v>0</v>
      </c>
      <c r="I17" s="124" t="s">
        <v>242</v>
      </c>
      <c r="J17" t="s">
        <v>243</v>
      </c>
    </row>
    <row r="18" spans="1:10">
      <c r="A18" s="294" t="s">
        <v>244</v>
      </c>
      <c r="B18" s="92">
        <v>21675.9</v>
      </c>
      <c r="C18" s="92">
        <v>24035.1</v>
      </c>
      <c r="D18" s="92">
        <v>27267.4</v>
      </c>
      <c r="E18" s="92">
        <v>30231</v>
      </c>
      <c r="F18" s="92">
        <v>38826</v>
      </c>
      <c r="G18" s="92">
        <v>39957.5</v>
      </c>
      <c r="H18" s="92">
        <v>48589.599999999999</v>
      </c>
      <c r="I18" s="124" t="s">
        <v>245</v>
      </c>
    </row>
    <row r="19" spans="1:10">
      <c r="A19" s="294" t="s">
        <v>246</v>
      </c>
      <c r="B19" s="92">
        <v>187.9</v>
      </c>
      <c r="C19" s="92">
        <v>1101.5999999999999</v>
      </c>
      <c r="D19" s="92">
        <v>15.4</v>
      </c>
      <c r="E19" s="92">
        <v>509.1</v>
      </c>
      <c r="F19" s="92">
        <v>746.2</v>
      </c>
      <c r="G19" s="92">
        <v>46.8</v>
      </c>
      <c r="H19" s="92"/>
      <c r="I19" s="124"/>
    </row>
    <row r="20" spans="1:10">
      <c r="A20" s="294" t="s">
        <v>247</v>
      </c>
      <c r="B20" s="92">
        <v>187.9</v>
      </c>
      <c r="C20" s="92">
        <v>65.599999999999994</v>
      </c>
      <c r="D20" s="92">
        <v>110</v>
      </c>
      <c r="E20" s="92">
        <v>301.89999999999998</v>
      </c>
      <c r="F20" s="92">
        <v>315.3</v>
      </c>
      <c r="G20" s="92">
        <v>308.89999999999998</v>
      </c>
      <c r="H20" s="92"/>
      <c r="I20" s="124" t="s">
        <v>248</v>
      </c>
    </row>
    <row r="21" spans="1:10">
      <c r="A21" s="294" t="s">
        <v>249</v>
      </c>
      <c r="B21" s="92">
        <v>1728.6</v>
      </c>
      <c r="C21" s="92">
        <v>2526.4</v>
      </c>
      <c r="D21" s="92">
        <v>3954.2</v>
      </c>
      <c r="E21" s="92">
        <v>7935.2</v>
      </c>
      <c r="F21" s="92">
        <v>12481</v>
      </c>
      <c r="G21" s="92">
        <v>11441</v>
      </c>
      <c r="H21" s="92"/>
      <c r="I21" s="124" t="s">
        <v>250</v>
      </c>
      <c r="J21" t="s">
        <v>251</v>
      </c>
    </row>
    <row r="22" spans="1:10">
      <c r="A22" s="294" t="s">
        <v>252</v>
      </c>
      <c r="B22" s="92">
        <v>911.4</v>
      </c>
      <c r="C22" s="92">
        <v>3.9</v>
      </c>
      <c r="D22" s="92">
        <v>1256</v>
      </c>
      <c r="E22" s="92">
        <v>1737.4</v>
      </c>
      <c r="F22" s="92">
        <v>1971.9</v>
      </c>
      <c r="G22" s="92">
        <v>2439.6</v>
      </c>
      <c r="H22" s="92">
        <v>20051.400000000001</v>
      </c>
      <c r="I22" s="124" t="s">
        <v>253</v>
      </c>
      <c r="J22" t="s">
        <v>254</v>
      </c>
    </row>
    <row r="23" spans="1:10">
      <c r="A23" s="294" t="s">
        <v>255</v>
      </c>
      <c r="B23" s="92">
        <v>3791.9</v>
      </c>
      <c r="C23" s="92">
        <v>4694.1000000000004</v>
      </c>
      <c r="D23" s="92">
        <v>6603.5</v>
      </c>
      <c r="E23" s="92">
        <v>12298</v>
      </c>
      <c r="F23" s="92">
        <v>17762.599999999999</v>
      </c>
      <c r="G23" s="92">
        <v>16274.7</v>
      </c>
      <c r="H23" s="92">
        <v>20051.400000000001</v>
      </c>
      <c r="I23" s="124" t="s">
        <v>256</v>
      </c>
      <c r="J23" t="s">
        <v>257</v>
      </c>
    </row>
    <row r="24" spans="1:10">
      <c r="A24" s="295" t="s">
        <v>258</v>
      </c>
      <c r="B24" s="92">
        <v>3026.5</v>
      </c>
      <c r="C24" s="92">
        <v>3108.3</v>
      </c>
      <c r="D24" s="92">
        <v>4662.8</v>
      </c>
      <c r="E24" s="92">
        <v>4075</v>
      </c>
      <c r="F24" s="92">
        <v>3514.2</v>
      </c>
      <c r="G24" s="92">
        <v>4631.5</v>
      </c>
      <c r="H24" s="92">
        <v>3677.3</v>
      </c>
      <c r="I24" s="124"/>
    </row>
    <row r="25" spans="1:10">
      <c r="A25" s="294" t="s">
        <v>259</v>
      </c>
      <c r="B25" s="92">
        <v>1224.5999999999999</v>
      </c>
      <c r="C25" s="92">
        <v>1759.6</v>
      </c>
      <c r="D25" s="92">
        <v>1639.9</v>
      </c>
      <c r="E25" s="92">
        <v>3225.7</v>
      </c>
      <c r="F25" s="92">
        <v>5269.9</v>
      </c>
      <c r="G25" s="92">
        <v>4825.5</v>
      </c>
      <c r="H25" s="92">
        <v>5625.4</v>
      </c>
      <c r="I25" s="124" t="s">
        <v>260</v>
      </c>
      <c r="J25" t="s">
        <v>261</v>
      </c>
    </row>
    <row r="26" spans="1:10">
      <c r="A26" s="294" t="s">
        <v>262</v>
      </c>
      <c r="B26" s="92">
        <v>201.8</v>
      </c>
      <c r="C26" s="92">
        <v>241</v>
      </c>
      <c r="D26" s="92">
        <v>257.5</v>
      </c>
      <c r="E26" s="92">
        <v>251.1</v>
      </c>
      <c r="F26" s="92">
        <v>454.9</v>
      </c>
      <c r="G26" s="92">
        <v>401.2</v>
      </c>
      <c r="H26" s="92">
        <v>459.5</v>
      </c>
      <c r="I26" s="124" t="s">
        <v>263</v>
      </c>
      <c r="J26" t="s">
        <v>264</v>
      </c>
    </row>
    <row r="27" spans="1:10">
      <c r="A27" s="294" t="s">
        <v>265</v>
      </c>
      <c r="B27" s="92">
        <v>4941.6000000000004</v>
      </c>
      <c r="C27" s="92">
        <v>5464.1</v>
      </c>
      <c r="D27" s="92">
        <v>6798.5</v>
      </c>
      <c r="E27" s="92">
        <v>7792.4</v>
      </c>
      <c r="F27" s="92">
        <v>9777.4</v>
      </c>
      <c r="G27" s="92">
        <v>10230.4</v>
      </c>
      <c r="H27" s="92">
        <v>10061.4</v>
      </c>
      <c r="I27" s="124" t="s">
        <v>266</v>
      </c>
      <c r="J27" t="s">
        <v>267</v>
      </c>
    </row>
    <row r="28" spans="1:10">
      <c r="A28" s="294" t="s">
        <v>268</v>
      </c>
      <c r="B28" s="92"/>
      <c r="C28" s="92"/>
      <c r="D28" s="92"/>
      <c r="E28" s="92"/>
      <c r="F28" s="92"/>
      <c r="G28" s="92">
        <v>0</v>
      </c>
      <c r="H28" s="92">
        <v>0</v>
      </c>
      <c r="I28" s="124"/>
    </row>
    <row r="29" spans="1:10">
      <c r="A29" s="294" t="s">
        <v>269</v>
      </c>
      <c r="B29" s="92">
        <v>8733.5</v>
      </c>
      <c r="C29" s="92">
        <v>10158.200000000001</v>
      </c>
      <c r="D29" s="92">
        <v>13402</v>
      </c>
      <c r="E29" s="92">
        <v>20090.400000000001</v>
      </c>
      <c r="F29" s="92">
        <v>27540</v>
      </c>
      <c r="G29" s="92">
        <v>26505.1</v>
      </c>
      <c r="H29" s="92">
        <v>30112.799999999999</v>
      </c>
      <c r="I29" s="124" t="s">
        <v>270</v>
      </c>
      <c r="J29" t="s">
        <v>270</v>
      </c>
    </row>
    <row r="30" spans="1:10">
      <c r="A30" s="294" t="s">
        <v>271</v>
      </c>
      <c r="B30" s="92">
        <v>1301.4000000000001</v>
      </c>
      <c r="C30" s="92"/>
      <c r="D30" s="92"/>
      <c r="E30" s="92"/>
      <c r="F30" s="92"/>
      <c r="G30" s="92"/>
      <c r="H30" s="92"/>
      <c r="I30" s="124" t="s">
        <v>272</v>
      </c>
      <c r="J30" t="s">
        <v>273</v>
      </c>
    </row>
    <row r="31" spans="1:10">
      <c r="A31" s="294" t="s">
        <v>274</v>
      </c>
      <c r="B31" s="92">
        <v>38.6</v>
      </c>
      <c r="C31" s="92">
        <v>38.200000000000003</v>
      </c>
      <c r="D31" s="92">
        <v>37.6</v>
      </c>
      <c r="E31" s="92">
        <v>36.5</v>
      </c>
      <c r="F31" s="92">
        <v>36.299999999999997</v>
      </c>
      <c r="G31" s="92">
        <v>36</v>
      </c>
      <c r="H31" s="92"/>
      <c r="I31" s="124" t="s">
        <v>275</v>
      </c>
      <c r="J31" t="s">
        <v>276</v>
      </c>
    </row>
    <row r="32" spans="1:10">
      <c r="A32" s="294" t="s">
        <v>277</v>
      </c>
      <c r="B32" s="92">
        <v>9197.9</v>
      </c>
      <c r="C32" s="92">
        <v>9523.7999999999993</v>
      </c>
      <c r="D32" s="92">
        <v>10731.5</v>
      </c>
      <c r="E32" s="92">
        <v>8317.2999999999993</v>
      </c>
      <c r="F32" s="92">
        <v>8697.7000000000007</v>
      </c>
      <c r="G32" s="92">
        <v>12379.5</v>
      </c>
      <c r="H32" s="92"/>
      <c r="I32" s="124" t="s">
        <v>278</v>
      </c>
      <c r="J32" t="s">
        <v>279</v>
      </c>
    </row>
    <row r="33" spans="1:10" ht="30.75">
      <c r="A33" s="294" t="s">
        <v>280</v>
      </c>
      <c r="B33" s="92">
        <v>285</v>
      </c>
      <c r="C33" s="92">
        <v>277.8</v>
      </c>
      <c r="D33" s="92">
        <v>179.4</v>
      </c>
      <c r="E33" s="92">
        <v>333.5</v>
      </c>
      <c r="F33" s="92">
        <v>2761.7</v>
      </c>
      <c r="G33" s="92">
        <v>345</v>
      </c>
      <c r="H33" s="92"/>
      <c r="I33" s="124" t="s">
        <v>281</v>
      </c>
      <c r="J33" t="s">
        <v>282</v>
      </c>
    </row>
    <row r="34" spans="1:10">
      <c r="A34" s="294" t="s">
        <v>283</v>
      </c>
      <c r="B34" s="92">
        <v>2119.5</v>
      </c>
      <c r="C34" s="92">
        <v>4037.1</v>
      </c>
      <c r="D34" s="92">
        <v>2916.9</v>
      </c>
      <c r="E34" s="92">
        <v>1453.3</v>
      </c>
      <c r="F34" s="92">
        <v>-209.7</v>
      </c>
      <c r="G34" s="92">
        <v>691.9</v>
      </c>
      <c r="H34" s="92">
        <v>18476.8</v>
      </c>
      <c r="I34" s="124" t="s">
        <v>242</v>
      </c>
      <c r="J34" t="s">
        <v>282</v>
      </c>
    </row>
    <row r="35" spans="1:10">
      <c r="A35" s="294" t="s">
        <v>284</v>
      </c>
      <c r="B35" s="92">
        <v>12942.4</v>
      </c>
      <c r="C35" s="92">
        <v>13876.9</v>
      </c>
      <c r="D35" s="92">
        <v>13865.4</v>
      </c>
      <c r="E35" s="92">
        <v>10140.6</v>
      </c>
      <c r="F35" s="92">
        <v>11286</v>
      </c>
      <c r="G35" s="92">
        <v>13452.4</v>
      </c>
      <c r="H35" s="92">
        <v>18476.8</v>
      </c>
      <c r="I35" s="124"/>
    </row>
    <row r="36" spans="1:10">
      <c r="A36" s="294" t="s">
        <v>285</v>
      </c>
      <c r="B36" s="92">
        <v>21675.9</v>
      </c>
      <c r="C36" s="92">
        <v>24035.1</v>
      </c>
      <c r="D36" s="92">
        <v>27267.4</v>
      </c>
      <c r="E36" s="92">
        <v>30231</v>
      </c>
      <c r="F36" s="92">
        <v>38826</v>
      </c>
      <c r="G36" s="92">
        <v>39957.5</v>
      </c>
      <c r="H36" s="92">
        <v>48589.599999999999</v>
      </c>
      <c r="I36" s="124" t="s">
        <v>286</v>
      </c>
      <c r="J36" t="s">
        <v>257</v>
      </c>
    </row>
    <row r="37" spans="1:10">
      <c r="A37" s="294" t="s">
        <v>183</v>
      </c>
      <c r="B37" s="92"/>
      <c r="C37" s="92"/>
      <c r="D37" s="92"/>
      <c r="E37" s="92"/>
      <c r="F37" s="92"/>
      <c r="G37" s="92"/>
      <c r="H37" s="92"/>
      <c r="I37" s="124" t="s">
        <v>287</v>
      </c>
      <c r="J37" t="s">
        <v>288</v>
      </c>
    </row>
    <row r="38" spans="1:10">
      <c r="A38" t="s">
        <v>289</v>
      </c>
      <c r="B38" s="92">
        <v>3026.5</v>
      </c>
      <c r="C38" s="92">
        <v>3108.3</v>
      </c>
      <c r="D38" s="92">
        <v>4662.8</v>
      </c>
      <c r="E38" s="92">
        <v>4075</v>
      </c>
      <c r="F38" s="92">
        <v>4260.3999999999996</v>
      </c>
      <c r="G38" s="92">
        <v>4859.5</v>
      </c>
      <c r="H38" s="92">
        <v>3677.3</v>
      </c>
      <c r="I38" s="124"/>
    </row>
    <row r="39" spans="1:10">
      <c r="A39" t="s">
        <v>290</v>
      </c>
      <c r="B39" s="92">
        <v>-94.6</v>
      </c>
      <c r="C39" s="92">
        <v>-424</v>
      </c>
      <c r="D39" s="92">
        <v>-1386.6</v>
      </c>
      <c r="E39" s="92">
        <v>-2876.8</v>
      </c>
      <c r="F39" s="92">
        <v>-3007.9</v>
      </c>
      <c r="G39" s="92">
        <v>-2145.1999999999998</v>
      </c>
      <c r="H39" s="92">
        <v>-9058.6</v>
      </c>
      <c r="I39" s="124"/>
    </row>
    <row r="40" spans="1:10">
      <c r="B40" s="92"/>
      <c r="C40" s="92"/>
      <c r="D40" s="92"/>
      <c r="E40" s="92"/>
      <c r="F40" s="92"/>
      <c r="G40" s="92"/>
      <c r="H40" s="92"/>
      <c r="I40" s="124"/>
    </row>
    <row r="41" spans="1:10">
      <c r="B41" s="92"/>
      <c r="C41" s="92"/>
      <c r="D41" s="92"/>
      <c r="E41" s="92"/>
      <c r="F41" s="92"/>
      <c r="G41" s="92"/>
      <c r="H41" s="92"/>
      <c r="I41" s="124"/>
    </row>
    <row r="42" spans="1:10">
      <c r="B42" s="92"/>
      <c r="C42" s="92"/>
      <c r="D42" s="92"/>
      <c r="E42" s="92"/>
      <c r="F42" s="92"/>
      <c r="G42" s="92"/>
      <c r="H42" s="92"/>
      <c r="I42" s="124"/>
    </row>
    <row r="43" spans="1:10">
      <c r="B43" s="92"/>
      <c r="C43" s="92"/>
      <c r="D43" s="92"/>
      <c r="E43" s="92"/>
      <c r="F43" s="92"/>
      <c r="G43" s="92"/>
      <c r="H43" s="92"/>
      <c r="I43" s="124"/>
    </row>
    <row r="44" spans="1:10">
      <c r="B44" s="92"/>
      <c r="C44" s="92"/>
      <c r="D44" s="92"/>
      <c r="E44" s="92"/>
      <c r="F44" s="92"/>
      <c r="G44" s="92"/>
      <c r="H44" s="92"/>
      <c r="I44" s="124"/>
    </row>
    <row r="45" spans="1:10">
      <c r="B45" s="92"/>
      <c r="C45" s="92"/>
      <c r="D45" s="92"/>
      <c r="E45" s="92"/>
      <c r="F45" s="92"/>
      <c r="G45" s="92"/>
      <c r="H45" s="92"/>
      <c r="I45" s="124"/>
    </row>
    <row r="46" spans="1:10">
      <c r="B46" s="92"/>
      <c r="C46" s="92"/>
      <c r="D46" s="92"/>
      <c r="E46" s="92"/>
      <c r="F46" s="92"/>
      <c r="G46" s="92"/>
      <c r="H46" s="92"/>
      <c r="I46" s="124"/>
    </row>
    <row r="47" spans="1:10">
      <c r="B47" s="92"/>
      <c r="C47" s="92"/>
      <c r="D47" s="92"/>
      <c r="E47" s="92"/>
      <c r="F47" s="92"/>
      <c r="G47" s="92"/>
      <c r="H47" s="92"/>
      <c r="I47" s="124"/>
    </row>
    <row r="48" spans="1:10">
      <c r="B48" s="92"/>
      <c r="C48" s="92"/>
      <c r="D48" s="92"/>
      <c r="E48" s="92"/>
      <c r="F48" s="92"/>
      <c r="G48" s="92"/>
      <c r="H48" s="92"/>
      <c r="I48" s="124"/>
    </row>
    <row r="49" spans="2:9">
      <c r="B49" s="92"/>
      <c r="C49" s="92"/>
      <c r="D49" s="92"/>
      <c r="E49" s="92"/>
      <c r="F49" s="92"/>
      <c r="G49" s="92"/>
      <c r="H49" s="92"/>
      <c r="I49" s="124"/>
    </row>
    <row r="50" spans="2:9">
      <c r="B50" s="92"/>
      <c r="C50" s="92"/>
      <c r="D50" s="92"/>
      <c r="E50" s="92"/>
      <c r="F50" s="92"/>
      <c r="G50" s="92"/>
      <c r="H50" s="92"/>
      <c r="I50" s="124"/>
    </row>
    <row r="51" spans="2:9">
      <c r="B51" s="92"/>
      <c r="C51" s="92"/>
      <c r="D51" s="92"/>
      <c r="E51" s="92"/>
      <c r="F51" s="92"/>
      <c r="G51" s="92"/>
      <c r="H51" s="92"/>
      <c r="I51" s="124"/>
    </row>
    <row r="52" spans="2:9">
      <c r="B52" s="92"/>
      <c r="C52" s="92"/>
      <c r="D52" s="92"/>
      <c r="E52" s="92"/>
      <c r="F52" s="92"/>
      <c r="G52" s="92"/>
      <c r="H52" s="92"/>
      <c r="I52" s="124"/>
    </row>
    <row r="53" spans="2:9">
      <c r="B53" s="92"/>
      <c r="C53" s="92"/>
      <c r="D53" s="92"/>
      <c r="E53" s="92"/>
      <c r="F53" s="92"/>
      <c r="G53" s="92"/>
      <c r="H53" s="92"/>
      <c r="I53" s="124"/>
    </row>
    <row r="54" spans="2:9">
      <c r="B54" s="92"/>
      <c r="C54" s="92"/>
      <c r="D54" s="92"/>
      <c r="E54" s="92"/>
      <c r="F54" s="92"/>
      <c r="G54" s="92"/>
      <c r="H54" s="92"/>
      <c r="I54" s="124"/>
    </row>
    <row r="55" spans="2:9">
      <c r="B55" s="92"/>
      <c r="C55" s="92"/>
      <c r="D55" s="92"/>
      <c r="E55" s="92"/>
      <c r="F55" s="92"/>
      <c r="G55" s="92"/>
      <c r="H55" s="92"/>
      <c r="I55" s="124"/>
    </row>
    <row r="56" spans="2:9">
      <c r="B56" s="92"/>
      <c r="C56" s="92"/>
      <c r="D56" s="92"/>
      <c r="E56" s="92"/>
      <c r="F56" s="92"/>
      <c r="G56" s="92"/>
      <c r="H56" s="92"/>
      <c r="I56" s="124"/>
    </row>
    <row r="57" spans="2:9">
      <c r="B57" s="92"/>
      <c r="C57" s="92"/>
      <c r="D57" s="92"/>
      <c r="E57" s="92"/>
      <c r="F57" s="92"/>
      <c r="G57" s="92"/>
      <c r="H57" s="92"/>
      <c r="I57" s="124"/>
    </row>
    <row r="58" spans="2:9">
      <c r="B58" s="92"/>
      <c r="C58" s="92"/>
      <c r="D58" s="92"/>
      <c r="E58" s="92"/>
      <c r="F58" s="92"/>
      <c r="G58" s="92"/>
      <c r="H58" s="92"/>
      <c r="I58" s="124"/>
    </row>
    <row r="59" spans="2:9">
      <c r="B59" s="92"/>
      <c r="C59" s="92"/>
      <c r="D59" s="92"/>
      <c r="E59" s="92"/>
      <c r="F59" s="92"/>
      <c r="G59" s="92"/>
      <c r="H59" s="92"/>
      <c r="I59" s="124"/>
    </row>
    <row r="60" spans="2:9">
      <c r="B60" s="92"/>
      <c r="C60" s="92"/>
      <c r="D60" s="92"/>
      <c r="E60" s="92"/>
      <c r="F60" s="92"/>
      <c r="G60" s="92"/>
      <c r="H60" s="92"/>
      <c r="I60" s="124"/>
    </row>
    <row r="61" spans="2:9">
      <c r="B61" s="92"/>
      <c r="C61" s="92"/>
      <c r="D61" s="92"/>
      <c r="E61" s="92"/>
      <c r="F61" s="92"/>
      <c r="G61" s="92"/>
      <c r="H61" s="92"/>
    </row>
    <row r="62" spans="2:9">
      <c r="B62" s="92"/>
      <c r="C62" s="92"/>
      <c r="D62" s="92"/>
      <c r="E62" s="92"/>
      <c r="F62" s="92"/>
      <c r="G62" s="92"/>
      <c r="H62" s="92"/>
    </row>
    <row r="63" spans="2:9">
      <c r="B63" s="92"/>
      <c r="C63" s="92"/>
      <c r="D63" s="92"/>
      <c r="E63" s="92"/>
      <c r="F63" s="92"/>
      <c r="G63" s="92"/>
      <c r="H63" s="92"/>
    </row>
    <row r="64" spans="2:9">
      <c r="B64" s="92"/>
      <c r="C64" s="92"/>
      <c r="D64" s="92"/>
      <c r="E64" s="92"/>
      <c r="F64" s="92"/>
      <c r="G64" s="92"/>
      <c r="H64" s="92"/>
    </row>
  </sheetData>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5F573-FD70-43AA-9C68-646EEB9D54E7}">
  <dimension ref="A1:J203"/>
  <sheetViews>
    <sheetView showGridLines="0" workbookViewId="0">
      <selection sqref="A1:H29"/>
    </sheetView>
  </sheetViews>
  <sheetFormatPr defaultColWidth="0" defaultRowHeight="15"/>
  <cols>
    <col min="1" max="1" width="43.5703125" bestFit="1" customWidth="1"/>
    <col min="2" max="8" width="11.42578125" style="3" customWidth="1"/>
    <col min="9" max="16384" width="11.42578125" hidden="1"/>
  </cols>
  <sheetData>
    <row r="1" spans="1:10">
      <c r="A1" s="97" t="s">
        <v>291</v>
      </c>
      <c r="B1" s="296">
        <v>43465</v>
      </c>
      <c r="C1" s="296">
        <v>43830</v>
      </c>
      <c r="D1" s="296">
        <v>44196</v>
      </c>
      <c r="E1" s="296">
        <v>44561</v>
      </c>
      <c r="F1" s="278">
        <v>44926</v>
      </c>
      <c r="G1" s="278">
        <v>45291</v>
      </c>
      <c r="H1" s="278">
        <v>45657</v>
      </c>
      <c r="I1" t="s">
        <v>106</v>
      </c>
      <c r="J1" t="s">
        <v>107</v>
      </c>
    </row>
    <row r="2" spans="1:10">
      <c r="A2" s="97" t="s">
        <v>108</v>
      </c>
      <c r="B2" s="297"/>
      <c r="C2" s="297"/>
      <c r="D2" s="297"/>
      <c r="E2" s="297"/>
      <c r="F2" s="98"/>
      <c r="G2" s="98"/>
      <c r="H2" s="98"/>
    </row>
    <row r="3" spans="1:10">
      <c r="A3" s="99" t="s">
        <v>36</v>
      </c>
      <c r="B3" s="300">
        <v>2525.5</v>
      </c>
      <c r="C3" s="298">
        <v>2581.1</v>
      </c>
      <c r="D3" s="298">
        <v>3553.7</v>
      </c>
      <c r="E3" s="298">
        <v>5883.2</v>
      </c>
      <c r="F3" s="283">
        <v>6395.8</v>
      </c>
      <c r="G3" s="283">
        <v>7839</v>
      </c>
      <c r="H3" s="283">
        <v>7571.6</v>
      </c>
      <c r="I3" t="s">
        <v>166</v>
      </c>
      <c r="J3" t="s">
        <v>167</v>
      </c>
    </row>
    <row r="4" spans="1:10">
      <c r="A4" s="99" t="s">
        <v>292</v>
      </c>
      <c r="B4" s="298">
        <v>733.5</v>
      </c>
      <c r="C4" s="298">
        <v>828.3</v>
      </c>
      <c r="D4" s="298">
        <v>490.8</v>
      </c>
      <c r="E4" s="298">
        <v>471</v>
      </c>
      <c r="F4" s="283">
        <v>875.9</v>
      </c>
      <c r="G4" s="283">
        <v>786.2</v>
      </c>
      <c r="H4" s="283">
        <v>918.6</v>
      </c>
      <c r="I4" s="124" t="s">
        <v>197</v>
      </c>
      <c r="J4" t="s">
        <v>293</v>
      </c>
    </row>
    <row r="5" spans="1:10">
      <c r="A5" s="99" t="s">
        <v>294</v>
      </c>
      <c r="B5" s="298">
        <v>-262.7</v>
      </c>
      <c r="C5" s="298">
        <v>-348.8</v>
      </c>
      <c r="D5" s="298">
        <v>-211.3</v>
      </c>
      <c r="E5" s="298">
        <v>-419.6</v>
      </c>
      <c r="F5" s="283">
        <v>-774.7</v>
      </c>
      <c r="G5" s="283">
        <v>-133.6</v>
      </c>
      <c r="H5" s="283">
        <v>-144.80000000000001</v>
      </c>
      <c r="I5" s="124" t="s">
        <v>295</v>
      </c>
      <c r="J5" t="s">
        <v>296</v>
      </c>
    </row>
    <row r="6" spans="1:10">
      <c r="A6" s="99" t="s">
        <v>297</v>
      </c>
      <c r="B6" s="298">
        <v>48.3</v>
      </c>
      <c r="C6" s="298">
        <v>74.599999999999994</v>
      </c>
      <c r="D6" s="298">
        <v>53.9</v>
      </c>
      <c r="E6" s="298">
        <v>117.5</v>
      </c>
      <c r="F6" s="283">
        <v>68.900000000000006</v>
      </c>
      <c r="G6" s="283">
        <v>134.80000000000001</v>
      </c>
      <c r="H6" s="283"/>
      <c r="I6" t="s">
        <v>298</v>
      </c>
      <c r="J6" t="s">
        <v>299</v>
      </c>
    </row>
    <row r="7" spans="1:10">
      <c r="A7" s="99" t="s">
        <v>300</v>
      </c>
      <c r="B7" s="298">
        <v>-53.1</v>
      </c>
      <c r="C7" s="298">
        <v>233.7</v>
      </c>
      <c r="D7" s="298">
        <v>531.6</v>
      </c>
      <c r="E7" s="298">
        <v>4892.3999999999996</v>
      </c>
      <c r="F7" s="283">
        <v>2538.4</v>
      </c>
      <c r="G7" s="283">
        <v>-3663.6</v>
      </c>
      <c r="H7" s="283">
        <v>2053.3000000000002</v>
      </c>
      <c r="I7" s="124" t="s">
        <v>301</v>
      </c>
      <c r="J7" t="s">
        <v>302</v>
      </c>
    </row>
    <row r="8" spans="1:10">
      <c r="A8" s="99" t="s">
        <v>303</v>
      </c>
      <c r="B8" s="298">
        <v>310</v>
      </c>
      <c r="C8" s="298">
        <v>286.2</v>
      </c>
      <c r="D8" s="298">
        <v>208.9</v>
      </c>
      <c r="E8" s="298">
        <v>-98.7</v>
      </c>
      <c r="F8" s="283">
        <v>333.1</v>
      </c>
      <c r="G8" s="283">
        <v>480.6</v>
      </c>
      <c r="H8" s="283">
        <v>767.5</v>
      </c>
      <c r="I8" s="124" t="s">
        <v>304</v>
      </c>
      <c r="J8" t="s">
        <v>305</v>
      </c>
    </row>
    <row r="9" spans="1:10">
      <c r="A9" s="99" t="s">
        <v>306</v>
      </c>
      <c r="B9" s="298">
        <v>3301.5</v>
      </c>
      <c r="C9" s="298">
        <v>3655.1</v>
      </c>
      <c r="D9" s="298">
        <v>4627.6000000000004</v>
      </c>
      <c r="E9" s="298">
        <v>10845.8</v>
      </c>
      <c r="F9" s="283">
        <v>9434.9</v>
      </c>
      <c r="G9" s="283">
        <v>5443.4</v>
      </c>
      <c r="H9" s="283">
        <v>11166.2</v>
      </c>
      <c r="I9" t="s">
        <v>307</v>
      </c>
      <c r="J9" t="s">
        <v>308</v>
      </c>
    </row>
    <row r="10" spans="1:10">
      <c r="A10" s="99" t="s">
        <v>309</v>
      </c>
      <c r="B10" s="298">
        <v>-838.3</v>
      </c>
      <c r="C10" s="298">
        <v>-1191.5</v>
      </c>
      <c r="D10" s="298">
        <v>-1000.8</v>
      </c>
      <c r="E10" s="298">
        <v>-940.3</v>
      </c>
      <c r="F10" s="283">
        <v>-2212.4</v>
      </c>
      <c r="G10" s="283">
        <v>-2196.1999999999998</v>
      </c>
      <c r="H10" s="283">
        <v>-2083.1</v>
      </c>
      <c r="I10" s="124" t="s">
        <v>310</v>
      </c>
      <c r="J10" t="s">
        <v>311</v>
      </c>
    </row>
    <row r="11" spans="1:10">
      <c r="A11" s="99" t="s">
        <v>312</v>
      </c>
      <c r="B11" s="298">
        <v>35.5</v>
      </c>
      <c r="C11" s="298">
        <v>-424.9</v>
      </c>
      <c r="D11" s="298">
        <v>-222.8</v>
      </c>
      <c r="E11" s="298">
        <v>329</v>
      </c>
      <c r="F11" s="283"/>
      <c r="G11" s="283">
        <v>-33.6</v>
      </c>
      <c r="H11" s="283"/>
      <c r="I11" s="124" t="s">
        <v>313</v>
      </c>
      <c r="J11" t="s">
        <v>314</v>
      </c>
    </row>
    <row r="12" spans="1:10">
      <c r="A12" s="99" t="s">
        <v>315</v>
      </c>
      <c r="B12" s="298">
        <v>-920.5</v>
      </c>
      <c r="C12" s="298">
        <v>-1291.5</v>
      </c>
      <c r="D12" s="298">
        <v>-1475.5</v>
      </c>
      <c r="E12" s="298">
        <v>-1162.7</v>
      </c>
      <c r="F12" s="283">
        <v>-334.3</v>
      </c>
      <c r="G12" s="283">
        <v>-23.6</v>
      </c>
      <c r="H12" s="283">
        <v>-305.2</v>
      </c>
      <c r="I12" t="s">
        <v>316</v>
      </c>
      <c r="J12" t="s">
        <v>317</v>
      </c>
    </row>
    <row r="13" spans="1:10">
      <c r="A13" s="99" t="s">
        <v>318</v>
      </c>
      <c r="B13" s="298">
        <v>1034.0999999999999</v>
      </c>
      <c r="C13" s="298">
        <v>1019</v>
      </c>
      <c r="D13" s="298">
        <v>1359.1</v>
      </c>
      <c r="E13" s="298">
        <v>1826.4</v>
      </c>
      <c r="F13" s="283">
        <v>864.7</v>
      </c>
      <c r="G13" s="283">
        <v>125.6</v>
      </c>
      <c r="H13" s="283">
        <v>305.2</v>
      </c>
      <c r="I13" s="124" t="s">
        <v>319</v>
      </c>
      <c r="J13" t="s">
        <v>320</v>
      </c>
    </row>
    <row r="14" spans="1:10">
      <c r="A14" s="99" t="s">
        <v>321</v>
      </c>
      <c r="B14" s="298">
        <v>-31.1</v>
      </c>
      <c r="C14" s="298">
        <v>425.8</v>
      </c>
      <c r="D14" s="298">
        <v>-12.2</v>
      </c>
      <c r="E14" s="298">
        <v>-124.4</v>
      </c>
      <c r="F14" s="283">
        <v>-240</v>
      </c>
      <c r="G14" s="283">
        <v>-561.5</v>
      </c>
      <c r="H14" s="283">
        <v>-526.20000000000005</v>
      </c>
      <c r="I14" s="124" t="s">
        <v>322</v>
      </c>
      <c r="J14" t="s">
        <v>323</v>
      </c>
    </row>
    <row r="15" spans="1:10">
      <c r="A15" s="99" t="s">
        <v>324</v>
      </c>
      <c r="B15" s="298">
        <v>-720.3</v>
      </c>
      <c r="C15" s="298">
        <v>-1463.1</v>
      </c>
      <c r="D15" s="298">
        <v>-1352.2</v>
      </c>
      <c r="E15" s="298">
        <v>-72</v>
      </c>
      <c r="F15" s="283">
        <v>-1922</v>
      </c>
      <c r="G15" s="283">
        <v>-2689.3</v>
      </c>
      <c r="H15" s="283">
        <v>-2609.3000000000002</v>
      </c>
      <c r="I15" s="124" t="s">
        <v>325</v>
      </c>
      <c r="J15" t="s">
        <v>326</v>
      </c>
    </row>
    <row r="16" spans="1:10" s="217" customFormat="1">
      <c r="A16" s="215" t="s">
        <v>327</v>
      </c>
      <c r="B16" s="299">
        <v>-2.8</v>
      </c>
      <c r="C16" s="299">
        <v>-76.900000000000006</v>
      </c>
      <c r="D16" s="299">
        <v>-3.3</v>
      </c>
      <c r="E16" s="299">
        <v>-12</v>
      </c>
      <c r="F16" s="284">
        <v>-571.20000000000005</v>
      </c>
      <c r="G16" s="284">
        <v>-997.8</v>
      </c>
      <c r="H16" s="284">
        <v>-3.2</v>
      </c>
      <c r="J16" s="217" t="s">
        <v>328</v>
      </c>
    </row>
    <row r="17" spans="1:10">
      <c r="A17" s="99" t="s">
        <v>329</v>
      </c>
      <c r="B17" s="298">
        <v>21.8</v>
      </c>
      <c r="C17" s="298">
        <v>27.2</v>
      </c>
      <c r="D17" s="298">
        <v>37.9</v>
      </c>
      <c r="E17" s="298">
        <v>48.9</v>
      </c>
      <c r="F17" s="283">
        <v>81.8</v>
      </c>
      <c r="G17" s="283">
        <v>99.4</v>
      </c>
      <c r="H17" s="283">
        <v>124</v>
      </c>
      <c r="I17" s="124" t="s">
        <v>330</v>
      </c>
    </row>
    <row r="18" spans="1:10">
      <c r="A18" s="99" t="s">
        <v>331</v>
      </c>
      <c r="B18" s="298">
        <v>-1146.2</v>
      </c>
      <c r="C18" s="298">
        <v>-410</v>
      </c>
      <c r="D18" s="298">
        <v>-1207.5</v>
      </c>
      <c r="E18" s="298">
        <v>-8560.2999999999993</v>
      </c>
      <c r="F18" s="283">
        <v>-4639.7</v>
      </c>
      <c r="G18" s="283">
        <v>-1000</v>
      </c>
      <c r="H18" s="283">
        <v>-500</v>
      </c>
      <c r="I18" s="124" t="s">
        <v>332</v>
      </c>
      <c r="J18" t="s">
        <v>333</v>
      </c>
    </row>
    <row r="19" spans="1:10">
      <c r="A19" s="99" t="s">
        <v>334</v>
      </c>
      <c r="B19" s="298">
        <v>-597.1</v>
      </c>
      <c r="C19" s="298">
        <v>-1325.7</v>
      </c>
      <c r="D19" s="298">
        <v>-1066.4000000000001</v>
      </c>
      <c r="E19" s="298">
        <v>-1368.3</v>
      </c>
      <c r="F19" s="283">
        <v>-2559.8000000000002</v>
      </c>
      <c r="G19" s="283">
        <v>-2348.3000000000002</v>
      </c>
      <c r="H19" s="283">
        <v>-2452.9</v>
      </c>
      <c r="I19" s="124"/>
    </row>
    <row r="20" spans="1:10">
      <c r="A20" s="99" t="s">
        <v>335</v>
      </c>
      <c r="B20" s="298">
        <v>21.8</v>
      </c>
      <c r="C20" s="298">
        <v>-386.6</v>
      </c>
      <c r="D20" s="298">
        <v>1486.3</v>
      </c>
      <c r="E20" s="298">
        <v>-8523.4</v>
      </c>
      <c r="F20" s="283">
        <v>495.6</v>
      </c>
      <c r="G20" s="283">
        <v>1242.8</v>
      </c>
      <c r="H20" s="283"/>
      <c r="I20" s="124" t="s">
        <v>336</v>
      </c>
      <c r="J20" t="s">
        <v>337</v>
      </c>
    </row>
    <row r="21" spans="1:10">
      <c r="A21" s="99" t="s">
        <v>338</v>
      </c>
      <c r="B21" s="298">
        <v>-1724.3</v>
      </c>
      <c r="C21" s="298">
        <v>-1785.4</v>
      </c>
      <c r="D21" s="298">
        <v>-753</v>
      </c>
      <c r="E21" s="298">
        <v>-9891.7000000000007</v>
      </c>
      <c r="F21" s="283">
        <v>-7193.3</v>
      </c>
      <c r="G21" s="283">
        <v>-3003.9</v>
      </c>
      <c r="H21" s="283">
        <v>-2832.1</v>
      </c>
      <c r="I21" s="124" t="s">
        <v>339</v>
      </c>
      <c r="J21" t="s">
        <v>340</v>
      </c>
    </row>
    <row r="22" spans="1:10">
      <c r="A22" s="99" t="s">
        <v>341</v>
      </c>
      <c r="B22" s="298">
        <v>5.2</v>
      </c>
      <c r="C22" s="298">
        <v>4.5999999999999996</v>
      </c>
      <c r="D22" s="298">
        <v>-5.3</v>
      </c>
      <c r="E22" s="298">
        <v>20.3</v>
      </c>
      <c r="F22" s="283">
        <v>-3.1</v>
      </c>
      <c r="G22" s="283">
        <v>-13.8</v>
      </c>
      <c r="H22" s="283"/>
      <c r="I22" s="124"/>
    </row>
    <row r="23" spans="1:10">
      <c r="A23" s="99" t="s">
        <v>342</v>
      </c>
      <c r="B23" s="298">
        <v>862.1</v>
      </c>
      <c r="C23" s="298">
        <v>411.2</v>
      </c>
      <c r="D23" s="298">
        <v>2517.1</v>
      </c>
      <c r="E23" s="298">
        <v>902.4</v>
      </c>
      <c r="F23" s="283">
        <v>316.5</v>
      </c>
      <c r="G23" s="283">
        <v>-263.60000000000002</v>
      </c>
      <c r="H23" s="283"/>
      <c r="I23" s="124" t="s">
        <v>343</v>
      </c>
      <c r="J23" t="s">
        <v>344</v>
      </c>
    </row>
    <row r="24" spans="1:10" s="217" customFormat="1">
      <c r="A24" s="215" t="s">
        <v>183</v>
      </c>
      <c r="B24" s="299"/>
      <c r="C24" s="299"/>
      <c r="D24" s="299"/>
      <c r="E24" s="299"/>
      <c r="F24" s="284"/>
      <c r="G24" s="284"/>
      <c r="H24" s="284"/>
      <c r="I24" s="277"/>
    </row>
    <row r="25" spans="1:10">
      <c r="A25" s="99" t="s">
        <v>345</v>
      </c>
      <c r="B25" s="298">
        <v>2463.1999999999998</v>
      </c>
      <c r="C25" s="298">
        <v>2463.6</v>
      </c>
      <c r="D25" s="298">
        <v>3626.8</v>
      </c>
      <c r="E25" s="298">
        <v>9905.5</v>
      </c>
      <c r="F25" s="283">
        <v>7222.5</v>
      </c>
      <c r="G25" s="283">
        <v>3247.2</v>
      </c>
      <c r="H25" s="283">
        <v>9099</v>
      </c>
      <c r="I25" s="124" t="s">
        <v>346</v>
      </c>
      <c r="J25" t="s">
        <v>347</v>
      </c>
    </row>
    <row r="26" spans="1:10">
      <c r="A26" s="99" t="s">
        <v>112</v>
      </c>
      <c r="B26" s="298">
        <v>0.71</v>
      </c>
      <c r="C26" s="298">
        <v>0</v>
      </c>
      <c r="D26" s="298">
        <v>0.47199999999999998</v>
      </c>
      <c r="E26" s="298">
        <v>1.7310000000000001</v>
      </c>
      <c r="F26" s="283">
        <v>-0.27100000000000002</v>
      </c>
      <c r="G26" s="283">
        <v>-0.55000000000000004</v>
      </c>
      <c r="H26" s="283">
        <v>1.802</v>
      </c>
      <c r="I26" s="124" t="s">
        <v>348</v>
      </c>
      <c r="J26" t="s">
        <v>349</v>
      </c>
    </row>
    <row r="27" spans="1:10">
      <c r="A27" s="99" t="s">
        <v>350</v>
      </c>
      <c r="B27" s="298">
        <v>0.22500000000000001</v>
      </c>
      <c r="C27" s="298">
        <v>0.20799999999999999</v>
      </c>
      <c r="D27" s="298">
        <v>0.25900000000000001</v>
      </c>
      <c r="E27" s="298">
        <v>0.53200000000000003</v>
      </c>
      <c r="F27" s="283">
        <v>0.34100000000000003</v>
      </c>
      <c r="G27" s="283">
        <v>0.11799999999999999</v>
      </c>
      <c r="H27" s="283">
        <v>0.32200000000000001</v>
      </c>
      <c r="I27" s="124" t="s">
        <v>351</v>
      </c>
      <c r="J27" t="s">
        <v>352</v>
      </c>
    </row>
    <row r="28" spans="1:10">
      <c r="A28" s="99" t="s">
        <v>353</v>
      </c>
      <c r="B28" s="298">
        <v>2259</v>
      </c>
      <c r="C28" s="298">
        <v>3121.1</v>
      </c>
      <c r="D28" s="298">
        <v>3532.3</v>
      </c>
      <c r="E28" s="298">
        <v>6049.4</v>
      </c>
      <c r="F28" s="283">
        <v>6951.8</v>
      </c>
      <c r="G28" s="283">
        <v>7268.3</v>
      </c>
      <c r="H28" s="283">
        <v>7004.7</v>
      </c>
      <c r="I28" s="124" t="s">
        <v>354</v>
      </c>
      <c r="J28" t="s">
        <v>201</v>
      </c>
    </row>
    <row r="29" spans="1:10">
      <c r="A29" s="99" t="s">
        <v>355</v>
      </c>
      <c r="B29" s="298">
        <v>3121.1</v>
      </c>
      <c r="C29" s="298">
        <v>3532.3</v>
      </c>
      <c r="D29" s="298">
        <v>6049.4</v>
      </c>
      <c r="E29" s="298">
        <v>6951.8</v>
      </c>
      <c r="F29" s="283">
        <v>7268.3</v>
      </c>
      <c r="G29" s="283">
        <v>7004.7</v>
      </c>
      <c r="H29" s="283">
        <v>12735.9</v>
      </c>
      <c r="I29" s="124" t="s">
        <v>201</v>
      </c>
      <c r="J29" t="s">
        <v>356</v>
      </c>
    </row>
    <row r="30" spans="1:10">
      <c r="A30" s="99"/>
      <c r="B30" s="101"/>
      <c r="C30" s="101"/>
      <c r="D30" s="101"/>
      <c r="E30" s="101"/>
      <c r="F30" s="101"/>
      <c r="G30" s="101"/>
      <c r="H30" s="101"/>
      <c r="I30" s="124"/>
    </row>
    <row r="31" spans="1:10" s="217" customFormat="1">
      <c r="A31" s="215"/>
      <c r="B31" s="216"/>
      <c r="C31" s="216"/>
      <c r="D31" s="216"/>
      <c r="E31" s="216"/>
      <c r="F31" s="216"/>
      <c r="G31" s="216"/>
      <c r="H31" s="216"/>
      <c r="I31" s="277"/>
    </row>
    <row r="32" spans="1:10">
      <c r="A32" s="99"/>
      <c r="B32" s="101"/>
      <c r="C32" s="101"/>
      <c r="D32" s="101"/>
      <c r="E32" s="101"/>
      <c r="F32" s="101"/>
      <c r="G32" s="101"/>
      <c r="H32" s="101"/>
      <c r="I32" s="124"/>
    </row>
    <row r="33" spans="1:9">
      <c r="A33" s="99"/>
      <c r="B33" s="101"/>
      <c r="C33" s="101"/>
      <c r="D33" s="101"/>
      <c r="E33" s="101"/>
      <c r="F33" s="101"/>
      <c r="G33" s="101"/>
      <c r="H33" s="101"/>
      <c r="I33" s="124"/>
    </row>
    <row r="34" spans="1:9">
      <c r="A34" s="99"/>
      <c r="B34" s="101"/>
      <c r="C34" s="101"/>
      <c r="D34" s="101"/>
      <c r="E34" s="101"/>
      <c r="F34" s="101"/>
      <c r="G34" s="101"/>
      <c r="H34" s="101"/>
      <c r="I34" s="124"/>
    </row>
    <row r="35" spans="1:9">
      <c r="A35" s="99"/>
      <c r="B35" s="101"/>
      <c r="C35" s="101"/>
      <c r="D35" s="101"/>
      <c r="E35" s="101"/>
      <c r="F35" s="101"/>
      <c r="G35" s="101"/>
      <c r="H35" s="101"/>
      <c r="I35" s="124"/>
    </row>
    <row r="36" spans="1:9">
      <c r="A36" s="99"/>
      <c r="B36" s="101"/>
      <c r="C36" s="101"/>
      <c r="D36" s="101"/>
      <c r="E36" s="101"/>
      <c r="F36" s="101"/>
      <c r="G36" s="101"/>
      <c r="H36" s="101"/>
    </row>
    <row r="37" spans="1:9">
      <c r="A37" s="99"/>
      <c r="B37" s="101"/>
      <c r="C37" s="101"/>
      <c r="D37" s="101"/>
      <c r="E37" s="101"/>
      <c r="F37" s="101"/>
      <c r="G37" s="101"/>
      <c r="H37" s="101"/>
      <c r="I37" s="124"/>
    </row>
    <row r="38" spans="1:9">
      <c r="A38" s="99"/>
      <c r="B38" s="101"/>
      <c r="C38" s="101"/>
      <c r="D38" s="101"/>
      <c r="E38" s="101"/>
      <c r="F38" s="101"/>
      <c r="G38" s="101"/>
      <c r="H38" s="101"/>
      <c r="I38" s="124"/>
    </row>
    <row r="39" spans="1:9">
      <c r="A39" s="99"/>
      <c r="B39" s="101"/>
      <c r="C39" s="101"/>
      <c r="D39" s="101"/>
      <c r="E39" s="101"/>
      <c r="F39" s="101"/>
      <c r="G39" s="101"/>
      <c r="H39" s="101"/>
      <c r="I39" s="124"/>
    </row>
    <row r="40" spans="1:9">
      <c r="A40" s="99"/>
      <c r="B40" s="101"/>
      <c r="C40" s="101"/>
      <c r="D40" s="101"/>
      <c r="E40" s="101"/>
      <c r="F40" s="101"/>
      <c r="G40" s="101"/>
      <c r="H40" s="101"/>
      <c r="I40" s="124"/>
    </row>
    <row r="41" spans="1:9">
      <c r="A41" s="99"/>
      <c r="B41" s="101"/>
      <c r="C41" s="101"/>
      <c r="D41" s="101"/>
      <c r="E41" s="101"/>
      <c r="F41" s="101"/>
      <c r="G41" s="101"/>
      <c r="H41" s="101"/>
      <c r="I41" s="124"/>
    </row>
    <row r="42" spans="1:9">
      <c r="A42" s="99"/>
      <c r="B42" s="101"/>
      <c r="C42" s="101"/>
      <c r="D42" s="101"/>
      <c r="E42" s="101"/>
      <c r="F42" s="101"/>
      <c r="G42" s="101"/>
      <c r="H42" s="101"/>
      <c r="I42" s="124"/>
    </row>
    <row r="43" spans="1:9">
      <c r="A43" s="99"/>
      <c r="B43" s="101"/>
      <c r="C43" s="101"/>
      <c r="D43" s="101"/>
      <c r="E43" s="101"/>
      <c r="F43" s="101"/>
      <c r="G43" s="101"/>
      <c r="H43" s="101"/>
      <c r="I43" s="124"/>
    </row>
    <row r="44" spans="1:9">
      <c r="A44" s="99"/>
      <c r="B44" s="101"/>
      <c r="C44" s="101"/>
      <c r="D44" s="101"/>
      <c r="E44" s="101"/>
      <c r="F44" s="101"/>
      <c r="G44" s="101"/>
      <c r="H44" s="101"/>
    </row>
    <row r="45" spans="1:9">
      <c r="A45" s="99"/>
      <c r="B45" s="101"/>
      <c r="C45" s="100"/>
      <c r="D45" s="101"/>
      <c r="E45" s="101"/>
      <c r="F45" s="101"/>
      <c r="G45" s="101"/>
      <c r="H45" s="101"/>
      <c r="I45" s="124"/>
    </row>
    <row r="46" spans="1:9">
      <c r="A46" s="99"/>
      <c r="B46" s="101"/>
      <c r="C46" s="101"/>
      <c r="D46" s="101"/>
      <c r="E46" s="101"/>
      <c r="F46" s="101"/>
      <c r="G46" s="101"/>
      <c r="H46" s="101"/>
    </row>
    <row r="47" spans="1:9">
      <c r="A47" s="99"/>
      <c r="B47" s="101"/>
      <c r="C47" s="101"/>
      <c r="D47" s="101"/>
      <c r="E47" s="101"/>
      <c r="F47" s="101"/>
      <c r="G47" s="101"/>
      <c r="H47" s="101"/>
    </row>
    <row r="48" spans="1:9">
      <c r="A48" s="99"/>
      <c r="B48" s="100"/>
      <c r="C48" s="100"/>
      <c r="D48" s="100"/>
      <c r="E48" s="100"/>
      <c r="F48" s="101"/>
      <c r="G48" s="101"/>
      <c r="H48" s="101"/>
    </row>
    <row r="49" spans="1:8">
      <c r="A49" s="99"/>
      <c r="B49" s="101"/>
      <c r="C49" s="101"/>
      <c r="D49" s="101"/>
      <c r="E49" s="101"/>
      <c r="F49" s="101"/>
      <c r="G49" s="101"/>
      <c r="H49" s="101"/>
    </row>
    <row r="50" spans="1:8">
      <c r="A50" s="99"/>
      <c r="B50" s="101"/>
      <c r="C50" s="101"/>
      <c r="D50" s="101"/>
      <c r="E50" s="101"/>
      <c r="F50" s="101"/>
      <c r="G50" s="101"/>
      <c r="H50" s="101"/>
    </row>
    <row r="51" spans="1:8">
      <c r="A51" s="99"/>
      <c r="B51" s="101"/>
      <c r="C51" s="101"/>
      <c r="D51" s="101"/>
      <c r="E51" s="101"/>
      <c r="F51" s="101"/>
      <c r="G51" s="101"/>
      <c r="H51" s="101"/>
    </row>
    <row r="52" spans="1:8">
      <c r="A52" s="99"/>
      <c r="B52" s="100"/>
      <c r="C52" s="100"/>
      <c r="D52" s="100"/>
      <c r="E52" s="100"/>
      <c r="F52" s="100"/>
      <c r="G52" s="100"/>
      <c r="H52" s="100"/>
    </row>
    <row r="53" spans="1:8">
      <c r="A53" s="99"/>
      <c r="B53" s="101"/>
      <c r="C53" s="101"/>
      <c r="D53" s="101"/>
      <c r="E53" s="101"/>
      <c r="F53" s="101"/>
      <c r="G53" s="101"/>
      <c r="H53" s="101"/>
    </row>
    <row r="54" spans="1:8">
      <c r="A54" s="99"/>
      <c r="B54" s="101"/>
      <c r="C54" s="101"/>
      <c r="D54" s="101"/>
      <c r="E54" s="101"/>
      <c r="F54" s="101"/>
      <c r="G54" s="101"/>
      <c r="H54" s="101"/>
    </row>
    <row r="55" spans="1:8">
      <c r="A55" s="99"/>
      <c r="B55" s="101"/>
      <c r="C55" s="101"/>
      <c r="D55" s="101"/>
      <c r="E55" s="101"/>
      <c r="F55" s="101"/>
      <c r="G55" s="101"/>
      <c r="H55" s="101"/>
    </row>
    <row r="56" spans="1:8">
      <c r="A56" s="99"/>
      <c r="B56" s="101"/>
      <c r="C56" s="101"/>
      <c r="D56" s="101"/>
      <c r="E56" s="101"/>
      <c r="F56" s="101"/>
      <c r="G56" s="101"/>
      <c r="H56" s="101"/>
    </row>
    <row r="57" spans="1:8">
      <c r="A57" s="99"/>
      <c r="B57" s="101"/>
      <c r="C57" s="101"/>
      <c r="D57" s="101"/>
      <c r="E57" s="101"/>
      <c r="F57" s="101"/>
      <c r="G57" s="101"/>
      <c r="H57" s="101"/>
    </row>
    <row r="58" spans="1:8">
      <c r="A58" s="99"/>
      <c r="B58" s="101"/>
      <c r="C58" s="101"/>
      <c r="D58" s="101"/>
      <c r="E58" s="101"/>
      <c r="F58" s="101"/>
      <c r="G58" s="101"/>
      <c r="H58" s="101"/>
    </row>
    <row r="59" spans="1:8">
      <c r="A59" s="99"/>
      <c r="B59" s="101"/>
      <c r="C59" s="101"/>
      <c r="D59" s="101"/>
      <c r="E59" s="101"/>
      <c r="F59" s="101"/>
      <c r="G59" s="101"/>
      <c r="H59" s="101"/>
    </row>
    <row r="60" spans="1:8">
      <c r="A60" s="99"/>
      <c r="B60" s="101"/>
      <c r="C60" s="101"/>
      <c r="D60" s="101"/>
      <c r="E60" s="101"/>
      <c r="F60" s="101"/>
      <c r="G60" s="101"/>
      <c r="H60" s="101"/>
    </row>
    <row r="61" spans="1:8">
      <c r="A61" s="99"/>
      <c r="B61" s="100"/>
      <c r="C61" s="100"/>
      <c r="D61" s="100"/>
      <c r="E61" s="100"/>
      <c r="F61" s="100"/>
      <c r="G61" s="100"/>
      <c r="H61" s="100"/>
    </row>
    <row r="62" spans="1:8">
      <c r="A62" s="99"/>
      <c r="B62" s="101"/>
      <c r="C62" s="101"/>
      <c r="D62" s="101"/>
      <c r="E62" s="101"/>
      <c r="F62" s="101"/>
      <c r="G62" s="101"/>
      <c r="H62" s="101"/>
    </row>
    <row r="63" spans="1:8">
      <c r="A63" s="99"/>
      <c r="B63" s="101"/>
      <c r="C63" s="101"/>
      <c r="D63" s="101"/>
      <c r="E63" s="101"/>
      <c r="F63" s="101"/>
      <c r="G63" s="101"/>
      <c r="H63" s="101"/>
    </row>
    <row r="64" spans="1:8">
      <c r="A64" s="99"/>
      <c r="B64" s="100"/>
      <c r="C64" s="100"/>
      <c r="D64" s="100"/>
      <c r="E64" s="100"/>
      <c r="F64" s="101"/>
      <c r="G64" s="101"/>
      <c r="H64" s="101"/>
    </row>
    <row r="65" spans="1:8">
      <c r="A65" s="99"/>
      <c r="B65" s="101"/>
      <c r="C65" s="101"/>
      <c r="D65" s="101"/>
      <c r="E65" s="101"/>
      <c r="F65" s="101"/>
      <c r="G65" s="101"/>
      <c r="H65" s="101"/>
    </row>
    <row r="66" spans="1:8">
      <c r="A66" s="99"/>
      <c r="B66" s="100"/>
      <c r="C66" s="100"/>
      <c r="D66" s="100"/>
      <c r="E66" s="100"/>
      <c r="F66" s="100"/>
      <c r="G66" s="100"/>
      <c r="H66" s="100"/>
    </row>
    <row r="67" spans="1:8">
      <c r="A67" s="99"/>
      <c r="B67" s="100"/>
      <c r="C67" s="100"/>
      <c r="D67" s="100"/>
      <c r="E67" s="100"/>
      <c r="F67" s="100"/>
      <c r="G67" s="100"/>
      <c r="H67" s="100"/>
    </row>
    <row r="68" spans="1:8">
      <c r="A68" s="99"/>
      <c r="B68" s="100"/>
      <c r="C68" s="100"/>
      <c r="D68" s="100"/>
      <c r="E68" s="100"/>
      <c r="F68" s="101"/>
      <c r="G68" s="101"/>
      <c r="H68" s="101"/>
    </row>
    <row r="69" spans="1:8">
      <c r="A69" s="99"/>
      <c r="B69" s="100"/>
      <c r="C69" s="100"/>
      <c r="D69" s="100"/>
      <c r="E69" s="100"/>
      <c r="F69" s="101"/>
      <c r="G69" s="101"/>
      <c r="H69" s="101"/>
    </row>
    <row r="70" spans="1:8">
      <c r="A70" s="99"/>
      <c r="B70" s="101"/>
      <c r="C70" s="101"/>
      <c r="D70" s="101"/>
      <c r="E70" s="101"/>
      <c r="F70" s="101"/>
      <c r="G70" s="101"/>
      <c r="H70" s="101"/>
    </row>
    <row r="71" spans="1:8">
      <c r="A71" s="99"/>
      <c r="B71" s="100"/>
      <c r="C71" s="100"/>
      <c r="D71" s="100"/>
      <c r="E71" s="100"/>
      <c r="F71" s="100"/>
      <c r="G71" s="100"/>
      <c r="H71" s="100"/>
    </row>
    <row r="72" spans="1:8">
      <c r="A72" s="99"/>
      <c r="B72" s="100"/>
      <c r="C72" s="100"/>
      <c r="D72" s="100"/>
      <c r="E72" s="100"/>
      <c r="F72" s="100"/>
      <c r="G72" s="100"/>
      <c r="H72" s="100"/>
    </row>
    <row r="73" spans="1:8">
      <c r="A73" s="99"/>
      <c r="B73" s="100"/>
      <c r="C73" s="100"/>
      <c r="D73" s="100"/>
      <c r="E73" s="100"/>
      <c r="F73" s="100"/>
      <c r="G73" s="100"/>
      <c r="H73" s="100"/>
    </row>
    <row r="74" spans="1:8">
      <c r="A74" s="99"/>
      <c r="B74" s="100"/>
      <c r="C74" s="100"/>
      <c r="D74" s="100"/>
      <c r="E74" s="100"/>
      <c r="F74" s="100"/>
      <c r="G74" s="100"/>
      <c r="H74" s="100"/>
    </row>
    <row r="75" spans="1:8">
      <c r="A75" s="99"/>
      <c r="B75" s="100"/>
      <c r="C75" s="100"/>
      <c r="D75" s="100"/>
      <c r="E75" s="100"/>
      <c r="F75" s="100"/>
      <c r="G75" s="100"/>
      <c r="H75" s="100"/>
    </row>
    <row r="76" spans="1:8">
      <c r="A76" s="99"/>
      <c r="B76" s="100"/>
      <c r="C76" s="100"/>
      <c r="D76" s="100"/>
      <c r="E76" s="100"/>
      <c r="F76" s="100"/>
      <c r="G76" s="100"/>
      <c r="H76" s="100"/>
    </row>
    <row r="77" spans="1:8">
      <c r="A77" s="99"/>
      <c r="B77" s="100"/>
      <c r="C77" s="100"/>
      <c r="D77" s="100"/>
      <c r="E77" s="100"/>
      <c r="F77" s="100"/>
      <c r="G77" s="100"/>
      <c r="H77" s="100"/>
    </row>
    <row r="78" spans="1:8">
      <c r="A78" s="99"/>
      <c r="B78" s="100"/>
      <c r="C78" s="100"/>
      <c r="D78" s="100"/>
      <c r="E78" s="100"/>
      <c r="F78" s="100"/>
      <c r="G78" s="100"/>
      <c r="H78" s="100"/>
    </row>
    <row r="79" spans="1:8">
      <c r="A79" s="99"/>
      <c r="B79" s="100"/>
      <c r="C79" s="100"/>
      <c r="D79" s="100"/>
      <c r="E79" s="100"/>
      <c r="F79" s="100"/>
      <c r="G79" s="100"/>
      <c r="H79" s="100"/>
    </row>
    <row r="80" spans="1:8">
      <c r="A80" s="99"/>
      <c r="B80" s="100"/>
      <c r="C80" s="100"/>
      <c r="D80" s="100"/>
      <c r="E80" s="100"/>
      <c r="F80" s="100"/>
      <c r="G80" s="100"/>
      <c r="H80" s="100"/>
    </row>
    <row r="81" spans="1:8">
      <c r="A81" s="99"/>
      <c r="B81" s="100"/>
      <c r="C81" s="100"/>
      <c r="D81" s="100"/>
      <c r="E81" s="100"/>
      <c r="F81" s="100"/>
      <c r="G81" s="100"/>
      <c r="H81" s="100"/>
    </row>
    <row r="82" spans="1:8">
      <c r="A82" s="99"/>
      <c r="B82" s="100"/>
      <c r="C82" s="100"/>
      <c r="D82" s="100"/>
      <c r="E82" s="100"/>
      <c r="F82" s="100"/>
      <c r="G82" s="100"/>
      <c r="H82" s="100"/>
    </row>
    <row r="83" spans="1:8">
      <c r="A83" s="99"/>
      <c r="B83" s="100"/>
      <c r="C83" s="100"/>
      <c r="D83" s="100"/>
      <c r="E83" s="100"/>
      <c r="F83" s="100"/>
      <c r="G83" s="100"/>
      <c r="H83" s="100"/>
    </row>
    <row r="84" spans="1:8">
      <c r="A84" s="99"/>
      <c r="B84" s="100"/>
      <c r="C84" s="100"/>
      <c r="D84" s="100"/>
      <c r="E84" s="100"/>
      <c r="F84" s="100"/>
      <c r="G84" s="100"/>
      <c r="H84" s="100"/>
    </row>
    <row r="85" spans="1:8">
      <c r="A85" s="99"/>
      <c r="B85" s="100"/>
      <c r="C85" s="100"/>
      <c r="D85" s="100"/>
      <c r="E85" s="100"/>
      <c r="F85" s="100"/>
      <c r="G85" s="100"/>
      <c r="H85" s="100"/>
    </row>
    <row r="86" spans="1:8">
      <c r="A86" s="99"/>
      <c r="B86" s="100"/>
      <c r="C86" s="100"/>
      <c r="D86" s="100"/>
      <c r="E86" s="100"/>
      <c r="F86" s="100"/>
      <c r="G86" s="100"/>
      <c r="H86" s="100"/>
    </row>
    <row r="87" spans="1:8">
      <c r="A87" s="99"/>
      <c r="B87" s="100"/>
      <c r="C87" s="100"/>
      <c r="D87" s="100"/>
      <c r="E87" s="100"/>
      <c r="F87" s="100"/>
      <c r="G87" s="100"/>
      <c r="H87" s="100"/>
    </row>
    <row r="88" spans="1:8">
      <c r="A88" s="99"/>
      <c r="B88" s="100"/>
      <c r="C88" s="100"/>
      <c r="D88" s="100"/>
      <c r="E88" s="100"/>
      <c r="F88" s="100"/>
      <c r="G88" s="100"/>
      <c r="H88" s="100"/>
    </row>
    <row r="89" spans="1:8">
      <c r="A89" s="99"/>
      <c r="B89" s="100"/>
      <c r="C89" s="100"/>
      <c r="D89" s="100"/>
      <c r="E89" s="100"/>
      <c r="F89" s="100"/>
      <c r="G89" s="100"/>
      <c r="H89" s="100"/>
    </row>
    <row r="90" spans="1:8">
      <c r="A90" s="99"/>
      <c r="B90" s="100"/>
      <c r="C90" s="100"/>
      <c r="D90" s="100"/>
      <c r="E90" s="100"/>
      <c r="F90" s="100"/>
      <c r="G90" s="100"/>
      <c r="H90" s="100"/>
    </row>
    <row r="91" spans="1:8">
      <c r="A91" s="99"/>
      <c r="B91" s="100"/>
      <c r="C91" s="100"/>
      <c r="D91" s="100"/>
      <c r="E91" s="100"/>
      <c r="F91" s="100"/>
      <c r="G91" s="100"/>
      <c r="H91" s="100"/>
    </row>
    <row r="92" spans="1:8">
      <c r="A92" s="99"/>
      <c r="B92" s="100"/>
      <c r="C92" s="100"/>
      <c r="D92" s="100"/>
      <c r="E92" s="100"/>
      <c r="F92" s="100"/>
      <c r="G92" s="100"/>
      <c r="H92" s="100"/>
    </row>
    <row r="93" spans="1:8">
      <c r="A93" s="99"/>
      <c r="B93" s="100"/>
      <c r="C93" s="100"/>
      <c r="D93" s="100"/>
      <c r="E93" s="100"/>
      <c r="F93" s="100"/>
      <c r="G93" s="100"/>
      <c r="H93" s="100"/>
    </row>
    <row r="94" spans="1:8">
      <c r="A94" s="99"/>
      <c r="B94" s="100"/>
      <c r="C94" s="100"/>
      <c r="D94" s="100"/>
      <c r="E94" s="100"/>
      <c r="F94" s="100"/>
      <c r="G94" s="100"/>
      <c r="H94" s="100"/>
    </row>
    <row r="95" spans="1:8">
      <c r="A95" s="99"/>
      <c r="B95" s="100"/>
      <c r="C95" s="100"/>
      <c r="D95" s="100"/>
      <c r="E95" s="100"/>
      <c r="F95" s="100"/>
      <c r="G95" s="100"/>
      <c r="H95" s="100"/>
    </row>
    <row r="96" spans="1:8">
      <c r="A96" s="99"/>
      <c r="B96" s="100"/>
      <c r="C96" s="100"/>
      <c r="D96" s="100"/>
      <c r="E96" s="100"/>
      <c r="F96" s="100"/>
      <c r="G96" s="100"/>
      <c r="H96" s="100"/>
    </row>
    <row r="97" spans="1:8">
      <c r="A97" s="99"/>
      <c r="B97" s="100"/>
      <c r="C97" s="100"/>
      <c r="D97" s="100"/>
      <c r="E97" s="100"/>
      <c r="F97" s="100"/>
      <c r="G97" s="100"/>
      <c r="H97" s="100"/>
    </row>
    <row r="98" spans="1:8">
      <c r="A98" s="99"/>
      <c r="B98" s="100"/>
      <c r="C98" s="100"/>
      <c r="D98" s="100"/>
      <c r="E98" s="100"/>
      <c r="F98" s="100"/>
      <c r="G98" s="100"/>
      <c r="H98" s="100"/>
    </row>
    <row r="99" spans="1:8">
      <c r="A99" s="99"/>
      <c r="B99" s="100"/>
      <c r="C99" s="100"/>
      <c r="D99" s="100"/>
      <c r="E99" s="100"/>
      <c r="F99" s="100"/>
      <c r="G99" s="100"/>
      <c r="H99" s="100"/>
    </row>
    <row r="200" s="96" customFormat="1"/>
    <row r="201" s="96" customFormat="1"/>
    <row r="202" s="96" customFormat="1"/>
    <row r="203" s="96" customFormat="1"/>
  </sheetData>
  <sheetProtection formatCells="0" formatColumns="0" formatRows="0"/>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Astartes RA</cp:lastModifiedBy>
  <cp:revision/>
  <dcterms:created xsi:type="dcterms:W3CDTF">2006-09-16T00:00:00Z</dcterms:created>
  <dcterms:modified xsi:type="dcterms:W3CDTF">2025-03-06T04:41:28Z</dcterms:modified>
  <cp:category/>
  <cp:contentStatus/>
</cp:coreProperties>
</file>