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7"/>
  <workbookPr filterPrivacy="1"/>
  <xr:revisionPtr revIDLastSave="278" documentId="13_ncr:1_{F918A09F-6944-4A6A-8F03-55C34AB1BF7E}" xr6:coauthVersionLast="47" xr6:coauthVersionMax="47" xr10:uidLastSave="{80282E53-C65E-4146-ACA2-935F71DB3A62}"/>
  <bookViews>
    <workbookView xWindow="28680" yWindow="-90" windowWidth="29040" windowHeight="16440" firstSheet="4" activeTab="6" xr2:uid="{00000000-000D-0000-FFFF-FFFF00000000}"/>
  </bookViews>
  <sheets>
    <sheet name="Instrucciones" sheetId="13" r:id="rId1"/>
    <sheet name="1.IS" sheetId="1" r:id="rId2"/>
    <sheet name="2.FCF" sheetId="2" r:id="rId3"/>
    <sheet name="3.ROIC" sheetId="3" r:id="rId4"/>
    <sheet name="4.Valoración" sheetId="5" r:id="rId5"/>
    <sheet name="5.Gráficos" sheetId="7" r:id="rId6"/>
    <sheet name="6.TIKR_IS" sheetId="8" r:id="rId7"/>
    <sheet name="7.TIKR_BS" sheetId="10" r:id="rId8"/>
    <sheet name="8.TIKR_CF" sheetId="11" r:id="rId9"/>
    <sheet name="9.Glosario" sheetId="6" r:id="rId10"/>
    <sheet name="TIKR_Cálculos" sheetId="12" state="hidden" r:id="rId11"/>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 l="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H32" i="12"/>
  <c r="G32" i="12"/>
  <c r="F32" i="12"/>
  <c r="E32" i="12"/>
  <c r="D32" i="12"/>
  <c r="C32" i="12"/>
  <c r="B32" i="12"/>
  <c r="H31" i="12"/>
  <c r="G31" i="12"/>
  <c r="F31" i="12"/>
  <c r="E31" i="12"/>
  <c r="D31" i="12"/>
  <c r="C31" i="12"/>
  <c r="B31" i="12"/>
  <c r="H30" i="12"/>
  <c r="G30" i="12"/>
  <c r="F30" i="12"/>
  <c r="E30" i="12"/>
  <c r="D30" i="12"/>
  <c r="C30" i="12"/>
  <c r="B30" i="12"/>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29"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I11" i="2"/>
  <c r="F13" i="2"/>
  <c r="F53" i="12"/>
  <c r="G13" i="2"/>
  <c r="G53" i="12"/>
  <c r="D13" i="2"/>
  <c r="C13" i="2"/>
  <c r="H13" i="2"/>
  <c r="E13" i="2"/>
  <c r="N21" i="2"/>
  <c r="E28" i="2" l="1"/>
  <c r="E27" i="2"/>
  <c r="H28" i="2"/>
  <c r="H27" i="2"/>
  <c r="C28" i="2"/>
  <c r="C27" i="2"/>
  <c r="D28" i="2"/>
  <c r="D27" i="2"/>
  <c r="G28" i="2"/>
  <c r="G27" i="2"/>
  <c r="F28" i="2"/>
  <c r="F27" i="2"/>
  <c r="E45" i="12"/>
  <c r="E29" i="2"/>
  <c r="H45" i="12"/>
  <c r="H29" i="2"/>
  <c r="C29" i="2"/>
  <c r="J29" i="2"/>
  <c r="J28" i="2"/>
  <c r="J26" i="2"/>
  <c r="J27" i="2"/>
  <c r="D45" i="12"/>
  <c r="D29" i="2"/>
  <c r="G45" i="12"/>
  <c r="G29" i="2"/>
  <c r="F45" i="12"/>
  <c r="F29" i="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3" authorId="0" shapeId="0" xr:uid="{65389CF9-C440-494C-A3C7-72254C0108CA}">
      <text>
        <r>
          <rPr>
            <sz val="9"/>
            <color indexed="81"/>
            <rFont val="Tahoma"/>
            <family val="2"/>
          </rPr>
          <t>Ojo, hay que incluir TODOS los gastos de ventas y operativos del negocio:
- Costes de ventas (Cost of sales o Costs of goods sold)
- Operating Costs (incluyendo SG&amp;A, R&amp;D y todos los gastos operativos que correspondan)</t>
        </r>
      </text>
    </comment>
    <comment ref="B10" authorId="0" shapeId="0" xr:uid="{D2B3C4B2-B06B-4E53-9A84-2CCFA295901B}">
      <text>
        <r>
          <rPr>
            <sz val="9"/>
            <color indexed="81"/>
            <rFont val="Tahoma"/>
            <family val="2"/>
          </rPr>
          <t>Si el resultado es negativo, implica que la compañía tiene caja neta (más caja que deuda)</t>
        </r>
      </text>
    </comment>
    <comment ref="C10" authorId="0" shapeId="0" xr:uid="{111D002C-66C0-4D45-AA67-7D6564C3EE44}">
      <text>
        <r>
          <rPr>
            <sz val="9"/>
            <color indexed="81"/>
            <rFont val="Tahoma"/>
            <family val="2"/>
          </rPr>
          <t>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r>
      </text>
    </comment>
    <comment ref="C12" authorId="0" shapeId="0" xr:uid="{20A7DF0C-EB9D-4B19-99C4-195B997CF099}">
      <text>
        <r>
          <rPr>
            <sz val="9"/>
            <color rgb="FF000000"/>
            <rFont val="Tahoma"/>
            <family val="2"/>
          </rPr>
          <t>En caso de existir acciones preferentes y/o intereses minoritarios, también hay que incluir la valoración a mercado de estas partidas y sumárselas al EV</t>
        </r>
      </text>
    </comment>
    <comment ref="D12" authorId="0" shapeId="0" xr:uid="{20C33B7E-FF9A-424F-BFE9-CB4AD4B9BEBF}">
      <text>
        <r>
          <rPr>
            <sz val="9"/>
            <color indexed="81"/>
            <rFont val="Tahoma"/>
            <family val="2"/>
          </rPr>
          <t>Solo para empresas con posición de caja neta (Caja &gt; Deuda financiera neta)
La caja neta REDUCE el EV de la empresa</t>
        </r>
      </text>
    </comment>
    <comment ref="C25" authorId="0" shapeId="0" xr:uid="{F0B1CB8D-3A90-44B9-B8C9-A9A29FF15765}">
      <text>
        <r>
          <rPr>
            <sz val="9"/>
            <color indexed="81"/>
            <rFont val="Tahoma"/>
            <family val="2"/>
          </rPr>
          <t>T = Tax Rate = Effective Tax Rate</t>
        </r>
      </text>
    </comment>
    <comment ref="D25" authorId="0" shapeId="0" xr:uid="{3989015F-C005-4349-9C59-CAC4BD3B1717}">
      <text>
        <r>
          <rPr>
            <sz val="9"/>
            <color indexed="81"/>
            <rFont val="Tahoma"/>
            <family val="2"/>
          </rPr>
          <t>Deuda financiera total = Short Term Debt + Long Term Debt
Los operating leases también incluimos tanto a Corto Plazo como a Largo Plazo, en los casos que aparezcan detallados en el balance</t>
        </r>
      </text>
    </comment>
  </commentList>
</comments>
</file>

<file path=xl/sharedStrings.xml><?xml version="1.0" encoding="utf-8"?>
<sst xmlns="http://schemas.openxmlformats.org/spreadsheetml/2006/main" count="534" uniqueCount="441">
  <si>
    <t>Instrucciones</t>
  </si>
  <si>
    <r>
      <t xml:space="preserve">- Modifica solo las celdas con fondo </t>
    </r>
    <r>
      <rPr>
        <b/>
        <sz val="14"/>
        <color theme="3"/>
        <rFont val="Ebrima"/>
      </rPr>
      <t>AZUL FLOJO</t>
    </r>
    <r>
      <rPr>
        <sz val="12"/>
        <color theme="3"/>
        <rFont val="Ebrima"/>
      </rPr>
      <t xml:space="preserve">. Los datos "clave" para la valoración están marcados con números en </t>
    </r>
    <r>
      <rPr>
        <b/>
        <sz val="14"/>
        <color theme="9" tint="-0.249977111117893"/>
        <rFont val="Ebrima"/>
      </rPr>
      <t>NARANJA</t>
    </r>
    <r>
      <rPr>
        <sz val="12"/>
        <color theme="3"/>
        <rFont val="Ebrima"/>
      </rPr>
      <t xml:space="preserve"> (Hojas 1, 3 y 4)</t>
    </r>
  </si>
  <si>
    <r>
      <t xml:space="preserve">- Introducimos todas las partidas con el </t>
    </r>
    <r>
      <rPr>
        <b/>
        <sz val="12"/>
        <color theme="3"/>
        <rFont val="Ebrima"/>
      </rPr>
      <t>MISMO SIGNO QUE EN TIKR</t>
    </r>
    <r>
      <rPr>
        <sz val="12"/>
        <color theme="3"/>
        <rFont val="Ebrima"/>
      </rPr>
      <t xml:space="preserve"> (Gastos y salidas de caja = números </t>
    </r>
    <r>
      <rPr>
        <sz val="12"/>
        <color rgb="FFFF0000"/>
        <rFont val="Ebrima"/>
      </rPr>
      <t>negativos</t>
    </r>
    <r>
      <rPr>
        <sz val="12"/>
        <color theme="3"/>
        <rFont val="Ebrima"/>
      </rPr>
      <t>; Ingresos y entradas de caja = números positivos)</t>
    </r>
  </si>
  <si>
    <r>
      <t xml:space="preserve">- Opcional: Para que la plantilla obtenga los datos desde </t>
    </r>
    <r>
      <rPr>
        <b/>
        <sz val="14"/>
        <color theme="3"/>
        <rFont val="Ebrima"/>
      </rPr>
      <t>TIKR</t>
    </r>
    <r>
      <rPr>
        <sz val="12"/>
        <color theme="3"/>
        <rFont val="Ebrima"/>
      </rPr>
      <t xml:space="preserve"> debes darle a "Copy Table" de cada estado financiero en TIKR y pegarlos en la celda A1 de las </t>
    </r>
    <r>
      <rPr>
        <b/>
        <sz val="12"/>
        <color theme="3"/>
        <rFont val="Ebrima"/>
      </rPr>
      <t>hojas 6 (IS), 7 (BS) y 8 (CF)</t>
    </r>
  </si>
  <si>
    <r>
      <t xml:space="preserve">- </t>
    </r>
    <r>
      <rPr>
        <b/>
        <sz val="12"/>
        <color theme="3"/>
        <rFont val="Ebrima"/>
      </rPr>
      <t>OJO</t>
    </r>
    <r>
      <rPr>
        <sz val="12"/>
        <color theme="3"/>
        <rFont val="Ebrima"/>
      </rPr>
      <t xml:space="preserve">: Solo es válido para </t>
    </r>
    <r>
      <rPr>
        <b/>
        <sz val="12"/>
        <color theme="3"/>
        <rFont val="Ebrima"/>
      </rPr>
      <t>TIKR en INGLÉS</t>
    </r>
    <r>
      <rPr>
        <sz val="12"/>
        <color theme="3"/>
        <rFont val="Ebrima"/>
      </rPr>
      <t>, y es recomendable pegar los datos con "formato de destino"</t>
    </r>
  </si>
  <si>
    <t>- Si no captura bien los datos, revisa que el separador decimal y de miles de tu aplicación de hoja de cálculo coincida con TIKR. También puedes probar a  ocultar los decimales en TIKR ("Decimals to display": 0) y pegar de nuevo los datos</t>
  </si>
  <si>
    <t>Novedades plantilla 2022 v2</t>
  </si>
  <si>
    <r>
      <t xml:space="preserve">- Cambio </t>
    </r>
    <r>
      <rPr>
        <b/>
        <u/>
        <sz val="12"/>
        <color theme="3"/>
        <rFont val="Ebrima"/>
      </rPr>
      <t>MUY IMPORTANTE</t>
    </r>
    <r>
      <rPr>
        <u/>
        <sz val="12"/>
        <color theme="3"/>
        <rFont val="Ebrima"/>
      </rPr>
      <t xml:space="preserve"> en los </t>
    </r>
    <r>
      <rPr>
        <b/>
        <u/>
        <sz val="12"/>
        <color theme="3"/>
        <rFont val="Ebrima"/>
      </rPr>
      <t>signos</t>
    </r>
    <r>
      <rPr>
        <sz val="12"/>
        <color theme="3"/>
        <rFont val="Ebrima"/>
      </rPr>
      <t xml:space="preserve"> de la plantilla para hacerlos coincidir con el formato de </t>
    </r>
    <r>
      <rPr>
        <b/>
        <sz val="12"/>
        <color theme="3"/>
        <rFont val="Ebrima"/>
      </rPr>
      <t>TIKR</t>
    </r>
    <r>
      <rPr>
        <sz val="12"/>
        <color theme="3"/>
        <rFont val="Ebrima"/>
      </rPr>
      <t xml:space="preserve">. Número </t>
    </r>
    <r>
      <rPr>
        <sz val="12"/>
        <color rgb="FFFF0000"/>
        <rFont val="Ebrima"/>
      </rPr>
      <t>negativo = SALIDA DE CAJA</t>
    </r>
    <r>
      <rPr>
        <sz val="12"/>
        <color theme="3"/>
        <rFont val="Ebrima"/>
      </rPr>
      <t>. Número positivo = ENTRADA DE CAJA</t>
    </r>
  </si>
  <si>
    <r>
      <t xml:space="preserve">- Opcional: La plantilla puede obtener los datos directamente desde los estados financieros de </t>
    </r>
    <r>
      <rPr>
        <b/>
        <sz val="14"/>
        <color theme="3"/>
        <rFont val="Ebrima"/>
      </rPr>
      <t>TIKR</t>
    </r>
    <r>
      <rPr>
        <sz val="14"/>
        <color theme="3"/>
        <rFont val="Ebrima"/>
      </rPr>
      <t xml:space="preserve"> tras pegarlos en las hojas correspondientes</t>
    </r>
  </si>
  <si>
    <t xml:space="preserve">- Mejoras en las estimaciones: </t>
  </si>
  <si>
    <r>
      <t xml:space="preserve">- Hoja </t>
    </r>
    <r>
      <rPr>
        <b/>
        <sz val="12"/>
        <color theme="3"/>
        <rFont val="Ebrima"/>
      </rPr>
      <t>1.IS</t>
    </r>
    <r>
      <rPr>
        <sz val="12"/>
        <color theme="3"/>
        <rFont val="Ebrima"/>
      </rPr>
      <t>: Los gastos en intereses ahora se proyectan a futuro usando como referencia el tipo medio de interés histórico</t>
    </r>
  </si>
  <si>
    <r>
      <t xml:space="preserve">- Hoja </t>
    </r>
    <r>
      <rPr>
        <b/>
        <sz val="12"/>
        <color theme="3"/>
        <rFont val="Ebrima"/>
      </rPr>
      <t>2.FCF</t>
    </r>
    <r>
      <rPr>
        <sz val="12"/>
        <color theme="3"/>
        <rFont val="Ebrima"/>
      </rPr>
      <t>: hemos cambiado los campos de "Usos del FCF" por "Cambio neto en la posición de caja" (Net change in cash), que podemos obtener directamente desde los Cash Flows. Esto evita errores y simplifica el uso de la plantilla</t>
    </r>
  </si>
  <si>
    <r>
      <t xml:space="preserve">- Hoja </t>
    </r>
    <r>
      <rPr>
        <b/>
        <sz val="12"/>
        <color theme="3"/>
        <rFont val="Ebrima"/>
      </rPr>
      <t>3.ROIC</t>
    </r>
    <r>
      <rPr>
        <sz val="12"/>
        <color theme="3"/>
        <rFont val="Ebrima"/>
      </rPr>
      <t>: mejora en la proyección de la deuda, y se ha añadido una estimación de la "</t>
    </r>
    <r>
      <rPr>
        <b/>
        <sz val="12"/>
        <color theme="3"/>
        <rFont val="Ebrima"/>
      </rPr>
      <t>Tasa de reinversión</t>
    </r>
    <r>
      <rPr>
        <sz val="12"/>
        <color theme="3"/>
        <rFont val="Ebrima"/>
      </rPr>
      <t>" histórica</t>
    </r>
  </si>
  <si>
    <r>
      <t xml:space="preserve">- Hoja </t>
    </r>
    <r>
      <rPr>
        <b/>
        <sz val="12"/>
        <color theme="3"/>
        <rFont val="Ebrima"/>
      </rPr>
      <t>4.Valoración</t>
    </r>
    <r>
      <rPr>
        <sz val="12"/>
        <color theme="3"/>
        <rFont val="Ebrima"/>
      </rPr>
      <t>: el ratio Deuda Neta/EBITDA a futuro ahora se basa en la media histórica. Es importante cambiarlo si crees que la compañía reducirá su deuda, o aumentarlo si realizará inversiones significativas</t>
    </r>
  </si>
  <si>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</si>
  <si>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</si>
  <si>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</si>
  <si>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</si>
  <si>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</si>
  <si>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</si>
  <si>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</si>
  <si>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</si>
  <si>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</si>
  <si>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</si>
  <si>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</si>
  <si>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</si>
  <si>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</si>
  <si>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</si>
  <si>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</si>
  <si>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</si>
  <si>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</si>
  <si>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</si>
  <si>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</si>
  <si>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</si>
  <si>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</si>
  <si>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</si>
  <si>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</si>
  <si>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</si>
  <si>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</si>
  <si>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</si>
  <si>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</si>
  <si>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</si>
  <si>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</si>
  <si>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</si>
  <si>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</si>
  <si>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</si>
  <si>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</si>
  <si>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</si>
  <si>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</si>
  <si>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</si>
  <si>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</si>
  <si>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</si>
  <si>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</si>
  <si>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</si>
  <si>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</si>
  <si>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</si>
  <si>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</si>
  <si>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</si>
  <si>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</si>
  <si>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</si>
  <si>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</si>
  <si>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</si>
  <si>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</si>
  <si>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</si>
  <si>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</si>
  <si>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</si>
  <si>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</si>
  <si>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</si>
  <si>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</si>
  <si>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</si>
  <si>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</si>
  <si>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</si>
  <si>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</si>
  <si>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</si>
  <si>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</si>
  <si>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</si>
  <si>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</si>
  <si>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</si>
  <si>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</si>
  <si>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</si>
  <si>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</si>
  <si>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</si>
  <si>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</si>
  <si>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</si>
  <si>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</si>
  <si>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</si>
  <si>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</si>
  <si>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</si>
  <si>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</si>
  <si>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</si>
  <si>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</si>
  <si>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</si>
  <si>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</si>
  <si>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</si>
  <si>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</si>
  <si>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</si>
  <si>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</si>
  <si>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</si>
  <si>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</si>
  <si>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</si>
  <si>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</si>
  <si>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</si>
  <si>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</si>
  <si>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</si>
  <si>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Evolución histórica</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</si>
  <si>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</si>
  <si>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</si>
  <si>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</si>
  <si>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</si>
  <si>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</si>
  <si>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</si>
  <si>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</si>
  <si>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</si>
  <si>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</si>
  <si>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</si>
  <si>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</si>
  <si>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</si>
  <si>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</si>
  <si>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</si>
  <si>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</si>
  <si>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</si>
  <si>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</si>
  <si>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</si>
  <si>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</si>
  <si>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</si>
  <si>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</si>
  <si>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</si>
  <si>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</si>
  <si>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</si>
  <si>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Other Expenses</t>
  </si>
  <si>
    <t>(5,872.00)</t>
  </si>
  <si>
    <t>(6,456.00)</t>
  </si>
  <si>
    <t>Operating Expenses</t>
  </si>
  <si>
    <t>8.00</t>
  </si>
  <si>
    <t>(1,586.00)</t>
  </si>
  <si>
    <t>Operating Income</t>
  </si>
  <si>
    <t>(10,059.00)</t>
  </si>
  <si>
    <t>(10,825.00)</t>
  </si>
  <si>
    <t>401.00</t>
  </si>
  <si>
    <t>1,900.00</t>
  </si>
  <si>
    <t xml:space="preserve">   % Operating Margins</t>
  </si>
  <si>
    <t>(68.3%)</t>
  </si>
  <si>
    <t>373.8%</t>
  </si>
  <si>
    <t>Interest Expense</t>
  </si>
  <si>
    <t>1.8%</t>
  </si>
  <si>
    <t>7.4%</t>
  </si>
  <si>
    <t>Total Other Income/Expenses Net</t>
  </si>
  <si>
    <t>(106.00)</t>
  </si>
  <si>
    <t>(92.00)</t>
  </si>
  <si>
    <t>Earnings Before Tax</t>
  </si>
  <si>
    <t>(9.00)</t>
  </si>
  <si>
    <t>89.00</t>
  </si>
  <si>
    <t>492.00</t>
  </si>
  <si>
    <t>1,989.00</t>
  </si>
  <si>
    <t xml:space="preserve">   % EBT Margins</t>
  </si>
  <si>
    <t>(58.4%)</t>
  </si>
  <si>
    <t>304.3%</t>
  </si>
  <si>
    <t>Income Tax Expense</t>
  </si>
  <si>
    <t>2.2%</t>
  </si>
  <si>
    <t>7.7%</t>
  </si>
  <si>
    <t xml:space="preserve">   Effective Tax Rate %</t>
  </si>
  <si>
    <t>346.00</t>
  </si>
  <si>
    <t>(381.00)</t>
  </si>
  <si>
    <t>(70.3%)</t>
  </si>
  <si>
    <t>19.2%</t>
  </si>
  <si>
    <t>854.00</t>
  </si>
  <si>
    <t>1,641.00</t>
  </si>
  <si>
    <t xml:space="preserve">   % Net Income Margins</t>
  </si>
  <si>
    <t>(35.3%)</t>
  </si>
  <si>
    <t>92.2%</t>
  </si>
  <si>
    <t>Diluted Weighted Average Shares Outstanding</t>
  </si>
  <si>
    <t>3.8%</t>
  </si>
  <si>
    <t>6.4%</t>
  </si>
  <si>
    <t>1,625.00</t>
  </si>
  <si>
    <t>1,637.00</t>
  </si>
  <si>
    <t>EPS Diluted</t>
  </si>
  <si>
    <t>3.4%</t>
  </si>
  <si>
    <t>0.7%</t>
  </si>
  <si>
    <t>0.53</t>
  </si>
  <si>
    <t>1.00</t>
  </si>
  <si>
    <t>Supplementary Data:</t>
  </si>
  <si>
    <t>(36.9%)</t>
  </si>
  <si>
    <t>88.7%</t>
  </si>
  <si>
    <t>Basic EPS</t>
  </si>
  <si>
    <t>Basic Weighted Average Shares Out.</t>
  </si>
  <si>
    <t>(37.6%)</t>
  </si>
  <si>
    <t>90.6%</t>
  </si>
  <si>
    <t>1,614.00</t>
  </si>
  <si>
    <t>1,620.00</t>
  </si>
  <si>
    <t>0.4%</t>
  </si>
  <si>
    <t>4,149.00</t>
  </si>
  <si>
    <t xml:space="preserve">   % EBITDA Margins</t>
  </si>
  <si>
    <t>23.0%</t>
  </si>
  <si>
    <t>(54.2%)</t>
  </si>
  <si>
    <t>Depreciation and Amortization</t>
  </si>
  <si>
    <t>18.3%</t>
  </si>
  <si>
    <t>General and Administrative Expenses</t>
  </si>
  <si>
    <t>3,551.00</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</si>
  <si>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</si>
  <si>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</si>
  <si>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</si>
  <si>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</si>
  <si>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</si>
  <si>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</si>
  <si>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</si>
  <si>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</si>
  <si>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</si>
  <si>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</si>
  <si>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</si>
  <si>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</si>
  <si>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</si>
  <si>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</si>
  <si>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</si>
  <si>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</si>
  <si>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</si>
  <si>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</si>
  <si>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</si>
  <si>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</si>
  <si>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</si>
  <si>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</si>
  <si>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</si>
  <si>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</si>
  <si>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</si>
  <si>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</si>
  <si>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</si>
  <si>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</si>
  <si>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</si>
  <si>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</si>
  <si>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</si>
  <si>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</si>
  <si>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</si>
  <si>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</si>
  <si>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</si>
  <si>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</si>
  <si>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</si>
  <si>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</si>
  <si>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</si>
  <si>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</si>
  <si>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</si>
  <si>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</si>
  <si>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</si>
  <si>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Other Assets</t>
  </si>
  <si>
    <t>67,885.00</t>
  </si>
  <si>
    <t>69,226.00</t>
  </si>
  <si>
    <t>Total Assets</t>
  </si>
  <si>
    <t>751.00</t>
  </si>
  <si>
    <t>Short Term Debt</t>
  </si>
  <si>
    <t>Tax Payables</t>
  </si>
  <si>
    <t>544.00</t>
  </si>
  <si>
    <t>Deferred Revenue</t>
  </si>
  <si>
    <t>3,339.00</t>
  </si>
  <si>
    <t>5,291.00</t>
  </si>
  <si>
    <t>Other Current Liabilities</t>
  </si>
  <si>
    <t>6,689.00</t>
  </si>
  <si>
    <t>7,281.00</t>
  </si>
  <si>
    <t>Total Current Liabilities</t>
  </si>
  <si>
    <t>2,252.00</t>
  </si>
  <si>
    <t>491.00</t>
  </si>
  <si>
    <t>Long Term Debt</t>
  </si>
  <si>
    <t>Deferred Revenue Non Current</t>
  </si>
  <si>
    <t>1,850.00</t>
  </si>
  <si>
    <t>3,537.00</t>
  </si>
  <si>
    <t>Other Non Current Liabilities</t>
  </si>
  <si>
    <t>5,304.00</t>
  </si>
  <si>
    <t>4,377.00</t>
  </si>
  <si>
    <t>Total Non Current Liabilities</t>
  </si>
  <si>
    <t>11,993.00</t>
  </si>
  <si>
    <t>11,658.00</t>
  </si>
  <si>
    <t>Total Liabilities</t>
  </si>
  <si>
    <t>Common Stock</t>
  </si>
  <si>
    <t>17.00</t>
  </si>
  <si>
    <t>Retained Earnings</t>
  </si>
  <si>
    <t>723.00</t>
  </si>
  <si>
    <t>2,364.00</t>
  </si>
  <si>
    <t>Accumulated Other Comprehensive Income Loss</t>
  </si>
  <si>
    <t>(10.00)</t>
  </si>
  <si>
    <t>(69.00)</t>
  </si>
  <si>
    <t>Other Total Stockholders Equity</t>
  </si>
  <si>
    <t>55,162.00</t>
  </si>
  <si>
    <t>55,256.00</t>
  </si>
  <si>
    <t>Total Stockholders Equity</t>
  </si>
  <si>
    <t>55,892.00</t>
  </si>
  <si>
    <t>57,568.00</t>
  </si>
  <si>
    <t>Total Liabilities And Stockholders Equity</t>
  </si>
  <si>
    <t>Total Debt</t>
  </si>
  <si>
    <t>3,003.00</t>
  </si>
  <si>
    <t>Net Debt</t>
  </si>
  <si>
    <t>(930.00)</t>
  </si>
  <si>
    <t>(3,296.00)</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</si>
  <si>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</si>
  <si>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</si>
  <si>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</si>
  <si>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</si>
  <si>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</si>
  <si>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</si>
  <si>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</si>
  <si>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</si>
  <si>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</si>
  <si>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</si>
  <si>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</si>
  <si>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</si>
  <si>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</si>
  <si>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</si>
  <si>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</si>
  <si>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</si>
  <si>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</si>
  <si>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</si>
  <si>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</si>
  <si>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</si>
  <si>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</si>
  <si>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</si>
  <si>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</si>
  <si>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</si>
  <si>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</si>
  <si>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</si>
  <si>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</si>
  <si>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</si>
  <si>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</si>
  <si>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</si>
  <si>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</si>
  <si>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</si>
  <si>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</si>
  <si>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</si>
  <si>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</si>
  <si>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</si>
  <si>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</si>
  <si>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</si>
  <si>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</si>
  <si>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</si>
  <si>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</si>
  <si>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</si>
  <si>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</si>
  <si>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</si>
  <si>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</si>
  <si>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</si>
  <si>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</si>
  <si>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</si>
  <si>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</si>
  <si>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</si>
  <si>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</si>
  <si>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</si>
  <si>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</si>
  <si>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</si>
  <si>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</si>
  <si>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</si>
  <si>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</si>
  <si>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</si>
  <si>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</si>
  <si>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</si>
  <si>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</si>
  <si>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</si>
  <si>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</si>
  <si>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</si>
  <si>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</si>
  <si>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</si>
  <si>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Beneficio "contable"</t>
  </si>
  <si>
    <t>Opción 1</t>
  </si>
  <si>
    <t>Opción 2</t>
  </si>
  <si>
    <t>Opción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</si>
  <si>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</si>
  <si>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</si>
  <si>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</si>
  <si>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</si>
  <si>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</si>
  <si>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</si>
  <si>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</si>
  <si>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</si>
  <si>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</si>
  <si>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</si>
  <si>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</si>
  <si>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</si>
  <si>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</si>
  <si>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</si>
  <si>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</si>
  <si>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</si>
  <si>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</si>
  <si>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</si>
  <si>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</si>
  <si>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</si>
  <si>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</si>
  <si>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</si>
  <si>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</si>
  <si>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</si>
  <si>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</si>
  <si>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</si>
  <si>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</si>
  <si>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</si>
  <si>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</si>
  <si>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</si>
  <si>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</si>
  <si>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</si>
  <si>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Equity</t>
  </si>
  <si>
    <t>ROA</t>
  </si>
  <si>
    <t>Net Income / Total Assets</t>
  </si>
  <si>
    <t>Working Capital (WC)</t>
  </si>
  <si>
    <t>Inventarios + Cuentas a Cobrar de Clientes - Cuentas a pagar a proveedores</t>
  </si>
  <si>
    <t>Inventories + Accounts Receivable + Accounts Payable</t>
  </si>
  <si>
    <r>
      <t xml:space="preserve">En empresas </t>
    </r>
    <r>
      <rPr>
        <b/>
        <sz val="12"/>
        <color theme="3"/>
        <rFont val="Ebrima"/>
      </rPr>
      <t>ligeras de activo</t>
    </r>
    <r>
      <rPr>
        <sz val="12"/>
        <color theme="3"/>
        <rFont val="Ebrima"/>
      </rPr>
      <t>s podemos restar también la partida "</t>
    </r>
    <r>
      <rPr>
        <b/>
        <sz val="12"/>
        <color theme="3"/>
        <rFont val="Ebrima"/>
      </rPr>
      <t>Unearned revenue</t>
    </r>
    <r>
      <rPr>
        <sz val="12"/>
        <color theme="3"/>
        <rFont val="Ebrima"/>
      </rPr>
      <t>", tanto "Current" como "Non-current"</t>
    </r>
  </si>
  <si>
    <t>Variación de WC (CWC)</t>
  </si>
  <si>
    <t>WC año más reciente - WC año anterior. (P.ej.: WC 2021 - WC 2020)</t>
  </si>
  <si>
    <r>
      <t xml:space="preserve">Si la </t>
    </r>
    <r>
      <rPr>
        <b/>
        <sz val="12"/>
        <color theme="3"/>
        <rFont val="Ebrima"/>
      </rPr>
      <t>CWC es positiva DISMINUYE el FCF</t>
    </r>
    <r>
      <rPr>
        <sz val="12"/>
        <color theme="3"/>
        <rFont val="Ebrima"/>
      </rPr>
      <t xml:space="preserve"> ya que la empresa tiene que financiar ese aumento de inventarios y/o de cuentas a cobrar</t>
    </r>
  </si>
  <si>
    <r>
      <t xml:space="preserve">Si la </t>
    </r>
    <r>
      <rPr>
        <b/>
        <sz val="12"/>
        <color theme="3"/>
        <rFont val="Ebrima"/>
      </rPr>
      <t>CWC es negativa AUMENTA el FCF</t>
    </r>
    <r>
      <rPr>
        <sz val="12"/>
        <color theme="3"/>
        <rFont val="Ebrima"/>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</si>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</sst>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_-[$€-2]\ * #,##0_-;\-[$€-2]\ * #,##0_-;_-[$€-2]\ * &quot;-&quot;??_-;_-@_-"/>
    <numFmt numFmtId="166" formatCode="#,##0.0"/>
    <numFmt numFmtId="167" formatCode="#,##0;[Red]\(#,##0\)"/>
    <numFmt numFmtId="168" formatCode="#,##0.00;[Red]\(#,##0.00\)"/>
    <numFmt numFmtId="169" formatCode="0.0%"/>
    <numFmt numFmtId="170" formatCode="#,##0.0;\(#,##0.0\)"/>
    <numFmt numFmtId="171" formatCode="#,##0;\(#,##0\)"/>
    <numFmt numFmtId="172" formatCode="0.00_);\(0.00\)"/>
  </numFmts>
  <fonts count="30">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b/>
      <sz val="12"/>
      <name val="Ebrima"/>
    </font>
    <font>
      <b/>
      <i/>
      <sz val="12"/>
      <color theme="1"/>
      <name val="Ebrima"/>
    </font>
    <font>
      <sz val="12"/>
      <color theme="4" tint="-0.249977111117893"/>
      <name val="Ebrima"/>
    </font>
    <font>
      <b/>
      <sz val="9"/>
      <color rgb="FF000000"/>
      <name val="Tahoma"/>
      <family val="2"/>
    </font>
    <font>
      <i/>
      <sz val="12"/>
      <color theme="3"/>
      <name val="Ebrima"/>
    </font>
    <font>
      <b/>
      <sz val="14"/>
      <color theme="3"/>
      <name val="Ebrima"/>
    </font>
    <font>
      <b/>
      <sz val="14"/>
      <color theme="9" tint="-0.24997711111789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
      <b/>
      <sz val="16"/>
      <color theme="0"/>
      <name val="Ebrima"/>
    </font>
    <font>
      <b/>
      <u/>
      <sz val="12"/>
      <color theme="3"/>
      <name val="Ebrima"/>
    </font>
    <font>
      <u/>
      <sz val="12"/>
      <color theme="3"/>
      <name val="Ebrima"/>
    </font>
    <font>
      <sz val="14"/>
      <color theme="3"/>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9">
    <border>
      <left/>
      <right/>
      <top/>
      <bottom/>
      <diagonal/>
    </border>
    <border>
      <left/>
      <right/>
      <top style="thin">
        <color theme="4"/>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307">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2"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4"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2" fontId="14" fillId="2" borderId="0" xfId="0" applyNumberFormat="1" applyFont="1" applyFill="1" applyBorder="1" applyAlignment="1" applyProtection="1">
      <alignment vertical="center"/>
    </xf>
    <xf numFmtId="0" fontId="7" fillId="2" borderId="0" xfId="0" applyFont="1" applyFill="1" applyBorder="1" applyAlignment="1">
      <alignment horizontal="center" vertical="center" wrapText="1"/>
    </xf>
    <xf numFmtId="0" fontId="12" fillId="2" borderId="0" xfId="0" applyFont="1" applyFill="1" applyAlignment="1">
      <alignment vertical="center"/>
    </xf>
    <xf numFmtId="1" fontId="14" fillId="2" borderId="0" xfId="0" applyNumberFormat="1" applyFont="1" applyFill="1" applyBorder="1" applyAlignment="1" applyProtection="1">
      <alignment horizontal="center" vertical="center"/>
    </xf>
    <xf numFmtId="0" fontId="7" fillId="2" borderId="0" xfId="0" applyFont="1" applyFill="1" applyBorder="1" applyAlignment="1">
      <alignment horizontal="left" vertical="center"/>
    </xf>
    <xf numFmtId="0" fontId="7" fillId="2" borderId="0" xfId="0" applyFont="1" applyFill="1" applyBorder="1" applyAlignment="1">
      <alignment vertical="center"/>
    </xf>
    <xf numFmtId="2" fontId="12" fillId="2" borderId="0" xfId="0" applyNumberFormat="1"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65" fontId="15" fillId="2" borderId="0" xfId="0" applyNumberFormat="1" applyFont="1" applyFill="1" applyBorder="1" applyAlignment="1">
      <alignment horizontal="center" vertical="center" wrapText="1"/>
    </xf>
    <xf numFmtId="0" fontId="12" fillId="2" borderId="0" xfId="0" applyFont="1" applyFill="1" applyBorder="1" applyAlignment="1">
      <alignment vertical="center"/>
    </xf>
    <xf numFmtId="0" fontId="7" fillId="0" borderId="0" xfId="0" applyFont="1" applyBorder="1" applyAlignment="1">
      <alignment horizontal="left" vertical="center"/>
    </xf>
    <xf numFmtId="0" fontId="8" fillId="4" borderId="1" xfId="0" applyFont="1" applyFill="1" applyBorder="1" applyAlignment="1">
      <alignment horizontal="left" vertical="center"/>
    </xf>
    <xf numFmtId="0" fontId="8" fillId="4" borderId="0" xfId="0" applyFont="1" applyFill="1" applyBorder="1" applyAlignment="1">
      <alignment horizontal="left" vertical="center"/>
    </xf>
    <xf numFmtId="2" fontId="10" fillId="2" borderId="0" xfId="0" applyNumberFormat="1" applyFont="1" applyFill="1" applyBorder="1" applyAlignment="1" applyProtection="1">
      <alignment horizontal="left" vertical="center" indent="2"/>
    </xf>
    <xf numFmtId="1" fontId="10"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horizontal="left" vertical="center"/>
    </xf>
    <xf numFmtId="2" fontId="10" fillId="2" borderId="0" xfId="0" applyNumberFormat="1" applyFont="1" applyFill="1" applyBorder="1" applyAlignment="1">
      <alignment horizontal="left" vertical="center" wrapText="1"/>
    </xf>
    <xf numFmtId="2" fontId="9" fillId="2" borderId="0" xfId="0" applyNumberFormat="1" applyFont="1" applyFill="1" applyBorder="1" applyAlignment="1">
      <alignment horizontal="left" vertical="center" wrapText="1"/>
    </xf>
    <xf numFmtId="9" fontId="10" fillId="2" borderId="0" xfId="1" applyFont="1" applyFill="1" applyBorder="1" applyAlignment="1">
      <alignment horizontal="left" vertical="center" wrapText="1"/>
    </xf>
    <xf numFmtId="0" fontId="10" fillId="2" borderId="0" xfId="0" applyFont="1" applyFill="1" applyBorder="1" applyAlignment="1">
      <alignment horizontal="left" vertical="center" wrapText="1"/>
    </xf>
    <xf numFmtId="9" fontId="9" fillId="2" borderId="0" xfId="1" applyFont="1" applyFill="1" applyBorder="1" applyAlignment="1">
      <alignment horizontal="left" vertical="center" wrapText="1"/>
    </xf>
    <xf numFmtId="2" fontId="9" fillId="2" borderId="0" xfId="0" applyNumberFormat="1" applyFont="1" applyFill="1" applyBorder="1" applyAlignment="1" applyProtection="1">
      <alignment horizontal="left" vertical="center"/>
    </xf>
    <xf numFmtId="0" fontId="10" fillId="2" borderId="0" xfId="0" applyFont="1" applyFill="1" applyBorder="1" applyAlignment="1">
      <alignment horizontal="left" vertical="center"/>
    </xf>
    <xf numFmtId="0" fontId="10" fillId="2" borderId="0" xfId="0" applyFont="1" applyFill="1" applyBorder="1" applyAlignment="1">
      <alignment vertical="center"/>
    </xf>
    <xf numFmtId="0" fontId="10" fillId="0" borderId="0" xfId="0" applyFont="1" applyBorder="1" applyAlignment="1">
      <alignment vertical="center"/>
    </xf>
    <xf numFmtId="0" fontId="10" fillId="0" borderId="0" xfId="0" applyFont="1" applyBorder="1" applyAlignment="1">
      <alignment horizontal="left" vertical="center"/>
    </xf>
    <xf numFmtId="0" fontId="10" fillId="0" borderId="0" xfId="0" applyFont="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5" xfId="1" applyFont="1" applyFill="1" applyBorder="1" applyAlignment="1">
      <alignment horizontal="center" vertical="center"/>
    </xf>
    <xf numFmtId="0" fontId="8" fillId="4" borderId="0" xfId="0" applyFont="1" applyFill="1" applyBorder="1" applyAlignment="1">
      <alignment horizontal="center" vertical="center"/>
    </xf>
    <xf numFmtId="9" fontId="16" fillId="2" borderId="0" xfId="1" applyFont="1" applyFill="1" applyBorder="1" applyAlignment="1">
      <alignment horizontal="center" vertical="center"/>
    </xf>
    <xf numFmtId="9" fontId="16" fillId="7" borderId="0" xfId="1" applyFont="1" applyFill="1" applyBorder="1" applyAlignment="1">
      <alignment horizontal="center" vertical="center"/>
    </xf>
    <xf numFmtId="9" fontId="16" fillId="7" borderId="8" xfId="1" applyFont="1" applyFill="1" applyBorder="1" applyAlignment="1">
      <alignment horizontal="center" vertical="center"/>
    </xf>
    <xf numFmtId="0" fontId="8" fillId="4" borderId="11" xfId="0" applyFont="1" applyFill="1" applyBorder="1" applyAlignment="1">
      <alignment horizontal="left" vertical="center" indent="1"/>
    </xf>
    <xf numFmtId="0" fontId="8" fillId="4" borderId="12" xfId="0" applyFont="1" applyFill="1" applyBorder="1" applyAlignment="1">
      <alignment horizontal="center" vertical="center"/>
    </xf>
    <xf numFmtId="0" fontId="8" fillId="5" borderId="12" xfId="0" applyFont="1" applyFill="1" applyBorder="1" applyAlignment="1">
      <alignment horizontal="center" vertical="center"/>
    </xf>
    <xf numFmtId="0" fontId="10" fillId="0" borderId="7" xfId="0" applyFont="1" applyBorder="1" applyAlignment="1">
      <alignment horizontal="left" vertical="center" indent="1"/>
    </xf>
    <xf numFmtId="9" fontId="10" fillId="0" borderId="0" xfId="1" applyFont="1" applyFill="1" applyBorder="1" applyAlignment="1">
      <alignment horizontal="center" vertical="center"/>
    </xf>
    <xf numFmtId="0" fontId="8" fillId="4" borderId="16" xfId="0" applyFont="1" applyFill="1" applyBorder="1" applyAlignment="1">
      <alignment horizontal="center" vertical="center"/>
    </xf>
    <xf numFmtId="0" fontId="10" fillId="0" borderId="0" xfId="0" applyFont="1" applyBorder="1" applyAlignment="1">
      <alignment horizontal="center" vertical="center"/>
    </xf>
    <xf numFmtId="0" fontId="8" fillId="5" borderId="13"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16" fillId="6" borderId="14" xfId="0" applyFont="1" applyFill="1" applyBorder="1" applyAlignment="1">
      <alignment vertical="center"/>
    </xf>
    <xf numFmtId="0" fontId="16" fillId="3" borderId="14" xfId="0" applyFont="1" applyFill="1" applyBorder="1" applyAlignment="1">
      <alignment vertical="center"/>
    </xf>
    <xf numFmtId="0" fontId="16" fillId="3" borderId="15" xfId="0" applyFont="1" applyFill="1" applyBorder="1" applyAlignment="1">
      <alignment vertical="center"/>
    </xf>
    <xf numFmtId="0" fontId="8" fillId="4" borderId="10"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6"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23" fillId="0" borderId="0" xfId="0" applyFont="1"/>
    <xf numFmtId="14" fontId="23" fillId="0" borderId="0" xfId="0" applyNumberFormat="1" applyFont="1" applyAlignment="1">
      <alignment horizontal="center"/>
    </xf>
    <xf numFmtId="0" fontId="23" fillId="8" borderId="0" xfId="0" applyFont="1" applyFill="1" applyProtection="1"/>
    <xf numFmtId="0" fontId="0" fillId="0" borderId="0" xfId="0" applyProtection="1"/>
    <xf numFmtId="0" fontId="23" fillId="0" borderId="0" xfId="0" applyFont="1" applyProtection="1">
      <protection locked="0"/>
    </xf>
    <xf numFmtId="14" fontId="23"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23" fillId="8" borderId="0" xfId="0" applyFont="1" applyFill="1" applyAlignment="1" applyProtection="1">
      <alignment horizontal="center"/>
    </xf>
    <xf numFmtId="0" fontId="23" fillId="0" borderId="0" xfId="0" applyFont="1" applyProtection="1"/>
    <xf numFmtId="0" fontId="23" fillId="0" borderId="0" xfId="0" applyFont="1" applyFill="1" applyAlignment="1" applyProtection="1">
      <alignment horizontal="center"/>
    </xf>
    <xf numFmtId="167" fontId="9" fillId="2" borderId="0" xfId="0"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2" xfId="0" applyNumberFormat="1" applyFont="1" applyFill="1" applyBorder="1" applyAlignment="1">
      <alignment horizontal="center" vertical="center"/>
    </xf>
    <xf numFmtId="168" fontId="10" fillId="2" borderId="0" xfId="0" applyNumberFormat="1" applyFont="1" applyFill="1" applyBorder="1" applyAlignment="1">
      <alignment horizontal="center" vertical="center"/>
    </xf>
    <xf numFmtId="168" fontId="10" fillId="2" borderId="2" xfId="0" applyNumberFormat="1" applyFont="1" applyFill="1" applyBorder="1" applyAlignment="1">
      <alignment horizontal="center" vertical="center"/>
    </xf>
    <xf numFmtId="167" fontId="10" fillId="0" borderId="0" xfId="0" applyNumberFormat="1" applyFont="1" applyBorder="1" applyAlignment="1">
      <alignment horizontal="center" vertical="center"/>
    </xf>
    <xf numFmtId="167" fontId="10" fillId="0" borderId="0" xfId="0" applyNumberFormat="1" applyFont="1" applyFill="1" applyBorder="1" applyAlignment="1">
      <alignment horizontal="center" vertical="center"/>
    </xf>
    <xf numFmtId="167" fontId="9" fillId="0" borderId="0" xfId="0" applyNumberFormat="1" applyFont="1" applyBorder="1" applyAlignment="1">
      <alignment horizontal="center" vertical="center"/>
    </xf>
    <xf numFmtId="167" fontId="10" fillId="2" borderId="0" xfId="1" applyNumberFormat="1" applyFont="1" applyFill="1" applyBorder="1" applyAlignment="1">
      <alignment horizontal="center" vertical="center"/>
    </xf>
    <xf numFmtId="168" fontId="10" fillId="2" borderId="0" xfId="1" applyNumberFormat="1" applyFont="1" applyFill="1" applyBorder="1" applyAlignment="1">
      <alignment horizontal="center" vertical="center"/>
    </xf>
    <xf numFmtId="168" fontId="10" fillId="2" borderId="9" xfId="1" applyNumberFormat="1" applyFont="1" applyFill="1" applyBorder="1" applyAlignment="1">
      <alignment horizontal="center" vertical="center"/>
    </xf>
    <xf numFmtId="168" fontId="10" fillId="2" borderId="5" xfId="1" applyNumberFormat="1" applyFont="1" applyFill="1" applyBorder="1" applyAlignment="1">
      <alignment horizontal="center" vertical="center"/>
    </xf>
    <xf numFmtId="167" fontId="10" fillId="0" borderId="0" xfId="0" applyNumberFormat="1" applyFont="1" applyAlignment="1">
      <alignment horizontal="center" vertical="center"/>
    </xf>
    <xf numFmtId="167" fontId="10" fillId="2" borderId="0" xfId="0" applyNumberFormat="1" applyFont="1" applyFill="1" applyAlignment="1">
      <alignment horizontal="center" vertical="center"/>
    </xf>
    <xf numFmtId="167" fontId="10" fillId="2" borderId="3" xfId="0" applyNumberFormat="1" applyFont="1" applyFill="1" applyBorder="1" applyAlignment="1">
      <alignment horizontal="center" vertical="center"/>
    </xf>
    <xf numFmtId="167" fontId="10" fillId="2" borderId="4" xfId="1" applyNumberFormat="1" applyFont="1" applyFill="1" applyBorder="1" applyAlignment="1">
      <alignment horizontal="center" vertical="center"/>
    </xf>
    <xf numFmtId="167" fontId="10" fillId="2" borderId="6" xfId="1" applyNumberFormat="1" applyFont="1" applyFill="1" applyBorder="1" applyAlignment="1">
      <alignment horizontal="center" vertical="center"/>
    </xf>
    <xf numFmtId="14" fontId="23"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0" borderId="0" xfId="0" quotePrefix="1" applyFont="1" applyAlignment="1">
      <alignment horizontal="left" vertical="center" indent="1"/>
    </xf>
    <xf numFmtId="0" fontId="10" fillId="0" borderId="0" xfId="0" quotePrefix="1" applyFont="1" applyAlignment="1">
      <alignment horizontal="left" vertical="center" indent="3"/>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6"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7" xfId="0" applyFont="1" applyFill="1" applyBorder="1" applyAlignment="1">
      <alignment horizontal="left" vertical="center" indent="3"/>
    </xf>
    <xf numFmtId="3" fontId="9" fillId="6" borderId="5" xfId="0" applyNumberFormat="1" applyFont="1" applyFill="1" applyBorder="1" applyAlignment="1">
      <alignment horizontal="center" vertical="center"/>
    </xf>
    <xf numFmtId="9" fontId="10" fillId="2" borderId="5" xfId="1" applyFont="1" applyFill="1" applyBorder="1" applyAlignment="1">
      <alignment horizontal="center" vertical="center"/>
    </xf>
    <xf numFmtId="167" fontId="9" fillId="2" borderId="5" xfId="0" applyNumberFormat="1" applyFont="1" applyFill="1" applyBorder="1" applyAlignment="1">
      <alignment horizontal="center" vertical="center"/>
    </xf>
    <xf numFmtId="167" fontId="10" fillId="6" borderId="5" xfId="0" applyNumberFormat="1" applyFont="1" applyFill="1" applyBorder="1" applyAlignment="1">
      <alignment horizontal="center" vertical="center"/>
    </xf>
    <xf numFmtId="167" fontId="9" fillId="6" borderId="5" xfId="0" applyNumberFormat="1" applyFont="1" applyFill="1" applyBorder="1" applyAlignment="1">
      <alignment horizontal="center" vertical="center"/>
    </xf>
    <xf numFmtId="167" fontId="10" fillId="2" borderId="5" xfId="0" applyNumberFormat="1" applyFont="1" applyFill="1" applyBorder="1" applyAlignment="1">
      <alignment horizontal="center" vertical="center"/>
    </xf>
    <xf numFmtId="168" fontId="10" fillId="2" borderId="5" xfId="0" applyNumberFormat="1" applyFont="1" applyFill="1" applyBorder="1" applyAlignment="1">
      <alignment horizontal="center" vertical="center"/>
    </xf>
    <xf numFmtId="3" fontId="10" fillId="6" borderId="5"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9" xfId="0" applyNumberFormat="1" applyFont="1" applyFill="1" applyBorder="1" applyAlignment="1">
      <alignment horizontal="center" vertical="center"/>
    </xf>
    <xf numFmtId="9" fontId="10" fillId="2" borderId="9" xfId="1" applyFont="1" applyFill="1" applyBorder="1" applyAlignment="1">
      <alignment horizontal="center" vertical="center"/>
    </xf>
    <xf numFmtId="0" fontId="9" fillId="2" borderId="0" xfId="0" applyFont="1" applyFill="1" applyBorder="1" applyAlignment="1">
      <alignment horizontal="left" vertical="center" indent="1"/>
    </xf>
    <xf numFmtId="167" fontId="9" fillId="2" borderId="9"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7" fontId="10" fillId="2" borderId="9" xfId="0" applyNumberFormat="1" applyFont="1" applyFill="1" applyBorder="1" applyAlignment="1">
      <alignment horizontal="center" vertical="center"/>
    </xf>
    <xf numFmtId="168" fontId="10" fillId="2" borderId="9" xfId="0" applyNumberFormat="1" applyFont="1" applyFill="1" applyBorder="1" applyAlignment="1">
      <alignment horizontal="center" vertical="center"/>
    </xf>
    <xf numFmtId="3" fontId="10" fillId="2" borderId="9" xfId="0" applyNumberFormat="1" applyFont="1" applyFill="1" applyBorder="1" applyAlignment="1">
      <alignment horizontal="center" vertical="center"/>
    </xf>
    <xf numFmtId="9" fontId="10" fillId="2" borderId="6" xfId="1" applyFont="1" applyFill="1" applyBorder="1" applyAlignment="1">
      <alignment horizontal="center" vertical="center"/>
    </xf>
    <xf numFmtId="9" fontId="10" fillId="2" borderId="4" xfId="1" applyFont="1" applyFill="1" applyBorder="1" applyAlignment="1">
      <alignment horizontal="center" vertical="center"/>
    </xf>
    <xf numFmtId="9" fontId="10" fillId="2" borderId="18" xfId="1" applyFont="1" applyFill="1" applyBorder="1" applyAlignment="1">
      <alignment horizontal="center" vertical="center"/>
    </xf>
    <xf numFmtId="9" fontId="10" fillId="2" borderId="21" xfId="1" applyFont="1" applyFill="1" applyBorder="1" applyAlignment="1">
      <alignment horizontal="center" vertical="center"/>
    </xf>
    <xf numFmtId="167" fontId="10" fillId="0" borderId="5" xfId="0" applyNumberFormat="1" applyFont="1" applyBorder="1" applyAlignment="1">
      <alignment horizontal="center" vertical="center"/>
    </xf>
    <xf numFmtId="167" fontId="10" fillId="0" borderId="5" xfId="0" applyNumberFormat="1" applyFont="1" applyFill="1" applyBorder="1" applyAlignment="1">
      <alignment horizontal="center" vertical="center"/>
    </xf>
    <xf numFmtId="167" fontId="9" fillId="0" borderId="5" xfId="0" applyNumberFormat="1" applyFont="1" applyBorder="1" applyAlignment="1">
      <alignment horizontal="center" vertical="center"/>
    </xf>
    <xf numFmtId="9" fontId="10" fillId="0" borderId="5" xfId="1" applyFont="1" applyBorder="1" applyAlignment="1">
      <alignment horizontal="center" vertical="center"/>
    </xf>
    <xf numFmtId="3" fontId="10" fillId="0" borderId="5" xfId="0" applyNumberFormat="1" applyFont="1" applyBorder="1" applyAlignment="1">
      <alignment horizontal="center" vertical="center"/>
    </xf>
    <xf numFmtId="167" fontId="10" fillId="0" borderId="9" xfId="0" applyNumberFormat="1" applyFont="1" applyBorder="1" applyAlignment="1">
      <alignment horizontal="center" vertical="center"/>
    </xf>
    <xf numFmtId="0" fontId="10" fillId="6" borderId="0" xfId="0" applyFont="1" applyFill="1" applyBorder="1" applyAlignment="1">
      <alignment horizontal="left" vertical="center" indent="4"/>
    </xf>
    <xf numFmtId="167" fontId="10" fillId="0" borderId="9"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7" fontId="9" fillId="0" borderId="9"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9" xfId="1" applyFont="1" applyBorder="1" applyAlignment="1">
      <alignment horizontal="center" vertical="center"/>
    </xf>
    <xf numFmtId="167" fontId="9" fillId="2" borderId="6" xfId="1" applyNumberFormat="1" applyFont="1" applyFill="1" applyBorder="1" applyAlignment="1">
      <alignment horizontal="center" vertical="center"/>
    </xf>
    <xf numFmtId="9" fontId="10" fillId="2" borderId="4" xfId="1" applyNumberFormat="1" applyFont="1" applyFill="1" applyBorder="1" applyAlignment="1">
      <alignment horizontal="center" vertical="center"/>
    </xf>
    <xf numFmtId="9" fontId="10" fillId="2" borderId="6" xfId="1" applyNumberFormat="1" applyFont="1" applyFill="1" applyBorder="1" applyAlignment="1">
      <alignment horizontal="center" vertical="center"/>
    </xf>
    <xf numFmtId="9" fontId="9" fillId="0" borderId="22" xfId="1" applyFont="1" applyBorder="1" applyAlignment="1">
      <alignment horizontal="center" vertical="center"/>
    </xf>
    <xf numFmtId="9" fontId="9" fillId="2" borderId="23" xfId="1" applyNumberFormat="1" applyFont="1" applyFill="1" applyBorder="1" applyAlignment="1">
      <alignment horizontal="center" vertical="center"/>
    </xf>
    <xf numFmtId="0" fontId="10" fillId="0" borderId="20" xfId="0" applyFont="1" applyBorder="1" applyAlignment="1">
      <alignment horizontal="left" vertical="center" indent="1"/>
    </xf>
    <xf numFmtId="167" fontId="10" fillId="0" borderId="4" xfId="0" applyNumberFormat="1" applyFont="1" applyBorder="1" applyAlignment="1">
      <alignment horizontal="center" vertical="center"/>
    </xf>
    <xf numFmtId="167" fontId="10" fillId="2" borderId="4" xfId="0" applyNumberFormat="1" applyFont="1" applyFill="1" applyBorder="1" applyAlignment="1">
      <alignment horizontal="center" vertical="center"/>
    </xf>
    <xf numFmtId="167" fontId="10" fillId="2" borderId="21" xfId="0" applyNumberFormat="1" applyFont="1" applyFill="1" applyBorder="1" applyAlignment="1">
      <alignment horizontal="center" vertical="center"/>
    </xf>
    <xf numFmtId="9" fontId="10" fillId="0" borderId="4" xfId="1" applyFont="1" applyBorder="1" applyAlignment="1">
      <alignment horizontal="center" vertical="center"/>
    </xf>
    <xf numFmtId="167" fontId="10" fillId="0" borderId="4" xfId="0" applyNumberFormat="1" applyFont="1" applyFill="1" applyBorder="1" applyAlignment="1">
      <alignment horizontal="center" vertical="center"/>
    </xf>
    <xf numFmtId="167" fontId="10" fillId="2" borderId="6" xfId="0" applyNumberFormat="1" applyFont="1" applyFill="1" applyBorder="1" applyAlignment="1">
      <alignment horizontal="center" vertical="center"/>
    </xf>
    <xf numFmtId="167" fontId="10" fillId="0" borderId="6" xfId="0" applyNumberFormat="1" applyFont="1" applyBorder="1" applyAlignment="1">
      <alignment horizontal="center" vertical="center"/>
    </xf>
    <xf numFmtId="9" fontId="10" fillId="0" borderId="6" xfId="1" applyFont="1" applyBorder="1" applyAlignment="1">
      <alignment horizontal="center" vertical="center"/>
    </xf>
    <xf numFmtId="9" fontId="9" fillId="0" borderId="23"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20" xfId="0" applyFont="1" applyFill="1" applyBorder="1" applyAlignment="1">
      <alignment horizontal="left" vertical="center" indent="1"/>
    </xf>
    <xf numFmtId="164" fontId="10" fillId="0" borderId="5" xfId="1" applyNumberFormat="1" applyFont="1" applyBorder="1" applyAlignment="1">
      <alignment horizontal="center" vertical="center"/>
    </xf>
    <xf numFmtId="167" fontId="10" fillId="0" borderId="21" xfId="0" applyNumberFormat="1" applyFont="1" applyBorder="1" applyAlignment="1">
      <alignment horizontal="center" vertical="center"/>
    </xf>
    <xf numFmtId="4" fontId="9" fillId="2" borderId="22" xfId="1" applyNumberFormat="1" applyFont="1" applyFill="1" applyBorder="1" applyAlignment="1">
      <alignment horizontal="center" vertical="center"/>
    </xf>
    <xf numFmtId="9" fontId="10" fillId="0" borderId="22" xfId="1" applyFont="1" applyBorder="1" applyAlignment="1">
      <alignment horizontal="center" vertical="center"/>
    </xf>
    <xf numFmtId="0" fontId="10" fillId="2" borderId="7" xfId="0" applyFont="1" applyFill="1" applyBorder="1" applyAlignment="1">
      <alignment horizontal="left" vertical="center" indent="1"/>
    </xf>
    <xf numFmtId="166"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7" xfId="0" applyFont="1" applyFill="1" applyBorder="1" applyAlignment="1">
      <alignment horizontal="left" vertical="center" indent="1"/>
    </xf>
    <xf numFmtId="4" fontId="9" fillId="0" borderId="28" xfId="0" applyNumberFormat="1" applyFont="1" applyBorder="1" applyAlignment="1">
      <alignment horizontal="center" vertical="center"/>
    </xf>
    <xf numFmtId="4" fontId="9" fillId="2" borderId="29" xfId="1" applyNumberFormat="1" applyFont="1" applyFill="1" applyBorder="1" applyAlignment="1">
      <alignment horizontal="center" vertical="center"/>
    </xf>
    <xf numFmtId="0" fontId="9" fillId="2" borderId="28" xfId="0" applyFont="1" applyFill="1" applyBorder="1" applyAlignment="1">
      <alignment horizontal="left" vertical="center" indent="1"/>
    </xf>
    <xf numFmtId="9" fontId="9" fillId="0" borderId="29" xfId="1" applyFont="1" applyBorder="1" applyAlignment="1">
      <alignment horizontal="center" vertical="center"/>
    </xf>
    <xf numFmtId="166" fontId="9" fillId="0" borderId="28" xfId="0" applyNumberFormat="1" applyFont="1" applyBorder="1" applyAlignment="1">
      <alignment horizontal="center" vertical="center"/>
    </xf>
    <xf numFmtId="9" fontId="0" fillId="0" borderId="0" xfId="1" applyFont="1" applyAlignment="1">
      <alignment horizontal="center"/>
    </xf>
    <xf numFmtId="164" fontId="10" fillId="0" borderId="4" xfId="0" applyNumberFormat="1" applyFont="1" applyBorder="1" applyAlignment="1">
      <alignment horizontal="center" vertical="center"/>
    </xf>
    <xf numFmtId="166" fontId="10" fillId="2" borderId="4" xfId="1" applyNumberFormat="1" applyFont="1" applyFill="1" applyBorder="1" applyAlignment="1">
      <alignment horizontal="center" vertical="center"/>
    </xf>
    <xf numFmtId="0" fontId="18" fillId="8" borderId="4" xfId="0" applyFont="1" applyFill="1" applyBorder="1" applyAlignment="1">
      <alignment horizontal="left" vertical="center" indent="2"/>
    </xf>
    <xf numFmtId="0" fontId="18" fillId="8" borderId="4" xfId="0" applyFont="1" applyFill="1" applyBorder="1" applyAlignment="1">
      <alignment horizontal="left" vertical="center" indent="1"/>
    </xf>
    <xf numFmtId="9" fontId="18" fillId="0" borderId="23" xfId="1" applyFont="1" applyBorder="1" applyAlignment="1">
      <alignment horizontal="center" vertical="center"/>
    </xf>
    <xf numFmtId="0" fontId="23" fillId="2" borderId="0" xfId="0" applyFont="1" applyFill="1" applyAlignment="1" applyProtection="1">
      <alignment horizontal="center"/>
    </xf>
    <xf numFmtId="9" fontId="7" fillId="0" borderId="0" xfId="1" applyFont="1" applyAlignment="1">
      <alignment horizontal="center" vertic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4" xfId="0" applyFont="1" applyFill="1" applyBorder="1" applyAlignment="1">
      <alignment horizontal="left" vertical="center" indent="1"/>
    </xf>
    <xf numFmtId="9" fontId="9" fillId="0" borderId="0" xfId="1" applyFont="1" applyBorder="1" applyAlignment="1">
      <alignment horizontal="center" vertical="center"/>
    </xf>
    <xf numFmtId="0" fontId="9" fillId="0" borderId="20" xfId="0" applyFont="1" applyBorder="1" applyAlignment="1">
      <alignment horizontal="left" vertical="center" indent="1"/>
    </xf>
    <xf numFmtId="167" fontId="7" fillId="0" borderId="0" xfId="0" applyNumberFormat="1" applyFont="1" applyAlignment="1">
      <alignment horizontal="center"/>
    </xf>
    <xf numFmtId="9" fontId="7" fillId="0" borderId="0" xfId="0" applyNumberFormat="1" applyFont="1" applyBorder="1" applyAlignment="1">
      <alignment horizontal="center"/>
    </xf>
    <xf numFmtId="169" fontId="7" fillId="0" borderId="0" xfId="0" applyNumberFormat="1" applyFont="1" applyBorder="1" applyAlignment="1">
      <alignment horizontal="center"/>
    </xf>
    <xf numFmtId="9" fontId="9" fillId="0" borderId="5" xfId="1" applyFont="1" applyBorder="1" applyAlignment="1">
      <alignment horizontal="center" vertical="center"/>
    </xf>
    <xf numFmtId="0" fontId="0" fillId="0" borderId="19" xfId="0" applyFont="1" applyBorder="1"/>
    <xf numFmtId="0" fontId="0" fillId="0" borderId="0" xfId="0" applyFont="1" applyProtection="1"/>
    <xf numFmtId="0" fontId="0" fillId="0" borderId="19"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5"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9" fontId="0" fillId="0" borderId="0" xfId="0" applyNumberFormat="1" applyFont="1" applyAlignment="1">
      <alignment horizontal="center" vertical="center"/>
    </xf>
    <xf numFmtId="169" fontId="0" fillId="0" borderId="5"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5" xfId="0" applyFont="1" applyBorder="1" applyAlignment="1">
      <alignment horizontal="center" vertical="center"/>
    </xf>
    <xf numFmtId="9" fontId="0" fillId="0" borderId="0" xfId="1" applyFont="1" applyAlignment="1">
      <alignment horizontal="center" vertical="center"/>
    </xf>
    <xf numFmtId="9" fontId="9" fillId="2" borderId="9" xfId="1" applyNumberFormat="1" applyFont="1" applyFill="1" applyBorder="1" applyAlignment="1">
      <alignment horizontal="center" vertical="center"/>
    </xf>
    <xf numFmtId="9" fontId="9" fillId="2" borderId="21"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4" xfId="0" applyFont="1" applyBorder="1" applyAlignment="1">
      <alignment horizontal="left" vertical="center" indent="1"/>
    </xf>
    <xf numFmtId="9" fontId="9" fillId="0" borderId="6" xfId="1" applyFont="1" applyBorder="1" applyAlignment="1">
      <alignment horizontal="center" vertical="center"/>
    </xf>
    <xf numFmtId="0" fontId="18" fillId="8" borderId="0" xfId="0" applyFont="1" applyFill="1" applyBorder="1" applyAlignment="1">
      <alignment horizontal="left" vertical="center" indent="2"/>
    </xf>
    <xf numFmtId="4" fontId="18" fillId="8" borderId="0" xfId="0" applyNumberFormat="1" applyFont="1" applyFill="1" applyBorder="1" applyAlignment="1">
      <alignment horizontal="center" vertical="center"/>
    </xf>
    <xf numFmtId="4" fontId="21" fillId="8" borderId="22" xfId="1" applyNumberFormat="1" applyFont="1" applyFill="1" applyBorder="1" applyAlignment="1">
      <alignment horizontal="center" vertical="center"/>
    </xf>
    <xf numFmtId="9" fontId="18" fillId="8" borderId="4" xfId="1" applyFont="1" applyFill="1" applyBorder="1" applyAlignment="1">
      <alignment horizontal="center" vertical="center"/>
    </xf>
    <xf numFmtId="9" fontId="21" fillId="8" borderId="23" xfId="1" applyFont="1" applyFill="1" applyBorder="1" applyAlignment="1">
      <alignment horizontal="center" vertical="center"/>
    </xf>
    <xf numFmtId="0" fontId="26" fillId="4" borderId="1" xfId="0" applyFont="1" applyFill="1" applyBorder="1" applyAlignment="1">
      <alignment horizontal="left" vertical="center" indent="1"/>
    </xf>
    <xf numFmtId="2" fontId="10" fillId="6" borderId="0" xfId="0" applyNumberFormat="1" applyFont="1" applyFill="1" applyBorder="1" applyAlignment="1" applyProtection="1">
      <alignment horizontal="left" vertical="center" indent="2"/>
    </xf>
    <xf numFmtId="2" fontId="10" fillId="6" borderId="0" xfId="0" applyNumberFormat="1" applyFont="1" applyFill="1" applyBorder="1" applyAlignment="1">
      <alignment horizontal="left" vertical="center" wrapText="1"/>
    </xf>
    <xf numFmtId="1" fontId="10" fillId="6" borderId="0" xfId="0" applyNumberFormat="1" applyFont="1" applyFill="1" applyBorder="1" applyAlignment="1" applyProtection="1">
      <alignment horizontal="left" vertical="center"/>
    </xf>
    <xf numFmtId="1" fontId="9" fillId="6" borderId="0" xfId="0" applyNumberFormat="1" applyFont="1" applyFill="1" applyBorder="1" applyAlignment="1" applyProtection="1">
      <alignment horizontal="left" vertical="center"/>
    </xf>
    <xf numFmtId="9" fontId="10" fillId="6" borderId="0" xfId="1" applyFont="1" applyFill="1" applyBorder="1" applyAlignment="1">
      <alignment horizontal="left" vertical="center" wrapText="1"/>
    </xf>
    <xf numFmtId="0" fontId="10" fillId="6" borderId="0" xfId="0" applyFont="1" applyFill="1" applyBorder="1" applyAlignment="1">
      <alignment horizontal="left" vertical="center" wrapText="1"/>
    </xf>
    <xf numFmtId="0" fontId="9" fillId="0" borderId="7" xfId="0" applyFont="1" applyBorder="1" applyAlignment="1">
      <alignment horizontal="left" vertical="center" indent="1"/>
    </xf>
    <xf numFmtId="0" fontId="0" fillId="0" borderId="0" xfId="0" applyAlignment="1">
      <alignment horizontal="left" vertical="center" indent="3"/>
    </xf>
    <xf numFmtId="4" fontId="13" fillId="6" borderId="30" xfId="1" applyNumberFormat="1" applyFont="1" applyFill="1" applyBorder="1" applyAlignment="1">
      <alignment horizontal="center" vertical="center"/>
    </xf>
    <xf numFmtId="0" fontId="8" fillId="5" borderId="31" xfId="0" applyFont="1" applyFill="1" applyBorder="1" applyAlignment="1">
      <alignment horizontal="center" vertical="center" wrapText="1"/>
    </xf>
    <xf numFmtId="9" fontId="13" fillId="6" borderId="32" xfId="1" applyFont="1" applyFill="1" applyBorder="1" applyAlignment="1">
      <alignment horizontal="center" vertical="center"/>
    </xf>
    <xf numFmtId="9" fontId="13" fillId="3" borderId="33" xfId="1" applyFont="1" applyFill="1" applyBorder="1" applyAlignment="1">
      <alignment horizontal="center" vertical="center"/>
    </xf>
    <xf numFmtId="171" fontId="13" fillId="6" borderId="34" xfId="1" applyNumberFormat="1" applyFont="1" applyFill="1" applyBorder="1" applyAlignment="1">
      <alignment horizontal="center" vertical="center"/>
    </xf>
    <xf numFmtId="171" fontId="13" fillId="6" borderId="35" xfId="0" applyNumberFormat="1" applyFont="1" applyFill="1" applyBorder="1" applyAlignment="1">
      <alignment horizontal="center" vertical="center"/>
    </xf>
    <xf numFmtId="171" fontId="13" fillId="6" borderId="36" xfId="0" applyNumberFormat="1" applyFont="1" applyFill="1" applyBorder="1" applyAlignment="1">
      <alignment horizontal="center" vertical="center"/>
    </xf>
    <xf numFmtId="0" fontId="8" fillId="5" borderId="37" xfId="0" applyFont="1" applyFill="1" applyBorder="1" applyAlignment="1">
      <alignment horizontal="center" vertical="center" wrapText="1"/>
    </xf>
    <xf numFmtId="166" fontId="22" fillId="6" borderId="32" xfId="1" applyNumberFormat="1" applyFont="1" applyFill="1" applyBorder="1" applyAlignment="1">
      <alignment horizontal="center" vertical="center"/>
    </xf>
    <xf numFmtId="166" fontId="22" fillId="6" borderId="38" xfId="0" applyNumberFormat="1" applyFont="1" applyFill="1" applyBorder="1" applyAlignment="1">
      <alignment horizontal="center" vertical="center"/>
    </xf>
    <xf numFmtId="166" fontId="22" fillId="6" borderId="33" xfId="1" applyNumberFormat="1" applyFont="1" applyFill="1" applyBorder="1" applyAlignment="1">
      <alignment horizontal="center" vertical="center"/>
    </xf>
    <xf numFmtId="170" fontId="13" fillId="9" borderId="34" xfId="0" applyNumberFormat="1" applyFont="1" applyFill="1" applyBorder="1" applyAlignment="1">
      <alignment horizontal="center" vertical="center"/>
    </xf>
    <xf numFmtId="170" fontId="13" fillId="9" borderId="35" xfId="0" applyNumberFormat="1" applyFont="1" applyFill="1" applyBorder="1" applyAlignment="1">
      <alignment horizontal="center" vertical="center"/>
    </xf>
    <xf numFmtId="170" fontId="13" fillId="9" borderId="36" xfId="0" applyNumberFormat="1" applyFont="1" applyFill="1" applyBorder="1" applyAlignment="1">
      <alignment horizontal="center" vertical="center"/>
    </xf>
    <xf numFmtId="4" fontId="0" fillId="0" borderId="0" xfId="0" applyNumberFormat="1" applyFont="1"/>
    <xf numFmtId="14" fontId="23" fillId="0" borderId="0" xfId="0" applyNumberFormat="1" applyFont="1" applyProtection="1">
      <protection locked="0"/>
    </xf>
    <xf numFmtId="3" fontId="0" fillId="0" borderId="0" xfId="0" applyNumberFormat="1" applyFont="1"/>
    <xf numFmtId="0" fontId="0" fillId="0" borderId="0" xfId="0" applyNumberFormat="1" applyFont="1"/>
    <xf numFmtId="172"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9" xfId="0" applyNumberFormat="1" applyFont="1" applyBorder="1" applyAlignment="1" applyProtection="1">
      <alignment horizontal="center"/>
    </xf>
    <xf numFmtId="39" fontId="0" fillId="0" borderId="0" xfId="0" applyNumberFormat="1" applyFont="1" applyAlignment="1" applyProtection="1">
      <alignment horizontal="center"/>
    </xf>
    <xf numFmtId="39" fontId="23" fillId="0" borderId="0" xfId="0" applyNumberFormat="1" applyFont="1" applyAlignment="1" applyProtection="1">
      <alignment horizontal="center"/>
    </xf>
    <xf numFmtId="39" fontId="0" fillId="0" borderId="0" xfId="0" applyNumberFormat="1" applyFont="1" applyAlignment="1">
      <alignment horizontal="center"/>
    </xf>
    <xf numFmtId="39" fontId="0" fillId="0" borderId="19" xfId="0" applyNumberFormat="1" applyFont="1" applyBorder="1" applyAlignment="1">
      <alignment horizontal="center"/>
    </xf>
    <xf numFmtId="39" fontId="23" fillId="0" borderId="0" xfId="0" applyNumberFormat="1" applyFont="1" applyAlignment="1">
      <alignment horizontal="center"/>
    </xf>
    <xf numFmtId="167" fontId="10" fillId="6" borderId="5" xfId="0" applyNumberFormat="1" applyFont="1" applyFill="1" applyBorder="1" applyAlignment="1">
      <alignment horizontal="center" vertical="center" wrapText="1"/>
    </xf>
    <xf numFmtId="10" fontId="0" fillId="0" borderId="0" xfId="0" applyNumberFormat="1" applyAlignment="1">
      <alignment horizontal="center"/>
    </xf>
    <xf numFmtId="0" fontId="23"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23" fillId="0" borderId="0" xfId="0" applyNumberFormat="1" applyFont="1" applyAlignment="1" applyProtection="1">
      <alignment wrapText="1"/>
      <protection locked="0"/>
    </xf>
    <xf numFmtId="14" fontId="23"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2" fontId="0" fillId="0" borderId="0" xfId="0" applyNumberFormat="1" applyAlignment="1" applyProtection="1">
      <alignment horizontal="center" wrapText="1"/>
      <protection locked="0"/>
    </xf>
    <xf numFmtId="0" fontId="12" fillId="2" borderId="0" xfId="0" applyFont="1" applyFill="1" applyBorder="1" applyAlignment="1">
      <alignment horizontal="left" vertical="center"/>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9" fillId="6" borderId="26" xfId="0" applyFont="1" applyFill="1" applyBorder="1" applyAlignment="1">
      <alignment horizontal="left" vertical="center" indent="1"/>
    </xf>
    <xf numFmtId="0" fontId="8" fillId="4" borderId="0" xfId="0" quotePrefix="1" applyFont="1" applyFill="1" applyBorder="1" applyAlignment="1">
      <alignment horizontal="center" vertical="center" wrapText="1"/>
    </xf>
    <xf numFmtId="0" fontId="12" fillId="2" borderId="0" xfId="0" applyFont="1" applyFill="1" applyBorder="1" applyAlignment="1">
      <alignment horizontal="left" vertical="center"/>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800" b="1"/>
              <a:t>Valor Intrínseco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'4.Valoración'!$A$22</c:f>
              <c:strCache>
                <c:ptCount val="1"/>
                <c:pt idx="0">
                  <c:v>EV / FCF </c:v>
                </c:pt>
              </c:strCache>
            </c:strRef>
          </c:tx>
          <c:spPr>
            <a:ln w="28575" cap="rnd">
              <a:solidFill>
                <a:schemeClr val="accent1"/>
              </a:solidFill>
              <a:round/>
            </a:ln>
            <a:effectLst/>
          </c:spPr>
          <c:marker>
            <c:symbol val="diamond"/>
            <c:size val="10"/>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'4.Valoración'!$B$20:$F$20</c:f>
              <c:strCache>
                <c:ptCount val="5"/>
                <c:pt idx="0">
                  <c:v>2025e</c:v>
                </c:pt>
                <c:pt idx="1">
                  <c:v>2026e</c:v>
                </c:pt>
                <c:pt idx="2">
                  <c:v>2027e</c:v>
                </c:pt>
                <c:pt idx="3">
                  <c:v>2028e</c:v>
                </c:pt>
                <c:pt idx="4">
                  <c:v>2029e</c:v>
                </c:pt>
              </c:strCache>
            </c:strRef>
          </c:cat>
          <c:val>
            <c:numRef>
              <c:f>'4.Valoración'!$B$22:$F$22</c:f>
              <c:numCache>
                <c:formatCode>#,##0.00</c:formatCode>
                <c:ptCount val="5"/>
                <c:pt idx="0">
                  <c:v>-157.27850711449366</c:v>
                </c:pt>
                <c:pt idx="1">
                  <c:v>-205.57114219696484</c:v>
                </c:pt>
                <c:pt idx="2">
                  <c:v>-268.68262789425103</c:v>
                </c:pt>
                <c:pt idx="3">
                  <c:v>-351.1603361472358</c:v>
                </c:pt>
                <c:pt idx="4">
                  <c:v>-458.94706192962809</c:v>
                </c:pt>
              </c:numCache>
            </c:numRef>
          </c:val>
          <c:smooth val="1"/>
          <c:extLst>
            <c:ext xmlns:c16="http://schemas.microsoft.com/office/drawing/2014/chart" uri="{C3380CC4-5D6E-409C-BE32-E72D297353CC}">
              <c16:uniqueId val="{00000000-ECAE-4AC7-A87E-F0CB64A2EAEC}"/>
            </c:ext>
          </c:extLst>
        </c:ser>
        <c:ser>
          <c:idx val="1"/>
          <c:order val="1"/>
          <c:tx>
            <c:strRef>
              <c:f>TIKR_Cálculos!$A$14</c:f>
              <c:strCache>
                <c:ptCount val="1"/>
                <c:pt idx="0">
                  <c:v>Precio actual</c:v>
                </c:pt>
              </c:strCache>
            </c:strRef>
          </c:tx>
          <c:spPr>
            <a:ln w="28575" cap="rnd">
              <a:solidFill>
                <a:schemeClr val="accent6"/>
              </a:solidFill>
              <a:prstDash val="dash"/>
              <a:round/>
            </a:ln>
            <a:effectLst/>
          </c:spPr>
          <c:marker>
            <c:symbol val="none"/>
          </c:marker>
          <c:cat>
            <c:strRef>
              <c:f>'4.Valoración'!$B$20:$F$20</c:f>
              <c:strCache>
                <c:ptCount val="5"/>
                <c:pt idx="0">
                  <c:v>2025e</c:v>
                </c:pt>
                <c:pt idx="1">
                  <c:v>2026e</c:v>
                </c:pt>
                <c:pt idx="2">
                  <c:v>2027e</c:v>
                </c:pt>
                <c:pt idx="3">
                  <c:v>2028e</c:v>
                </c:pt>
                <c:pt idx="4">
                  <c:v>2029e</c:v>
                </c:pt>
              </c:strCache>
            </c:strRef>
          </c:cat>
          <c:val>
            <c:numRef>
              <c:f>TIKR_Cálculos!$B$14:$F$14</c:f>
              <c:numCache>
                <c:formatCode>#,##0.00</c:formatCode>
                <c:ptCount val="5"/>
                <c:pt idx="0">
                  <c:v>42</c:v>
                </c:pt>
                <c:pt idx="1">
                  <c:v>42</c:v>
                </c:pt>
                <c:pt idx="2">
                  <c:v>42</c:v>
                </c:pt>
                <c:pt idx="3">
                  <c:v>42</c:v>
                </c:pt>
                <c:pt idx="4">
                  <c:v>42</c:v>
                </c:pt>
              </c:numCache>
            </c:numRef>
          </c:val>
          <c:smooth val="1"/>
          <c:extLst>
            <c:ext xmlns:c16="http://schemas.microsoft.com/office/drawing/2014/chart" uri="{C3380CC4-5D6E-409C-BE32-E72D297353CC}">
              <c16:uniqueId val="{00000001-ECAE-4AC7-A87E-F0CB64A2EAEC}"/>
            </c:ext>
          </c:extLst>
        </c:ser>
        <c:dLbls>
          <c:showLegendKey val="0"/>
          <c:showVal val="0"/>
          <c:showCatName val="0"/>
          <c:showSerName val="0"/>
          <c:showPercent val="0"/>
          <c:showBubbleSize val="0"/>
        </c:dLbls>
        <c:marker val="1"/>
        <c:smooth val="0"/>
        <c:axId val="1725711072"/>
        <c:axId val="1786543760"/>
      </c:lineChart>
      <c:catAx>
        <c:axId val="172571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786543760"/>
        <c:crosses val="autoZero"/>
        <c:auto val="1"/>
        <c:lblAlgn val="ctr"/>
        <c:lblOffset val="100"/>
        <c:noMultiLvlLbl val="0"/>
      </c:catAx>
      <c:valAx>
        <c:axId val="1786543760"/>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72571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8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Márgenes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TIKR_Cálculos!$A$40</c:f>
              <c:strCache>
                <c:ptCount val="1"/>
                <c:pt idx="0">
                  <c:v>EBITDA</c:v>
                </c:pt>
              </c:strCache>
            </c:strRef>
          </c:tx>
          <c:spPr>
            <a:ln w="28575" cap="rnd">
              <a:solidFill>
                <a:schemeClr val="accent1"/>
              </a:solidFill>
              <a:round/>
            </a:ln>
            <a:effectLst/>
          </c:spPr>
          <c:marker>
            <c:symbol val="none"/>
          </c:marker>
          <c:cat>
            <c:numRef>
              <c:f>TIKR_Cálculos!$B$39:$H$39</c:f>
              <c:numCache>
                <c:formatCode>General</c:formatCode>
                <c:ptCount val="7"/>
                <c:pt idx="0">
                  <c:v>2018</c:v>
                </c:pt>
                <c:pt idx="1">
                  <c:v>2019</c:v>
                </c:pt>
                <c:pt idx="2">
                  <c:v>2020</c:v>
                </c:pt>
                <c:pt idx="3">
                  <c:v>2021</c:v>
                </c:pt>
                <c:pt idx="4">
                  <c:v>2022</c:v>
                </c:pt>
                <c:pt idx="5">
                  <c:v>2023</c:v>
                </c:pt>
                <c:pt idx="6">
                  <c:v>2024</c:v>
                </c:pt>
              </c:numCache>
            </c:numRef>
          </c:cat>
          <c:val>
            <c:numRef>
              <c:f>TIKR_Cálculos!$B$40:$H$40</c:f>
              <c:numCache>
                <c:formatCode>0.0%</c:formatCode>
                <c:ptCount val="7"/>
                <c:pt idx="0">
                  <c:v>0.2351175587793897</c:v>
                </c:pt>
                <c:pt idx="1">
                  <c:v>0.19967355821545157</c:v>
                </c:pt>
                <c:pt idx="2">
                  <c:v>1.901565995525727E-2</c:v>
                </c:pt>
                <c:pt idx="3">
                  <c:v>0.26038543897216276</c:v>
                </c:pt>
                <c:pt idx="4">
                  <c:v>0.24797913950456324</c:v>
                </c:pt>
                <c:pt idx="5">
                  <c:v>0.22549019607843138</c:v>
                </c:pt>
                <c:pt idx="6">
                  <c:v>0.1624171853041558</c:v>
                </c:pt>
              </c:numCache>
            </c:numRef>
          </c:val>
          <c:smooth val="1"/>
          <c:extLst>
            <c:ext xmlns:c16="http://schemas.microsoft.com/office/drawing/2014/chart" uri="{C3380CC4-5D6E-409C-BE32-E72D297353CC}">
              <c16:uniqueId val="{00000000-724A-4770-9702-F87A32B0FCEE}"/>
            </c:ext>
          </c:extLst>
        </c:ser>
        <c:ser>
          <c:idx val="1"/>
          <c:order val="1"/>
          <c:tx>
            <c:strRef>
              <c:f>TIKR_Cálculos!$A$41</c:f>
              <c:strCache>
                <c:ptCount val="1"/>
                <c:pt idx="0">
                  <c:v>EBIT</c:v>
                </c:pt>
              </c:strCache>
            </c:strRef>
          </c:tx>
          <c:spPr>
            <a:ln w="28575" cap="rnd">
              <a:solidFill>
                <a:schemeClr val="accent6"/>
              </a:solidFill>
              <a:round/>
            </a:ln>
            <a:effectLst/>
          </c:spPr>
          <c:marker>
            <c:symbol val="none"/>
          </c:marker>
          <c:cat>
            <c:numRef>
              <c:f>TIKR_Cálculos!$B$39:$H$39</c:f>
              <c:numCache>
                <c:formatCode>General</c:formatCode>
                <c:ptCount val="7"/>
                <c:pt idx="0">
                  <c:v>2018</c:v>
                </c:pt>
                <c:pt idx="1">
                  <c:v>2019</c:v>
                </c:pt>
                <c:pt idx="2">
                  <c:v>2020</c:v>
                </c:pt>
                <c:pt idx="3">
                  <c:v>2021</c:v>
                </c:pt>
                <c:pt idx="4">
                  <c:v>2022</c:v>
                </c:pt>
                <c:pt idx="5">
                  <c:v>2023</c:v>
                </c:pt>
                <c:pt idx="6">
                  <c:v>2024</c:v>
                </c:pt>
              </c:numCache>
            </c:numRef>
          </c:cat>
          <c:val>
            <c:numRef>
              <c:f>TIKR_Cálculos!$B$41:$H$41</c:f>
              <c:numCache>
                <c:formatCode>0.0%</c:formatCode>
                <c:ptCount val="7"/>
                <c:pt idx="0">
                  <c:v>0.21710855427713857</c:v>
                </c:pt>
                <c:pt idx="1">
                  <c:v>0.17192600652883569</c:v>
                </c:pt>
                <c:pt idx="2">
                  <c:v>-3.1319910514541388E-2</c:v>
                </c:pt>
                <c:pt idx="3">
                  <c:v>0.20642398286937902</c:v>
                </c:pt>
                <c:pt idx="4">
                  <c:v>0.18435462842242503</c:v>
                </c:pt>
                <c:pt idx="5">
                  <c:v>0.17194570135746606</c:v>
                </c:pt>
                <c:pt idx="6">
                  <c:v>9.1949407749447903E-2</c:v>
                </c:pt>
              </c:numCache>
            </c:numRef>
          </c:val>
          <c:smooth val="1"/>
          <c:extLst>
            <c:ext xmlns:c16="http://schemas.microsoft.com/office/drawing/2014/chart" uri="{C3380CC4-5D6E-409C-BE32-E72D297353CC}">
              <c16:uniqueId val="{00000001-724A-4770-9702-F87A32B0FCEE}"/>
            </c:ext>
          </c:extLst>
        </c:ser>
        <c:ser>
          <c:idx val="2"/>
          <c:order val="2"/>
          <c:tx>
            <c:strRef>
              <c:f>TIKR_Cálculos!$A$42</c:f>
              <c:strCache>
                <c:ptCount val="1"/>
                <c:pt idx="0">
                  <c:v>FCF</c:v>
                </c:pt>
              </c:strCache>
            </c:strRef>
          </c:tx>
          <c:spPr>
            <a:ln w="28575" cap="rnd">
              <a:solidFill>
                <a:schemeClr val="accent3"/>
              </a:solidFill>
              <a:round/>
            </a:ln>
            <a:effectLst/>
          </c:spPr>
          <c:marker>
            <c:symbol val="none"/>
          </c:marker>
          <c:cat>
            <c:numRef>
              <c:f>TIKR_Cálculos!$B$39:$H$39</c:f>
              <c:numCache>
                <c:formatCode>General</c:formatCode>
                <c:ptCount val="7"/>
                <c:pt idx="0">
                  <c:v>2018</c:v>
                </c:pt>
                <c:pt idx="1">
                  <c:v>2019</c:v>
                </c:pt>
                <c:pt idx="2">
                  <c:v>2020</c:v>
                </c:pt>
                <c:pt idx="3">
                  <c:v>2021</c:v>
                </c:pt>
                <c:pt idx="4">
                  <c:v>2022</c:v>
                </c:pt>
                <c:pt idx="5">
                  <c:v>2023</c:v>
                </c:pt>
                <c:pt idx="6">
                  <c:v>2024</c:v>
                </c:pt>
              </c:numCache>
            </c:numRef>
          </c:cat>
          <c:val>
            <c:numRef>
              <c:f>TIKR_Cálculos!$B$42:$H$42</c:f>
              <c:numCache>
                <c:formatCode>0.0%</c:formatCode>
                <c:ptCount val="7"/>
                <c:pt idx="0">
                  <c:v>0.14907453726863432</c:v>
                </c:pt>
                <c:pt idx="1">
                  <c:v>0.28781284004352559</c:v>
                </c:pt>
                <c:pt idx="2">
                  <c:v>-0.2494407158836689</c:v>
                </c:pt>
                <c:pt idx="3">
                  <c:v>-0.72890792291220552</c:v>
                </c:pt>
                <c:pt idx="4">
                  <c:v>2.607561929595828E-2</c:v>
                </c:pt>
                <c:pt idx="5">
                  <c:v>0.15183509301156359</c:v>
                </c:pt>
                <c:pt idx="6">
                  <c:v>0.28167034731981527</c:v>
                </c:pt>
              </c:numCache>
            </c:numRef>
          </c:val>
          <c:smooth val="1"/>
          <c:extLst>
            <c:ext xmlns:c16="http://schemas.microsoft.com/office/drawing/2014/chart" uri="{C3380CC4-5D6E-409C-BE32-E72D297353CC}">
              <c16:uniqueId val="{00000002-724A-4770-9702-F87A32B0FCEE}"/>
            </c:ext>
          </c:extLst>
        </c:ser>
        <c:dLbls>
          <c:showLegendKey val="0"/>
          <c:showVal val="0"/>
          <c:showCatName val="0"/>
          <c:showSerName val="0"/>
          <c:showPercent val="0"/>
          <c:showBubbleSize val="0"/>
        </c:dLbls>
        <c:smooth val="0"/>
        <c:axId val="375176607"/>
        <c:axId val="375174111"/>
      </c:lineChart>
      <c:catAx>
        <c:axId val="37517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75174111"/>
        <c:crosses val="autoZero"/>
        <c:auto val="1"/>
        <c:lblAlgn val="ctr"/>
        <c:lblOffset val="100"/>
        <c:noMultiLvlLbl val="0"/>
      </c:catAx>
      <c:valAx>
        <c:axId val="375174111"/>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7517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blipFill dpi="0" rotWithShape="1">
      <a:blip xmlns:r="http://schemas.openxmlformats.org/officeDocument/2006/relationships" r:embed="rId3">
        <a:alphaModFix amt="10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Crecimiento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TIKR_Cálculos!$A$35</c:f>
              <c:strCache>
                <c:ptCount val="1"/>
                <c:pt idx="0">
                  <c:v>Ventas</c:v>
                </c:pt>
              </c:strCache>
            </c:strRef>
          </c:tx>
          <c:spPr>
            <a:ln w="28575" cap="rnd">
              <a:solidFill>
                <a:schemeClr val="accent1"/>
              </a:solidFill>
              <a:round/>
            </a:ln>
            <a:effectLst/>
          </c:spPr>
          <c:marker>
            <c:symbol val="none"/>
          </c:marker>
          <c:cat>
            <c:numRef>
              <c:f>TIKR_Cálculos!$B$34:$G$34</c:f>
              <c:numCache>
                <c:formatCode>General</c:formatCode>
                <c:ptCount val="6"/>
                <c:pt idx="0">
                  <c:v>2019</c:v>
                </c:pt>
                <c:pt idx="1">
                  <c:v>2020</c:v>
                </c:pt>
                <c:pt idx="2">
                  <c:v>2021</c:v>
                </c:pt>
                <c:pt idx="3">
                  <c:v>2022</c:v>
                </c:pt>
                <c:pt idx="4">
                  <c:v>2023</c:v>
                </c:pt>
                <c:pt idx="5">
                  <c:v>2024</c:v>
                </c:pt>
              </c:numCache>
            </c:numRef>
          </c:cat>
          <c:val>
            <c:numRef>
              <c:f>TIKR_Cálculos!$B$35:$G$35</c:f>
              <c:numCache>
                <c:formatCode>0%</c:formatCode>
                <c:ptCount val="6"/>
                <c:pt idx="0">
                  <c:v>-8.0540270135067538E-2</c:v>
                </c:pt>
                <c:pt idx="1">
                  <c:v>-0.51360174102285094</c:v>
                </c:pt>
                <c:pt idx="2">
                  <c:v>1.6118568232662192</c:v>
                </c:pt>
                <c:pt idx="3">
                  <c:v>0.64239828693790146</c:v>
                </c:pt>
                <c:pt idx="4">
                  <c:v>3.7288135593220341E-2</c:v>
                </c:pt>
                <c:pt idx="5">
                  <c:v>0.25213675213675213</c:v>
                </c:pt>
              </c:numCache>
            </c:numRef>
          </c:val>
          <c:smooth val="1"/>
          <c:extLst>
            <c:ext xmlns:c16="http://schemas.microsoft.com/office/drawing/2014/chart" uri="{C3380CC4-5D6E-409C-BE32-E72D297353CC}">
              <c16:uniqueId val="{00000000-E8FB-47C7-8EDA-0FF775984DCF}"/>
            </c:ext>
          </c:extLst>
        </c:ser>
        <c:ser>
          <c:idx val="1"/>
          <c:order val="1"/>
          <c:tx>
            <c:strRef>
              <c:f>TIKR_Cálculos!$A$36</c:f>
              <c:strCache>
                <c:ptCount val="1"/>
                <c:pt idx="0">
                  <c:v>EPS</c:v>
                </c:pt>
              </c:strCache>
            </c:strRef>
          </c:tx>
          <c:spPr>
            <a:ln w="28575" cap="rnd">
              <a:solidFill>
                <a:schemeClr val="accent6"/>
              </a:solidFill>
              <a:round/>
            </a:ln>
            <a:effectLst/>
          </c:spPr>
          <c:marker>
            <c:symbol val="none"/>
          </c:marker>
          <c:cat>
            <c:numRef>
              <c:f>TIKR_Cálculos!$B$34:$G$34</c:f>
              <c:numCache>
                <c:formatCode>General</c:formatCode>
                <c:ptCount val="6"/>
                <c:pt idx="0">
                  <c:v>2019</c:v>
                </c:pt>
                <c:pt idx="1">
                  <c:v>2020</c:v>
                </c:pt>
                <c:pt idx="2">
                  <c:v>2021</c:v>
                </c:pt>
                <c:pt idx="3">
                  <c:v>2022</c:v>
                </c:pt>
                <c:pt idx="4">
                  <c:v>2023</c:v>
                </c:pt>
                <c:pt idx="5">
                  <c:v>2024</c:v>
                </c:pt>
              </c:numCache>
            </c:numRef>
          </c:cat>
          <c:val>
            <c:numRef>
              <c:f>TIKR_Cálculos!$B$36:$G$36</c:f>
              <c:numCache>
                <c:formatCode>0%</c:formatCode>
                <c:ptCount val="6"/>
                <c:pt idx="0">
                  <c:v>-0.36283326856686726</c:v>
                </c:pt>
                <c:pt idx="1">
                  <c:v>-2.4784577236644059</c:v>
                </c:pt>
                <c:pt idx="2">
                  <c:v>-1.2451872945549252</c:v>
                </c:pt>
                <c:pt idx="3">
                  <c:v>1.4916549295774648</c:v>
                </c:pt>
                <c:pt idx="4">
                  <c:v>-0.30875576036866359</c:v>
                </c:pt>
                <c:pt idx="5">
                  <c:v>3.3845751633986922</c:v>
                </c:pt>
              </c:numCache>
            </c:numRef>
          </c:val>
          <c:smooth val="1"/>
          <c:extLst>
            <c:ext xmlns:c16="http://schemas.microsoft.com/office/drawing/2014/chart" uri="{C3380CC4-5D6E-409C-BE32-E72D297353CC}">
              <c16:uniqueId val="{00000001-E8FB-47C7-8EDA-0FF775984DCF}"/>
            </c:ext>
          </c:extLst>
        </c:ser>
        <c:ser>
          <c:idx val="2"/>
          <c:order val="2"/>
          <c:tx>
            <c:strRef>
              <c:f>TIKR_Cálculos!$A$37</c:f>
              <c:strCache>
                <c:ptCount val="1"/>
                <c:pt idx="0">
                  <c:v>FCF per share</c:v>
                </c:pt>
              </c:strCache>
            </c:strRef>
          </c:tx>
          <c:spPr>
            <a:ln w="28575" cap="rnd">
              <a:solidFill>
                <a:schemeClr val="accent3"/>
              </a:solidFill>
              <a:round/>
            </a:ln>
            <a:effectLst/>
          </c:spPr>
          <c:marker>
            <c:symbol val="none"/>
          </c:marker>
          <c:cat>
            <c:numRef>
              <c:f>TIKR_Cálculos!$B$34:$G$34</c:f>
              <c:numCache>
                <c:formatCode>General</c:formatCode>
                <c:ptCount val="6"/>
                <c:pt idx="0">
                  <c:v>2019</c:v>
                </c:pt>
                <c:pt idx="1">
                  <c:v>2020</c:v>
                </c:pt>
                <c:pt idx="2">
                  <c:v>2021</c:v>
                </c:pt>
                <c:pt idx="3">
                  <c:v>2022</c:v>
                </c:pt>
                <c:pt idx="4">
                  <c:v>2023</c:v>
                </c:pt>
                <c:pt idx="5">
                  <c:v>2024</c:v>
                </c:pt>
              </c:numCache>
            </c:numRef>
          </c:cat>
          <c:val>
            <c:numRef>
              <c:f>TIKR_Cálculos!$B$37:$G$37</c:f>
              <c:numCache>
                <c:formatCode>0%</c:formatCode>
                <c:ptCount val="6"/>
                <c:pt idx="0">
                  <c:v>0.77516778523489938</c:v>
                </c:pt>
                <c:pt idx="1">
                  <c:v>-1.4215500945179584</c:v>
                </c:pt>
                <c:pt idx="2">
                  <c:v>6.6322869955156953</c:v>
                </c:pt>
                <c:pt idx="3">
                  <c:v>-1.0587544065804935</c:v>
                </c:pt>
                <c:pt idx="4">
                  <c:v>5.04</c:v>
                </c:pt>
                <c:pt idx="5">
                  <c:v>1.3228476821192052</c:v>
                </c:pt>
              </c:numCache>
            </c:numRef>
          </c:val>
          <c:smooth val="1"/>
          <c:extLst>
            <c:ext xmlns:c16="http://schemas.microsoft.com/office/drawing/2014/chart" uri="{C3380CC4-5D6E-409C-BE32-E72D297353CC}">
              <c16:uniqueId val="{00000002-E8FB-47C7-8EDA-0FF775984DCF}"/>
            </c:ext>
          </c:extLst>
        </c:ser>
        <c:dLbls>
          <c:showLegendKey val="0"/>
          <c:showVal val="0"/>
          <c:showCatName val="0"/>
          <c:showSerName val="0"/>
          <c:showPercent val="0"/>
          <c:showBubbleSize val="0"/>
        </c:dLbls>
        <c:smooth val="0"/>
        <c:axId val="342049839"/>
        <c:axId val="342044847"/>
      </c:lineChart>
      <c:catAx>
        <c:axId val="34204983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42044847"/>
        <c:crosses val="autoZero"/>
        <c:auto val="1"/>
        <c:lblAlgn val="ctr"/>
        <c:lblOffset val="100"/>
        <c:noMultiLvlLbl val="0"/>
      </c:catAx>
      <c:valAx>
        <c:axId val="342044847"/>
        <c:scaling>
          <c:orientation val="minMax"/>
          <c:max val="1"/>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42049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blipFill dpi="0" rotWithShape="1">
      <a:blip xmlns:r="http://schemas.openxmlformats.org/officeDocument/2006/relationships" r:embed="rId3">
        <a:alphaModFix amt="10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FCF vs ROIC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clustered"/>
        <c:varyColors val="0"/>
        <c:ser>
          <c:idx val="0"/>
          <c:order val="0"/>
          <c:tx>
            <c:strRef>
              <c:f>TIKR_Cálculos!$A$45</c:f>
              <c:strCache>
                <c:ptCount val="1"/>
                <c:pt idx="0">
                  <c:v>FCF</c:v>
                </c:pt>
              </c:strCache>
            </c:strRef>
          </c:tx>
          <c:spPr>
            <a:solidFill>
              <a:schemeClr val="accent1"/>
            </a:solidFill>
            <a:ln>
              <a:noFill/>
            </a:ln>
            <a:effectLst/>
          </c:spPr>
          <c:invertIfNegative val="0"/>
          <c:cat>
            <c:numRef>
              <c:f>TIKR_Cálculos!$B$44:$H$44</c:f>
              <c:numCache>
                <c:formatCode>General</c:formatCode>
                <c:ptCount val="7"/>
                <c:pt idx="0">
                  <c:v>2018</c:v>
                </c:pt>
                <c:pt idx="1">
                  <c:v>2019</c:v>
                </c:pt>
                <c:pt idx="2">
                  <c:v>2020</c:v>
                </c:pt>
                <c:pt idx="3">
                  <c:v>2021</c:v>
                </c:pt>
                <c:pt idx="4">
                  <c:v>2022</c:v>
                </c:pt>
                <c:pt idx="5">
                  <c:v>2023</c:v>
                </c:pt>
                <c:pt idx="6">
                  <c:v>2024</c:v>
                </c:pt>
              </c:numCache>
            </c:numRef>
          </c:cat>
          <c:val>
            <c:numRef>
              <c:f>TIKR_Cálculos!$B$45:$H$45</c:f>
              <c:numCache>
                <c:formatCode>#,##0</c:formatCode>
                <c:ptCount val="7"/>
                <c:pt idx="0">
                  <c:v>298</c:v>
                </c:pt>
                <c:pt idx="1">
                  <c:v>529</c:v>
                </c:pt>
                <c:pt idx="2">
                  <c:v>-223</c:v>
                </c:pt>
                <c:pt idx="3">
                  <c:v>-1702</c:v>
                </c:pt>
                <c:pt idx="4">
                  <c:v>100</c:v>
                </c:pt>
                <c:pt idx="5">
                  <c:v>604</c:v>
                </c:pt>
                <c:pt idx="6">
                  <c:v>1403</c:v>
                </c:pt>
              </c:numCache>
            </c:numRef>
          </c:val>
          <c:extLst>
            <c:ext xmlns:c16="http://schemas.microsoft.com/office/drawing/2014/chart" uri="{C3380CC4-5D6E-409C-BE32-E72D297353CC}">
              <c16:uniqueId val="{00000000-9FE2-4E89-901A-04EC4532370A}"/>
            </c:ext>
          </c:extLst>
        </c:ser>
        <c:dLbls>
          <c:showLegendKey val="0"/>
          <c:showVal val="0"/>
          <c:showCatName val="0"/>
          <c:showSerName val="0"/>
          <c:showPercent val="0"/>
          <c:showBubbleSize val="0"/>
        </c:dLbls>
        <c:gapWidth val="219"/>
        <c:overlap val="-27"/>
        <c:axId val="375175775"/>
        <c:axId val="375173279"/>
      </c:barChart>
      <c:lineChart>
        <c:grouping val="standard"/>
        <c:varyColors val="0"/>
        <c:ser>
          <c:idx val="1"/>
          <c:order val="1"/>
          <c:tx>
            <c:strRef>
              <c:f>TIKR_Cálculos!$A$46</c:f>
              <c:strCache>
                <c:ptCount val="1"/>
                <c:pt idx="0">
                  <c:v>ROIC</c:v>
                </c:pt>
              </c:strCache>
            </c:strRef>
          </c:tx>
          <c:spPr>
            <a:ln w="28575" cap="rnd">
              <a:solidFill>
                <a:schemeClr val="accent6"/>
              </a:solidFill>
              <a:round/>
            </a:ln>
            <a:effectLst/>
          </c:spPr>
          <c:marker>
            <c:symbol val="none"/>
          </c:marker>
          <c:cat>
            <c:numRef>
              <c:f>TIKR_Cálculos!$B$44:$H$44</c:f>
              <c:numCache>
                <c:formatCode>General</c:formatCode>
                <c:ptCount val="7"/>
                <c:pt idx="0">
                  <c:v>2018</c:v>
                </c:pt>
                <c:pt idx="1">
                  <c:v>2019</c:v>
                </c:pt>
                <c:pt idx="2">
                  <c:v>2020</c:v>
                </c:pt>
                <c:pt idx="3">
                  <c:v>2021</c:v>
                </c:pt>
                <c:pt idx="4">
                  <c:v>2022</c:v>
                </c:pt>
                <c:pt idx="5">
                  <c:v>2023</c:v>
                </c:pt>
                <c:pt idx="6">
                  <c:v>2024</c:v>
                </c:pt>
              </c:numCache>
            </c:numRef>
          </c:cat>
          <c:val>
            <c:numRef>
              <c:f>TIKR_Cálculos!$B$46:$H$46</c:f>
              <c:numCache>
                <c:formatCode>0.0%</c:formatCode>
                <c:ptCount val="7"/>
                <c:pt idx="0">
                  <c:v>0.1894919972164231</c:v>
                </c:pt>
                <c:pt idx="1">
                  <c:v>0.12199016528474528</c:v>
                </c:pt>
                <c:pt idx="2">
                  <c:v>-1.2695748462860972E-2</c:v>
                </c:pt>
                <c:pt idx="3">
                  <c:v>5.6743808806127789E-2</c:v>
                </c:pt>
                <c:pt idx="4">
                  <c:v>0.10151859111362119</c:v>
                </c:pt>
                <c:pt idx="5">
                  <c:v>7.1957551762186031E-2</c:v>
                </c:pt>
                <c:pt idx="6">
                  <c:v>1.8835123686043918E-2</c:v>
                </c:pt>
              </c:numCache>
            </c:numRef>
          </c:val>
          <c:smooth val="1"/>
          <c:extLst>
            <c:ext xmlns:c16="http://schemas.microsoft.com/office/drawing/2014/chart" uri="{C3380CC4-5D6E-409C-BE32-E72D297353CC}">
              <c16:uniqueId val="{00000001-9FE2-4E89-901A-04EC4532370A}"/>
            </c:ext>
          </c:extLst>
        </c:ser>
        <c:ser>
          <c:idx val="2"/>
          <c:order val="2"/>
          <c:tx>
            <c:strRef>
              <c:f>'5.Gráficos'!#REF!</c:f>
              <c:strCache>
                <c:ptCount val="1"/>
                <c:pt idx="0">
                  <c:v>#¡REF!</c:v>
                </c:pt>
              </c:strCache>
            </c:strRef>
          </c:tx>
          <c:spPr>
            <a:ln w="28575" cap="rnd">
              <a:solidFill>
                <a:schemeClr val="accent3"/>
              </a:solidFill>
              <a:round/>
            </a:ln>
            <a:effectLst/>
          </c:spPr>
          <c:marker>
            <c:symbol val="none"/>
          </c:marker>
          <c:cat>
            <c:numRef>
              <c:f>TIKR_Cálculos!$B$44:$H$44</c:f>
              <c:numCache>
                <c:formatCode>General</c:formatCode>
                <c:ptCount val="7"/>
                <c:pt idx="0">
                  <c:v>2018</c:v>
                </c:pt>
                <c:pt idx="1">
                  <c:v>2019</c:v>
                </c:pt>
                <c:pt idx="2">
                  <c:v>2020</c:v>
                </c:pt>
                <c:pt idx="3">
                  <c:v>2021</c:v>
                </c:pt>
                <c:pt idx="4">
                  <c:v>2022</c:v>
                </c:pt>
                <c:pt idx="5">
                  <c:v>2023</c:v>
                </c:pt>
                <c:pt idx="6">
                  <c:v>2024</c:v>
                </c:pt>
              </c:numCache>
            </c:numRef>
          </c:cat>
          <c:val>
            <c:numRef>
              <c:f>'5.Gráficos'!#REF!</c:f>
              <c:numCache>
                <c:formatCode>General</c:formatCode>
                <c:ptCount val="1"/>
                <c:pt idx="0">
                  <c:v>1</c:v>
                </c:pt>
              </c:numCache>
            </c:numRef>
          </c:val>
          <c:smooth val="1"/>
          <c:extLst>
            <c:ext xmlns:c16="http://schemas.microsoft.com/office/drawing/2014/chart" uri="{C3380CC4-5D6E-409C-BE32-E72D297353CC}">
              <c16:uniqueId val="{00000002-9FE2-4E89-901A-04EC4532370A}"/>
            </c:ext>
          </c:extLst>
        </c:ser>
        <c:dLbls>
          <c:showLegendKey val="0"/>
          <c:showVal val="0"/>
          <c:showCatName val="0"/>
          <c:showSerName val="0"/>
          <c:showPercent val="0"/>
          <c:showBubbleSize val="0"/>
        </c:dLbls>
        <c:marker val="1"/>
        <c:smooth val="0"/>
        <c:axId val="375179935"/>
        <c:axId val="375174943"/>
      </c:lineChart>
      <c:catAx>
        <c:axId val="3751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75173279"/>
        <c:crosses val="autoZero"/>
        <c:auto val="1"/>
        <c:lblAlgn val="ctr"/>
        <c:lblOffset val="100"/>
        <c:noMultiLvlLbl val="0"/>
      </c:catAx>
      <c:valAx>
        <c:axId val="375173279"/>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75175775"/>
        <c:crosses val="autoZero"/>
        <c:crossBetween val="between"/>
      </c:valAx>
      <c:valAx>
        <c:axId val="375174943"/>
        <c:scaling>
          <c:orientation val="minMax"/>
          <c:max val="1"/>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375179935"/>
        <c:crosses val="max"/>
        <c:crossBetween val="between"/>
      </c:valAx>
      <c:catAx>
        <c:axId val="375179935"/>
        <c:scaling>
          <c:orientation val="minMax"/>
        </c:scaling>
        <c:delete val="1"/>
        <c:axPos val="b"/>
        <c:numFmt formatCode="General" sourceLinked="1"/>
        <c:majorTickMark val="out"/>
        <c:minorTickMark val="none"/>
        <c:tickLblPos val="nextTo"/>
        <c:crossAx val="375174943"/>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10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Costes como % de ventas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stacked"/>
        <c:varyColors val="0"/>
        <c:ser>
          <c:idx val="0"/>
          <c:order val="0"/>
          <c:tx>
            <c:strRef>
              <c:f>TIKR_Cálculos!$A$49</c:f>
              <c:strCache>
                <c:ptCount val="1"/>
                <c:pt idx="0">
                  <c:v>Costes de ventas y operativos</c:v>
                </c:pt>
              </c:strCache>
            </c:strRef>
          </c:tx>
          <c:spPr>
            <a:solidFill>
              <a:schemeClr val="accent1"/>
            </a:solidFill>
            <a:ln>
              <a:noFill/>
            </a:ln>
            <a:effectLst/>
          </c:spPr>
          <c:invertIfNegative val="0"/>
          <c:cat>
            <c:numRef>
              <c:f>TIKR_Cálculos!$B$48:$H$48</c:f>
              <c:numCache>
                <c:formatCode>General</c:formatCode>
                <c:ptCount val="7"/>
                <c:pt idx="0">
                  <c:v>2018</c:v>
                </c:pt>
                <c:pt idx="1">
                  <c:v>2019</c:v>
                </c:pt>
                <c:pt idx="2">
                  <c:v>2020</c:v>
                </c:pt>
                <c:pt idx="3">
                  <c:v>2021</c:v>
                </c:pt>
                <c:pt idx="4">
                  <c:v>2022</c:v>
                </c:pt>
                <c:pt idx="5">
                  <c:v>2023</c:v>
                </c:pt>
                <c:pt idx="6">
                  <c:v>2024</c:v>
                </c:pt>
              </c:numCache>
            </c:numRef>
          </c:cat>
          <c:val>
            <c:numRef>
              <c:f>TIKR_Cálculos!$B$49:$H$49</c:f>
              <c:numCache>
                <c:formatCode>0%</c:formatCode>
                <c:ptCount val="7"/>
                <c:pt idx="0">
                  <c:v>0.76488244122061033</c:v>
                </c:pt>
                <c:pt idx="1">
                  <c:v>0.80032644178454837</c:v>
                </c:pt>
                <c:pt idx="2">
                  <c:v>0.98098434004474278</c:v>
                </c:pt>
                <c:pt idx="3">
                  <c:v>0.73961456102783729</c:v>
                </c:pt>
                <c:pt idx="4">
                  <c:v>0.75202086049543682</c:v>
                </c:pt>
                <c:pt idx="5">
                  <c:v>0.77450980392156865</c:v>
                </c:pt>
                <c:pt idx="6">
                  <c:v>0.83758281469584417</c:v>
                </c:pt>
              </c:numCache>
            </c:numRef>
          </c:val>
          <c:extLst>
            <c:ext xmlns:c16="http://schemas.microsoft.com/office/drawing/2014/chart" uri="{C3380CC4-5D6E-409C-BE32-E72D297353CC}">
              <c16:uniqueId val="{00000000-C215-46D2-A748-34BD26951EA4}"/>
            </c:ext>
          </c:extLst>
        </c:ser>
        <c:ser>
          <c:idx val="1"/>
          <c:order val="1"/>
          <c:tx>
            <c:strRef>
              <c:f>TIKR_Cálculos!$A$50</c:f>
              <c:strCache>
                <c:ptCount val="1"/>
                <c:pt idx="0">
                  <c:v>CapEx Mant.</c:v>
                </c:pt>
              </c:strCache>
            </c:strRef>
          </c:tx>
          <c:spPr>
            <a:solidFill>
              <a:schemeClr val="accent6"/>
            </a:solidFill>
            <a:ln>
              <a:noFill/>
            </a:ln>
            <a:effectLst/>
          </c:spPr>
          <c:invertIfNegative val="0"/>
          <c:cat>
            <c:numRef>
              <c:f>TIKR_Cálculos!$B$48:$H$48</c:f>
              <c:numCache>
                <c:formatCode>General</c:formatCode>
                <c:ptCount val="7"/>
                <c:pt idx="0">
                  <c:v>2018</c:v>
                </c:pt>
                <c:pt idx="1">
                  <c:v>2019</c:v>
                </c:pt>
                <c:pt idx="2">
                  <c:v>2020</c:v>
                </c:pt>
                <c:pt idx="3">
                  <c:v>2021</c:v>
                </c:pt>
                <c:pt idx="4">
                  <c:v>2022</c:v>
                </c:pt>
                <c:pt idx="5">
                  <c:v>2023</c:v>
                </c:pt>
                <c:pt idx="6">
                  <c:v>2024</c:v>
                </c:pt>
              </c:numCache>
            </c:numRef>
          </c:cat>
          <c:val>
            <c:numRef>
              <c:f>TIKR_Cálculos!$B$50:$H$50</c:f>
              <c:numCache>
                <c:formatCode>0%</c:formatCode>
                <c:ptCount val="7"/>
                <c:pt idx="0">
                  <c:v>1.8009004502251125E-2</c:v>
                </c:pt>
                <c:pt idx="1">
                  <c:v>1.9042437431991296E-2</c:v>
                </c:pt>
                <c:pt idx="2">
                  <c:v>4.4742729306487695E-3</c:v>
                </c:pt>
                <c:pt idx="3">
                  <c:v>1.670235546038544E-2</c:v>
                </c:pt>
                <c:pt idx="4">
                  <c:v>2.529335071707953E-2</c:v>
                </c:pt>
                <c:pt idx="5">
                  <c:v>1.8853695324283559E-2</c:v>
                </c:pt>
                <c:pt idx="6">
                  <c:v>0</c:v>
                </c:pt>
              </c:numCache>
            </c:numRef>
          </c:val>
          <c:extLst>
            <c:ext xmlns:c16="http://schemas.microsoft.com/office/drawing/2014/chart" uri="{C3380CC4-5D6E-409C-BE32-E72D297353CC}">
              <c16:uniqueId val="{00000001-C215-46D2-A748-34BD26951EA4}"/>
            </c:ext>
          </c:extLst>
        </c:ser>
        <c:ser>
          <c:idx val="2"/>
          <c:order val="2"/>
          <c:tx>
            <c:strRef>
              <c:f>TIKR_Cálculos!$A$51</c:f>
              <c:strCache>
                <c:ptCount val="1"/>
                <c:pt idx="0">
                  <c:v>Intereses</c:v>
                </c:pt>
              </c:strCache>
            </c:strRef>
          </c:tx>
          <c:spPr>
            <a:solidFill>
              <a:schemeClr val="accent3"/>
            </a:solidFill>
            <a:ln>
              <a:noFill/>
            </a:ln>
            <a:effectLst/>
          </c:spPr>
          <c:invertIfNegative val="0"/>
          <c:cat>
            <c:numRef>
              <c:f>TIKR_Cálculos!$B$48:$H$48</c:f>
              <c:numCache>
                <c:formatCode>General</c:formatCode>
                <c:ptCount val="7"/>
                <c:pt idx="0">
                  <c:v>2018</c:v>
                </c:pt>
                <c:pt idx="1">
                  <c:v>2019</c:v>
                </c:pt>
                <c:pt idx="2">
                  <c:v>2020</c:v>
                </c:pt>
                <c:pt idx="3">
                  <c:v>2021</c:v>
                </c:pt>
                <c:pt idx="4">
                  <c:v>2022</c:v>
                </c:pt>
                <c:pt idx="5">
                  <c:v>2023</c:v>
                </c:pt>
                <c:pt idx="6">
                  <c:v>2024</c:v>
                </c:pt>
              </c:numCache>
            </c:numRef>
          </c:cat>
          <c:val>
            <c:numRef>
              <c:f>TIKR_Cálculos!$B$51:$H$51</c:f>
              <c:numCache>
                <c:formatCode>0%</c:formatCode>
                <c:ptCount val="7"/>
                <c:pt idx="0">
                  <c:v>-1.5507753876938469E-2</c:v>
                </c:pt>
                <c:pt idx="1">
                  <c:v>-4.6789989118607184E-2</c:v>
                </c:pt>
                <c:pt idx="2">
                  <c:v>-0.32997762863534674</c:v>
                </c:pt>
                <c:pt idx="3">
                  <c:v>-0.13618843683083512</c:v>
                </c:pt>
                <c:pt idx="4">
                  <c:v>-9.5958279009126471E-2</c:v>
                </c:pt>
                <c:pt idx="5">
                  <c:v>-0.10382101558572147</c:v>
                </c:pt>
                <c:pt idx="6">
                  <c:v>1.4053402931138326E-3</c:v>
                </c:pt>
              </c:numCache>
            </c:numRef>
          </c:val>
          <c:extLst>
            <c:ext xmlns:c16="http://schemas.microsoft.com/office/drawing/2014/chart" uri="{C3380CC4-5D6E-409C-BE32-E72D297353CC}">
              <c16:uniqueId val="{00000002-C215-46D2-A748-34BD26951EA4}"/>
            </c:ext>
          </c:extLst>
        </c:ser>
        <c:ser>
          <c:idx val="3"/>
          <c:order val="3"/>
          <c:tx>
            <c:strRef>
              <c:f>TIKR_Cálculos!$A$52</c:f>
              <c:strCache>
                <c:ptCount val="1"/>
                <c:pt idx="0">
                  <c:v>Impuestos y otros</c:v>
                </c:pt>
              </c:strCache>
            </c:strRef>
          </c:tx>
          <c:spPr>
            <a:solidFill>
              <a:schemeClr val="bg2">
                <a:lumMod val="75000"/>
              </a:schemeClr>
            </a:solidFill>
            <a:ln>
              <a:noFill/>
            </a:ln>
            <a:effectLst/>
          </c:spPr>
          <c:invertIfNegative val="0"/>
          <c:cat>
            <c:numRef>
              <c:f>TIKR_Cálculos!$B$48:$H$48</c:f>
              <c:numCache>
                <c:formatCode>General</c:formatCode>
                <c:ptCount val="7"/>
                <c:pt idx="0">
                  <c:v>2018</c:v>
                </c:pt>
                <c:pt idx="1">
                  <c:v>2019</c:v>
                </c:pt>
                <c:pt idx="2">
                  <c:v>2020</c:v>
                </c:pt>
                <c:pt idx="3">
                  <c:v>2021</c:v>
                </c:pt>
                <c:pt idx="4">
                  <c:v>2022</c:v>
                </c:pt>
                <c:pt idx="5">
                  <c:v>2023</c:v>
                </c:pt>
                <c:pt idx="6">
                  <c:v>2024</c:v>
                </c:pt>
              </c:numCache>
            </c:numRef>
          </c:cat>
          <c:val>
            <c:numRef>
              <c:f>TIKR_Cálculos!$B$52:$H$52</c:f>
              <c:numCache>
                <c:formatCode>0%</c:formatCode>
                <c:ptCount val="7"/>
                <c:pt idx="0">
                  <c:v>-5.2526263131565783E-2</c:v>
                </c:pt>
                <c:pt idx="1">
                  <c:v>-3.1011969532100107E-2</c:v>
                </c:pt>
                <c:pt idx="2">
                  <c:v>8.8366890380313201E-2</c:v>
                </c:pt>
                <c:pt idx="3">
                  <c:v>-3.9828693790149895E-2</c:v>
                </c:pt>
                <c:pt idx="4">
                  <c:v>-3.3637548891786183E-2</c:v>
                </c:pt>
                <c:pt idx="5">
                  <c:v>-3.4188034188034191E-2</c:v>
                </c:pt>
                <c:pt idx="6">
                  <c:v>1.5257980325235896E-2</c:v>
                </c:pt>
              </c:numCache>
            </c:numRef>
          </c:val>
          <c:extLst>
            <c:ext xmlns:c16="http://schemas.microsoft.com/office/drawing/2014/chart" uri="{C3380CC4-5D6E-409C-BE32-E72D297353CC}">
              <c16:uniqueId val="{00000003-C215-46D2-A748-34BD26951EA4}"/>
            </c:ext>
          </c:extLst>
        </c:ser>
        <c:ser>
          <c:idx val="4"/>
          <c:order val="4"/>
          <c:tx>
            <c:strRef>
              <c:f>TIKR_Cálculos!$A$53</c:f>
              <c:strCache>
                <c:ptCount val="1"/>
                <c:pt idx="0">
                  <c:v>Cambios de WC</c:v>
                </c:pt>
              </c:strCache>
            </c:strRef>
          </c:tx>
          <c:spPr>
            <a:solidFill>
              <a:schemeClr val="accent5"/>
            </a:solidFill>
            <a:ln>
              <a:noFill/>
            </a:ln>
            <a:effectLst/>
          </c:spPr>
          <c:invertIfNegative val="0"/>
          <c:cat>
            <c:numRef>
              <c:f>TIKR_Cálculos!$B$48:$H$48</c:f>
              <c:numCache>
                <c:formatCode>General</c:formatCode>
                <c:ptCount val="7"/>
                <c:pt idx="0">
                  <c:v>2018</c:v>
                </c:pt>
                <c:pt idx="1">
                  <c:v>2019</c:v>
                </c:pt>
                <c:pt idx="2">
                  <c:v>2020</c:v>
                </c:pt>
                <c:pt idx="3">
                  <c:v>2021</c:v>
                </c:pt>
                <c:pt idx="4">
                  <c:v>2022</c:v>
                </c:pt>
                <c:pt idx="5">
                  <c:v>2023</c:v>
                </c:pt>
                <c:pt idx="6">
                  <c:v>2024</c:v>
                </c:pt>
              </c:numCache>
            </c:numRef>
          </c:cat>
          <c:val>
            <c:numRef>
              <c:f>TIKR_Cálculos!$B$53:$H$53</c:f>
              <c:numCache>
                <c:formatCode>0%</c:formatCode>
                <c:ptCount val="7"/>
                <c:pt idx="1">
                  <c:v>-0.18498367791077258</c:v>
                </c:pt>
                <c:pt idx="2">
                  <c:v>2.2371364653243849E-2</c:v>
                </c:pt>
                <c:pt idx="3">
                  <c:v>0.79657387580299788</c:v>
                </c:pt>
                <c:pt idx="4">
                  <c:v>6.7014341590612772E-2</c:v>
                </c:pt>
                <c:pt idx="5">
                  <c:v>-8.3207642031171439E-2</c:v>
                </c:pt>
                <c:pt idx="6">
                  <c:v>-0.10258984139730978</c:v>
                </c:pt>
              </c:numCache>
            </c:numRef>
          </c:val>
          <c:extLst>
            <c:ext xmlns:c16="http://schemas.microsoft.com/office/drawing/2014/chart" uri="{C3380CC4-5D6E-409C-BE32-E72D297353CC}">
              <c16:uniqueId val="{00000004-C215-46D2-A748-34BD26951EA4}"/>
            </c:ext>
          </c:extLst>
        </c:ser>
        <c:dLbls>
          <c:showLegendKey val="0"/>
          <c:showVal val="0"/>
          <c:showCatName val="0"/>
          <c:showSerName val="0"/>
          <c:showPercent val="0"/>
          <c:showBubbleSize val="0"/>
        </c:dLbls>
        <c:gapWidth val="150"/>
        <c:overlap val="100"/>
        <c:axId val="1070261631"/>
        <c:axId val="1070264127"/>
      </c:barChart>
      <c:catAx>
        <c:axId val="107026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070264127"/>
        <c:crosses val="autoZero"/>
        <c:auto val="1"/>
        <c:lblAlgn val="ctr"/>
        <c:lblOffset val="100"/>
        <c:noMultiLvlLbl val="0"/>
      </c:catAx>
      <c:valAx>
        <c:axId val="1070264127"/>
        <c:scaling>
          <c:orientation val="minMax"/>
          <c:min val="0"/>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070261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blipFill dpi="0" rotWithShape="1">
      <a:blip xmlns:r="http://schemas.openxmlformats.org/officeDocument/2006/relationships" r:embed="rId3">
        <a:alphaModFix amt="10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Asignación de capital (% del FCF)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stacked"/>
        <c:varyColors val="0"/>
        <c:ser>
          <c:idx val="0"/>
          <c:order val="0"/>
          <c:tx>
            <c:strRef>
              <c:f>'2.FCF'!$A$26</c:f>
              <c:strCache>
                <c:ptCount val="1"/>
                <c:pt idx="0">
                  <c:v>CapEx Expansión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'2.FCF'!$B$25:$H$25</c:f>
              <c:numCache>
                <c:formatCode>General</c:formatCode>
                <c:ptCount val="7"/>
                <c:pt idx="0">
                  <c:v>2018</c:v>
                </c:pt>
                <c:pt idx="1">
                  <c:v>2019</c:v>
                </c:pt>
                <c:pt idx="2">
                  <c:v>2020</c:v>
                </c:pt>
                <c:pt idx="3">
                  <c:v>2021</c:v>
                </c:pt>
                <c:pt idx="4">
                  <c:v>2022</c:v>
                </c:pt>
                <c:pt idx="5">
                  <c:v>2023</c:v>
                </c:pt>
                <c:pt idx="6">
                  <c:v>2024</c:v>
                </c:pt>
              </c:numCache>
            </c:numRef>
          </c:cat>
          <c:val>
            <c:numRef>
              <c:f>'2.FCF'!$B$26:$H$26</c:f>
              <c:numCache>
                <c:formatCode>0%</c:formatCode>
                <c:ptCount val="7"/>
                <c:pt idx="0">
                  <c:v>8.7248322147651006E-2</c:v>
                </c:pt>
                <c:pt idx="1">
                  <c:v>3.780718336483932E-3</c:v>
                </c:pt>
                <c:pt idx="2">
                  <c:v>-8.9686098654708519E-3</c:v>
                </c:pt>
                <c:pt idx="3">
                  <c:v>-0.93537015276145707</c:v>
                </c:pt>
                <c:pt idx="4">
                  <c:v>0</c:v>
                </c:pt>
                <c:pt idx="5">
                  <c:v>0.12251655629139073</c:v>
                </c:pt>
                <c:pt idx="6">
                  <c:v>1.0292230933713471</c:v>
                </c:pt>
              </c:numCache>
            </c:numRef>
          </c:val>
          <c:extLst>
            <c:ext xmlns:c16="http://schemas.microsoft.com/office/drawing/2014/chart" uri="{C3380CC4-5D6E-409C-BE32-E72D297353CC}">
              <c16:uniqueId val="{00000000-3650-48E9-9E03-080CB68A3CF8}"/>
            </c:ext>
          </c:extLst>
        </c:ser>
        <c:ser>
          <c:idx val="1"/>
          <c:order val="1"/>
          <c:tx>
            <c:strRef>
              <c:f>'2.FCF'!$A$27</c:f>
              <c:strCache>
                <c:ptCount val="1"/>
                <c:pt idx="0">
                  <c:v>Dividendos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'2.FCF'!$B$25:$H$25</c:f>
              <c:numCache>
                <c:formatCode>General</c:formatCode>
                <c:ptCount val="7"/>
                <c:pt idx="0">
                  <c:v>2018</c:v>
                </c:pt>
                <c:pt idx="1">
                  <c:v>2019</c:v>
                </c:pt>
                <c:pt idx="2">
                  <c:v>2020</c:v>
                </c:pt>
                <c:pt idx="3">
                  <c:v>2021</c:v>
                </c:pt>
                <c:pt idx="4">
                  <c:v>2022</c:v>
                </c:pt>
                <c:pt idx="5">
                  <c:v>2023</c:v>
                </c:pt>
                <c:pt idx="6">
                  <c:v>2024</c:v>
                </c:pt>
              </c:numCache>
            </c:numRef>
          </c:cat>
          <c:val>
            <c:numRef>
              <c:f>'2.FCF'!$B$27:$H$27</c:f>
              <c:numCache>
                <c:formatCode>0%</c:formatCode>
                <c:ptCount val="7"/>
                <c:pt idx="0">
                  <c:v>3.9932885906040267</c:v>
                </c:pt>
                <c:pt idx="1">
                  <c:v>5.6710775047258983E-3</c:v>
                </c:pt>
                <c:pt idx="2">
                  <c:v>-1.3452914798206279E-2</c:v>
                </c:pt>
                <c:pt idx="3">
                  <c:v>-4.7003525264394828E-3</c:v>
                </c:pt>
                <c:pt idx="4">
                  <c:v>7.0000000000000007E-2</c:v>
                </c:pt>
                <c:pt idx="5">
                  <c:v>0</c:v>
                </c:pt>
                <c:pt idx="6">
                  <c:v>0</c:v>
                </c:pt>
              </c:numCache>
            </c:numRef>
          </c:val>
          <c:extLst>
            <c:ext xmlns:c16="http://schemas.microsoft.com/office/drawing/2014/chart" uri="{C3380CC4-5D6E-409C-BE32-E72D297353CC}">
              <c16:uniqueId val="{00000001-3650-48E9-9E03-080CB68A3CF8}"/>
            </c:ext>
          </c:extLst>
        </c:ser>
        <c:ser>
          <c:idx val="2"/>
          <c:order val="2"/>
          <c:tx>
            <c:strRef>
              <c:f>'2.FCF'!$A$28</c:f>
              <c:strCache>
                <c:ptCount val="1"/>
                <c:pt idx="0">
                  <c:v>Recompras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'2.FCF'!$B$25:$H$25</c:f>
              <c:numCache>
                <c:formatCode>General</c:formatCode>
                <c:ptCount val="7"/>
                <c:pt idx="0">
                  <c:v>2018</c:v>
                </c:pt>
                <c:pt idx="1">
                  <c:v>2019</c:v>
                </c:pt>
                <c:pt idx="2">
                  <c:v>2020</c:v>
                </c:pt>
                <c:pt idx="3">
                  <c:v>2021</c:v>
                </c:pt>
                <c:pt idx="4">
                  <c:v>2022</c:v>
                </c:pt>
                <c:pt idx="5">
                  <c:v>2023</c:v>
                </c:pt>
                <c:pt idx="6">
                  <c:v>2024</c:v>
                </c:pt>
              </c:numCache>
            </c:numRef>
          </c:cat>
          <c:val>
            <c:numRef>
              <c:f>'2.FCF'!$B$28:$H$28</c:f>
              <c:numCache>
                <c:formatCode>0%</c:formatCode>
                <c:ptCount val="7"/>
                <c:pt idx="0">
                  <c:v>0.61409395973154357</c:v>
                </c:pt>
                <c:pt idx="1">
                  <c:v>0.53497164461247637</c:v>
                </c:pt>
                <c:pt idx="2">
                  <c:v>4.4843049327354258E-2</c:v>
                </c:pt>
                <c:pt idx="3">
                  <c:v>3.5252643948296123E-3</c:v>
                </c:pt>
                <c:pt idx="4">
                  <c:v>2.72</c:v>
                </c:pt>
                <c:pt idx="5">
                  <c:v>0.60927152317880795</c:v>
                </c:pt>
                <c:pt idx="6">
                  <c:v>0.30791161796151106</c:v>
                </c:pt>
              </c:numCache>
            </c:numRef>
          </c:val>
          <c:extLst>
            <c:ext xmlns:c16="http://schemas.microsoft.com/office/drawing/2014/chart" uri="{C3380CC4-5D6E-409C-BE32-E72D297353CC}">
              <c16:uniqueId val="{00000002-3650-48E9-9E03-080CB68A3CF8}"/>
            </c:ext>
          </c:extLst>
        </c:ser>
        <c:ser>
          <c:idx val="3"/>
          <c:order val="3"/>
          <c:tx>
            <c:strRef>
              <c:f>'2.FCF'!$A$29</c:f>
              <c:strCache>
                <c:ptCount val="1"/>
                <c:pt idx="0">
                  <c:v>Adquisiciones</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'2.FCF'!$B$25:$H$25</c:f>
              <c:numCache>
                <c:formatCode>General</c:formatCode>
                <c:ptCount val="7"/>
                <c:pt idx="0">
                  <c:v>2018</c:v>
                </c:pt>
                <c:pt idx="1">
                  <c:v>2019</c:v>
                </c:pt>
                <c:pt idx="2">
                  <c:v>2020</c:v>
                </c:pt>
                <c:pt idx="3">
                  <c:v>2021</c:v>
                </c:pt>
                <c:pt idx="4">
                  <c:v>2022</c:v>
                </c:pt>
                <c:pt idx="5">
                  <c:v>2023</c:v>
                </c:pt>
                <c:pt idx="6">
                  <c:v>2024</c:v>
                </c:pt>
              </c:numCache>
            </c:numRef>
          </c:cat>
          <c:val>
            <c:numRef>
              <c:f>'2.FCF'!$B$29:$H$29</c:f>
              <c:numCache>
                <c:formatCode>0%</c:formatCode>
                <c:ptCount val="7"/>
                <c:pt idx="0">
                  <c:v>3.3557046979865771E-3</c:v>
                </c:pt>
                <c:pt idx="1">
                  <c:v>3.780718336483932E-3</c:v>
                </c:pt>
                <c:pt idx="2">
                  <c:v>-8.9686098654708519E-3</c:v>
                </c:pt>
                <c:pt idx="3">
                  <c:v>-0.93537015276145707</c:v>
                </c:pt>
                <c:pt idx="4">
                  <c:v>0</c:v>
                </c:pt>
                <c:pt idx="5">
                  <c:v>0.12251655629139073</c:v>
                </c:pt>
                <c:pt idx="6">
                  <c:v>1.0292230933713471</c:v>
                </c:pt>
              </c:numCache>
            </c:numRef>
          </c:val>
          <c:extLst>
            <c:ext xmlns:c16="http://schemas.microsoft.com/office/drawing/2014/chart" uri="{C3380CC4-5D6E-409C-BE32-E72D297353CC}">
              <c16:uniqueId val="{00000003-3650-48E9-9E03-080CB68A3CF8}"/>
            </c:ext>
          </c:extLst>
        </c:ser>
        <c:dLbls>
          <c:dLblPos val="ctr"/>
          <c:showLegendKey val="0"/>
          <c:showVal val="1"/>
          <c:showCatName val="0"/>
          <c:showSerName val="0"/>
          <c:showPercent val="0"/>
          <c:showBubbleSize val="0"/>
        </c:dLbls>
        <c:gapWidth val="150"/>
        <c:overlap val="100"/>
        <c:axId val="197442640"/>
        <c:axId val="197449296"/>
      </c:barChart>
      <c:catAx>
        <c:axId val="1974426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97449296"/>
        <c:crosses val="autoZero"/>
        <c:auto val="1"/>
        <c:lblAlgn val="ctr"/>
        <c:lblOffset val="100"/>
        <c:noMultiLvlLbl val="0"/>
      </c:catAx>
      <c:valAx>
        <c:axId val="197449296"/>
        <c:scaling>
          <c:orientation val="minMax"/>
          <c:max val="1"/>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9744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blipFill dpi="0" rotWithShape="1">
      <a:blip xmlns:r="http://schemas.openxmlformats.org/officeDocument/2006/relationships" r:embed="rId3">
        <a:alphaModFix amt="10000"/>
      </a:blip>
      <a:srcRect/>
      <a:tile tx="0" ty="0" sx="100000" sy="100000" flip="none" algn="tl"/>
    </a:blipFill>
    <a:ln w="9525" cap="flat" cmpd="sng" algn="ctr">
      <a:no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11</xdr:col>
      <xdr:colOff>112249</xdr:colOff>
      <xdr:row>11</xdr:row>
      <xdr:rowOff>187324</xdr:rowOff>
    </xdr:from>
    <xdr:to>
      <xdr:col>13</xdr:col>
      <xdr:colOff>4011083</xdr:colOff>
      <xdr:row>21</xdr:row>
      <xdr:rowOff>253999</xdr:rowOff>
    </xdr:to>
    <xdr:graphicFrame macro="">
      <xdr:nvGraphicFramePr>
        <xdr:cNvPr id="5" name="Gráfico 4">
          <a:extLst>
            <a:ext uri="{FF2B5EF4-FFF2-40B4-BE49-F238E27FC236}">
              <a16:creationId xmlns:a16="http://schemas.microsoft.com/office/drawing/2014/main" id="{5708A350-0D40-C43E-49A6-41C73A19CBF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695326</xdr:colOff>
      <xdr:row>16</xdr:row>
      <xdr:rowOff>66675</xdr:rowOff>
    </xdr:from>
    <xdr:to>
      <xdr:col>14</xdr:col>
      <xdr:colOff>200026</xdr:colOff>
      <xdr:row>30</xdr:row>
      <xdr:rowOff>424392</xdr:rowOff>
    </xdr:to>
    <xdr:graphicFrame macro="">
      <xdr:nvGraphicFramePr>
        <xdr:cNvPr id="3" name="Gráfico 2">
          <a:extLst>
            <a:ext uri="{FF2B5EF4-FFF2-40B4-BE49-F238E27FC236}">
              <a16:creationId xmlns:a16="http://schemas.microsoft.com/office/drawing/2014/main" id="{692A42CB-4EF4-42FB-94F0-7726DF96A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585786</xdr:colOff>
      <xdr:row>1</xdr:row>
      <xdr:rowOff>38099</xdr:rowOff>
    </xdr:from>
    <xdr:to>
      <xdr:col>5</xdr:col>
      <xdr:colOff>581025</xdr:colOff>
      <xdr:row>15</xdr:row>
      <xdr:rowOff>85725</xdr:rowOff>
    </xdr:to>
    <xdr:graphicFrame macro="">
      <xdr:nvGraphicFramePr>
        <xdr:cNvPr id="4" name="Gráfico 3">
          <a:extLst>
            <a:ext uri="{FF2B5EF4-FFF2-40B4-BE49-F238E27FC236}">
              <a16:creationId xmlns:a16="http://schemas.microsoft.com/office/drawing/2014/main" id="{7D2E425C-637E-4384-BC71-A3837551B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4761</xdr:colOff>
      <xdr:row>1</xdr:row>
      <xdr:rowOff>9525</xdr:rowOff>
    </xdr:from>
    <xdr:to>
      <xdr:col>14</xdr:col>
      <xdr:colOff>209549</xdr:colOff>
      <xdr:row>15</xdr:row>
      <xdr:rowOff>142875</xdr:rowOff>
    </xdr:to>
    <xdr:graphicFrame macro="">
      <xdr:nvGraphicFramePr>
        <xdr:cNvPr id="5" name="Gráfico 4">
          <a:extLst>
            <a:ext uri="{FF2B5EF4-FFF2-40B4-BE49-F238E27FC236}">
              <a16:creationId xmlns:a16="http://schemas.microsoft.com/office/drawing/2014/main" id="{5522EACC-80EC-4E8C-9596-3452C9E6D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142875</xdr:colOff>
      <xdr:row>0</xdr:row>
      <xdr:rowOff>0</xdr:rowOff>
    </xdr:from>
    <xdr:to>
      <xdr:col>18</xdr:col>
      <xdr:colOff>676075</xdr:colOff>
      <xdr:row>2</xdr:row>
      <xdr:rowOff>46668</xdr:rowOff>
    </xdr:to>
    <xdr:pic>
      <xdr:nvPicPr>
        <xdr:cNvPr id="6" name="Imagen 5">
          <a:extLst>
            <a:ext uri="{FF2B5EF4-FFF2-40B4-BE49-F238E27FC236}">
              <a16:creationId xmlns:a16="http://schemas.microsoft.com/office/drawing/2014/main" id="{46D2EBAA-8FF7-4E6F-B4C1-FD19720376F7}"/>
            </a:ext>
          </a:extLst>
        </xdr:cNvPr>
        <xdr:cNvPicPr>
          <a:picLocks noChangeAspect="1"/>
        </xdr:cNvPicPr>
      </xdr:nvPicPr>
      <xdr:blipFill>
        <a:blip xmlns:r="http://schemas.openxmlformats.org/officeDocument/2006/relationships" r:embed="rId4"/>
        <a:stretch>
          <a:fillRect/>
        </a:stretch>
      </xdr:blipFill>
      <xdr:spPr>
        <a:xfrm>
          <a:off x="12277725" y="0"/>
          <a:ext cx="2819200" cy="1094418"/>
        </a:xfrm>
        <a:prstGeom prst="rect">
          <a:avLst/>
        </a:prstGeom>
      </xdr:spPr>
    </xdr:pic>
    <xdr:clientData/>
  </xdr:twoCellAnchor>
  <xdr:twoCellAnchor>
    <xdr:from>
      <xdr:col>0</xdr:col>
      <xdr:colOff>552978</xdr:colOff>
      <xdr:row>15</xdr:row>
      <xdr:rowOff>85724</xdr:rowOff>
    </xdr:from>
    <xdr:to>
      <xdr:col>5</xdr:col>
      <xdr:colOff>428625</xdr:colOff>
      <xdr:row>30</xdr:row>
      <xdr:rowOff>436032</xdr:rowOff>
    </xdr:to>
    <xdr:graphicFrame macro="">
      <xdr:nvGraphicFramePr>
        <xdr:cNvPr id="8" name="Gráfico 7">
          <a:extLst>
            <a:ext uri="{FF2B5EF4-FFF2-40B4-BE49-F238E27FC236}">
              <a16:creationId xmlns:a16="http://schemas.microsoft.com/office/drawing/2014/main" id="{4E7EA570-CF8A-442F-979E-8408D9A1F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695325</xdr:colOff>
      <xdr:row>31</xdr:row>
      <xdr:rowOff>238124</xdr:rowOff>
    </xdr:from>
    <xdr:to>
      <xdr:col>5</xdr:col>
      <xdr:colOff>571500</xdr:colOff>
      <xdr:row>46</xdr:row>
      <xdr:rowOff>114299</xdr:rowOff>
    </xdr:to>
    <xdr:graphicFrame macro="">
      <xdr:nvGraphicFramePr>
        <xdr:cNvPr id="2" name="Gráfico 1">
          <a:extLst>
            <a:ext uri="{FF2B5EF4-FFF2-40B4-BE49-F238E27FC236}">
              <a16:creationId xmlns:a16="http://schemas.microsoft.com/office/drawing/2014/main" id="{25653DDA-CDB6-41CD-B0A1-B94CE45B6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238124</xdr:colOff>
      <xdr:row>0</xdr:row>
      <xdr:rowOff>204787</xdr:rowOff>
    </xdr:from>
    <xdr:to>
      <xdr:col>5</xdr:col>
      <xdr:colOff>3057324</xdr:colOff>
      <xdr:row>3</xdr:row>
      <xdr:rowOff>322892</xdr:rowOff>
    </xdr:to>
    <xdr:pic>
      <xdr:nvPicPr>
        <xdr:cNvPr id="4" name="Imagen 3">
          <a:extLst>
            <a:ext uri="{FF2B5EF4-FFF2-40B4-BE49-F238E27FC236}">
              <a16:creationId xmlns:a16="http://schemas.microsoft.com/office/drawing/2014/main" id="{ED121E3B-C21F-4C47-81D0-99F9FB460CC4}"/>
            </a:ext>
          </a:extLst>
        </xdr:cNvPr>
        <xdr:cNvPicPr>
          <a:picLocks noChangeAspect="1"/>
        </xdr:cNvPicPr>
      </xdr:nvPicPr>
      <xdr:blipFill>
        <a:blip xmlns:r="http://schemas.openxmlformats.org/officeDocument/2006/relationships" r:embed="rId1"/>
        <a:stretch>
          <a:fillRect/>
        </a:stretch>
      </xdr:blipFill>
      <xdr:spPr>
        <a:xfrm>
          <a:off x="18788062" y="204787"/>
          <a:ext cx="2819200" cy="109441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C7CDC-1735-4D2B-9DFA-DC9FA9A30865}">
  <dimension ref="A1:O26"/>
  <sheetViews>
    <sheetView showGridLines="0" zoomScale="85" zoomScaleNormal="85" workbookViewId="0"/>
  </sheetViews>
  <sheetFormatPr defaultColWidth="0" defaultRowHeight="15" zeroHeight="1"/>
  <cols>
    <col min="1" max="1" width="4.28515625" customWidth="1"/>
    <col min="2" max="2" width="246.42578125" customWidth="1"/>
    <col min="3" max="3" width="13.42578125" customWidth="1"/>
    <col min="4" max="15" width="0" hidden="1" customWidth="1"/>
    <col min="16" max="16384" width="11.42578125" hidden="1"/>
  </cols>
  <sheetData>
    <row r="1" spans="2:2" ht="87" customHeight="1"/>
    <row r="2" spans="2:2" ht="25.5">
      <c r="B2" s="254" t="s">
        <v>0</v>
      </c>
    </row>
    <row r="3" spans="2:2" ht="9.9499999999999993" customHeight="1">
      <c r="B3" s="22"/>
    </row>
    <row r="4" spans="2:2" ht="20.25">
      <c r="B4" s="129" t="s">
        <v>1</v>
      </c>
    </row>
    <row r="5" spans="2:2" ht="9.9499999999999993" customHeight="1">
      <c r="B5" s="129"/>
    </row>
    <row r="6" spans="2:2" ht="17.25">
      <c r="B6" s="129" t="s">
        <v>2</v>
      </c>
    </row>
    <row r="7" spans="2:2" ht="9.9499999999999993" customHeight="1">
      <c r="B7" s="129"/>
    </row>
    <row r="8" spans="2:2" ht="20.25">
      <c r="B8" s="129" t="s">
        <v>3</v>
      </c>
    </row>
    <row r="9" spans="2:2" ht="9.9499999999999993" customHeight="1">
      <c r="B9" s="129"/>
    </row>
    <row r="10" spans="2:2" ht="17.25">
      <c r="B10" s="130" t="s">
        <v>4</v>
      </c>
    </row>
    <row r="11" spans="2:2" ht="9.9499999999999993" customHeight="1">
      <c r="B11" s="130"/>
    </row>
    <row r="12" spans="2:2" ht="17.25">
      <c r="B12" s="130" t="s">
        <v>5</v>
      </c>
    </row>
    <row r="13" spans="2:2" ht="17.25">
      <c r="B13" s="64"/>
    </row>
    <row r="14" spans="2:2" ht="25.5">
      <c r="B14" s="254" t="s">
        <v>6</v>
      </c>
    </row>
    <row r="15" spans="2:2" ht="9.9499999999999993" customHeight="1">
      <c r="B15" s="64"/>
    </row>
    <row r="16" spans="2:2" ht="17.25">
      <c r="B16" s="64" t="s">
        <v>7</v>
      </c>
    </row>
    <row r="17" spans="2:2" ht="9.9499999999999993" customHeight="1">
      <c r="B17" s="64"/>
    </row>
    <row r="18" spans="2:2" ht="20.25">
      <c r="B18" s="64" t="s">
        <v>8</v>
      </c>
    </row>
    <row r="19" spans="2:2" ht="9.9499999999999993" customHeight="1">
      <c r="B19" s="64"/>
    </row>
    <row r="20" spans="2:2" ht="17.25">
      <c r="B20" s="64" t="s">
        <v>9</v>
      </c>
    </row>
    <row r="21" spans="2:2" ht="9.9499999999999993" customHeight="1">
      <c r="B21" s="64"/>
    </row>
    <row r="22" spans="2:2" s="262" customFormat="1" ht="24.95" customHeight="1">
      <c r="B22" s="130" t="s">
        <v>10</v>
      </c>
    </row>
    <row r="23" spans="2:2" s="262" customFormat="1" ht="24.95" customHeight="1">
      <c r="B23" s="130" t="s">
        <v>11</v>
      </c>
    </row>
    <row r="24" spans="2:2" s="262" customFormat="1" ht="24.95" customHeight="1">
      <c r="B24" s="130" t="s">
        <v>12</v>
      </c>
    </row>
    <row r="25" spans="2:2" s="262" customFormat="1" ht="24.95" customHeight="1">
      <c r="B25" s="130" t="s">
        <v>13</v>
      </c>
    </row>
    <row r="26" spans="2:2"/>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89650-348F-4BAF-A3E8-F193B2547EB0}">
  <dimension ref="A1:T65"/>
  <sheetViews>
    <sheetView showGridLines="0" zoomScale="80" zoomScaleNormal="80" workbookViewId="0">
      <selection activeCell="D33" sqref="D33"/>
    </sheetView>
  </sheetViews>
  <sheetFormatPr defaultColWidth="0" defaultRowHeight="17.25" zeroHeight="1"/>
  <cols>
    <col min="1" max="1" width="4" style="6" customWidth="1"/>
    <col min="2" max="2" width="50.5703125" style="6" customWidth="1"/>
    <col min="3" max="3" width="79" style="44" customWidth="1"/>
    <col min="4" max="4" width="83.42578125" style="44" customWidth="1"/>
    <col min="5" max="5" width="59" style="44" customWidth="1"/>
    <col min="6" max="6" width="56.42578125" style="6" customWidth="1"/>
    <col min="7" max="8" width="13.85546875" style="6" hidden="1" customWidth="1"/>
    <col min="9" max="14" width="16.85546875" style="6" hidden="1" customWidth="1"/>
    <col min="15" max="15" width="1.85546875" style="6" hidden="1" customWidth="1"/>
    <col min="16" max="18" width="0" style="6" hidden="1" customWidth="1"/>
    <col min="19" max="21" width="9.140625" style="6" hidden="1" customWidth="1"/>
    <col min="22" max="16384" width="9.140625" style="6" hidden="1"/>
  </cols>
  <sheetData>
    <row r="1" spans="1:20">
      <c r="A1" s="33"/>
      <c r="B1" s="33"/>
      <c r="C1" s="38"/>
      <c r="D1" s="38"/>
      <c r="E1" s="38"/>
      <c r="F1" s="33"/>
      <c r="G1" s="33"/>
      <c r="H1" s="33"/>
      <c r="I1" s="33"/>
      <c r="J1" s="33"/>
      <c r="K1" s="33"/>
      <c r="L1" s="33"/>
      <c r="M1" s="33"/>
      <c r="N1" s="33"/>
      <c r="O1" s="33"/>
      <c r="P1" s="33"/>
      <c r="Q1" s="33"/>
      <c r="R1" s="33"/>
    </row>
    <row r="2" spans="1:20" ht="30" customHeight="1">
      <c r="A2" s="33"/>
      <c r="B2" s="46" t="s">
        <v>355</v>
      </c>
      <c r="C2" s="46" t="s">
        <v>356</v>
      </c>
      <c r="D2" s="46" t="s">
        <v>357</v>
      </c>
      <c r="E2" s="46" t="s">
        <v>358</v>
      </c>
      <c r="F2" s="34"/>
      <c r="G2" s="34"/>
      <c r="H2" s="34"/>
      <c r="I2" s="34"/>
      <c r="J2" s="34"/>
      <c r="K2" s="34"/>
      <c r="L2" s="34"/>
      <c r="M2" s="35"/>
      <c r="N2" s="35"/>
      <c r="O2" s="36"/>
      <c r="P2" s="33"/>
      <c r="Q2" s="33"/>
      <c r="R2" s="33"/>
      <c r="S2" s="33"/>
      <c r="T2" s="33"/>
    </row>
    <row r="3" spans="1:20" ht="30" customHeight="1">
      <c r="A3" s="33"/>
      <c r="B3" s="47" t="s">
        <v>21</v>
      </c>
      <c r="C3" s="50" t="s">
        <v>359</v>
      </c>
      <c r="D3" s="50" t="s">
        <v>360</v>
      </c>
      <c r="E3" s="50" t="s">
        <v>361</v>
      </c>
      <c r="F3" s="37"/>
      <c r="G3" s="37"/>
      <c r="H3" s="37"/>
      <c r="I3" s="37"/>
      <c r="J3" s="37"/>
      <c r="K3" s="37"/>
      <c r="L3" s="37"/>
      <c r="M3" s="37"/>
      <c r="N3" s="37"/>
      <c r="O3" s="38"/>
      <c r="P3" s="39"/>
      <c r="Q3" s="33"/>
      <c r="R3" s="33"/>
      <c r="S3" s="33"/>
      <c r="T3" s="33"/>
    </row>
    <row r="4" spans="1:20" ht="30" customHeight="1">
      <c r="A4" s="33"/>
      <c r="B4" s="255" t="s">
        <v>87</v>
      </c>
      <c r="C4" s="256" t="s">
        <v>362</v>
      </c>
      <c r="D4" s="256" t="s">
        <v>363</v>
      </c>
      <c r="E4" s="256" t="s">
        <v>364</v>
      </c>
      <c r="F4" s="37"/>
      <c r="G4" s="37"/>
      <c r="H4" s="37"/>
      <c r="I4" s="37"/>
      <c r="J4" s="37"/>
      <c r="K4" s="37"/>
      <c r="L4" s="37"/>
      <c r="M4" s="37"/>
      <c r="N4" s="37"/>
      <c r="O4" s="38"/>
      <c r="P4" s="39"/>
      <c r="Q4" s="33"/>
      <c r="R4" s="33"/>
      <c r="S4" s="33"/>
      <c r="T4" s="33"/>
    </row>
    <row r="5" spans="1:20" ht="30" customHeight="1">
      <c r="A5" s="33"/>
      <c r="B5" s="47" t="s">
        <v>31</v>
      </c>
      <c r="C5" s="50" t="s">
        <v>365</v>
      </c>
      <c r="D5" s="50" t="s">
        <v>366</v>
      </c>
      <c r="E5" s="50" t="s">
        <v>367</v>
      </c>
      <c r="F5" s="37"/>
      <c r="G5" s="37"/>
      <c r="H5" s="37"/>
      <c r="I5" s="37"/>
      <c r="J5" s="37"/>
      <c r="K5" s="37"/>
      <c r="L5" s="37"/>
      <c r="M5" s="37"/>
      <c r="N5" s="37"/>
      <c r="O5" s="38"/>
      <c r="P5" s="39"/>
      <c r="Q5" s="33"/>
      <c r="R5" s="33"/>
      <c r="S5" s="33"/>
      <c r="T5" s="33"/>
    </row>
    <row r="6" spans="1:20" ht="30" customHeight="1">
      <c r="A6" s="33"/>
      <c r="B6" s="255" t="s">
        <v>36</v>
      </c>
      <c r="C6" s="256" t="s">
        <v>368</v>
      </c>
      <c r="D6" s="256" t="s">
        <v>369</v>
      </c>
      <c r="E6" s="256"/>
      <c r="F6" s="37"/>
      <c r="G6" s="37"/>
      <c r="H6" s="37"/>
      <c r="I6" s="37"/>
      <c r="J6" s="37"/>
      <c r="K6" s="37"/>
      <c r="L6" s="37"/>
      <c r="M6" s="37"/>
      <c r="N6" s="37"/>
      <c r="O6" s="38"/>
      <c r="P6" s="39"/>
      <c r="Q6" s="33"/>
      <c r="R6" s="33"/>
      <c r="S6" s="33"/>
      <c r="T6" s="33"/>
    </row>
    <row r="7" spans="1:20" ht="30" customHeight="1">
      <c r="A7" s="33"/>
      <c r="B7" s="47" t="s">
        <v>38</v>
      </c>
      <c r="C7" s="48" t="s">
        <v>370</v>
      </c>
      <c r="D7" s="50"/>
      <c r="E7" s="50"/>
      <c r="F7" s="37"/>
      <c r="G7" s="37"/>
      <c r="H7" s="37"/>
      <c r="I7" s="37"/>
      <c r="J7" s="37"/>
      <c r="K7" s="37"/>
      <c r="L7" s="37"/>
      <c r="M7" s="37"/>
      <c r="N7" s="37"/>
      <c r="O7" s="38"/>
      <c r="P7" s="39"/>
      <c r="Q7" s="33"/>
      <c r="R7" s="33"/>
      <c r="S7" s="33"/>
      <c r="T7" s="33"/>
    </row>
    <row r="8" spans="1:20" ht="24.95" customHeight="1">
      <c r="A8" s="33"/>
      <c r="C8" s="6"/>
      <c r="D8" s="6"/>
      <c r="E8" s="6"/>
      <c r="F8" s="37"/>
      <c r="G8" s="37"/>
      <c r="H8" s="37"/>
      <c r="I8" s="37"/>
      <c r="J8" s="37"/>
      <c r="K8" s="37"/>
      <c r="L8" s="37"/>
      <c r="M8" s="37"/>
      <c r="N8" s="37"/>
      <c r="O8" s="38"/>
      <c r="P8" s="39"/>
      <c r="Q8" s="33"/>
      <c r="R8" s="33"/>
      <c r="S8" s="33"/>
      <c r="T8" s="33"/>
    </row>
    <row r="9" spans="1:20" ht="30" customHeight="1">
      <c r="A9" s="33"/>
      <c r="B9" s="45" t="s">
        <v>81</v>
      </c>
      <c r="C9" s="46" t="s">
        <v>356</v>
      </c>
      <c r="D9" s="46" t="s">
        <v>357</v>
      </c>
      <c r="E9" s="46" t="s">
        <v>358</v>
      </c>
      <c r="F9" s="37"/>
      <c r="G9" s="37"/>
      <c r="H9" s="37"/>
      <c r="I9" s="37"/>
      <c r="J9" s="37"/>
      <c r="K9" s="37"/>
      <c r="L9" s="37"/>
      <c r="M9" s="37"/>
      <c r="N9" s="37"/>
      <c r="O9" s="38"/>
      <c r="P9" s="39"/>
      <c r="Q9" s="33"/>
      <c r="R9" s="33"/>
      <c r="S9" s="33"/>
      <c r="T9" s="33"/>
    </row>
    <row r="10" spans="1:20" ht="30" customHeight="1">
      <c r="A10" s="33"/>
      <c r="B10" s="47" t="s">
        <v>371</v>
      </c>
      <c r="C10" s="50" t="s">
        <v>372</v>
      </c>
      <c r="D10" s="48"/>
      <c r="E10" s="49"/>
      <c r="F10" s="37"/>
      <c r="G10" s="37"/>
      <c r="H10" s="37"/>
      <c r="I10" s="37"/>
      <c r="J10" s="37"/>
      <c r="K10" s="37"/>
      <c r="L10" s="37"/>
      <c r="M10" s="37"/>
      <c r="N10" s="37"/>
      <c r="O10" s="38"/>
      <c r="P10" s="39"/>
      <c r="Q10" s="33"/>
      <c r="R10" s="33"/>
      <c r="S10" s="33"/>
      <c r="T10" s="33"/>
    </row>
    <row r="11" spans="1:20" ht="30" customHeight="1">
      <c r="A11" s="33"/>
      <c r="B11" s="255" t="s">
        <v>373</v>
      </c>
      <c r="C11" s="257" t="s">
        <v>374</v>
      </c>
      <c r="D11" s="257"/>
      <c r="E11" s="258"/>
      <c r="F11" s="37"/>
      <c r="G11" s="37"/>
      <c r="H11" s="37"/>
      <c r="I11" s="37"/>
      <c r="J11" s="37"/>
      <c r="K11" s="37"/>
      <c r="L11" s="37"/>
      <c r="M11" s="37"/>
      <c r="N11" s="37"/>
      <c r="O11" s="38"/>
      <c r="P11" s="39"/>
      <c r="Q11" s="33"/>
      <c r="R11" s="33"/>
      <c r="S11" s="33"/>
      <c r="T11" s="33"/>
    </row>
    <row r="12" spans="1:20" ht="30" customHeight="1">
      <c r="A12" s="33"/>
      <c r="B12" s="47" t="s">
        <v>86</v>
      </c>
      <c r="C12" s="50" t="s">
        <v>375</v>
      </c>
      <c r="D12" s="50" t="s">
        <v>376</v>
      </c>
      <c r="E12" s="51"/>
      <c r="F12" s="37"/>
      <c r="G12" s="37"/>
      <c r="H12" s="37"/>
      <c r="I12" s="37"/>
      <c r="J12" s="37"/>
      <c r="K12" s="37"/>
      <c r="L12" s="37"/>
      <c r="M12" s="37"/>
      <c r="N12" s="37"/>
      <c r="O12" s="38"/>
      <c r="P12" s="39"/>
      <c r="Q12" s="33"/>
      <c r="R12" s="33"/>
      <c r="S12" s="33"/>
      <c r="T12" s="33"/>
    </row>
    <row r="13" spans="1:20" ht="30" customHeight="1">
      <c r="A13" s="33"/>
      <c r="B13" s="255" t="s">
        <v>97</v>
      </c>
      <c r="C13" s="257" t="s">
        <v>377</v>
      </c>
      <c r="D13" s="257"/>
      <c r="E13" s="258"/>
      <c r="F13" s="37"/>
      <c r="G13" s="37"/>
      <c r="H13" s="37"/>
      <c r="I13" s="37"/>
      <c r="J13" s="37"/>
      <c r="K13" s="37"/>
      <c r="L13" s="37"/>
      <c r="M13" s="37"/>
      <c r="N13" s="37"/>
      <c r="O13" s="38"/>
      <c r="P13" s="39"/>
      <c r="Q13" s="33"/>
      <c r="R13" s="33"/>
      <c r="S13" s="33"/>
      <c r="T13" s="33"/>
    </row>
    <row r="14" spans="1:20" ht="30" customHeight="1">
      <c r="A14" s="33"/>
      <c r="B14" s="47" t="s">
        <v>98</v>
      </c>
      <c r="C14" s="48" t="s">
        <v>378</v>
      </c>
      <c r="D14" s="48"/>
      <c r="E14" s="49"/>
      <c r="F14" s="37"/>
      <c r="G14" s="37"/>
      <c r="H14" s="37"/>
      <c r="I14" s="37"/>
      <c r="J14" s="37"/>
      <c r="K14" s="37"/>
      <c r="L14" s="37"/>
      <c r="M14" s="37"/>
      <c r="N14" s="37"/>
      <c r="O14" s="38"/>
      <c r="P14" s="39"/>
      <c r="Q14" s="33"/>
      <c r="R14" s="33"/>
      <c r="S14" s="33"/>
      <c r="T14" s="33"/>
    </row>
    <row r="15" spans="1:20" ht="30" customHeight="1">
      <c r="A15" s="33"/>
      <c r="B15" s="255" t="s">
        <v>96</v>
      </c>
      <c r="C15" s="257" t="s">
        <v>379</v>
      </c>
      <c r="D15" s="257"/>
      <c r="E15" s="258"/>
      <c r="F15" s="37"/>
      <c r="G15" s="37"/>
      <c r="H15" s="37"/>
      <c r="I15" s="37"/>
      <c r="J15" s="37"/>
      <c r="K15" s="37"/>
      <c r="L15" s="37"/>
      <c r="M15" s="37"/>
      <c r="N15" s="37"/>
      <c r="O15" s="38"/>
      <c r="P15" s="39"/>
      <c r="Q15" s="33"/>
      <c r="R15" s="33"/>
      <c r="S15" s="33"/>
      <c r="T15" s="33"/>
    </row>
    <row r="16" spans="1:20" ht="30" customHeight="1">
      <c r="A16" s="33"/>
      <c r="B16" s="47" t="s">
        <v>95</v>
      </c>
      <c r="C16" s="48" t="s">
        <v>380</v>
      </c>
      <c r="D16" s="48" t="s">
        <v>381</v>
      </c>
      <c r="E16" s="49"/>
      <c r="F16" s="37"/>
      <c r="G16" s="37"/>
      <c r="H16" s="37"/>
      <c r="I16" s="37"/>
      <c r="J16" s="37"/>
      <c r="K16" s="37"/>
      <c r="L16" s="37"/>
      <c r="M16" s="37"/>
      <c r="N16" s="37"/>
      <c r="O16" s="38"/>
      <c r="P16" s="39"/>
      <c r="Q16" s="33"/>
      <c r="R16" s="33"/>
      <c r="S16" s="33"/>
      <c r="T16" s="33"/>
    </row>
    <row r="17" spans="1:20" ht="24.95" customHeight="1">
      <c r="A17" s="33"/>
      <c r="C17" s="6"/>
      <c r="D17" s="6"/>
      <c r="E17" s="6"/>
      <c r="F17" s="40"/>
      <c r="G17" s="40"/>
      <c r="H17" s="40"/>
      <c r="I17" s="40"/>
      <c r="J17" s="40"/>
      <c r="K17" s="40"/>
      <c r="L17" s="40"/>
      <c r="M17" s="40"/>
      <c r="N17" s="40"/>
      <c r="O17" s="301"/>
      <c r="P17" s="39"/>
      <c r="Q17" s="33"/>
      <c r="R17" s="33"/>
      <c r="S17" s="33"/>
      <c r="T17" s="33"/>
    </row>
    <row r="18" spans="1:20" ht="30" customHeight="1">
      <c r="A18" s="33"/>
      <c r="B18" s="45" t="s">
        <v>382</v>
      </c>
      <c r="C18" s="46" t="s">
        <v>356</v>
      </c>
      <c r="D18" s="46" t="s">
        <v>357</v>
      </c>
      <c r="E18" s="46" t="s">
        <v>358</v>
      </c>
      <c r="F18" s="41"/>
      <c r="G18" s="41"/>
      <c r="H18" s="41"/>
      <c r="I18" s="41"/>
      <c r="J18" s="41"/>
      <c r="K18" s="41"/>
      <c r="L18" s="41"/>
      <c r="M18" s="41"/>
      <c r="N18" s="41"/>
      <c r="O18" s="301"/>
      <c r="P18" s="39"/>
      <c r="Q18" s="33"/>
      <c r="R18" s="33"/>
      <c r="S18" s="33"/>
      <c r="T18" s="33"/>
    </row>
    <row r="19" spans="1:20" ht="30" customHeight="1">
      <c r="A19" s="33"/>
      <c r="B19" s="47" t="s">
        <v>21</v>
      </c>
      <c r="C19" s="48" t="s">
        <v>383</v>
      </c>
      <c r="D19" s="48"/>
      <c r="E19" s="49"/>
      <c r="F19" s="37"/>
      <c r="G19" s="37"/>
      <c r="H19" s="37"/>
      <c r="I19" s="37"/>
      <c r="J19" s="37"/>
      <c r="K19" s="37"/>
      <c r="L19" s="37"/>
      <c r="M19" s="37"/>
      <c r="N19" s="37"/>
      <c r="O19" s="301"/>
      <c r="P19" s="39"/>
      <c r="Q19" s="33"/>
      <c r="R19" s="33"/>
      <c r="S19" s="33"/>
      <c r="T19" s="33"/>
    </row>
    <row r="20" spans="1:20" ht="30" customHeight="1">
      <c r="A20" s="33"/>
      <c r="B20" s="255" t="s">
        <v>87</v>
      </c>
      <c r="C20" s="257" t="s">
        <v>384</v>
      </c>
      <c r="D20" s="257"/>
      <c r="E20" s="258"/>
      <c r="F20" s="37"/>
      <c r="G20" s="37"/>
      <c r="H20" s="37"/>
      <c r="I20" s="37"/>
      <c r="J20" s="37"/>
      <c r="K20" s="37"/>
      <c r="L20" s="37"/>
      <c r="M20" s="37"/>
      <c r="N20" s="37"/>
      <c r="O20" s="301"/>
      <c r="P20" s="39"/>
      <c r="Q20" s="33"/>
      <c r="R20" s="33"/>
      <c r="S20" s="33"/>
      <c r="T20" s="33"/>
    </row>
    <row r="21" spans="1:20" ht="30" customHeight="1">
      <c r="A21" s="33"/>
      <c r="B21" s="47" t="s">
        <v>385</v>
      </c>
      <c r="C21" s="48" t="s">
        <v>386</v>
      </c>
      <c r="D21" s="48"/>
      <c r="E21" s="49"/>
      <c r="F21" s="37"/>
      <c r="G21" s="37"/>
      <c r="H21" s="37"/>
      <c r="I21" s="37"/>
      <c r="J21" s="37"/>
      <c r="K21" s="37"/>
      <c r="L21" s="37"/>
      <c r="M21" s="37"/>
      <c r="N21" s="37"/>
      <c r="O21" s="301"/>
      <c r="P21" s="39"/>
      <c r="Q21" s="33"/>
      <c r="R21" s="33"/>
      <c r="S21" s="33"/>
      <c r="T21" s="33"/>
    </row>
    <row r="22" spans="1:20" ht="30" customHeight="1">
      <c r="A22" s="33"/>
      <c r="B22" s="255" t="s">
        <v>89</v>
      </c>
      <c r="C22" s="257" t="s">
        <v>387</v>
      </c>
      <c r="D22" s="257"/>
      <c r="E22" s="258"/>
      <c r="F22" s="37"/>
      <c r="G22" s="37"/>
      <c r="H22" s="37"/>
      <c r="I22" s="37"/>
      <c r="J22" s="37"/>
      <c r="K22" s="37"/>
      <c r="L22" s="37"/>
      <c r="M22" s="37"/>
      <c r="N22" s="37"/>
      <c r="O22" s="301"/>
      <c r="P22" s="39"/>
      <c r="Q22" s="33"/>
      <c r="R22" s="33"/>
      <c r="S22" s="33"/>
      <c r="T22" s="33"/>
    </row>
    <row r="23" spans="1:20" ht="24.95" customHeight="1">
      <c r="A23" s="33"/>
      <c r="B23" s="47"/>
      <c r="C23" s="48"/>
      <c r="D23" s="48"/>
      <c r="E23" s="49"/>
      <c r="F23" s="37"/>
      <c r="G23" s="37"/>
      <c r="H23" s="37"/>
      <c r="I23" s="37"/>
      <c r="J23" s="37"/>
      <c r="K23" s="37"/>
      <c r="L23" s="37"/>
      <c r="M23" s="37"/>
      <c r="N23" s="37"/>
      <c r="O23" s="301"/>
      <c r="P23" s="39"/>
      <c r="Q23" s="33"/>
      <c r="R23" s="33"/>
      <c r="S23" s="33"/>
      <c r="T23" s="33"/>
    </row>
    <row r="24" spans="1:20" ht="30" customHeight="1">
      <c r="A24" s="33"/>
      <c r="B24" s="45" t="s">
        <v>388</v>
      </c>
      <c r="C24" s="46" t="s">
        <v>356</v>
      </c>
      <c r="D24" s="46" t="s">
        <v>357</v>
      </c>
      <c r="E24" s="46" t="s">
        <v>358</v>
      </c>
      <c r="F24" s="35"/>
      <c r="G24" s="35"/>
      <c r="H24" s="35"/>
      <c r="I24" s="35"/>
      <c r="J24" s="35"/>
      <c r="K24" s="35"/>
      <c r="L24" s="35"/>
      <c r="M24" s="35"/>
      <c r="N24" s="35"/>
      <c r="O24" s="38"/>
      <c r="P24" s="39"/>
      <c r="Q24" s="33"/>
      <c r="R24" s="33"/>
      <c r="S24" s="33"/>
      <c r="T24" s="33"/>
    </row>
    <row r="25" spans="1:20" ht="34.5">
      <c r="A25" s="33"/>
      <c r="B25" s="47" t="s">
        <v>79</v>
      </c>
      <c r="C25" s="52" t="s">
        <v>389</v>
      </c>
      <c r="D25" s="52" t="s">
        <v>390</v>
      </c>
      <c r="E25" s="53"/>
      <c r="F25" s="306"/>
      <c r="G25" s="306"/>
      <c r="H25" s="306"/>
      <c r="I25" s="42"/>
      <c r="J25" s="42"/>
      <c r="K25" s="42"/>
      <c r="L25" s="42"/>
      <c r="M25" s="42"/>
      <c r="N25" s="42"/>
      <c r="O25" s="301"/>
      <c r="P25" s="39"/>
      <c r="Q25" s="33"/>
      <c r="R25" s="33"/>
      <c r="S25" s="33"/>
      <c r="T25" s="33"/>
    </row>
    <row r="26" spans="1:20" ht="30" customHeight="1">
      <c r="A26" s="33"/>
      <c r="B26" s="255" t="s">
        <v>78</v>
      </c>
      <c r="C26" s="259" t="s">
        <v>391</v>
      </c>
      <c r="D26" s="259"/>
      <c r="E26" s="260"/>
      <c r="F26" s="306"/>
      <c r="G26" s="306"/>
      <c r="H26" s="306"/>
      <c r="I26" s="42"/>
      <c r="J26" s="42"/>
      <c r="K26" s="42"/>
      <c r="L26" s="42"/>
      <c r="M26" s="42"/>
      <c r="N26" s="42"/>
      <c r="O26" s="301"/>
      <c r="P26" s="39"/>
      <c r="Q26" s="33"/>
      <c r="R26" s="33"/>
      <c r="S26" s="33"/>
      <c r="T26" s="33"/>
    </row>
    <row r="27" spans="1:20" ht="30" customHeight="1">
      <c r="A27" s="33"/>
      <c r="B27" s="47" t="s">
        <v>392</v>
      </c>
      <c r="C27" s="52" t="s">
        <v>393</v>
      </c>
      <c r="D27" s="54"/>
      <c r="E27" s="53"/>
      <c r="F27" s="306"/>
      <c r="G27" s="306"/>
      <c r="H27" s="306"/>
      <c r="I27" s="42"/>
      <c r="J27" s="42"/>
      <c r="K27" s="42"/>
      <c r="L27" s="42"/>
      <c r="M27" s="42"/>
      <c r="N27" s="42"/>
      <c r="O27" s="43"/>
      <c r="P27" s="39"/>
      <c r="Q27" s="33"/>
      <c r="R27" s="33"/>
      <c r="S27" s="33"/>
      <c r="T27" s="33"/>
    </row>
    <row r="28" spans="1:20" ht="24.95" customHeight="1">
      <c r="A28" s="33"/>
      <c r="B28" s="47"/>
      <c r="C28" s="52"/>
      <c r="D28" s="54"/>
      <c r="E28" s="53"/>
      <c r="F28" s="301"/>
      <c r="G28" s="301"/>
      <c r="H28" s="301"/>
      <c r="I28" s="42"/>
      <c r="J28" s="42"/>
      <c r="K28" s="42"/>
      <c r="L28" s="42"/>
      <c r="M28" s="42"/>
      <c r="N28" s="42"/>
      <c r="O28" s="43"/>
      <c r="P28" s="39"/>
      <c r="Q28" s="33"/>
      <c r="R28" s="33"/>
      <c r="S28" s="33"/>
      <c r="T28" s="33"/>
    </row>
    <row r="29" spans="1:20" ht="30" customHeight="1">
      <c r="A29" s="33"/>
      <c r="B29" s="45" t="s">
        <v>89</v>
      </c>
      <c r="C29" s="46" t="s">
        <v>356</v>
      </c>
      <c r="D29" s="46" t="s">
        <v>357</v>
      </c>
      <c r="E29" s="46" t="s">
        <v>358</v>
      </c>
      <c r="F29" s="306"/>
      <c r="G29" s="306"/>
      <c r="H29" s="306"/>
      <c r="I29" s="42"/>
      <c r="J29" s="42"/>
      <c r="K29" s="42"/>
      <c r="L29" s="42"/>
      <c r="M29" s="42"/>
      <c r="N29" s="42"/>
      <c r="O29" s="43"/>
      <c r="P29" s="39"/>
      <c r="Q29" s="33"/>
      <c r="R29" s="33"/>
      <c r="S29" s="33"/>
      <c r="T29" s="33"/>
    </row>
    <row r="30" spans="1:20" ht="51.95" customHeight="1">
      <c r="A30" s="33"/>
      <c r="B30" s="47" t="s">
        <v>394</v>
      </c>
      <c r="C30" s="50" t="s">
        <v>395</v>
      </c>
      <c r="D30" s="53" t="s">
        <v>396</v>
      </c>
      <c r="E30" s="53" t="s">
        <v>397</v>
      </c>
      <c r="F30" s="35"/>
      <c r="G30" s="35"/>
      <c r="H30" s="35"/>
      <c r="I30" s="35"/>
      <c r="J30" s="35"/>
      <c r="K30" s="35"/>
      <c r="L30" s="35"/>
      <c r="M30" s="35"/>
      <c r="N30" s="35"/>
      <c r="O30" s="39"/>
      <c r="P30" s="39"/>
      <c r="Q30" s="33"/>
      <c r="R30" s="33"/>
      <c r="S30" s="33"/>
      <c r="T30" s="33"/>
    </row>
    <row r="31" spans="1:20" ht="51.75">
      <c r="A31" s="33"/>
      <c r="B31" s="255" t="s">
        <v>398</v>
      </c>
      <c r="C31" s="256" t="s">
        <v>399</v>
      </c>
      <c r="D31" s="259" t="s">
        <v>400</v>
      </c>
      <c r="E31" s="260" t="s">
        <v>401</v>
      </c>
      <c r="F31" s="35"/>
      <c r="G31" s="35"/>
      <c r="H31" s="35"/>
      <c r="I31" s="35"/>
      <c r="J31" s="35"/>
      <c r="K31" s="35"/>
      <c r="L31" s="35"/>
      <c r="M31" s="35"/>
      <c r="N31" s="35"/>
      <c r="O31" s="39"/>
      <c r="P31" s="39"/>
      <c r="Q31" s="33"/>
      <c r="R31" s="33"/>
      <c r="S31" s="33"/>
      <c r="T31" s="33"/>
    </row>
    <row r="32" spans="1:20" ht="51.75">
      <c r="A32" s="33"/>
      <c r="B32" s="47" t="s">
        <v>402</v>
      </c>
      <c r="C32" s="50" t="s">
        <v>403</v>
      </c>
      <c r="D32" s="50" t="s">
        <v>404</v>
      </c>
      <c r="E32" s="53"/>
      <c r="F32" s="35"/>
      <c r="G32" s="35"/>
      <c r="H32" s="35"/>
      <c r="I32" s="35"/>
      <c r="J32" s="35"/>
      <c r="K32" s="35"/>
      <c r="L32" s="35"/>
      <c r="M32" s="35"/>
      <c r="N32" s="35"/>
      <c r="O32" s="39"/>
      <c r="P32" s="39"/>
      <c r="Q32" s="33"/>
      <c r="R32" s="33"/>
      <c r="S32" s="33"/>
      <c r="T32" s="33"/>
    </row>
    <row r="33" spans="1:20" ht="51.95" customHeight="1">
      <c r="A33" s="33"/>
      <c r="B33" s="255" t="s">
        <v>89</v>
      </c>
      <c r="C33" s="256" t="s">
        <v>405</v>
      </c>
      <c r="D33" s="260"/>
      <c r="E33" s="260"/>
      <c r="F33" s="35"/>
      <c r="G33" s="35"/>
      <c r="H33" s="35"/>
      <c r="I33" s="35"/>
      <c r="J33" s="35"/>
      <c r="K33" s="35"/>
      <c r="L33" s="35"/>
      <c r="M33" s="35"/>
      <c r="N33" s="35"/>
      <c r="O33" s="39"/>
      <c r="P33" s="39"/>
      <c r="Q33" s="33"/>
      <c r="R33" s="33"/>
      <c r="S33" s="33"/>
      <c r="T33" s="33"/>
    </row>
    <row r="34" spans="1:20" ht="26.1" hidden="1" customHeight="1">
      <c r="A34" s="33"/>
      <c r="B34" s="55"/>
      <c r="C34" s="56"/>
      <c r="D34" s="56"/>
      <c r="E34" s="56"/>
      <c r="F34" s="39"/>
      <c r="G34" s="39"/>
      <c r="H34" s="39"/>
      <c r="I34" s="39"/>
      <c r="J34" s="39"/>
      <c r="K34" s="39"/>
      <c r="L34" s="39"/>
      <c r="M34" s="39"/>
      <c r="N34" s="39"/>
      <c r="O34" s="33"/>
      <c r="P34" s="33"/>
      <c r="Q34" s="33"/>
      <c r="R34" s="33"/>
      <c r="S34" s="33"/>
      <c r="T34" s="33"/>
    </row>
    <row r="35" spans="1:20" ht="26.1" hidden="1" customHeight="1">
      <c r="A35" s="33"/>
      <c r="B35" s="55"/>
      <c r="C35" s="56"/>
      <c r="D35" s="56"/>
      <c r="E35" s="56"/>
      <c r="F35" s="39"/>
      <c r="G35" s="39"/>
      <c r="H35" s="39"/>
      <c r="I35" s="39"/>
      <c r="J35" s="39"/>
      <c r="K35" s="39"/>
      <c r="L35" s="39"/>
      <c r="M35" s="39"/>
      <c r="N35" s="39"/>
      <c r="O35" s="33"/>
      <c r="P35" s="33"/>
      <c r="Q35" s="33"/>
      <c r="R35" s="33"/>
      <c r="S35" s="33"/>
      <c r="T35" s="33"/>
    </row>
    <row r="36" spans="1:20" ht="26.1" hidden="1" customHeight="1">
      <c r="A36" s="33"/>
      <c r="B36" s="57"/>
      <c r="C36" s="56"/>
      <c r="D36" s="56"/>
      <c r="E36" s="56"/>
      <c r="F36" s="33"/>
      <c r="G36" s="33"/>
      <c r="H36" s="33"/>
      <c r="I36" s="33"/>
      <c r="J36" s="33"/>
      <c r="K36" s="33"/>
      <c r="L36" s="33"/>
      <c r="M36" s="33"/>
      <c r="N36" s="33"/>
      <c r="O36" s="33"/>
      <c r="P36" s="33"/>
      <c r="Q36" s="33"/>
      <c r="R36" s="33"/>
      <c r="S36" s="33"/>
      <c r="T36" s="33"/>
    </row>
    <row r="37" spans="1:20" ht="26.1" hidden="1" customHeight="1">
      <c r="A37" s="33"/>
      <c r="B37" s="57"/>
      <c r="C37" s="56"/>
      <c r="D37" s="56"/>
      <c r="E37" s="56"/>
      <c r="F37" s="33"/>
      <c r="G37" s="33"/>
      <c r="H37" s="33"/>
      <c r="I37" s="33"/>
      <c r="J37" s="33"/>
      <c r="K37" s="33"/>
      <c r="L37" s="33"/>
      <c r="M37" s="33"/>
      <c r="N37" s="33"/>
      <c r="O37" s="33"/>
      <c r="P37" s="33"/>
      <c r="Q37" s="33"/>
      <c r="R37" s="33"/>
      <c r="S37" s="33"/>
      <c r="T37" s="33"/>
    </row>
    <row r="38" spans="1:20" ht="26.1" hidden="1" customHeight="1">
      <c r="A38" s="33"/>
      <c r="B38" s="57"/>
      <c r="C38" s="56"/>
      <c r="D38" s="56"/>
      <c r="E38" s="56"/>
      <c r="F38" s="33"/>
      <c r="G38" s="33"/>
      <c r="H38" s="33"/>
      <c r="I38" s="33"/>
      <c r="J38" s="33"/>
      <c r="K38" s="33"/>
      <c r="L38" s="33"/>
      <c r="M38" s="33"/>
      <c r="N38" s="33"/>
      <c r="O38" s="33"/>
      <c r="P38" s="33"/>
      <c r="Q38" s="33"/>
      <c r="R38" s="33"/>
      <c r="S38" s="33"/>
      <c r="T38" s="33"/>
    </row>
    <row r="39" spans="1:20" hidden="1">
      <c r="A39" s="33"/>
      <c r="B39" s="57"/>
      <c r="C39" s="56"/>
      <c r="D39" s="56"/>
      <c r="E39" s="56"/>
      <c r="F39" s="33"/>
      <c r="G39" s="33"/>
      <c r="H39" s="33"/>
      <c r="I39" s="33"/>
      <c r="J39" s="33"/>
      <c r="K39" s="33"/>
      <c r="L39" s="33"/>
      <c r="M39" s="33"/>
      <c r="N39" s="33"/>
      <c r="O39" s="33"/>
      <c r="P39" s="33"/>
      <c r="Q39" s="33"/>
      <c r="R39" s="33"/>
      <c r="S39" s="33"/>
      <c r="T39" s="33"/>
    </row>
    <row r="40" spans="1:20" hidden="1">
      <c r="A40" s="33"/>
      <c r="B40" s="57"/>
      <c r="C40" s="56"/>
      <c r="D40" s="56"/>
      <c r="E40" s="56"/>
      <c r="F40" s="33"/>
      <c r="G40" s="33"/>
      <c r="H40" s="33"/>
      <c r="I40" s="33"/>
      <c r="J40" s="33"/>
      <c r="K40" s="33"/>
      <c r="L40" s="33"/>
      <c r="M40" s="33"/>
      <c r="N40" s="33"/>
      <c r="O40" s="33"/>
      <c r="P40" s="33"/>
      <c r="Q40" s="33"/>
      <c r="R40" s="33"/>
      <c r="S40" s="33"/>
      <c r="T40" s="33"/>
    </row>
    <row r="41" spans="1:20" hidden="1">
      <c r="A41" s="33"/>
      <c r="B41" s="57"/>
      <c r="C41" s="56"/>
      <c r="D41" s="56"/>
      <c r="E41" s="56"/>
      <c r="F41" s="33"/>
      <c r="G41" s="33"/>
      <c r="H41" s="33"/>
      <c r="I41" s="33"/>
      <c r="J41" s="33"/>
      <c r="K41" s="33"/>
      <c r="L41" s="33"/>
      <c r="M41" s="33"/>
      <c r="N41" s="33"/>
      <c r="O41" s="33"/>
      <c r="P41" s="33"/>
      <c r="Q41" s="33"/>
      <c r="R41" s="33"/>
      <c r="S41" s="33"/>
      <c r="T41" s="33"/>
    </row>
    <row r="42" spans="1:20" hidden="1">
      <c r="A42" s="33"/>
      <c r="B42" s="57"/>
      <c r="C42" s="56"/>
      <c r="D42" s="56"/>
      <c r="E42" s="56"/>
      <c r="F42" s="33"/>
      <c r="G42" s="33"/>
      <c r="H42" s="33"/>
      <c r="I42" s="33"/>
      <c r="J42" s="33"/>
      <c r="K42" s="33"/>
      <c r="L42" s="33"/>
      <c r="M42" s="33"/>
      <c r="N42" s="33"/>
      <c r="O42" s="33"/>
      <c r="P42" s="33"/>
      <c r="Q42" s="33"/>
      <c r="R42" s="33"/>
      <c r="S42" s="33"/>
      <c r="T42" s="33"/>
    </row>
    <row r="43" spans="1:20" hidden="1">
      <c r="A43" s="33"/>
      <c r="B43" s="57"/>
      <c r="C43" s="56"/>
      <c r="D43" s="56"/>
      <c r="E43" s="56"/>
      <c r="F43" s="33"/>
      <c r="G43" s="33"/>
      <c r="H43" s="33"/>
      <c r="I43" s="33"/>
      <c r="J43" s="33"/>
      <c r="K43" s="33"/>
      <c r="L43" s="33"/>
      <c r="M43" s="33"/>
      <c r="N43" s="33"/>
      <c r="O43" s="33"/>
      <c r="P43" s="33"/>
      <c r="Q43" s="33"/>
      <c r="R43" s="33"/>
      <c r="S43" s="33"/>
      <c r="T43" s="33"/>
    </row>
    <row r="44" spans="1:20" hidden="1">
      <c r="A44" s="33"/>
      <c r="B44" s="57"/>
      <c r="C44" s="56"/>
      <c r="D44" s="56"/>
      <c r="E44" s="56"/>
      <c r="F44" s="33"/>
      <c r="G44" s="33"/>
      <c r="H44" s="33"/>
      <c r="I44" s="33"/>
      <c r="J44" s="33"/>
      <c r="K44" s="33"/>
      <c r="L44" s="33"/>
      <c r="M44" s="33"/>
      <c r="N44" s="33"/>
      <c r="O44" s="33"/>
      <c r="P44" s="33"/>
      <c r="Q44" s="33"/>
      <c r="R44" s="33"/>
      <c r="S44" s="33"/>
      <c r="T44" s="33"/>
    </row>
    <row r="45" spans="1:20" hidden="1">
      <c r="A45" s="33"/>
      <c r="B45" s="57"/>
      <c r="C45" s="56"/>
      <c r="D45" s="56"/>
      <c r="E45" s="56"/>
      <c r="F45" s="33"/>
      <c r="G45" s="33"/>
      <c r="H45" s="33"/>
      <c r="I45" s="33"/>
      <c r="J45" s="33"/>
      <c r="K45" s="33"/>
      <c r="L45" s="33"/>
      <c r="M45" s="33"/>
      <c r="N45" s="33"/>
      <c r="O45" s="33"/>
      <c r="P45" s="33"/>
      <c r="Q45" s="33"/>
      <c r="R45" s="33"/>
      <c r="S45" s="33"/>
      <c r="T45" s="33"/>
    </row>
    <row r="46" spans="1:20" hidden="1">
      <c r="A46" s="33"/>
      <c r="B46" s="57"/>
      <c r="C46" s="56"/>
      <c r="D46" s="56"/>
      <c r="E46" s="56"/>
      <c r="F46" s="33"/>
      <c r="G46" s="33"/>
      <c r="H46" s="33"/>
      <c r="I46" s="33"/>
      <c r="J46" s="33"/>
      <c r="K46" s="33"/>
      <c r="L46" s="33"/>
      <c r="M46" s="33"/>
      <c r="N46" s="33"/>
      <c r="O46" s="33"/>
      <c r="P46" s="33"/>
      <c r="Q46" s="33"/>
      <c r="R46" s="33"/>
      <c r="S46" s="33"/>
      <c r="T46" s="33"/>
    </row>
    <row r="47" spans="1:20" hidden="1">
      <c r="A47" s="33"/>
      <c r="B47" s="57"/>
      <c r="C47" s="56"/>
      <c r="D47" s="56"/>
      <c r="E47" s="56"/>
      <c r="F47" s="33"/>
      <c r="G47" s="33"/>
      <c r="H47" s="33"/>
      <c r="I47" s="33"/>
      <c r="J47" s="33"/>
      <c r="K47" s="33"/>
      <c r="L47" s="33"/>
      <c r="M47" s="33"/>
      <c r="N47" s="33"/>
      <c r="O47" s="33"/>
      <c r="P47" s="33"/>
      <c r="Q47" s="33"/>
      <c r="R47" s="33"/>
      <c r="S47" s="33"/>
      <c r="T47" s="33"/>
    </row>
    <row r="48" spans="1:20" hidden="1">
      <c r="A48" s="33"/>
      <c r="B48" s="57"/>
      <c r="C48" s="56"/>
      <c r="D48" s="56"/>
      <c r="E48" s="56"/>
      <c r="F48" s="33"/>
      <c r="G48" s="33"/>
      <c r="H48" s="33"/>
      <c r="I48" s="33"/>
      <c r="J48" s="33"/>
      <c r="K48" s="33"/>
      <c r="L48" s="33"/>
      <c r="M48" s="33"/>
      <c r="N48" s="33"/>
      <c r="O48" s="33"/>
      <c r="P48" s="33"/>
      <c r="Q48" s="33"/>
      <c r="R48" s="33"/>
      <c r="S48" s="33"/>
      <c r="T48" s="33"/>
    </row>
    <row r="49" spans="1:20" hidden="1">
      <c r="A49" s="33"/>
      <c r="B49" s="57"/>
      <c r="C49" s="56"/>
      <c r="D49" s="56"/>
      <c r="E49" s="56"/>
      <c r="F49" s="33"/>
      <c r="G49" s="33"/>
      <c r="H49" s="33"/>
      <c r="I49" s="33"/>
      <c r="J49" s="33"/>
      <c r="K49" s="33"/>
      <c r="L49" s="33"/>
      <c r="M49" s="33"/>
      <c r="N49" s="33"/>
      <c r="O49" s="33"/>
      <c r="P49" s="33"/>
      <c r="Q49" s="33"/>
      <c r="R49" s="33"/>
      <c r="S49" s="33"/>
      <c r="T49" s="33"/>
    </row>
    <row r="50" spans="1:20" hidden="1">
      <c r="A50" s="33"/>
      <c r="B50" s="57"/>
      <c r="C50" s="56"/>
      <c r="D50" s="56"/>
      <c r="E50" s="56"/>
      <c r="F50" s="33"/>
      <c r="G50" s="33"/>
      <c r="H50" s="33"/>
      <c r="I50" s="33"/>
      <c r="J50" s="33"/>
      <c r="K50" s="33"/>
      <c r="L50" s="33"/>
      <c r="M50" s="33"/>
      <c r="N50" s="33"/>
      <c r="O50" s="33"/>
      <c r="P50" s="33"/>
      <c r="Q50" s="33"/>
      <c r="R50" s="33"/>
      <c r="S50" s="33"/>
      <c r="T50" s="33"/>
    </row>
    <row r="51" spans="1:20" hidden="1">
      <c r="A51" s="33"/>
      <c r="B51" s="57"/>
      <c r="C51" s="56"/>
      <c r="D51" s="56"/>
      <c r="E51" s="56"/>
      <c r="F51" s="33"/>
      <c r="G51" s="33"/>
      <c r="H51" s="33"/>
      <c r="I51" s="33"/>
      <c r="J51" s="33"/>
      <c r="K51" s="33"/>
      <c r="L51" s="33"/>
      <c r="M51" s="33"/>
      <c r="N51" s="33"/>
      <c r="O51" s="33"/>
      <c r="P51" s="33"/>
      <c r="Q51" s="33"/>
      <c r="R51" s="33"/>
      <c r="S51" s="33"/>
      <c r="T51" s="33"/>
    </row>
    <row r="52" spans="1:20" hidden="1">
      <c r="A52" s="33"/>
      <c r="B52" s="57"/>
      <c r="C52" s="56"/>
      <c r="D52" s="56"/>
      <c r="E52" s="56"/>
      <c r="F52" s="33"/>
      <c r="G52" s="33"/>
      <c r="H52" s="33"/>
      <c r="I52" s="33"/>
      <c r="J52" s="33"/>
      <c r="K52" s="33"/>
      <c r="L52" s="33"/>
      <c r="M52" s="33"/>
      <c r="N52" s="33"/>
      <c r="O52" s="33"/>
      <c r="P52" s="33"/>
      <c r="Q52" s="33"/>
      <c r="R52" s="33"/>
      <c r="S52" s="33"/>
      <c r="T52" s="33"/>
    </row>
    <row r="53" spans="1:20" hidden="1">
      <c r="A53" s="33"/>
      <c r="B53" s="57"/>
      <c r="C53" s="56"/>
      <c r="D53" s="56"/>
      <c r="E53" s="56"/>
      <c r="F53" s="33"/>
      <c r="G53" s="33"/>
      <c r="H53" s="33"/>
      <c r="I53" s="33"/>
      <c r="J53" s="33"/>
      <c r="K53" s="33"/>
      <c r="L53" s="33"/>
      <c r="M53" s="33"/>
      <c r="N53" s="33"/>
      <c r="O53" s="33"/>
      <c r="P53" s="33"/>
      <c r="Q53" s="33"/>
      <c r="R53" s="33"/>
      <c r="S53" s="33"/>
      <c r="T53" s="33"/>
    </row>
    <row r="54" spans="1:20" hidden="1">
      <c r="A54" s="33"/>
      <c r="B54" s="57"/>
      <c r="C54" s="56"/>
      <c r="D54" s="56"/>
      <c r="E54" s="56"/>
      <c r="F54" s="33"/>
      <c r="G54" s="33"/>
      <c r="H54" s="33"/>
      <c r="I54" s="33"/>
      <c r="J54" s="33"/>
      <c r="K54" s="33"/>
      <c r="L54" s="33"/>
      <c r="M54" s="33"/>
      <c r="N54" s="33"/>
      <c r="O54" s="33"/>
      <c r="P54" s="33"/>
      <c r="Q54" s="33"/>
      <c r="R54" s="33"/>
      <c r="S54" s="33"/>
      <c r="T54" s="33"/>
    </row>
    <row r="55" spans="1:20" hidden="1">
      <c r="B55" s="58"/>
      <c r="C55" s="59"/>
      <c r="D55" s="59"/>
      <c r="E55" s="59"/>
      <c r="I55" s="33"/>
    </row>
    <row r="56" spans="1:20" hidden="1">
      <c r="B56" s="58"/>
      <c r="C56" s="59"/>
      <c r="D56" s="59"/>
      <c r="E56" s="59"/>
    </row>
    <row r="57" spans="1:20" hidden="1">
      <c r="B57" s="58"/>
      <c r="C57" s="59"/>
      <c r="D57" s="59"/>
      <c r="E57" s="59"/>
    </row>
    <row r="58" spans="1:20" hidden="1">
      <c r="B58" s="58"/>
      <c r="C58" s="59"/>
      <c r="D58" s="59"/>
      <c r="E58" s="59"/>
    </row>
    <row r="59" spans="1:20" hidden="1">
      <c r="B59" s="58"/>
      <c r="C59" s="59"/>
      <c r="D59" s="59"/>
      <c r="E59" s="59"/>
    </row>
    <row r="60" spans="1:20" hidden="1">
      <c r="B60" s="58"/>
      <c r="C60" s="59"/>
      <c r="D60" s="59"/>
      <c r="E60" s="59"/>
    </row>
    <row r="61" spans="1:20" hidden="1">
      <c r="B61" s="58"/>
      <c r="C61" s="59"/>
      <c r="D61" s="59"/>
      <c r="E61" s="59"/>
    </row>
    <row r="62" spans="1:20" hidden="1">
      <c r="B62" s="58"/>
      <c r="C62" s="59"/>
      <c r="D62" s="59"/>
      <c r="E62" s="59"/>
    </row>
    <row r="63" spans="1:20" hidden="1">
      <c r="B63" s="60"/>
      <c r="C63" s="59"/>
      <c r="D63" s="59"/>
      <c r="E63" s="59"/>
    </row>
    <row r="64" spans="1:20" hidden="1">
      <c r="B64" s="60"/>
      <c r="C64" s="59"/>
      <c r="D64" s="59"/>
      <c r="E64" s="59"/>
    </row>
    <row r="65"/>
  </sheetData>
  <mergeCells count="4">
    <mergeCell ref="F27:H27"/>
    <mergeCell ref="F29:H29"/>
    <mergeCell ref="F25:H25"/>
    <mergeCell ref="F26:H26"/>
  </mergeCells>
  <pageMargins left="0.7" right="0.7" top="0.75" bottom="0.75" header="0.3" footer="0.3"/>
  <pageSetup paperSize="9" orientation="portrait" horizontalDpi="1200" verticalDpi="1200"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workbookViewId="0">
      <selection activeCell="B17" sqref="B17"/>
    </sheetView>
  </sheetViews>
  <sheetFormatPr defaultColWidth="11.42578125" defaultRowHeight="15"/>
  <cols>
    <col min="1" max="1" width="38.42578125" style="217" bestFit="1" customWidth="1"/>
    <col min="2" max="8" width="11.42578125" style="230"/>
    <col min="9" max="16384" width="11.42578125" style="217"/>
  </cols>
  <sheetData>
    <row r="1" spans="1:11">
      <c r="A1" s="95" t="s">
        <v>406</v>
      </c>
      <c r="B1" s="102">
        <f>'1.IS'!B2</f>
        <v>2018</v>
      </c>
      <c r="C1" s="102">
        <f>'1.IS'!C2</f>
        <v>2019</v>
      </c>
      <c r="D1" s="102">
        <f>'1.IS'!D2</f>
        <v>2020</v>
      </c>
      <c r="E1" s="102">
        <f>'1.IS'!E2</f>
        <v>2021</v>
      </c>
      <c r="F1" s="102">
        <f>'1.IS'!F2</f>
        <v>2022</v>
      </c>
      <c r="G1" s="102">
        <f>'1.IS'!G2</f>
        <v>2023</v>
      </c>
      <c r="H1" s="102">
        <f>'1.IS'!H2</f>
        <v>2024</v>
      </c>
    </row>
    <row r="2" spans="1:11">
      <c r="A2" s="226" t="s">
        <v>407</v>
      </c>
      <c r="B2" s="282">
        <f>IFERROR(VALUE(VLOOKUP($A2, '8.TIKR_CF'!$A:$H, COLUMN(B2), FALSE)), 0)</f>
        <v>-63</v>
      </c>
      <c r="C2" s="282">
        <f>IFERROR(VALUE(VLOOKUP($A2, '8.TIKR_CF'!$A:$H, COLUMN(C2), FALSE)), 0)</f>
        <v>-63</v>
      </c>
      <c r="D2" s="282">
        <f>IFERROR(VALUE(VLOOKUP($A2, '8.TIKR_CF'!$A:$H, COLUMN(D2), FALSE)), 0)</f>
        <v>-31</v>
      </c>
      <c r="E2" s="282">
        <f>IFERROR(VALUE(VLOOKUP($A2, '8.TIKR_CF'!$A:$H, COLUMN(E2), FALSE)), 0)</f>
        <v>-39</v>
      </c>
      <c r="F2" s="282">
        <f>IFERROR(VALUE(VLOOKUP($A2, '8.TIKR_CF'!$A:$H, COLUMN(F2), FALSE)), 0)</f>
        <v>-97</v>
      </c>
      <c r="G2" s="282">
        <f>IFERROR(VALUE(VLOOKUP($A2, '8.TIKR_CF'!$A:$H, COLUMN(G2), FALSE)), 0)</f>
        <v>-75</v>
      </c>
      <c r="H2" s="282">
        <f>IFERROR(VALUE(VLOOKUP($A2, '8.TIKR_CF'!$A:$H, COLUMN(H2), FALSE)), 0)</f>
        <v>0</v>
      </c>
      <c r="J2" s="279"/>
      <c r="K2" s="280"/>
    </row>
    <row r="3" spans="1:11">
      <c r="A3" s="227" t="s">
        <v>408</v>
      </c>
      <c r="B3" s="285">
        <f>IFERROR(VALUE(VLOOKUP($A3,'8.TIKR_CF'!$A:$H,COLUMN(B3),FALSE)),0)</f>
        <v>0</v>
      </c>
      <c r="C3" s="285">
        <f>IFERROR(VALUE(VLOOKUP($A3,'8.TIKR_CF'!$A:$H,COLUMN(C3),FALSE)),0)</f>
        <v>28</v>
      </c>
      <c r="D3" s="285">
        <f>IFERROR(VALUE(VLOOKUP($A3,'8.TIKR_CF'!$A:$H,COLUMN(D3),FALSE)),0)</f>
        <v>27</v>
      </c>
      <c r="E3" s="285">
        <f>IFERROR(VALUE(VLOOKUP($A3,'8.TIKR_CF'!$A:$H,COLUMN(E3),FALSE)),0)</f>
        <v>0</v>
      </c>
      <c r="F3" s="285">
        <f>IFERROR(VALUE(VLOOKUP($A3,'8.TIKR_CF'!$A:$H,COLUMN(F3),FALSE)),0)</f>
        <v>0</v>
      </c>
      <c r="G3" s="285">
        <f>IFERROR(VALUE(VLOOKUP($A3,'8.TIKR_CF'!$A:$H,COLUMN(G3),FALSE)),0)</f>
        <v>0</v>
      </c>
      <c r="H3" s="285">
        <f>IFERROR(VALUE(VLOOKUP($A3,'8.TIKR_CF'!$A:$H,COLUMN(H3),FALSE)),0)</f>
        <v>0</v>
      </c>
      <c r="J3" s="279"/>
      <c r="K3" s="281"/>
    </row>
    <row r="4" spans="1:11">
      <c r="A4" s="226" t="s">
        <v>409</v>
      </c>
      <c r="B4" s="286">
        <f>B2+B3</f>
        <v>-63</v>
      </c>
      <c r="C4" s="286">
        <f t="shared" ref="C4:H4" si="0">SUM(C2:C3)</f>
        <v>-35</v>
      </c>
      <c r="D4" s="286">
        <f t="shared" si="0"/>
        <v>-4</v>
      </c>
      <c r="E4" s="286">
        <f t="shared" si="0"/>
        <v>-39</v>
      </c>
      <c r="F4" s="286">
        <f t="shared" si="0"/>
        <v>-97</v>
      </c>
      <c r="G4" s="286">
        <f t="shared" si="0"/>
        <v>-75</v>
      </c>
      <c r="H4" s="286">
        <f t="shared" si="0"/>
        <v>0</v>
      </c>
      <c r="K4" s="280"/>
    </row>
    <row r="5" spans="1:11">
      <c r="A5" s="227" t="s">
        <v>410</v>
      </c>
      <c r="B5" s="285">
        <f>IFERROR(VALUE(VLOOKUP($A5,'8.TIKR_CF'!$A:$H,COLUMN(B5),FALSE)),"0")</f>
        <v>36</v>
      </c>
      <c r="C5" s="285">
        <f>IFERROR(VALUE(VLOOKUP($A5,'8.TIKR_CF'!$A:$H,COLUMN(C5),FALSE)),"0")</f>
        <v>51</v>
      </c>
      <c r="D5" s="285">
        <f>IFERROR(VALUE(VLOOKUP($A5,'8.TIKR_CF'!$A:$H,COLUMN(D5),FALSE)),"0")</f>
        <v>45</v>
      </c>
      <c r="E5" s="285">
        <f>IFERROR(VALUE(VLOOKUP($A5,'8.TIKR_CF'!$A:$H,COLUMN(E5),FALSE)),"0")</f>
        <v>126</v>
      </c>
      <c r="F5" s="285">
        <f>IFERROR(VALUE(VLOOKUP($A5,'8.TIKR_CF'!$A:$H,COLUMN(F5),FALSE)),"0")</f>
        <v>244</v>
      </c>
      <c r="G5" s="285">
        <f>IFERROR(VALUE(VLOOKUP($A5,'8.TIKR_CF'!$A:$H,COLUMN(G5),FALSE)),"0")</f>
        <v>213</v>
      </c>
      <c r="H5" s="285">
        <f>IFERROR(VALUE(VLOOKUP($A5,'8.TIKR_CF'!$A:$H,COLUMN(H5),FALSE)),"0")</f>
        <v>351</v>
      </c>
    </row>
    <row r="6" spans="1:11">
      <c r="A6" s="103" t="s">
        <v>411</v>
      </c>
      <c r="B6" s="287">
        <f t="shared" ref="B6:H6" si="1">IF(ABS(B4)&lt;B5,B4,-B5)</f>
        <v>-36</v>
      </c>
      <c r="C6" s="287">
        <f t="shared" si="1"/>
        <v>-35</v>
      </c>
      <c r="D6" s="287">
        <f t="shared" si="1"/>
        <v>-4</v>
      </c>
      <c r="E6" s="287">
        <f t="shared" si="1"/>
        <v>-39</v>
      </c>
      <c r="F6" s="287">
        <f t="shared" si="1"/>
        <v>-97</v>
      </c>
      <c r="G6" s="287">
        <f t="shared" si="1"/>
        <v>-75</v>
      </c>
      <c r="H6" s="287">
        <f t="shared" si="1"/>
        <v>0</v>
      </c>
    </row>
    <row r="8" spans="1:11">
      <c r="A8" s="95" t="s">
        <v>412</v>
      </c>
      <c r="B8" s="102">
        <f>'1.IS'!B2</f>
        <v>2018</v>
      </c>
      <c r="C8" s="102">
        <f>'1.IS'!C2</f>
        <v>2019</v>
      </c>
      <c r="D8" s="102">
        <f>'1.IS'!D2</f>
        <v>2020</v>
      </c>
      <c r="E8" s="102">
        <f>'1.IS'!E2</f>
        <v>2021</v>
      </c>
      <c r="F8" s="102">
        <f>'1.IS'!F2</f>
        <v>2022</v>
      </c>
      <c r="G8" s="102">
        <f>'1.IS'!G2</f>
        <v>2023</v>
      </c>
      <c r="H8" s="102">
        <f>'1.IS'!H2</f>
        <v>2024</v>
      </c>
      <c r="I8" s="104"/>
      <c r="J8" s="104"/>
    </row>
    <row r="9" spans="1:11">
      <c r="A9" s="217" t="s">
        <v>61</v>
      </c>
      <c r="B9" s="288">
        <f>B4-B6</f>
        <v>-27</v>
      </c>
      <c r="C9" s="288">
        <f t="shared" ref="C9:H9" si="2">C4-C6</f>
        <v>0</v>
      </c>
      <c r="D9" s="288">
        <f t="shared" si="2"/>
        <v>0</v>
      </c>
      <c r="E9" s="288">
        <f t="shared" si="2"/>
        <v>0</v>
      </c>
      <c r="F9" s="288">
        <f t="shared" si="2"/>
        <v>0</v>
      </c>
      <c r="G9" s="288">
        <f t="shared" si="2"/>
        <v>0</v>
      </c>
      <c r="H9" s="288">
        <f t="shared" si="2"/>
        <v>0</v>
      </c>
      <c r="I9" s="229"/>
      <c r="J9" s="229"/>
    </row>
    <row r="10" spans="1:11">
      <c r="A10" s="225" t="s">
        <v>413</v>
      </c>
      <c r="B10" s="289">
        <f>IFERROR(VALUE(VLOOKUP("Cash Acquisitions*",'8.TIKR_CF'!$A:$H,COLUMN(B10),FALSE)),"0")</f>
        <v>1</v>
      </c>
      <c r="C10" s="289">
        <f>IFERROR(VALUE(VLOOKUP("Cash Acquisitions*",'8.TIKR_CF'!$A:$H,COLUMN(C10),FALSE)),"0")</f>
        <v>-2</v>
      </c>
      <c r="D10" s="289">
        <f>IFERROR(VALUE(VLOOKUP("Cash Acquisitions*",'8.TIKR_CF'!$A:$H,COLUMN(D10),FALSE)),"0")</f>
        <v>-2</v>
      </c>
      <c r="E10" s="289">
        <f>IFERROR(VALUE(VLOOKUP("Cash Acquisitions*",'8.TIKR_CF'!$A:$H,COLUMN(E10),FALSE)),"0")</f>
        <v>-1592</v>
      </c>
      <c r="F10" s="289">
        <f>IFERROR(VALUE(VLOOKUP("Cash Acquisitions*",'8.TIKR_CF'!$A:$H,COLUMN(F10),FALSE)),"0")</f>
        <v>0</v>
      </c>
      <c r="G10" s="289">
        <f>IFERROR(VALUE(VLOOKUP("Cash Acquisitions*",'8.TIKR_CF'!$A:$H,COLUMN(G10),FALSE)),"0")</f>
        <v>-74</v>
      </c>
      <c r="H10" s="289">
        <f>IFERROR(VALUE(VLOOKUP("Cash Acquisitions*",'8.TIKR_CF'!$A:$H,COLUMN(H10),FALSE)),"0")</f>
        <v>-1444</v>
      </c>
    </row>
    <row r="11" spans="1:11">
      <c r="A11" s="93" t="s">
        <v>414</v>
      </c>
      <c r="B11" s="290">
        <f>ABS(SUM(B9:B10))</f>
        <v>26</v>
      </c>
      <c r="C11" s="290">
        <f t="shared" ref="C11:H11" si="3">ABS(SUM(C9:C10))</f>
        <v>2</v>
      </c>
      <c r="D11" s="290">
        <f t="shared" si="3"/>
        <v>2</v>
      </c>
      <c r="E11" s="290">
        <f t="shared" si="3"/>
        <v>1592</v>
      </c>
      <c r="F11" s="290">
        <f t="shared" si="3"/>
        <v>0</v>
      </c>
      <c r="G11" s="290">
        <f t="shared" si="3"/>
        <v>74</v>
      </c>
      <c r="H11" s="290">
        <f t="shared" si="3"/>
        <v>1444</v>
      </c>
    </row>
    <row r="13" spans="1:11">
      <c r="A13" s="95" t="s">
        <v>81</v>
      </c>
      <c r="B13" s="102" t="str">
        <f>'1.IS'!I2</f>
        <v>2025e</v>
      </c>
      <c r="C13" s="102" t="str">
        <f>'1.IS'!J2</f>
        <v>2026e</v>
      </c>
      <c r="D13" s="102" t="str">
        <f>'1.IS'!K2</f>
        <v>2027e</v>
      </c>
      <c r="E13" s="102" t="str">
        <f>'1.IS'!L2</f>
        <v>2028e</v>
      </c>
      <c r="F13" s="102" t="str">
        <f>'1.IS'!M2</f>
        <v>2029e</v>
      </c>
      <c r="H13" s="213"/>
    </row>
    <row r="14" spans="1:11">
      <c r="A14" s="231" t="s">
        <v>415</v>
      </c>
      <c r="B14" s="232">
        <f>'4.Valoración'!$D$12</f>
        <v>42</v>
      </c>
      <c r="C14" s="232">
        <f>'4.Valoración'!$D$12</f>
        <v>42</v>
      </c>
      <c r="D14" s="232">
        <f>'4.Valoración'!$D$12</f>
        <v>42</v>
      </c>
      <c r="E14" s="232">
        <f>'4.Valoración'!$D$12</f>
        <v>42</v>
      </c>
      <c r="F14" s="232">
        <f>'4.Valoración'!$D$12</f>
        <v>42</v>
      </c>
    </row>
    <row r="16" spans="1:11">
      <c r="A16" s="95" t="s">
        <v>416</v>
      </c>
      <c r="B16" s="102">
        <f>'1.IS'!H2</f>
        <v>2024</v>
      </c>
    </row>
    <row r="17" spans="1:9">
      <c r="A17" s="217" t="s">
        <v>417</v>
      </c>
      <c r="B17" s="207">
        <f>SUM('3.ROIC'!$B$6:$H$6)/SUM('3.ROIC'!$B$6:$H$7)</f>
        <v>7.1045814258845236E-2</v>
      </c>
    </row>
    <row r="18" spans="1:9">
      <c r="A18" s="217" t="s">
        <v>418</v>
      </c>
      <c r="B18" s="233">
        <f>1-B17</f>
        <v>0.92895418574115474</v>
      </c>
    </row>
    <row r="19" spans="1:9">
      <c r="A19" s="217" t="s">
        <v>419</v>
      </c>
      <c r="B19" s="228">
        <f>SUM('3.ROIC'!B4:H5)</f>
        <v>2471</v>
      </c>
    </row>
    <row r="20" spans="1:9">
      <c r="A20" s="217" t="s">
        <v>420</v>
      </c>
      <c r="B20" s="228">
        <f>SUM('3.ROIC'!B5:H5)</f>
        <v>0</v>
      </c>
    </row>
    <row r="21" spans="1:9">
      <c r="A21" s="217" t="s">
        <v>421</v>
      </c>
      <c r="B21" s="228">
        <f>SUM('3.ROIC'!B6:H7)</f>
        <v>28179</v>
      </c>
    </row>
    <row r="22" spans="1:9">
      <c r="A22" s="217" t="s">
        <v>422</v>
      </c>
      <c r="B22" s="228">
        <f>B21-B19</f>
        <v>25708</v>
      </c>
    </row>
    <row r="23" spans="1:9">
      <c r="A23" s="217" t="s">
        <v>423</v>
      </c>
      <c r="B23" s="228">
        <f>SUM('1.IS'!B11:H11)</f>
        <v>-1292</v>
      </c>
    </row>
    <row r="24" spans="1:9">
      <c r="A24" s="217" t="s">
        <v>424</v>
      </c>
      <c r="B24" s="228">
        <f>SUM('1.IS'!B10:H10)</f>
        <v>-212</v>
      </c>
    </row>
    <row r="25" spans="1:9">
      <c r="A25" s="217" t="s">
        <v>425</v>
      </c>
      <c r="B25" s="233" t="e">
        <f>B23/B20</f>
        <v>#DIV/0!</v>
      </c>
    </row>
    <row r="26" spans="1:9">
      <c r="A26" s="217" t="s">
        <v>426</v>
      </c>
      <c r="B26" s="233">
        <f>ABS(SUM('1.IS'!B10:H10))/B21</f>
        <v>7.5233329784591364E-3</v>
      </c>
    </row>
    <row r="27" spans="1:9">
      <c r="B27" s="233"/>
    </row>
    <row r="28" spans="1:9">
      <c r="A28" s="95" t="s">
        <v>427</v>
      </c>
      <c r="B28" s="102">
        <f>'1.IS'!B2</f>
        <v>2018</v>
      </c>
      <c r="C28" s="102">
        <f>'1.IS'!C2</f>
        <v>2019</v>
      </c>
      <c r="D28" s="102">
        <f>'1.IS'!D2</f>
        <v>2020</v>
      </c>
      <c r="E28" s="102">
        <f>'1.IS'!E2</f>
        <v>2021</v>
      </c>
      <c r="F28" s="102">
        <f>'1.IS'!F2</f>
        <v>2022</v>
      </c>
      <c r="G28" s="102">
        <f>'1.IS'!G2</f>
        <v>2023</v>
      </c>
      <c r="H28" s="102">
        <f>'1.IS'!H2</f>
        <v>2024</v>
      </c>
      <c r="I28" s="102" t="s">
        <v>428</v>
      </c>
    </row>
    <row r="29" spans="1:9">
      <c r="A29" s="217" t="s">
        <v>429</v>
      </c>
      <c r="B29" s="228">
        <f>B11</f>
        <v>26</v>
      </c>
      <c r="C29" s="228">
        <f t="shared" ref="C29:H29" si="4">C11</f>
        <v>2</v>
      </c>
      <c r="D29" s="228">
        <f t="shared" si="4"/>
        <v>2</v>
      </c>
      <c r="E29" s="228">
        <f t="shared" si="4"/>
        <v>1592</v>
      </c>
      <c r="F29" s="228">
        <f t="shared" si="4"/>
        <v>0</v>
      </c>
      <c r="G29" s="228">
        <f t="shared" si="4"/>
        <v>74</v>
      </c>
      <c r="H29" s="228">
        <f t="shared" si="4"/>
        <v>1444</v>
      </c>
      <c r="I29" s="228">
        <f>SUM(B29:H29)</f>
        <v>3140</v>
      </c>
    </row>
    <row r="30" spans="1:9">
      <c r="A30" s="217" t="s">
        <v>62</v>
      </c>
      <c r="B30" s="230" t="str">
        <f>IFERROR(ABS(VLOOKUP("Common &amp; Preferred Stock Dividends Paid*",'8.TIKR_CF'!$A:$H,COLUMN(B13),FALSE)),"0")</f>
        <v>0</v>
      </c>
      <c r="C30" s="230" t="str">
        <f>IFERROR(ABS(VLOOKUP("Common &amp; Preferred Stock Dividends Paid*",'8.TIKR_CF'!$A:$H,COLUMN(C13),FALSE)),"0")</f>
        <v>0</v>
      </c>
      <c r="D30" s="230" t="str">
        <f>IFERROR(ABS(VLOOKUP("Common &amp; Preferred Stock Dividends Paid*",'8.TIKR_CF'!$A:$H,COLUMN(D13),FALSE)),"0")</f>
        <v>0</v>
      </c>
      <c r="E30" s="230" t="str">
        <f>IFERROR(ABS(VLOOKUP("Common &amp; Preferred Stock Dividends Paid*",'8.TIKR_CF'!$A:$H,COLUMN(E13),FALSE)),"0")</f>
        <v>0</v>
      </c>
      <c r="F30" s="230" t="str">
        <f>IFERROR(ABS(VLOOKUP("Common &amp; Preferred Stock Dividends Paid*",'8.TIKR_CF'!$A:$H,COLUMN(F13),FALSE)),"0")</f>
        <v>0</v>
      </c>
      <c r="G30" s="230" t="str">
        <f>IFERROR(ABS(VLOOKUP("Common &amp; Preferred Stock Dividends Paid*",'8.TIKR_CF'!$A:$H,COLUMN(G13),FALSE)),"0")</f>
        <v>0</v>
      </c>
      <c r="H30" s="230" t="str">
        <f>IFERROR(ABS(VLOOKUP("Common &amp; Preferred Stock Dividends Paid*",'8.TIKR_CF'!$A:$H,COLUMN(H13),FALSE)),"0")</f>
        <v>0</v>
      </c>
      <c r="I30" s="228">
        <f>SUM(B30:H30)</f>
        <v>0</v>
      </c>
    </row>
    <row r="31" spans="1:9">
      <c r="A31" s="217" t="s">
        <v>63</v>
      </c>
      <c r="B31" s="230" t="str">
        <f>IFERROR(ABS(VLOOKUP("Repurchase of Common Stock*",'8.TIKR_CF'!$A:$H,COLUMN(B14),FALSE)),"0")</f>
        <v>0</v>
      </c>
      <c r="C31" s="230" t="str">
        <f>IFERROR(ABS(VLOOKUP("Repurchase of Common Stock*",'8.TIKR_CF'!$A:$H,COLUMN(C14),FALSE)),"0")</f>
        <v>0</v>
      </c>
      <c r="D31" s="230" t="str">
        <f>IFERROR(ABS(VLOOKUP("Repurchase of Common Stock*",'8.TIKR_CF'!$A:$H,COLUMN(D14),FALSE)),"0")</f>
        <v>0</v>
      </c>
      <c r="E31" s="230" t="str">
        <f>IFERROR(ABS(VLOOKUP("Repurchase of Common Stock*",'8.TIKR_CF'!$A:$H,COLUMN(E14),FALSE)),"0")</f>
        <v>0</v>
      </c>
      <c r="F31" s="230" t="str">
        <f>IFERROR(ABS(VLOOKUP("Repurchase of Common Stock*",'8.TIKR_CF'!$A:$H,COLUMN(F14),FALSE)),"0")</f>
        <v>0</v>
      </c>
      <c r="G31" s="230" t="str">
        <f>IFERROR(ABS(VLOOKUP("Repurchase of Common Stock*",'8.TIKR_CF'!$A:$H,COLUMN(G14),FALSE)),"0")</f>
        <v>0</v>
      </c>
      <c r="H31" s="230" t="str">
        <f>IFERROR(ABS(VLOOKUP("Repurchase of Common Stock*",'8.TIKR_CF'!$A:$H,COLUMN(H14),FALSE)),"0")</f>
        <v>0</v>
      </c>
      <c r="I31" s="228">
        <f>SUM(B31:H31)</f>
        <v>0</v>
      </c>
    </row>
    <row r="32" spans="1:9">
      <c r="A32" s="217" t="s">
        <v>430</v>
      </c>
      <c r="B32" s="230" t="str">
        <f>IFERROR((ABS(VLOOKUP("Cash Acquisitions*",'8.TIKR_CF'!$A:$H,COLUMN(B15),FALSE))-VLOOKUP("Divestitures*",'8.TIKR_CF'!$A:$H,COLUMN(B15),FALSE)),"0")</f>
        <v>0</v>
      </c>
      <c r="C32" s="230" t="str">
        <f>IFERROR((ABS(VLOOKUP("Cash Acquisitions*",'8.TIKR_CF'!$A:$H,COLUMN(C15),FALSE))-VLOOKUP("Divestitures*",'8.TIKR_CF'!$A:$H,COLUMN(C15),FALSE)),"0")</f>
        <v>0</v>
      </c>
      <c r="D32" s="230" t="str">
        <f>IFERROR((ABS(VLOOKUP("Cash Acquisitions*",'8.TIKR_CF'!$A:$H,COLUMN(D15),FALSE))-VLOOKUP("Divestitures*",'8.TIKR_CF'!$A:$H,COLUMN(D15),FALSE)),"0")</f>
        <v>0</v>
      </c>
      <c r="E32" s="230" t="str">
        <f>IFERROR((ABS(VLOOKUP("Cash Acquisitions*",'8.TIKR_CF'!$A:$H,COLUMN(E15),FALSE))-VLOOKUP("Divestitures*",'8.TIKR_CF'!$A:$H,COLUMN(E15),FALSE)),"0")</f>
        <v>0</v>
      </c>
      <c r="F32" s="230" t="str">
        <f>IFERROR((ABS(VLOOKUP("Cash Acquisitions*",'8.TIKR_CF'!$A:$H,COLUMN(F15),FALSE))-VLOOKUP("Divestitures*",'8.TIKR_CF'!$A:$H,COLUMN(F15),FALSE)),"0")</f>
        <v>0</v>
      </c>
      <c r="G32" s="230" t="str">
        <f>IFERROR((ABS(VLOOKUP("Cash Acquisitions*",'8.TIKR_CF'!$A:$H,COLUMN(G15),FALSE))-VLOOKUP("Divestitures*",'8.TIKR_CF'!$A:$H,COLUMN(G15),FALSE)),"0")</f>
        <v>0</v>
      </c>
      <c r="H32" s="230" t="str">
        <f>IFERROR((ABS(VLOOKUP("Cash Acquisitions*",'8.TIKR_CF'!$A:$H,COLUMN(H15),FALSE))-VLOOKUP("Divestitures*",'8.TIKR_CF'!$A:$H,COLUMN(H15),FALSE)),"0")</f>
        <v>0</v>
      </c>
      <c r="I32" s="228">
        <f>SUM(B32:H32)</f>
        <v>0</v>
      </c>
    </row>
    <row r="34" spans="1:9">
      <c r="A34" s="95" t="s">
        <v>431</v>
      </c>
      <c r="B34" s="102">
        <f>'1.IS'!C$2</f>
        <v>2019</v>
      </c>
      <c r="C34" s="102">
        <f>'1.IS'!D$2</f>
        <v>2020</v>
      </c>
      <c r="D34" s="102">
        <f>'1.IS'!E$2</f>
        <v>2021</v>
      </c>
      <c r="E34" s="102">
        <f>'1.IS'!F$2</f>
        <v>2022</v>
      </c>
      <c r="F34" s="102">
        <f>'1.IS'!G$2</f>
        <v>2023</v>
      </c>
      <c r="G34" s="102">
        <f>'1.IS'!H$2</f>
        <v>2024</v>
      </c>
      <c r="H34" s="102" t="s">
        <v>102</v>
      </c>
      <c r="I34" s="102"/>
    </row>
    <row r="35" spans="1:9">
      <c r="A35" s="234" t="s">
        <v>432</v>
      </c>
      <c r="B35" s="235">
        <f>'1.IS'!C4</f>
        <v>-8.0540270135067538E-2</v>
      </c>
      <c r="C35" s="235">
        <f>'1.IS'!D4</f>
        <v>-0.51360174102285094</v>
      </c>
      <c r="D35" s="235">
        <f>'1.IS'!E4</f>
        <v>1.6118568232662192</v>
      </c>
      <c r="E35" s="235">
        <f>'1.IS'!F4</f>
        <v>0.64239828693790146</v>
      </c>
      <c r="F35" s="235">
        <f>'1.IS'!G4</f>
        <v>3.7288135593220341E-2</v>
      </c>
      <c r="G35" s="235">
        <f>'1.IS'!H4</f>
        <v>0.25213675213675213</v>
      </c>
      <c r="H35" s="236">
        <f>AVERAGE(B35:G35)</f>
        <v>0.32492299779602912</v>
      </c>
      <c r="I35" s="237"/>
    </row>
    <row r="36" spans="1:9">
      <c r="A36" s="234" t="s">
        <v>38</v>
      </c>
      <c r="B36" s="235">
        <f>'1.IS'!C21</f>
        <v>-0.36283326856686726</v>
      </c>
      <c r="C36" s="235">
        <f>'1.IS'!D21</f>
        <v>-2.4784577236644059</v>
      </c>
      <c r="D36" s="235">
        <f>'1.IS'!E21</f>
        <v>-1.2451872945549252</v>
      </c>
      <c r="E36" s="235">
        <f>'1.IS'!F21</f>
        <v>1.4916549295774648</v>
      </c>
      <c r="F36" s="235">
        <f>'1.IS'!G21</f>
        <v>-0.30875576036866359</v>
      </c>
      <c r="G36" s="235">
        <f>'1.IS'!H21</f>
        <v>3.3845751633986922</v>
      </c>
      <c r="H36" s="236">
        <f>AVERAGE(B36:G36)</f>
        <v>8.0166007636882572E-2</v>
      </c>
      <c r="I36" s="237"/>
    </row>
    <row r="37" spans="1:9">
      <c r="A37" s="234" t="s">
        <v>433</v>
      </c>
      <c r="B37" s="235">
        <f>'2.FCF'!C15</f>
        <v>0.77516778523489938</v>
      </c>
      <c r="C37" s="235">
        <f>'2.FCF'!D15</f>
        <v>-1.4215500945179584</v>
      </c>
      <c r="D37" s="235">
        <f>'2.FCF'!E15</f>
        <v>6.6322869955156953</v>
      </c>
      <c r="E37" s="235">
        <f>'2.FCF'!F15</f>
        <v>-1.0587544065804935</v>
      </c>
      <c r="F37" s="235">
        <f>'2.FCF'!G15</f>
        <v>5.04</v>
      </c>
      <c r="G37" s="235">
        <f>'2.FCF'!H15</f>
        <v>1.3228476821192052</v>
      </c>
      <c r="H37" s="236">
        <f>AVERAGE(B37:G37)</f>
        <v>1.8816663269618914</v>
      </c>
      <c r="I37" s="237"/>
    </row>
    <row r="38" spans="1:9">
      <c r="A38" s="238"/>
      <c r="B38" s="237"/>
      <c r="C38" s="237"/>
      <c r="D38" s="237"/>
      <c r="E38" s="237"/>
      <c r="F38" s="237"/>
      <c r="G38" s="237"/>
      <c r="H38" s="237"/>
      <c r="I38" s="237"/>
    </row>
    <row r="39" spans="1:9">
      <c r="A39" s="95" t="s">
        <v>434</v>
      </c>
      <c r="B39" s="102">
        <f>'1.IS'!B$2</f>
        <v>2018</v>
      </c>
      <c r="C39" s="102">
        <f>'1.IS'!C$2</f>
        <v>2019</v>
      </c>
      <c r="D39" s="102">
        <f>'1.IS'!D$2</f>
        <v>2020</v>
      </c>
      <c r="E39" s="102">
        <f>'1.IS'!E$2</f>
        <v>2021</v>
      </c>
      <c r="F39" s="102">
        <f>'1.IS'!F$2</f>
        <v>2022</v>
      </c>
      <c r="G39" s="102">
        <f>'1.IS'!G$2</f>
        <v>2023</v>
      </c>
      <c r="H39" s="102">
        <f>'1.IS'!H$2</f>
        <v>2024</v>
      </c>
      <c r="I39" s="102" t="s">
        <v>102</v>
      </c>
    </row>
    <row r="40" spans="1:9">
      <c r="A40" s="234" t="s">
        <v>21</v>
      </c>
      <c r="B40" s="239">
        <f>'1.IS'!B6</f>
        <v>0.2351175587793897</v>
      </c>
      <c r="C40" s="239">
        <f>'1.IS'!C6</f>
        <v>0.19967355821545157</v>
      </c>
      <c r="D40" s="239">
        <f>'1.IS'!D6</f>
        <v>1.901565995525727E-2</v>
      </c>
      <c r="E40" s="239">
        <f>'1.IS'!E6</f>
        <v>0.26038543897216276</v>
      </c>
      <c r="F40" s="239">
        <f>'1.IS'!F6</f>
        <v>0.24797913950456324</v>
      </c>
      <c r="G40" s="239">
        <f>'1.IS'!G6</f>
        <v>0.22549019607843138</v>
      </c>
      <c r="H40" s="239">
        <f>'1.IS'!H6</f>
        <v>0.1624171853041558</v>
      </c>
      <c r="I40" s="240">
        <f>AVERAGE(B40:H40)</f>
        <v>0.19286839097277311</v>
      </c>
    </row>
    <row r="41" spans="1:9">
      <c r="A41" s="234" t="s">
        <v>87</v>
      </c>
      <c r="B41" s="239">
        <f>'1.IS'!B9</f>
        <v>0.21710855427713857</v>
      </c>
      <c r="C41" s="239">
        <f>'1.IS'!C9</f>
        <v>0.17192600652883569</v>
      </c>
      <c r="D41" s="239">
        <f>'1.IS'!D9</f>
        <v>-3.1319910514541388E-2</v>
      </c>
      <c r="E41" s="239">
        <f>'1.IS'!E9</f>
        <v>0.20642398286937902</v>
      </c>
      <c r="F41" s="239">
        <f>'1.IS'!F9</f>
        <v>0.18435462842242503</v>
      </c>
      <c r="G41" s="239">
        <f>'1.IS'!G9</f>
        <v>0.17194570135746606</v>
      </c>
      <c r="H41" s="239">
        <f>'1.IS'!H9</f>
        <v>9.1949407749447903E-2</v>
      </c>
      <c r="I41" s="240">
        <f>AVERAGE(B41:H41)</f>
        <v>0.14462691009859299</v>
      </c>
    </row>
    <row r="42" spans="1:9">
      <c r="A42" s="234" t="s">
        <v>89</v>
      </c>
      <c r="B42" s="239">
        <f>'2.FCF'!B14</f>
        <v>0.14907453726863432</v>
      </c>
      <c r="C42" s="239">
        <f>'2.FCF'!C14</f>
        <v>0.28781284004352559</v>
      </c>
      <c r="D42" s="239">
        <f>'2.FCF'!D14</f>
        <v>-0.2494407158836689</v>
      </c>
      <c r="E42" s="239">
        <f>'2.FCF'!E14</f>
        <v>-0.72890792291220552</v>
      </c>
      <c r="F42" s="239">
        <f>'2.FCF'!F14</f>
        <v>2.607561929595828E-2</v>
      </c>
      <c r="G42" s="239">
        <f>'2.FCF'!G14</f>
        <v>0.15183509301156359</v>
      </c>
      <c r="H42" s="239">
        <f>'2.FCF'!H14</f>
        <v>0.28167034731981527</v>
      </c>
      <c r="I42" s="240">
        <f>AVERAGE(B42:H42)</f>
        <v>-1.16971716937682E-2</v>
      </c>
    </row>
    <row r="43" spans="1:9">
      <c r="A43" s="238"/>
      <c r="B43" s="237"/>
      <c r="C43" s="235"/>
      <c r="D43" s="235"/>
      <c r="E43" s="235"/>
      <c r="F43" s="235"/>
      <c r="G43" s="235"/>
      <c r="H43" s="235"/>
      <c r="I43" s="237"/>
    </row>
    <row r="44" spans="1:9">
      <c r="A44" s="95" t="s">
        <v>435</v>
      </c>
      <c r="B44" s="102">
        <f>'1.IS'!B$2</f>
        <v>2018</v>
      </c>
      <c r="C44" s="102">
        <f>'1.IS'!C$2</f>
        <v>2019</v>
      </c>
      <c r="D44" s="102">
        <f>'1.IS'!D$2</f>
        <v>2020</v>
      </c>
      <c r="E44" s="102">
        <f>'1.IS'!E$2</f>
        <v>2021</v>
      </c>
      <c r="F44" s="102">
        <f>'1.IS'!F$2</f>
        <v>2022</v>
      </c>
      <c r="G44" s="102">
        <f>'1.IS'!G$2</f>
        <v>2023</v>
      </c>
      <c r="H44" s="102">
        <f>'1.IS'!H$2</f>
        <v>2024</v>
      </c>
      <c r="I44" s="102" t="s">
        <v>102</v>
      </c>
    </row>
    <row r="45" spans="1:9">
      <c r="A45" s="234" t="s">
        <v>89</v>
      </c>
      <c r="B45" s="241">
        <f>'2.FCF'!B13</f>
        <v>298</v>
      </c>
      <c r="C45" s="241">
        <f>'2.FCF'!C13</f>
        <v>529</v>
      </c>
      <c r="D45" s="241">
        <f>'2.FCF'!D13</f>
        <v>-223</v>
      </c>
      <c r="E45" s="241">
        <f>'2.FCF'!E13</f>
        <v>-1702</v>
      </c>
      <c r="F45" s="241">
        <f>'2.FCF'!F13</f>
        <v>100</v>
      </c>
      <c r="G45" s="241">
        <f>'2.FCF'!G13</f>
        <v>604</v>
      </c>
      <c r="H45" s="241">
        <f>'2.FCF'!H13</f>
        <v>1403</v>
      </c>
      <c r="I45" s="242"/>
    </row>
    <row r="46" spans="1:9">
      <c r="A46" s="234" t="s">
        <v>79</v>
      </c>
      <c r="B46" s="239">
        <f>'3.ROIC'!B15</f>
        <v>0.1894919972164231</v>
      </c>
      <c r="C46" s="239">
        <f>'3.ROIC'!C15</f>
        <v>0.12199016528474528</v>
      </c>
      <c r="D46" s="239">
        <f>'3.ROIC'!D15</f>
        <v>-1.2695748462860972E-2</v>
      </c>
      <c r="E46" s="239">
        <f>'3.ROIC'!E15</f>
        <v>5.6743808806127789E-2</v>
      </c>
      <c r="F46" s="239">
        <f>'3.ROIC'!F15</f>
        <v>0.10151859111362119</v>
      </c>
      <c r="G46" s="239">
        <f>'3.ROIC'!G15</f>
        <v>7.1957551762186031E-2</v>
      </c>
      <c r="H46" s="239">
        <f>'3.ROIC'!H15</f>
        <v>1.8835123686043918E-2</v>
      </c>
      <c r="I46" s="240">
        <f>AVERAGE(B46:H46)</f>
        <v>7.8263069915183753E-2</v>
      </c>
    </row>
    <row r="47" spans="1:9">
      <c r="A47" s="238"/>
      <c r="B47" s="237"/>
      <c r="C47" s="237"/>
      <c r="D47" s="237"/>
      <c r="E47" s="237"/>
      <c r="F47" s="237"/>
      <c r="G47" s="237"/>
      <c r="H47" s="237"/>
      <c r="I47" s="237"/>
    </row>
    <row r="48" spans="1:9">
      <c r="A48" s="95"/>
      <c r="B48" s="102">
        <f>'1.IS'!B$2</f>
        <v>2018</v>
      </c>
      <c r="C48" s="102">
        <f>'1.IS'!C$2</f>
        <v>2019</v>
      </c>
      <c r="D48" s="102">
        <f>'1.IS'!D$2</f>
        <v>2020</v>
      </c>
      <c r="E48" s="102">
        <f>'1.IS'!E$2</f>
        <v>2021</v>
      </c>
      <c r="F48" s="102">
        <f>'1.IS'!F$2</f>
        <v>2022</v>
      </c>
      <c r="G48" s="102">
        <f>'1.IS'!G$2</f>
        <v>2023</v>
      </c>
      <c r="H48" s="102">
        <f>'1.IS'!H$2</f>
        <v>2024</v>
      </c>
      <c r="I48" s="102" t="s">
        <v>102</v>
      </c>
    </row>
    <row r="49" spans="1:9">
      <c r="A49" s="234" t="s">
        <v>436</v>
      </c>
      <c r="B49" s="243">
        <f>('1.IS'!B3-'1.IS'!B5)/'1.IS'!B3</f>
        <v>0.76488244122061033</v>
      </c>
      <c r="C49" s="243">
        <f>('1.IS'!C3-'1.IS'!C5)/'1.IS'!C3</f>
        <v>0.80032644178454837</v>
      </c>
      <c r="D49" s="243">
        <f>('1.IS'!D3-'1.IS'!D5)/'1.IS'!D3</f>
        <v>0.98098434004474278</v>
      </c>
      <c r="E49" s="243">
        <f>('1.IS'!E3-'1.IS'!E5)/'1.IS'!E3</f>
        <v>0.73961456102783729</v>
      </c>
      <c r="F49" s="243">
        <f>('1.IS'!F3-'1.IS'!F5)/'1.IS'!F3</f>
        <v>0.75202086049543682</v>
      </c>
      <c r="G49" s="243">
        <f>('1.IS'!G3-'1.IS'!G5)/'1.IS'!G3</f>
        <v>0.77450980392156865</v>
      </c>
      <c r="H49" s="243">
        <f>('1.IS'!H3-'1.IS'!H5)/'1.IS'!H3</f>
        <v>0.83758281469584417</v>
      </c>
      <c r="I49" s="236">
        <f>AVERAGE(B49:H49)</f>
        <v>0.80713160902722692</v>
      </c>
    </row>
    <row r="50" spans="1:9">
      <c r="A50" s="234" t="s">
        <v>437</v>
      </c>
      <c r="B50" s="243">
        <f>'2.FCF'!B20</f>
        <v>1.8009004502251125E-2</v>
      </c>
      <c r="C50" s="243">
        <f>'2.FCF'!C20</f>
        <v>1.9042437431991296E-2</v>
      </c>
      <c r="D50" s="243">
        <f>'2.FCF'!D20</f>
        <v>4.4742729306487695E-3</v>
      </c>
      <c r="E50" s="243">
        <f>'2.FCF'!E20</f>
        <v>1.670235546038544E-2</v>
      </c>
      <c r="F50" s="243">
        <f>'2.FCF'!F20</f>
        <v>2.529335071707953E-2</v>
      </c>
      <c r="G50" s="243">
        <f>'2.FCF'!G20</f>
        <v>1.8853695324283559E-2</v>
      </c>
      <c r="H50" s="243">
        <f>'2.FCF'!H20</f>
        <v>0</v>
      </c>
      <c r="I50" s="236">
        <f>AVERAGE(B50:H50)</f>
        <v>1.4625016623805675E-2</v>
      </c>
    </row>
    <row r="51" spans="1:9">
      <c r="A51" s="234" t="s">
        <v>438</v>
      </c>
      <c r="B51" s="243">
        <f>('1.IS'!B12/'1.IS'!B3)</f>
        <v>-1.5507753876938469E-2</v>
      </c>
      <c r="C51" s="243">
        <f>('1.IS'!C12/'1.IS'!C3)</f>
        <v>-4.6789989118607184E-2</v>
      </c>
      <c r="D51" s="243">
        <f>('1.IS'!D12/'1.IS'!D3)</f>
        <v>-0.32997762863534674</v>
      </c>
      <c r="E51" s="243">
        <f>('1.IS'!E12/'1.IS'!E3)</f>
        <v>-0.13618843683083512</v>
      </c>
      <c r="F51" s="243">
        <f>('1.IS'!F12/'1.IS'!F3)</f>
        <v>-9.5958279009126471E-2</v>
      </c>
      <c r="G51" s="243">
        <f>('1.IS'!G12/'1.IS'!G3)</f>
        <v>-0.10382101558572147</v>
      </c>
      <c r="H51" s="243">
        <f>('1.IS'!H12/'1.IS'!H3)</f>
        <v>1.4053402931138326E-3</v>
      </c>
      <c r="I51" s="236">
        <f>AVERAGE(B51:H51)</f>
        <v>-0.10383396610906594</v>
      </c>
    </row>
    <row r="52" spans="1:9">
      <c r="A52" s="234" t="s">
        <v>439</v>
      </c>
      <c r="B52" s="243">
        <f>('1.IS'!B14+'1.IS'!B17)/'1.IS'!B3</f>
        <v>-5.2526263131565783E-2</v>
      </c>
      <c r="C52" s="243">
        <f>('1.IS'!C14+'1.IS'!C17)/'1.IS'!C3</f>
        <v>-3.1011969532100107E-2</v>
      </c>
      <c r="D52" s="243">
        <f>('1.IS'!D14+'1.IS'!D17)/'1.IS'!D3</f>
        <v>8.8366890380313201E-2</v>
      </c>
      <c r="E52" s="243">
        <f>('1.IS'!E14+'1.IS'!E17)/'1.IS'!E3</f>
        <v>-3.9828693790149895E-2</v>
      </c>
      <c r="F52" s="243">
        <f>('1.IS'!F14+'1.IS'!F17)/'1.IS'!F3</f>
        <v>-3.3637548891786183E-2</v>
      </c>
      <c r="G52" s="243">
        <f>('1.IS'!G14+'1.IS'!G17)/'1.IS'!G3</f>
        <v>-3.4188034188034191E-2</v>
      </c>
      <c r="H52" s="243">
        <f>('1.IS'!H14+'1.IS'!H17)/'1.IS'!H3</f>
        <v>1.5257980325235896E-2</v>
      </c>
      <c r="I52" s="236">
        <f>AVERAGE(B52:H52)</f>
        <v>-1.2509662689726723E-2</v>
      </c>
    </row>
    <row r="53" spans="1:9">
      <c r="A53" s="234" t="s">
        <v>440</v>
      </c>
      <c r="B53" s="243"/>
      <c r="C53" s="243">
        <f>'2.FCF'!C11/'1.IS'!C3</f>
        <v>-0.18498367791077258</v>
      </c>
      <c r="D53" s="243">
        <f>'2.FCF'!D11/'1.IS'!D3</f>
        <v>2.2371364653243849E-2</v>
      </c>
      <c r="E53" s="243">
        <f>'2.FCF'!E11/'1.IS'!E3</f>
        <v>0.79657387580299788</v>
      </c>
      <c r="F53" s="243">
        <f>'2.FCF'!F11/'1.IS'!F3</f>
        <v>6.7014341590612772E-2</v>
      </c>
      <c r="G53" s="243">
        <f>'2.FCF'!G11/'1.IS'!G3</f>
        <v>-8.3207642031171439E-2</v>
      </c>
      <c r="H53" s="243">
        <f>'2.FCF'!H11/'1.IS'!H3</f>
        <v>-0.10258984139730978</v>
      </c>
      <c r="I53" s="236">
        <f>AVERAGE(B53:H53)</f>
        <v>8.586307011793344E-2</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65" t="s">
        <v>14</v>
      </c>
      <c r="C1" s="27"/>
      <c r="D1" s="27"/>
      <c r="E1" s="27"/>
      <c r="F1" s="27"/>
      <c r="G1" s="27"/>
      <c r="H1" s="27"/>
      <c r="I1" s="27"/>
      <c r="J1" s="27"/>
      <c r="K1" s="3"/>
      <c r="L1" s="3"/>
      <c r="M1" s="3"/>
      <c r="N1"/>
      <c r="O1" s="26"/>
      <c r="P1" s="27"/>
      <c r="Q1" s="27"/>
      <c r="R1" s="1"/>
      <c r="S1" s="1"/>
    </row>
    <row r="2" spans="1:20" ht="44.1" customHeight="1" thickTop="1">
      <c r="A2" s="137" t="s">
        <v>15</v>
      </c>
      <c r="B2" s="67">
        <f>IFERROR(YEAR(VLOOKUP("*Income Statement | TIKR.com*",'6.TIKR_IS'!$A:$H,COLUMN(B3),FALSE)),"2015")</f>
        <v>2018</v>
      </c>
      <c r="C2" s="67">
        <f>IFERROR(YEAR(VLOOKUP("Income Statement | TIKR.com*",'6.TIKR_IS'!$A:$H,COLUMN(C3),FALSE)),B2+1)</f>
        <v>2019</v>
      </c>
      <c r="D2" s="67">
        <f>IFERROR(YEAR(VLOOKUP("Income Statement | TIKR.com*",'6.TIKR_IS'!$A:$H,COLUMN(D3),FALSE)),C2+1)</f>
        <v>2020</v>
      </c>
      <c r="E2" s="67">
        <f>IFERROR(YEAR(VLOOKUP("Income Statement | TIKR.com*",'6.TIKR_IS'!$A:$H,COLUMN(E3),FALSE)),D2+1)</f>
        <v>2021</v>
      </c>
      <c r="F2" s="67">
        <f>IFERROR(YEAR(VLOOKUP("Income Statement | TIKR.com*",'6.TIKR_IS'!$A:$H,COLUMN(F3),FALSE)),E2+1)</f>
        <v>2022</v>
      </c>
      <c r="G2" s="67">
        <f>IFERROR(YEAR(VLOOKUP("Income Statement*",'6.TIKR_IS'!$A:$H,COLUMN(G3),FALSE)),F2+1)</f>
        <v>2023</v>
      </c>
      <c r="H2" s="67">
        <f>IFERROR(YEAR(VLOOKUP("Income Statement*",'6.TIKR_IS'!$A:$H,COLUMN(H3),FALSE)),G2+1)</f>
        <v>2024</v>
      </c>
      <c r="I2" s="8" t="str">
        <f>(H2+1)&amp;"e"</f>
        <v>2025e</v>
      </c>
      <c r="J2" s="8" t="str">
        <f>(LEFT(I2,4)+1)&amp;"e"</f>
        <v>2026e</v>
      </c>
      <c r="K2" s="8" t="str">
        <f>(LEFT(J2,4)+1)&amp;"e"</f>
        <v>2027e</v>
      </c>
      <c r="L2" s="8" t="str">
        <f>(LEFT(K2,4)+1)&amp;"e"</f>
        <v>2028e</v>
      </c>
      <c r="M2" s="8" t="str">
        <f>(LEFT(L2,4)+1)&amp;"e"</f>
        <v>2029e</v>
      </c>
      <c r="O2" s="83" t="s">
        <v>16</v>
      </c>
      <c r="P2" s="79" t="str">
        <f>"Promedio "&amp;CHAR(10)&amp;B2&amp;" - "&amp;H2</f>
        <v>Promedio 
2018 - 2024</v>
      </c>
      <c r="Q2" s="264" t="str">
        <f>"Estimaciones "&amp;CHAR(10)&amp;I2&amp;" - "&amp;M2</f>
        <v>Estimaciones 
2025e - 2029e</v>
      </c>
      <c r="R2" s="33"/>
      <c r="S2" s="33"/>
      <c r="T2" s="33"/>
    </row>
    <row r="3" spans="1:20" ht="24.95" customHeight="1">
      <c r="A3" s="147" t="s">
        <v>17</v>
      </c>
      <c r="B3" s="139">
        <f>IFERROR(VALUE(VLOOKUP("Revenue*",'6.TIKR_IS'!$A:$H,COLUMN(B3),FALSE)),"0")</f>
        <v>1999</v>
      </c>
      <c r="C3" s="139">
        <f>IFERROR(VALUE(VLOOKUP("Revenue*",'6.TIKR_IS'!$A:$H,COLUMN(C3),FALSE)),"0")</f>
        <v>1838</v>
      </c>
      <c r="D3" s="139">
        <f>IFERROR(VALUE(VLOOKUP("Revenue*",'6.TIKR_IS'!$A:$H,COLUMN(D3),FALSE)),"0")</f>
        <v>894</v>
      </c>
      <c r="E3" s="139">
        <f>IFERROR(VALUE(VLOOKUP("Revenue*",'6.TIKR_IS'!$A:$H,COLUMN(E3),FALSE)),"0")</f>
        <v>2335</v>
      </c>
      <c r="F3" s="139">
        <f>IFERROR(VALUE(VLOOKUP("Revenue*",'6.TIKR_IS'!$A:$H,COLUMN(F3),FALSE)),"0")</f>
        <v>3835</v>
      </c>
      <c r="G3" s="139">
        <f>IFERROR(VALUE(VLOOKUP("Revenue*",'6.TIKR_IS'!$A:$H,COLUMN(G3),FALSE)),"0")</f>
        <v>3978</v>
      </c>
      <c r="H3" s="139">
        <f>IFERROR(VALUE(VLOOKUP("Revenue*",'6.TIKR_IS'!$A:$H,COLUMN(H3),FALSE)),"0")</f>
        <v>4981</v>
      </c>
      <c r="I3" s="9">
        <f>IFERROR((H3*$Q$3)+H3,"")</f>
        <v>6599.4414520220216</v>
      </c>
      <c r="J3" s="9">
        <f>IFERROR((I3*$Q$3)+I3,"")</f>
        <v>8743.7517523923962</v>
      </c>
      <c r="K3" s="9">
        <f>IFERROR((J3*$Q$3)+J3,"")</f>
        <v>11584.797783764017</v>
      </c>
      <c r="L3" s="9">
        <f>IFERROR((K3*$Q$3)+K3,"")</f>
        <v>15348.965008525416</v>
      </c>
      <c r="M3" s="148">
        <f>IFERROR((L3*$Q$3)+L3,"")</f>
        <v>20336.196732161847</v>
      </c>
      <c r="N3" s="6"/>
      <c r="O3" s="80" t="s">
        <v>18</v>
      </c>
      <c r="P3" s="68">
        <f>IFERROR(AVERAGE(C4:H4),"")</f>
        <v>0.32492299779602912</v>
      </c>
      <c r="Q3" s="265">
        <f>P3</f>
        <v>0.32492299779602912</v>
      </c>
      <c r="R3" s="33"/>
      <c r="S3" s="33"/>
      <c r="T3" s="33"/>
    </row>
    <row r="4" spans="1:20" ht="24.95" customHeight="1">
      <c r="A4" s="131" t="s">
        <v>19</v>
      </c>
      <c r="B4" s="140"/>
      <c r="C4" s="11">
        <f t="shared" ref="C4:H4" si="0">IFERROR((C3-B3)/B3,"")</f>
        <v>-8.0540270135067538E-2</v>
      </c>
      <c r="D4" s="11">
        <f t="shared" si="0"/>
        <v>-0.51360174102285094</v>
      </c>
      <c r="E4" s="11">
        <f t="shared" si="0"/>
        <v>1.6118568232662192</v>
      </c>
      <c r="F4" s="11">
        <f t="shared" si="0"/>
        <v>0.64239828693790146</v>
      </c>
      <c r="G4" s="11">
        <f t="shared" si="0"/>
        <v>3.7288135593220341E-2</v>
      </c>
      <c r="H4" s="10">
        <f t="shared" si="0"/>
        <v>0.25213675213675213</v>
      </c>
      <c r="I4" s="11">
        <f>$Q$3</f>
        <v>0.32492299779602912</v>
      </c>
      <c r="J4" s="11">
        <f>$Q$3</f>
        <v>0.32492299779602912</v>
      </c>
      <c r="K4" s="11">
        <f>$Q$3</f>
        <v>0.32492299779602912</v>
      </c>
      <c r="L4" s="11">
        <f>$Q$3</f>
        <v>0.32492299779602912</v>
      </c>
      <c r="M4" s="149">
        <f>$Q$3</f>
        <v>0.32492299779602912</v>
      </c>
      <c r="N4" s="6"/>
      <c r="O4" s="81" t="s">
        <v>20</v>
      </c>
      <c r="P4" s="69">
        <f>IFERROR(AVERAGE(B9:H9),"")</f>
        <v>0.14462691009859299</v>
      </c>
      <c r="Q4" s="265">
        <f>P4</f>
        <v>0.14462691009859299</v>
      </c>
      <c r="R4" s="33"/>
      <c r="S4" s="33"/>
      <c r="T4" s="33"/>
    </row>
    <row r="5" spans="1:20" ht="24.95" customHeight="1">
      <c r="A5" s="150" t="s">
        <v>21</v>
      </c>
      <c r="B5" s="141">
        <f t="shared" ref="B5:H5" si="1">B8-B7</f>
        <v>470</v>
      </c>
      <c r="C5" s="105">
        <f t="shared" si="1"/>
        <v>367</v>
      </c>
      <c r="D5" s="105">
        <f t="shared" si="1"/>
        <v>17</v>
      </c>
      <c r="E5" s="105">
        <f t="shared" si="1"/>
        <v>608</v>
      </c>
      <c r="F5" s="105">
        <f t="shared" si="1"/>
        <v>951</v>
      </c>
      <c r="G5" s="105">
        <f t="shared" si="1"/>
        <v>897</v>
      </c>
      <c r="H5" s="106">
        <f t="shared" si="1"/>
        <v>809</v>
      </c>
      <c r="I5" s="105">
        <f>IFERROR(I8-I7,"")</f>
        <v>1419.5047978089231</v>
      </c>
      <c r="J5" s="105">
        <f t="shared" ref="J5:M5" si="2">IFERROR(J8-J7,"")</f>
        <v>1880.7345520988447</v>
      </c>
      <c r="K5" s="105">
        <f t="shared" si="2"/>
        <v>2491.8284608253734</v>
      </c>
      <c r="L5" s="105">
        <f t="shared" si="2"/>
        <v>3301.4808343102186</v>
      </c>
      <c r="M5" s="151">
        <f t="shared" si="2"/>
        <v>4374.2078841604307</v>
      </c>
      <c r="N5" s="6"/>
      <c r="O5" s="80" t="s">
        <v>22</v>
      </c>
      <c r="P5" s="68">
        <f>IFERROR(AVERAGE(B15:H15),"")</f>
        <v>0.26809713888119108</v>
      </c>
      <c r="Q5" s="265">
        <f>H15</f>
        <v>0.16344086021505377</v>
      </c>
      <c r="R5" s="33"/>
      <c r="S5" s="33"/>
      <c r="T5" s="33"/>
    </row>
    <row r="6" spans="1:20" ht="24.95" customHeight="1" thickBot="1">
      <c r="A6" s="131" t="s">
        <v>23</v>
      </c>
      <c r="B6" s="140">
        <f t="shared" ref="B6:H6" si="3">IFERROR((B5/B3),"")</f>
        <v>0.2351175587793897</v>
      </c>
      <c r="C6" s="11">
        <f t="shared" si="3"/>
        <v>0.19967355821545157</v>
      </c>
      <c r="D6" s="11">
        <f t="shared" si="3"/>
        <v>1.901565995525727E-2</v>
      </c>
      <c r="E6" s="11">
        <f t="shared" si="3"/>
        <v>0.26038543897216276</v>
      </c>
      <c r="F6" s="11">
        <f t="shared" si="3"/>
        <v>0.24797913950456324</v>
      </c>
      <c r="G6" s="11">
        <f t="shared" si="3"/>
        <v>0.22549019607843138</v>
      </c>
      <c r="H6" s="10">
        <f t="shared" si="3"/>
        <v>0.1624171853041558</v>
      </c>
      <c r="I6" s="11">
        <f>IFERROR(I5/I3,"")</f>
        <v>0.21509468765330086</v>
      </c>
      <c r="J6" s="11">
        <f>IFERROR(J5/J3,"")</f>
        <v>0.21509468765330089</v>
      </c>
      <c r="K6" s="11">
        <f>IFERROR(K5/K3,"")</f>
        <v>0.21509468765330086</v>
      </c>
      <c r="L6" s="11">
        <f>IFERROR(L5/L3,"")</f>
        <v>0.21509468765330084</v>
      </c>
      <c r="M6" s="149">
        <f>IFERROR(M5/M3,"")</f>
        <v>0.21509468765330089</v>
      </c>
      <c r="N6" s="6"/>
      <c r="O6" s="82" t="s">
        <v>24</v>
      </c>
      <c r="P6" s="70">
        <f>IFERROR(AVERAGE(C23:H23),"")</f>
        <v>1.3818853707732509E-2</v>
      </c>
      <c r="Q6" s="266">
        <f>P6</f>
        <v>1.3818853707732509E-2</v>
      </c>
      <c r="R6" s="33"/>
      <c r="S6" s="33"/>
      <c r="T6" s="33"/>
    </row>
    <row r="7" spans="1:20" ht="24.95" customHeight="1" thickTop="1">
      <c r="A7" s="152" t="s">
        <v>25</v>
      </c>
      <c r="B7" s="142">
        <f>IFERROR(-VALUE(VLOOKUP("Depreciation And Amortization*",'8.TIKR_CF'!$A:$H,COLUMN(B7),FALSE))-IFERROR(VALUE(VLOOKUP("Amortization of Goodwill and Intangible Assets*",'8.TIKR_CF'!$A:$H,COLUMN(B7),FALSE)),"0"),"0")</f>
        <v>-36</v>
      </c>
      <c r="C7" s="142">
        <f>IFERROR(-VALUE(VLOOKUP("Depreciation And Amortization*",'8.TIKR_CF'!$A:$H,COLUMN(C7),FALSE))-IFERROR(VALUE(VLOOKUP("Amortization of Goodwill and Intangible Assets*",'8.TIKR_CF'!$A:$H,COLUMN(C7),FALSE)),"0"),"0")</f>
        <v>-51</v>
      </c>
      <c r="D7" s="142">
        <f>IFERROR(-VALUE(VLOOKUP("Depreciation And Amortization*",'8.TIKR_CF'!$A:$H,COLUMN(D7),FALSE))-IFERROR(VALUE(VLOOKUP("Amortization of Goodwill and Intangible Assets*",'8.TIKR_CF'!$A:$H,COLUMN(D7),FALSE)),"0"),"0")</f>
        <v>-45</v>
      </c>
      <c r="E7" s="142">
        <f>IFERROR(-VALUE(VLOOKUP("Depreciation And Amortization*",'8.TIKR_CF'!$A:$H,COLUMN(E7),FALSE))-IFERROR(VALUE(VLOOKUP("Amortization of Goodwill and Intangible Assets*",'8.TIKR_CF'!$A:$H,COLUMN(E7),FALSE)),"0"),"0")</f>
        <v>-126</v>
      </c>
      <c r="F7" s="142">
        <f>IFERROR(-VALUE(VLOOKUP("Depreciation And Amortization*",'8.TIKR_CF'!$A:$H,COLUMN(F7),FALSE))-IFERROR(VALUE(VLOOKUP("Amortization of Goodwill and Intangible Assets*",'8.TIKR_CF'!$A:$H,COLUMN(F7),FALSE)),"0"),"0")</f>
        <v>-244</v>
      </c>
      <c r="G7" s="142">
        <f>IFERROR(-VALUE(VLOOKUP("Depreciation And Amortization*",'8.TIKR_CF'!$A:$H,COLUMN(G7),FALSE))-IFERROR(VALUE(VLOOKUP("Amortization of Goodwill and Intangible Assets*",'8.TIKR_CF'!$A:$H,COLUMN(G7),FALSE)),"0"),"0")</f>
        <v>-213</v>
      </c>
      <c r="H7" s="142">
        <f>IFERROR(-VALUE(VLOOKUP("Depreciation And Amortization*",'8.TIKR_CF'!$A:$H,COLUMN(H7),FALSE))-IFERROR(VALUE(VLOOKUP("Amortization of Goodwill and Intangible Assets*",'8.TIKR_CF'!$A:$H,COLUMN(H7),FALSE)),"0"),"0")</f>
        <v>-351</v>
      </c>
      <c r="I7" s="107">
        <f>IFERROR((H7*$Q$3)+H7,"")</f>
        <v>-465.04797222640622</v>
      </c>
      <c r="J7" s="107">
        <f>IFERROR((I7*$Q$3)+I7,"")</f>
        <v>-616.15275348117461</v>
      </c>
      <c r="K7" s="107">
        <f>IFERROR((J7*$Q$3)+J7,"")</f>
        <v>-816.35495324255555</v>
      </c>
      <c r="L7" s="107">
        <f>IFERROR((K7*$Q$3)+K7,"")</f>
        <v>-1081.6074519157639</v>
      </c>
      <c r="M7" s="153">
        <f>IFERROR((L7*$Q$3)+L7,"")</f>
        <v>-1433.0465876307585</v>
      </c>
      <c r="N7" s="6"/>
      <c r="O7" s="6"/>
      <c r="P7" s="7"/>
      <c r="Q7" s="7"/>
      <c r="R7" s="33"/>
      <c r="S7" s="33"/>
      <c r="T7" s="33"/>
    </row>
    <row r="8" spans="1:20" ht="24.95" customHeight="1">
      <c r="A8" s="147" t="s">
        <v>26</v>
      </c>
      <c r="B8" s="143">
        <f>IFERROR(VALUE(VLOOKUP("Operating Income*",'6.TIKR_IS'!$A:$H,COLUMN(B2),FALSE)),"0")</f>
        <v>434</v>
      </c>
      <c r="C8" s="143">
        <f>IFERROR(VALUE(VLOOKUP("Operating Income*",'6.TIKR_IS'!$A:$H,COLUMN(C2),FALSE)),"0")</f>
        <v>316</v>
      </c>
      <c r="D8" s="143">
        <f>IFERROR(VALUE(VLOOKUP("Operating Income*",'6.TIKR_IS'!$A:$H,COLUMN(D2),FALSE)),"0")</f>
        <v>-28</v>
      </c>
      <c r="E8" s="143">
        <f>IFERROR(VALUE(VLOOKUP("Operating Income*",'6.TIKR_IS'!$A:$H,COLUMN(E2),FALSE)),"0")</f>
        <v>482</v>
      </c>
      <c r="F8" s="143">
        <f>IFERROR(VALUE(VLOOKUP("Operating Income*",'6.TIKR_IS'!$A:$H,COLUMN(F2),FALSE)),"0")</f>
        <v>707</v>
      </c>
      <c r="G8" s="143">
        <f>IFERROR(VALUE(VLOOKUP("Operating Income*",'6.TIKR_IS'!$A:$H,COLUMN(G2),FALSE)),"0")</f>
        <v>684</v>
      </c>
      <c r="H8" s="143">
        <f>IFERROR(VALUE(VLOOKUP("Operating Income*",'6.TIKR_IS'!$A:$H,COLUMN(H2),FALSE)),"0")</f>
        <v>458</v>
      </c>
      <c r="I8" s="105">
        <f>IFERROR(I3*$Q$4,"")</f>
        <v>954.4568255825169</v>
      </c>
      <c r="J8" s="105">
        <f>IFERROR(J3*$Q$4,"")</f>
        <v>1264.5817986176701</v>
      </c>
      <c r="K8" s="105">
        <f>IFERROR(K3*$Q$4,"")</f>
        <v>1675.4735075828178</v>
      </c>
      <c r="L8" s="105">
        <f>IFERROR(L3*$Q$4,"")</f>
        <v>2219.8733823944549</v>
      </c>
      <c r="M8" s="151">
        <f>IFERROR(M3*$Q$4,"")</f>
        <v>2941.1612965296722</v>
      </c>
      <c r="N8" s="6"/>
      <c r="O8" s="6"/>
      <c r="P8" s="6"/>
      <c r="Q8" s="6"/>
      <c r="R8" s="33"/>
      <c r="S8" s="33"/>
      <c r="T8" s="33"/>
    </row>
    <row r="9" spans="1:20" ht="24.95" customHeight="1">
      <c r="A9" s="131" t="s">
        <v>27</v>
      </c>
      <c r="B9" s="140">
        <f t="shared" ref="B9:M9" si="4">IFERROR((B8/B3),"")</f>
        <v>0.21710855427713857</v>
      </c>
      <c r="C9" s="11">
        <f t="shared" si="4"/>
        <v>0.17192600652883569</v>
      </c>
      <c r="D9" s="11">
        <f t="shared" si="4"/>
        <v>-3.1319910514541388E-2</v>
      </c>
      <c r="E9" s="11">
        <f t="shared" si="4"/>
        <v>0.20642398286937902</v>
      </c>
      <c r="F9" s="11">
        <f t="shared" si="4"/>
        <v>0.18435462842242503</v>
      </c>
      <c r="G9" s="11">
        <f t="shared" si="4"/>
        <v>0.17194570135746606</v>
      </c>
      <c r="H9" s="10">
        <f t="shared" si="4"/>
        <v>9.1949407749447903E-2</v>
      </c>
      <c r="I9" s="11">
        <f t="shared" si="4"/>
        <v>0.14462691009859299</v>
      </c>
      <c r="J9" s="11">
        <f t="shared" si="4"/>
        <v>0.14462691009859299</v>
      </c>
      <c r="K9" s="11">
        <f t="shared" si="4"/>
        <v>0.14462691009859299</v>
      </c>
      <c r="L9" s="11">
        <f t="shared" si="4"/>
        <v>0.14462691009859299</v>
      </c>
      <c r="M9" s="149">
        <f t="shared" si="4"/>
        <v>0.14462691009859299</v>
      </c>
      <c r="N9" s="6"/>
      <c r="O9" s="6"/>
      <c r="P9" s="6"/>
      <c r="Q9" s="6"/>
      <c r="R9" s="33"/>
      <c r="S9" s="33"/>
      <c r="T9" s="33"/>
    </row>
    <row r="10" spans="1:20" ht="24.95" customHeight="1">
      <c r="A10" s="152" t="s">
        <v>28</v>
      </c>
      <c r="B10" s="142">
        <f>IFERROR(VALUE(VLOOKUP("Interest Expense*",'6.TIKR_IS'!$A:$H,COLUMN(B10),FALSE)),"0")</f>
        <v>-30</v>
      </c>
      <c r="C10" s="142">
        <f>IFERROR(VALUE(VLOOKUP("Interest Expense*",'6.TIKR_IS'!$A:$H,COLUMN(C10),FALSE)),"0")</f>
        <v>-43</v>
      </c>
      <c r="D10" s="142">
        <f>IFERROR(VALUE(VLOOKUP("Interest Expense*",'6.TIKR_IS'!$A:$H,COLUMN(D10),FALSE)),"0")</f>
        <v>-43</v>
      </c>
      <c r="E10" s="142">
        <f>IFERROR(VALUE(VLOOKUP("Interest Expense*",'6.TIKR_IS'!$A:$H,COLUMN(E10),FALSE)),"0")</f>
        <v>-105</v>
      </c>
      <c r="F10" s="142">
        <f>IFERROR(VALUE(VLOOKUP("Interest Expense*",'6.TIKR_IS'!$A:$H,COLUMN(F10),FALSE)),"0")</f>
        <v>-142</v>
      </c>
      <c r="G10" s="142">
        <f>IFERROR(VALUE(VLOOKUP("Interest Expense*",'6.TIKR_IS'!$A:$H,COLUMN(G10),FALSE)),"0")</f>
        <v>-178</v>
      </c>
      <c r="H10" s="142">
        <f>IFERROR(VALUE(VLOOKUP("Interest Expense*",'6.TIKR_IS'!$A:$H,COLUMN(H10),FALSE)),"0")</f>
        <v>329</v>
      </c>
      <c r="I10" s="107">
        <f>IFERROR(-TIKR_Cálculos!$B$26*SUM('3.ROIC'!I6:I7),"")</f>
        <v>-182.99413227226964</v>
      </c>
      <c r="J10" s="107">
        <f>IFERROR(-TIKR_Cálculos!$B$26*SUM('3.ROIC'!J6:J7),"")</f>
        <v>-242.82383219952479</v>
      </c>
      <c r="K10" s="107">
        <f>IFERROR(-TIKR_Cálculos!$B$26*SUM('3.ROIC'!K6:K7),"")</f>
        <v>-322.09357758438045</v>
      </c>
      <c r="L10" s="107">
        <f>IFERROR(-TIKR_Cálculos!$B$26*SUM('3.ROIC'!L6:L7),"")</f>
        <v>-427.1198862742113</v>
      </c>
      <c r="M10" s="153">
        <f>IFERROR(-TIKR_Cálculos!$B$26*SUM('3.ROIC'!M6:M7),"")</f>
        <v>-566.27165803099331</v>
      </c>
      <c r="N10" s="6"/>
      <c r="O10" s="6"/>
      <c r="P10" s="6"/>
      <c r="Q10" s="6"/>
      <c r="R10" s="33"/>
      <c r="S10" s="33"/>
      <c r="T10" s="33"/>
    </row>
    <row r="11" spans="1:20" ht="24.95" customHeight="1">
      <c r="A11" s="152" t="s">
        <v>29</v>
      </c>
      <c r="B11" s="142">
        <f>IFERROR(VALUE(VLOOKUP("Total Other Income/Expenses Net*",'6.TIKR_IS'!$A:$H,COLUMN(B11),FALSE)),"0")</f>
        <v>-1</v>
      </c>
      <c r="C11" s="142">
        <f>IFERROR(VALUE(VLOOKUP("Total Other Income/Expenses Net*",'6.TIKR_IS'!$A:$H,COLUMN(C11),FALSE)),"0")</f>
        <v>-43</v>
      </c>
      <c r="D11" s="142">
        <f>IFERROR(VALUE(VLOOKUP("Total Other Income/Expenses Net*",'6.TIKR_IS'!$A:$H,COLUMN(D11),FALSE)),"0")</f>
        <v>-252</v>
      </c>
      <c r="E11" s="142">
        <f>IFERROR(VALUE(VLOOKUP("Total Other Income/Expenses Net*",'6.TIKR_IS'!$A:$H,COLUMN(E11),FALSE)),"0")</f>
        <v>-213</v>
      </c>
      <c r="F11" s="142">
        <f>IFERROR(VALUE(VLOOKUP("Total Other Income/Expenses Net*",'6.TIKR_IS'!$A:$H,COLUMN(F11),FALSE)),"0")</f>
        <v>-226</v>
      </c>
      <c r="G11" s="142">
        <f>IFERROR(VALUE(VLOOKUP("Total Other Income/Expenses Net*",'6.TIKR_IS'!$A:$H,COLUMN(G11),FALSE)),"0")</f>
        <v>-235</v>
      </c>
      <c r="H11" s="142">
        <f>IFERROR(VALUE(VLOOKUP("Total Other Income/Expenses Net*",'6.TIKR_IS'!$A:$H,COLUMN(H11),FALSE)),"0")</f>
        <v>-322</v>
      </c>
      <c r="I11" s="107" t="str">
        <f>IFERROR(TIKR_Cálculos!$B$25*'3.ROIC'!I5,"")</f>
        <v/>
      </c>
      <c r="J11" s="107" t="str">
        <f>IFERROR(TIKR_Cálculos!$B$25*'3.ROIC'!J5,"")</f>
        <v/>
      </c>
      <c r="K11" s="107" t="str">
        <f>IFERROR(TIKR_Cálculos!$B$25*'3.ROIC'!K5,"")</f>
        <v/>
      </c>
      <c r="L11" s="107" t="str">
        <f>IFERROR(TIKR_Cálculos!$B$25*'3.ROIC'!L5,"")</f>
        <v/>
      </c>
      <c r="M11" s="153" t="str">
        <f>IFERROR(TIKR_Cálculos!$B$25*'3.ROIC'!M5,"")</f>
        <v/>
      </c>
      <c r="N11" s="6"/>
      <c r="O11" s="6"/>
      <c r="P11" s="6"/>
      <c r="Q11" s="6"/>
      <c r="R11" s="33"/>
      <c r="S11" s="33"/>
      <c r="T11" s="33"/>
    </row>
    <row r="12" spans="1:20" ht="24.95" customHeight="1">
      <c r="A12" s="131" t="s">
        <v>30</v>
      </c>
      <c r="B12" s="144">
        <f>B10+B11</f>
        <v>-31</v>
      </c>
      <c r="C12" s="107">
        <f t="shared" ref="C12:H12" si="5">C10+C11</f>
        <v>-86</v>
      </c>
      <c r="D12" s="107">
        <f t="shared" si="5"/>
        <v>-295</v>
      </c>
      <c r="E12" s="107">
        <f t="shared" si="5"/>
        <v>-318</v>
      </c>
      <c r="F12" s="107">
        <f t="shared" si="5"/>
        <v>-368</v>
      </c>
      <c r="G12" s="107">
        <f t="shared" si="5"/>
        <v>-413</v>
      </c>
      <c r="H12" s="108">
        <f t="shared" si="5"/>
        <v>7</v>
      </c>
      <c r="I12" s="107">
        <f>IFERROR(SUM(I10:I11),"")</f>
        <v>-182.99413227226964</v>
      </c>
      <c r="J12" s="107">
        <f t="shared" ref="J12:M12" si="6">IFERROR(SUM(J10:J11),"")</f>
        <v>-242.82383219952479</v>
      </c>
      <c r="K12" s="107">
        <f t="shared" si="6"/>
        <v>-322.09357758438045</v>
      </c>
      <c r="L12" s="107">
        <f t="shared" si="6"/>
        <v>-427.1198862742113</v>
      </c>
      <c r="M12" s="153">
        <f t="shared" si="6"/>
        <v>-566.27165803099331</v>
      </c>
      <c r="N12" s="6"/>
      <c r="O12" s="6"/>
      <c r="P12" s="7"/>
      <c r="Q12" s="7"/>
      <c r="R12" s="33"/>
      <c r="S12" s="33"/>
      <c r="T12" s="33"/>
    </row>
    <row r="13" spans="1:20" ht="24.95" customHeight="1" collapsed="1">
      <c r="A13" s="131" t="s">
        <v>31</v>
      </c>
      <c r="B13" s="144">
        <f t="shared" ref="B13:M13" si="7">IFERROR(B8+B12,"")</f>
        <v>403</v>
      </c>
      <c r="C13" s="107">
        <f t="shared" si="7"/>
        <v>230</v>
      </c>
      <c r="D13" s="107">
        <f t="shared" si="7"/>
        <v>-323</v>
      </c>
      <c r="E13" s="107">
        <f t="shared" si="7"/>
        <v>164</v>
      </c>
      <c r="F13" s="107">
        <f t="shared" si="7"/>
        <v>339</v>
      </c>
      <c r="G13" s="107">
        <f t="shared" si="7"/>
        <v>271</v>
      </c>
      <c r="H13" s="108">
        <f t="shared" si="7"/>
        <v>465</v>
      </c>
      <c r="I13" s="107">
        <f t="shared" si="7"/>
        <v>771.46269331024723</v>
      </c>
      <c r="J13" s="107">
        <f t="shared" si="7"/>
        <v>1021.7579664181453</v>
      </c>
      <c r="K13" s="107">
        <f t="shared" si="7"/>
        <v>1353.3799299984373</v>
      </c>
      <c r="L13" s="107">
        <f t="shared" si="7"/>
        <v>1792.7534961202437</v>
      </c>
      <c r="M13" s="153">
        <f t="shared" si="7"/>
        <v>2374.8896384986788</v>
      </c>
      <c r="N13" s="6"/>
      <c r="O13" s="6"/>
      <c r="P13" s="7"/>
      <c r="Q13" s="7"/>
      <c r="R13" s="33"/>
      <c r="S13" s="33"/>
      <c r="T13" s="33"/>
    </row>
    <row r="14" spans="1:20" ht="24.95" customHeight="1">
      <c r="A14" s="152" t="s">
        <v>32</v>
      </c>
      <c r="B14" s="142">
        <f>IFERROR(VALUE(VLOOKUP("Income Tax Expense*",'6.TIKR_IS'!$A:$H,COLUMN(B14),FALSE)),"0")</f>
        <v>-105</v>
      </c>
      <c r="C14" s="142">
        <f>IFERROR(VALUE(VLOOKUP("Income Tax Expense*",'6.TIKR_IS'!$A:$H,COLUMN(C14),FALSE)),"0")</f>
        <v>-57</v>
      </c>
      <c r="D14" s="142">
        <f>IFERROR(VALUE(VLOOKUP("Income Tax Expense*",'6.TIKR_IS'!$A:$H,COLUMN(D14),FALSE)),"0")</f>
        <v>79</v>
      </c>
      <c r="E14" s="142">
        <f>IFERROR(VALUE(VLOOKUP("Income Tax Expense*",'6.TIKR_IS'!$A:$H,COLUMN(E14),FALSE)),"0")</f>
        <v>-93</v>
      </c>
      <c r="F14" s="142">
        <f>IFERROR(VALUE(VLOOKUP("Income Tax Expense*",'6.TIKR_IS'!$A:$H,COLUMN(F14),FALSE)),"0")</f>
        <v>-129</v>
      </c>
      <c r="G14" s="142">
        <f>IFERROR(VALUE(VLOOKUP("Income Tax Expense*",'6.TIKR_IS'!$A:$H,COLUMN(G14),FALSE)),"0")</f>
        <v>-136</v>
      </c>
      <c r="H14" s="142">
        <f>IFERROR(VALUE(VLOOKUP("Income Tax Expense*",'6.TIKR_IS'!$A:$H,COLUMN(H14),FALSE)),"0")</f>
        <v>76</v>
      </c>
      <c r="I14" s="107">
        <f>IFERROR(-I13*I15,"")</f>
        <v>-126.08852621844902</v>
      </c>
      <c r="J14" s="107">
        <f>IFERROR(-J13*J15,"")</f>
        <v>-166.9970009629657</v>
      </c>
      <c r="K14" s="107">
        <f>IFERROR(-K13*K15,"")</f>
        <v>-221.19757995673385</v>
      </c>
      <c r="L14" s="107">
        <f>IFERROR(-L13*L15,"")</f>
        <v>-293.00917355943767</v>
      </c>
      <c r="M14" s="153">
        <f>IFERROR(-M13*M15,"")</f>
        <v>-388.15400543204214</v>
      </c>
      <c r="N14" s="6"/>
      <c r="O14" s="6"/>
      <c r="P14" s="6"/>
      <c r="Q14" s="6"/>
      <c r="R14" s="33"/>
      <c r="S14" s="33"/>
      <c r="T14" s="33"/>
    </row>
    <row r="15" spans="1:20" ht="24.95" customHeight="1">
      <c r="A15" s="131" t="s">
        <v>33</v>
      </c>
      <c r="B15" s="140">
        <f t="shared" ref="B15:H15" si="8">IFERROR((ABS(B14)/B13),"")</f>
        <v>0.26054590570719605</v>
      </c>
      <c r="C15" s="11">
        <f t="shared" si="8"/>
        <v>0.24782608695652175</v>
      </c>
      <c r="D15" s="11">
        <f t="shared" si="8"/>
        <v>-0.24458204334365324</v>
      </c>
      <c r="E15" s="11">
        <f t="shared" si="8"/>
        <v>0.56707317073170727</v>
      </c>
      <c r="F15" s="11">
        <f t="shared" si="8"/>
        <v>0.38053097345132741</v>
      </c>
      <c r="G15" s="11">
        <f t="shared" si="8"/>
        <v>0.50184501845018448</v>
      </c>
      <c r="H15" s="10">
        <f t="shared" si="8"/>
        <v>0.16344086021505377</v>
      </c>
      <c r="I15" s="11">
        <f>$Q$5</f>
        <v>0.16344086021505377</v>
      </c>
      <c r="J15" s="11">
        <f>$Q$5</f>
        <v>0.16344086021505377</v>
      </c>
      <c r="K15" s="11">
        <f>$Q$5</f>
        <v>0.16344086021505377</v>
      </c>
      <c r="L15" s="11">
        <f>$Q$5</f>
        <v>0.16344086021505377</v>
      </c>
      <c r="M15" s="149">
        <f>$Q$5</f>
        <v>0.16344086021505377</v>
      </c>
      <c r="N15" s="6"/>
      <c r="O15" s="6"/>
      <c r="P15" s="7"/>
      <c r="Q15" s="7"/>
      <c r="R15" s="33"/>
      <c r="S15" s="33"/>
      <c r="T15" s="33"/>
    </row>
    <row r="16" spans="1:20" ht="24.95" customHeight="1">
      <c r="A16" s="131" t="s">
        <v>34</v>
      </c>
      <c r="B16" s="144">
        <f t="shared" ref="B16:H16" si="9">B13+B14</f>
        <v>298</v>
      </c>
      <c r="C16" s="107">
        <f t="shared" si="9"/>
        <v>173</v>
      </c>
      <c r="D16" s="107">
        <f t="shared" si="9"/>
        <v>-244</v>
      </c>
      <c r="E16" s="107">
        <f t="shared" si="9"/>
        <v>71</v>
      </c>
      <c r="F16" s="107">
        <f t="shared" si="9"/>
        <v>210</v>
      </c>
      <c r="G16" s="107">
        <f t="shared" si="9"/>
        <v>135</v>
      </c>
      <c r="H16" s="108">
        <f t="shared" si="9"/>
        <v>541</v>
      </c>
      <c r="I16" s="107">
        <f>IFERROR(I13+I14,"")</f>
        <v>645.3741670917982</v>
      </c>
      <c r="J16" s="107">
        <f>IFERROR(J13+J14,"")</f>
        <v>854.76096545517964</v>
      </c>
      <c r="K16" s="107">
        <f>IFERROR(K13+K14,"")</f>
        <v>1132.1823500417036</v>
      </c>
      <c r="L16" s="107">
        <f>IFERROR(L13+L14,"")</f>
        <v>1499.744322560806</v>
      </c>
      <c r="M16" s="153">
        <f>IFERROR(M13+M14,"")</f>
        <v>1986.7356330666366</v>
      </c>
      <c r="N16" s="6"/>
      <c r="O16" s="6"/>
      <c r="P16" s="7"/>
      <c r="Q16" s="7"/>
      <c r="R16" s="33"/>
      <c r="S16" s="33"/>
      <c r="T16" s="33"/>
    </row>
    <row r="17" spans="1:20" ht="24.95" customHeight="1">
      <c r="A17" s="152" t="s">
        <v>35</v>
      </c>
      <c r="B17" s="142" t="str">
        <f>IFERROR(VALUE(VLOOKUP("Minority Interest*",'6.TIKR_IS'!$A:$H,COLUMN(B17),FALSE)),"0")</f>
        <v>0</v>
      </c>
      <c r="C17" s="142" t="str">
        <f>IFERROR(VALUE(VLOOKUP("Minority Interest*",'6.TIKR_IS'!$A:$H,COLUMN(C17),FALSE)),"0")</f>
        <v>0</v>
      </c>
      <c r="D17" s="142" t="str">
        <f>IFERROR(VALUE(VLOOKUP("Minority Interest*",'6.TIKR_IS'!$A:$H,COLUMN(D17),FALSE)),"0")</f>
        <v>0</v>
      </c>
      <c r="E17" s="142" t="str">
        <f>IFERROR(VALUE(VLOOKUP("Minority Interest*",'6.TIKR_IS'!$A:$H,COLUMN(E17),FALSE)),"0")</f>
        <v>0</v>
      </c>
      <c r="F17" s="142" t="str">
        <f>IFERROR(VALUE(VLOOKUP("Minority Interest*",'6.TIKR_IS'!$A:$H,COLUMN(F17),FALSE)),"0")</f>
        <v>0</v>
      </c>
      <c r="G17" s="142" t="str">
        <f>IFERROR(VALUE(VLOOKUP("Minority Interest*",'6.TIKR_IS'!$A:$H,COLUMN(G17),FALSE)),"0")</f>
        <v>0</v>
      </c>
      <c r="H17" s="142" t="str">
        <f>IFERROR(VALUE(VLOOKUP("Minority Interest*",'6.TIKR_IS'!$A:$H,COLUMN(H17),FALSE)),"0")</f>
        <v>0</v>
      </c>
      <c r="I17" s="107">
        <f>IFERROR(H17/H16*I16,"")</f>
        <v>0</v>
      </c>
      <c r="J17" s="107">
        <f>IFERROR(I17/I16*J16,"")</f>
        <v>0</v>
      </c>
      <c r="K17" s="107">
        <f>IFERROR(J17/J16*K16,"")</f>
        <v>0</v>
      </c>
      <c r="L17" s="107">
        <f>IFERROR(K17/K16*L16,"")</f>
        <v>0</v>
      </c>
      <c r="M17" s="153">
        <f>IFERROR(L17/L16*M16,"")</f>
        <v>0</v>
      </c>
      <c r="N17" s="6"/>
      <c r="O17" s="6"/>
      <c r="P17" s="7"/>
      <c r="Q17" s="7"/>
      <c r="R17" s="33"/>
      <c r="S17" s="33"/>
      <c r="T17" s="33"/>
    </row>
    <row r="18" spans="1:20" ht="24.95" customHeight="1">
      <c r="A18" s="150" t="s">
        <v>36</v>
      </c>
      <c r="B18" s="141">
        <f t="shared" ref="B18:H18" si="10">B16+B17</f>
        <v>298</v>
      </c>
      <c r="C18" s="105">
        <f t="shared" si="10"/>
        <v>173</v>
      </c>
      <c r="D18" s="105">
        <f t="shared" si="10"/>
        <v>-244</v>
      </c>
      <c r="E18" s="105">
        <f t="shared" si="10"/>
        <v>71</v>
      </c>
      <c r="F18" s="105">
        <f t="shared" si="10"/>
        <v>210</v>
      </c>
      <c r="G18" s="105">
        <f t="shared" si="10"/>
        <v>135</v>
      </c>
      <c r="H18" s="106">
        <f t="shared" si="10"/>
        <v>541</v>
      </c>
      <c r="I18" s="105">
        <f>IFERROR(I16+I17,"")</f>
        <v>645.3741670917982</v>
      </c>
      <c r="J18" s="105">
        <f>IFERROR(J16+J17,"")</f>
        <v>854.76096545517964</v>
      </c>
      <c r="K18" s="105">
        <f>IFERROR(K16+K17,"")</f>
        <v>1132.1823500417036</v>
      </c>
      <c r="L18" s="105">
        <f>IFERROR(L16+L17,"")</f>
        <v>1499.744322560806</v>
      </c>
      <c r="M18" s="151">
        <f>IFERROR(M16+M17,"")</f>
        <v>1986.7356330666366</v>
      </c>
      <c r="N18" s="6"/>
      <c r="O18" s="6"/>
      <c r="P18" s="7"/>
      <c r="Q18" s="7"/>
      <c r="R18" s="33"/>
      <c r="S18" s="33"/>
      <c r="T18" s="33"/>
    </row>
    <row r="19" spans="1:20" ht="24.95" customHeight="1">
      <c r="A19" s="131" t="s">
        <v>37</v>
      </c>
      <c r="B19" s="140">
        <f t="shared" ref="B19:M19" si="11">IFERROR(B18/B3,"")</f>
        <v>0.14907453726863432</v>
      </c>
      <c r="C19" s="11">
        <f t="shared" si="11"/>
        <v>9.4124047878128406E-2</v>
      </c>
      <c r="D19" s="11">
        <f t="shared" si="11"/>
        <v>-0.27293064876957496</v>
      </c>
      <c r="E19" s="11">
        <f t="shared" si="11"/>
        <v>3.0406852248394005E-2</v>
      </c>
      <c r="F19" s="11">
        <f t="shared" si="11"/>
        <v>5.4758800521512385E-2</v>
      </c>
      <c r="G19" s="11">
        <f t="shared" si="11"/>
        <v>3.3936651583710405E-2</v>
      </c>
      <c r="H19" s="10">
        <f t="shared" si="11"/>
        <v>0.10861272836779763</v>
      </c>
      <c r="I19" s="11">
        <f t="shared" si="11"/>
        <v>9.7792240719714263E-2</v>
      </c>
      <c r="J19" s="11">
        <f t="shared" si="11"/>
        <v>9.7756774169772909E-2</v>
      </c>
      <c r="K19" s="11">
        <f t="shared" si="11"/>
        <v>9.7730005406606771E-2</v>
      </c>
      <c r="L19" s="11">
        <f t="shared" si="11"/>
        <v>9.7709801392327711E-2</v>
      </c>
      <c r="M19" s="149">
        <f t="shared" si="11"/>
        <v>9.7694552193459031E-2</v>
      </c>
      <c r="N19" s="6"/>
      <c r="O19" s="6"/>
      <c r="P19" s="7"/>
      <c r="Q19" s="7"/>
      <c r="R19" s="33"/>
      <c r="S19" s="33"/>
      <c r="T19" s="33"/>
    </row>
    <row r="20" spans="1:20" ht="24.95" customHeight="1">
      <c r="A20" s="131" t="s">
        <v>38</v>
      </c>
      <c r="B20" s="145">
        <f t="shared" ref="B20:M20" si="12">IFERROR(B18/B22,"")</f>
        <v>3.0408163265306123</v>
      </c>
      <c r="C20" s="109">
        <f t="shared" si="12"/>
        <v>1.937506999664016</v>
      </c>
      <c r="D20" s="109">
        <f t="shared" si="12"/>
        <v>-2.8645221883071139</v>
      </c>
      <c r="E20" s="109">
        <f t="shared" si="12"/>
        <v>0.702344445543575</v>
      </c>
      <c r="F20" s="109">
        <f t="shared" si="12"/>
        <v>1.75</v>
      </c>
      <c r="G20" s="109">
        <f t="shared" si="12"/>
        <v>1.2096774193548387</v>
      </c>
      <c r="H20" s="110">
        <f t="shared" si="12"/>
        <v>5.3039215686274508</v>
      </c>
      <c r="I20" s="109">
        <f t="shared" si="12"/>
        <v>6.2409548741833563</v>
      </c>
      <c r="J20" s="109">
        <f t="shared" si="12"/>
        <v>8.153119021739883</v>
      </c>
      <c r="K20" s="109">
        <f t="shared" si="12"/>
        <v>10.652097139325106</v>
      </c>
      <c r="L20" s="109">
        <f t="shared" si="12"/>
        <v>13.917960548415911</v>
      </c>
      <c r="M20" s="154">
        <f t="shared" si="12"/>
        <v>18.186037919208232</v>
      </c>
      <c r="N20" s="6"/>
      <c r="O20" s="6"/>
      <c r="P20" s="6"/>
      <c r="Q20" s="6"/>
      <c r="R20" s="33"/>
      <c r="S20" s="33"/>
      <c r="T20" s="33"/>
    </row>
    <row r="21" spans="1:20" ht="24.95" customHeight="1">
      <c r="A21" s="131" t="s">
        <v>19</v>
      </c>
      <c r="B21" s="140"/>
      <c r="C21" s="11">
        <f t="shared" ref="C21:M21" si="13">IFERROR((C20-B20)/B20,"")</f>
        <v>-0.36283326856686726</v>
      </c>
      <c r="D21" s="11">
        <f t="shared" si="13"/>
        <v>-2.4784577236644059</v>
      </c>
      <c r="E21" s="11">
        <f t="shared" si="13"/>
        <v>-1.2451872945549252</v>
      </c>
      <c r="F21" s="11">
        <f t="shared" si="13"/>
        <v>1.4916549295774648</v>
      </c>
      <c r="G21" s="11">
        <f t="shared" si="13"/>
        <v>-0.30875576036866359</v>
      </c>
      <c r="H21" s="10">
        <f t="shared" si="13"/>
        <v>3.3845751633986922</v>
      </c>
      <c r="I21" s="11">
        <f t="shared" si="13"/>
        <v>0.17666801694399697</v>
      </c>
      <c r="J21" s="11">
        <f t="shared" si="13"/>
        <v>0.30638967691730634</v>
      </c>
      <c r="K21" s="11">
        <f t="shared" si="13"/>
        <v>0.30650578152015479</v>
      </c>
      <c r="L21" s="11">
        <f t="shared" si="13"/>
        <v>0.30659346853250002</v>
      </c>
      <c r="M21" s="149">
        <f t="shared" si="13"/>
        <v>0.30665968307246694</v>
      </c>
      <c r="N21" s="6"/>
      <c r="O21" s="6"/>
      <c r="P21" s="6"/>
      <c r="Q21" s="6"/>
      <c r="R21" s="33"/>
      <c r="S21" s="33"/>
      <c r="T21" s="33"/>
    </row>
    <row r="22" spans="1:20" ht="24.95" customHeight="1">
      <c r="A22" s="152" t="s">
        <v>39</v>
      </c>
      <c r="B22" s="146">
        <f>IFERROR(VALUE(VLOOKUP("*Diluted Weighted Average Shares Outstanding*",'6.TIKR_IS'!$A:$H,COLUMN(B22),FALSE)),"0")</f>
        <v>98</v>
      </c>
      <c r="C22" s="146">
        <f>IFERROR(VALUE(VLOOKUP("*Diluted Weighted Average Shares Outstanding*",'6.TIKR_IS'!$A:$H,COLUMN(C22),FALSE)),"0")</f>
        <v>89.29</v>
      </c>
      <c r="D22" s="146">
        <f>IFERROR(VALUE(VLOOKUP("*Diluted Weighted Average Shares Outstanding*",'6.TIKR_IS'!$A:$H,COLUMN(D22),FALSE)),"0")</f>
        <v>85.18</v>
      </c>
      <c r="E22" s="146">
        <f>IFERROR(VALUE(VLOOKUP("*Diluted Weighted Average Shares Outstanding*",'6.TIKR_IS'!$A:$H,COLUMN(E22),FALSE)),"0")</f>
        <v>101.09</v>
      </c>
      <c r="F22" s="146">
        <f>IFERROR(VALUE(VLOOKUP("*Diluted Weighted Average Shares Outstanding*",'6.TIKR_IS'!$A:$H,COLUMN(F22),FALSE)),"0")</f>
        <v>120</v>
      </c>
      <c r="G22" s="146">
        <f>IFERROR(VALUE(VLOOKUP("*Diluted Weighted Average Shares Outstanding*",'6.TIKR_IS'!$A:$H,COLUMN(G22),FALSE)),"0")</f>
        <v>111.6</v>
      </c>
      <c r="H22" s="146">
        <f>IFERROR(VALUE(VLOOKUP("*Diluted Weighted Average Shares Outstanding*",'6.TIKR_IS'!$A:$H,COLUMN(H22),FALSE)),"0")</f>
        <v>102</v>
      </c>
      <c r="I22" s="12">
        <f>IFERROR(H22*(1+$Q$6),"")</f>
        <v>103.40952307818873</v>
      </c>
      <c r="J22" s="12">
        <f>IFERROR(I22*(1+$Q$6),"")</f>
        <v>104.83852414959262</v>
      </c>
      <c r="K22" s="12">
        <f>IFERROR(J22*(1+$Q$6),"")</f>
        <v>106.28727237775043</v>
      </c>
      <c r="L22" s="12">
        <f>IFERROR(K22*(1+$Q$6),"")</f>
        <v>107.75604064573248</v>
      </c>
      <c r="M22" s="155">
        <f>IFERROR(L22*(1+$Q$6),"")</f>
        <v>109.24510560754035</v>
      </c>
      <c r="N22" s="6"/>
      <c r="O22" s="6"/>
      <c r="P22" s="7"/>
      <c r="Q22" s="7"/>
      <c r="R22" s="33"/>
      <c r="S22" s="33"/>
      <c r="T22" s="33"/>
    </row>
    <row r="23" spans="1:20" ht="24.95" customHeight="1">
      <c r="A23" s="28" t="s">
        <v>19</v>
      </c>
      <c r="B23" s="156"/>
      <c r="C23" s="157">
        <f t="shared" ref="C23:M23" si="14">IFERROR((C22-B22)/B22,"")</f>
        <v>-8.8877551020408105E-2</v>
      </c>
      <c r="D23" s="157">
        <f t="shared" si="14"/>
        <v>-4.6029790570052631E-2</v>
      </c>
      <c r="E23" s="157">
        <f t="shared" si="14"/>
        <v>0.18678093449166466</v>
      </c>
      <c r="F23" s="157">
        <f t="shared" si="14"/>
        <v>0.18706103472153524</v>
      </c>
      <c r="G23" s="157">
        <f t="shared" si="14"/>
        <v>-7.0000000000000048E-2</v>
      </c>
      <c r="H23" s="158">
        <f t="shared" si="14"/>
        <v>-8.6021505376344037E-2</v>
      </c>
      <c r="I23" s="157">
        <f t="shared" si="14"/>
        <v>1.3818853707732615E-2</v>
      </c>
      <c r="J23" s="157">
        <f t="shared" si="14"/>
        <v>1.3818853707732604E-2</v>
      </c>
      <c r="K23" s="157">
        <f t="shared" si="14"/>
        <v>1.3818853707732594E-2</v>
      </c>
      <c r="L23" s="157">
        <f t="shared" si="14"/>
        <v>1.3818853707732559E-2</v>
      </c>
      <c r="M23" s="159">
        <f t="shared" si="14"/>
        <v>1.3818853707732644E-2</v>
      </c>
      <c r="N23" s="6"/>
      <c r="O23" s="6"/>
      <c r="P23" s="7"/>
      <c r="Q23" s="7"/>
      <c r="R23" s="33"/>
      <c r="S23" s="33"/>
      <c r="T23" s="33"/>
    </row>
    <row r="24" spans="1:20" ht="15.75" customHeight="1">
      <c r="A24" s="61"/>
      <c r="B24" s="62"/>
      <c r="C24" s="62"/>
      <c r="D24" s="62"/>
      <c r="E24" s="62"/>
      <c r="F24" s="62"/>
      <c r="G24" s="62"/>
      <c r="H24" s="63"/>
      <c r="I24" s="63"/>
      <c r="J24" s="62"/>
      <c r="K24" s="62"/>
      <c r="L24" s="62"/>
      <c r="M24" s="62"/>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61"/>
      <c r="S27" s="61"/>
      <c r="T27" s="61"/>
    </row>
    <row r="28" spans="1:20" s="30" customFormat="1" ht="20.100000000000001" hidden="1" customHeight="1">
      <c r="R28" s="61"/>
      <c r="S28" s="61"/>
      <c r="T28" s="61"/>
    </row>
    <row r="29" spans="1:20" s="30" customFormat="1" ht="20.100000000000001" hidden="1" customHeight="1">
      <c r="R29" s="61"/>
      <c r="S29" s="61"/>
      <c r="T29" s="61"/>
    </row>
    <row r="30" spans="1:20" s="30" customFormat="1" ht="20.100000000000001" hidden="1" customHeight="1">
      <c r="R30" s="61"/>
      <c r="S30" s="61"/>
      <c r="T30" s="61"/>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64"/>
    </row>
    <row r="56" spans="1:1" hidden="1">
      <c r="A56" s="64"/>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3" zoomScale="85" zoomScaleNormal="85" workbookViewId="0">
      <selection activeCell="B27" sqref="B27:H27"/>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40</v>
      </c>
    </row>
    <row r="2" spans="1:14" s="6" customFormat="1" ht="39.950000000000003" customHeight="1">
      <c r="A2" s="137" t="s">
        <v>41</v>
      </c>
      <c r="B2" s="67">
        <f>'1.IS'!B$2</f>
        <v>2018</v>
      </c>
      <c r="C2" s="67">
        <f>'1.IS'!C$2</f>
        <v>2019</v>
      </c>
      <c r="D2" s="67">
        <f>'1.IS'!D$2</f>
        <v>2020</v>
      </c>
      <c r="E2" s="67">
        <f>'1.IS'!E$2</f>
        <v>2021</v>
      </c>
      <c r="F2" s="67">
        <f>'1.IS'!F$2</f>
        <v>2022</v>
      </c>
      <c r="G2" s="67">
        <f>'1.IS'!G$2</f>
        <v>2023</v>
      </c>
      <c r="H2" s="67">
        <f>'1.IS'!H$2</f>
        <v>2024</v>
      </c>
      <c r="I2" s="8" t="str">
        <f>'1.IS'!I$2</f>
        <v>2025e</v>
      </c>
      <c r="J2" s="8" t="str">
        <f>'1.IS'!J$2</f>
        <v>2026e</v>
      </c>
      <c r="K2" s="8" t="str">
        <f>'1.IS'!K$2</f>
        <v>2027e</v>
      </c>
      <c r="L2" s="8" t="str">
        <f>'1.IS'!L$2</f>
        <v>2028e</v>
      </c>
      <c r="M2" s="8" t="str">
        <f>'1.IS'!M$2</f>
        <v>2029e</v>
      </c>
      <c r="N2" s="18"/>
    </row>
    <row r="3" spans="1:14" s="6" customFormat="1" ht="27.95" customHeight="1">
      <c r="A3" s="150" t="s">
        <v>21</v>
      </c>
      <c r="B3" s="141">
        <f>VALUE('1.IS'!B5)</f>
        <v>470</v>
      </c>
      <c r="C3" s="141">
        <f>VALUE('1.IS'!C5)</f>
        <v>367</v>
      </c>
      <c r="D3" s="141">
        <f>VALUE('1.IS'!D5)</f>
        <v>17</v>
      </c>
      <c r="E3" s="141">
        <f>VALUE('1.IS'!E5)</f>
        <v>608</v>
      </c>
      <c r="F3" s="141">
        <f>VALUE('1.IS'!F5)</f>
        <v>951</v>
      </c>
      <c r="G3" s="141">
        <f>VALUE('1.IS'!G5)</f>
        <v>897</v>
      </c>
      <c r="H3" s="141">
        <f>VALUE('1.IS'!H5)</f>
        <v>809</v>
      </c>
      <c r="I3" s="141">
        <f>'1.IS'!I5</f>
        <v>1419.5047978089231</v>
      </c>
      <c r="J3" s="105">
        <f>'1.IS'!J5</f>
        <v>1880.7345520988447</v>
      </c>
      <c r="K3" s="105">
        <f>'1.IS'!K5</f>
        <v>2491.8284608253734</v>
      </c>
      <c r="L3" s="105">
        <f>'1.IS'!L5</f>
        <v>3301.4808343102186</v>
      </c>
      <c r="M3" s="151">
        <f>'1.IS'!M5</f>
        <v>4374.2078841604307</v>
      </c>
      <c r="N3" s="9"/>
    </row>
    <row r="4" spans="1:14" s="6" customFormat="1" ht="24.95" customHeight="1">
      <c r="A4" s="152" t="s">
        <v>42</v>
      </c>
      <c r="B4" s="142">
        <f>IFERROR(VALUE(VLOOKUP("CapEx Mantenimiento",TIKR_Cálculos!$A:$H,COLUMN(B4),FALSE)),"0")</f>
        <v>-36</v>
      </c>
      <c r="C4" s="142">
        <f>IFERROR(VALUE(VLOOKUP("CapEx Mantenimiento",TIKR_Cálculos!$A:$H,COLUMN(C4),FALSE)),"0")</f>
        <v>-35</v>
      </c>
      <c r="D4" s="142">
        <f>IFERROR(VALUE(VLOOKUP("CapEx Mantenimiento",TIKR_Cálculos!$A:$H,COLUMN(D4),FALSE)),"0")</f>
        <v>-4</v>
      </c>
      <c r="E4" s="142">
        <f>IFERROR(VALUE(VLOOKUP("CapEx Mantenimiento",TIKR_Cálculos!$A:$H,COLUMN(E4),FALSE)),"0")</f>
        <v>-39</v>
      </c>
      <c r="F4" s="142">
        <f>IFERROR(VALUE(VLOOKUP("CapEx Mantenimiento",TIKR_Cálculos!$A:$H,COLUMN(F4),FALSE)),"0")</f>
        <v>-97</v>
      </c>
      <c r="G4" s="142">
        <f>IFERROR(VALUE(VLOOKUP("CapEx Mantenimiento",TIKR_Cálculos!$A:$H,COLUMN(G4),FALSE)),"0")</f>
        <v>-75</v>
      </c>
      <c r="H4" s="142">
        <f>IFERROR(VALUE(VLOOKUP("CapEx Mantenimiento",TIKR_Cálculos!$A:$H,COLUMN(H4),FALSE)),"0")</f>
        <v>0</v>
      </c>
      <c r="I4" s="160">
        <f>IFERROR((H4*'1.IS'!$Q$3)+'2.FCF'!H4,"")</f>
        <v>0</v>
      </c>
      <c r="J4" s="111">
        <f>IFERROR((I4*'1.IS'!$Q$3)+'2.FCF'!I4,"")</f>
        <v>0</v>
      </c>
      <c r="K4" s="111">
        <f>IFERROR((J4*'1.IS'!$Q$3)+'2.FCF'!J4,"")</f>
        <v>0</v>
      </c>
      <c r="L4" s="111">
        <f>IFERROR((K4*'1.IS'!$Q$3)+'2.FCF'!K4,"")</f>
        <v>0</v>
      </c>
      <c r="M4" s="165">
        <f>IFERROR((L4*'1.IS'!$Q$3)+'2.FCF'!L4,"")</f>
        <v>0</v>
      </c>
      <c r="N4" s="15"/>
    </row>
    <row r="5" spans="1:14" s="6" customFormat="1" ht="24.95" customHeight="1">
      <c r="A5" s="128" t="s">
        <v>43</v>
      </c>
      <c r="B5" s="160">
        <f>VALUE('1.IS'!B12)</f>
        <v>-31</v>
      </c>
      <c r="C5" s="160">
        <f>VALUE('1.IS'!C12)</f>
        <v>-86</v>
      </c>
      <c r="D5" s="160">
        <f>VALUE('1.IS'!D12)</f>
        <v>-295</v>
      </c>
      <c r="E5" s="160">
        <f>VALUE('1.IS'!E12)</f>
        <v>-318</v>
      </c>
      <c r="F5" s="160">
        <f>VALUE('1.IS'!F12)</f>
        <v>-368</v>
      </c>
      <c r="G5" s="160">
        <f>VALUE('1.IS'!G12)</f>
        <v>-413</v>
      </c>
      <c r="H5" s="160">
        <f>VALUE('1.IS'!H12)</f>
        <v>7</v>
      </c>
      <c r="I5" s="160">
        <f>'1.IS'!I12</f>
        <v>-182.99413227226964</v>
      </c>
      <c r="J5" s="111">
        <f>'1.IS'!J12</f>
        <v>-242.82383219952479</v>
      </c>
      <c r="K5" s="111">
        <f>'1.IS'!K12</f>
        <v>-322.09357758438045</v>
      </c>
      <c r="L5" s="111">
        <f>'1.IS'!L12</f>
        <v>-427.1198862742113</v>
      </c>
      <c r="M5" s="165">
        <f>'1.IS'!M12</f>
        <v>-566.27165803099331</v>
      </c>
      <c r="N5" s="15"/>
    </row>
    <row r="6" spans="1:14" s="6" customFormat="1" ht="24.95" customHeight="1">
      <c r="A6" s="128" t="s">
        <v>44</v>
      </c>
      <c r="B6" s="160">
        <f>'1.IS'!B14</f>
        <v>-105</v>
      </c>
      <c r="C6" s="111">
        <f>'1.IS'!C14</f>
        <v>-57</v>
      </c>
      <c r="D6" s="111">
        <f>'1.IS'!D14</f>
        <v>79</v>
      </c>
      <c r="E6" s="111">
        <f>'1.IS'!E14</f>
        <v>-93</v>
      </c>
      <c r="F6" s="111">
        <f>'1.IS'!F14</f>
        <v>-129</v>
      </c>
      <c r="G6" s="111">
        <f>'1.IS'!G14</f>
        <v>-136</v>
      </c>
      <c r="H6" s="111">
        <f>'1.IS'!H14</f>
        <v>76</v>
      </c>
      <c r="I6" s="160">
        <f>'1.IS'!I14</f>
        <v>-126.08852621844902</v>
      </c>
      <c r="J6" s="111">
        <f>'1.IS'!J14</f>
        <v>-166.9970009629657</v>
      </c>
      <c r="K6" s="111">
        <f>'1.IS'!K14</f>
        <v>-221.19757995673385</v>
      </c>
      <c r="L6" s="111">
        <f>'1.IS'!L14</f>
        <v>-293.00917355943767</v>
      </c>
      <c r="M6" s="165">
        <f>'1.IS'!M14</f>
        <v>-388.15400543204214</v>
      </c>
      <c r="N6" s="15"/>
    </row>
    <row r="7" spans="1:14" s="6" customFormat="1" ht="24.95" customHeight="1">
      <c r="A7" s="166" t="s">
        <v>45</v>
      </c>
      <c r="B7" s="142">
        <f>IFERROR(VALUE(VLOOKUP("Inventory*",'7.TIKR_BS'!$A:$H,COLUMN(B7),FALSE)),"0")</f>
        <v>527</v>
      </c>
      <c r="C7" s="142">
        <f>IFERROR(VALUE(VLOOKUP("Inventory*",'7.TIKR_BS'!$A:$H,COLUMN(C7),FALSE)),"0")</f>
        <v>558</v>
      </c>
      <c r="D7" s="142">
        <f>IFERROR(VALUE(VLOOKUP("Inventory*",'7.TIKR_BS'!$A:$H,COLUMN(D7),FALSE)),"0")</f>
        <v>702</v>
      </c>
      <c r="E7" s="142">
        <f>IFERROR(VALUE(VLOOKUP("Inventory*",'7.TIKR_BS'!$A:$H,COLUMN(E7),FALSE)),"0")</f>
        <v>1240</v>
      </c>
      <c r="F7" s="142">
        <f>IFERROR(VALUE(VLOOKUP("Inventory*",'7.TIKR_BS'!$A:$H,COLUMN(F7),FALSE)),"0")</f>
        <v>1159</v>
      </c>
      <c r="G7" s="142">
        <f>IFERROR(VALUE(VLOOKUP("Inventory*",'7.TIKR_BS'!$A:$H,COLUMN(G7),FALSE)),"0")</f>
        <v>1400</v>
      </c>
      <c r="H7" s="142">
        <f>IFERROR(VALUE(VLOOKUP("Inventory*",'7.TIKR_BS'!$A:$H,COLUMN(H7),FALSE)),"0")</f>
        <v>2244</v>
      </c>
      <c r="I7" s="161"/>
      <c r="J7" s="112"/>
      <c r="K7" s="112"/>
      <c r="L7" s="112"/>
      <c r="M7" s="167"/>
      <c r="N7" s="15"/>
    </row>
    <row r="8" spans="1:14" s="6" customFormat="1" ht="24.95" customHeight="1">
      <c r="A8" s="166" t="s">
        <v>46</v>
      </c>
      <c r="B8" s="142">
        <f>IFERROR(VALUE(VLOOKUP("Net Receivables*",'7.TIKR_BS'!$A:$H,COLUMN(B8),FALSE)),"0")</f>
        <v>1273</v>
      </c>
      <c r="C8" s="142">
        <f>IFERROR(VALUE(VLOOKUP("Net Receivables*",'7.TIKR_BS'!$A:$H,COLUMN(C8),FALSE)),"0")</f>
        <v>1330</v>
      </c>
      <c r="D8" s="142">
        <f>IFERROR(VALUE(VLOOKUP("Net Receivables*",'7.TIKR_BS'!$A:$H,COLUMN(D8),FALSE)),"0")</f>
        <v>1093</v>
      </c>
      <c r="E8" s="142">
        <f>IFERROR(VALUE(VLOOKUP("Net Receivables*",'7.TIKR_BS'!$A:$H,COLUMN(E8),FALSE)),"0")</f>
        <v>2049</v>
      </c>
      <c r="F8" s="142">
        <f>IFERROR(VALUE(VLOOKUP("Net Receivables*",'7.TIKR_BS'!$A:$H,COLUMN(F8),FALSE)),"0")</f>
        <v>2278</v>
      </c>
      <c r="G8" s="142">
        <f>IFERROR(VALUE(VLOOKUP("Net Receivables*",'7.TIKR_BS'!$A:$H,COLUMN(G8),FALSE)),"0")</f>
        <v>2620</v>
      </c>
      <c r="H8" s="142">
        <f>IFERROR(VALUE(VLOOKUP("Net Receivables*",'7.TIKR_BS'!$A:$H,COLUMN(H8),FALSE)),"0")</f>
        <v>315</v>
      </c>
      <c r="I8" s="161"/>
      <c r="J8" s="112"/>
      <c r="K8" s="112"/>
      <c r="L8" s="112"/>
      <c r="M8" s="167"/>
      <c r="N8" s="15"/>
    </row>
    <row r="9" spans="1:14" s="6" customFormat="1" ht="24.95" customHeight="1">
      <c r="A9" s="166" t="s">
        <v>47</v>
      </c>
      <c r="B9" s="142">
        <f>IFERROR(VALUE(VLOOKUP("Other Current Liabilities*",'7.TIKR_BS'!$A:$H,COLUMN(B9),FALSE)),"0")+IFERROR(VALUE(VLOOKUP("Deferred Revenue*",'7.TIKR_BS'!$A:$H,COLUMN(B9),FALSE)),"0")+IFERROR(VALUE(VLOOKUP("Deferred Revenue Non Current*",'7.TIKR_BS'!$A:$H,COLUMN(B9),FALSE)),"0")</f>
        <v>448</v>
      </c>
      <c r="C9" s="142">
        <f>IFERROR(VALUE(VLOOKUP("Other Current Liabilities*",'7.TIKR_BS'!$A:$H,COLUMN(C9),FALSE)),"0")+IFERROR(VALUE(VLOOKUP("Deferred Revenue*",'7.TIKR_BS'!$A:$H,COLUMN(C9),FALSE)),"0")+IFERROR(VALUE(VLOOKUP("Deferred Revenue Non Current*",'7.TIKR_BS'!$A:$H,COLUMN(C9),FALSE)),"0")</f>
        <v>876</v>
      </c>
      <c r="D9" s="142">
        <f>IFERROR(VALUE(VLOOKUP("Other Current Liabilities*",'7.TIKR_BS'!$A:$H,COLUMN(D9),FALSE)),"0")+IFERROR(VALUE(VLOOKUP("Deferred Revenue*",'7.TIKR_BS'!$A:$H,COLUMN(D9),FALSE)),"0")+IFERROR(VALUE(VLOOKUP("Deferred Revenue Non Current*",'7.TIKR_BS'!$A:$H,COLUMN(D9),FALSE)),"0")</f>
        <v>763</v>
      </c>
      <c r="E9" s="142">
        <f>IFERROR(VALUE(VLOOKUP("Other Current Liabilities*",'7.TIKR_BS'!$A:$H,COLUMN(E9),FALSE)),"0")+IFERROR(VALUE(VLOOKUP("Deferred Revenue*",'7.TIKR_BS'!$A:$H,COLUMN(E9),FALSE)),"0")+IFERROR(VALUE(VLOOKUP("Deferred Revenue Non Current*",'7.TIKR_BS'!$A:$H,COLUMN(E9),FALSE)),"0")</f>
        <v>397</v>
      </c>
      <c r="F9" s="142">
        <f>IFERROR(VALUE(VLOOKUP("Other Current Liabilities*",'7.TIKR_BS'!$A:$H,COLUMN(F9),FALSE)),"0")+IFERROR(VALUE(VLOOKUP("Deferred Revenue*",'7.TIKR_BS'!$A:$H,COLUMN(F9),FALSE)),"0")+IFERROR(VALUE(VLOOKUP("Deferred Revenue Non Current*",'7.TIKR_BS'!$A:$H,COLUMN(F9),FALSE)),"0")</f>
        <v>288</v>
      </c>
      <c r="G9" s="142">
        <f>IFERROR(VALUE(VLOOKUP("Other Current Liabilities*",'7.TIKR_BS'!$A:$H,COLUMN(G9),FALSE)),"0")+IFERROR(VALUE(VLOOKUP("Deferred Revenue*",'7.TIKR_BS'!$A:$H,COLUMN(G9),FALSE)),"0")+IFERROR(VALUE(VLOOKUP("Deferred Revenue Non Current*",'7.TIKR_BS'!$A:$H,COLUMN(G9),FALSE)),"0")</f>
        <v>1202</v>
      </c>
      <c r="H9" s="142">
        <f>IFERROR(VALUE(VLOOKUP("Other Current Liabilities*",'7.TIKR_BS'!$A:$H,COLUMN(H9),FALSE)),"0")+IFERROR(VALUE(VLOOKUP("Deferred Revenue*",'7.TIKR_BS'!$A:$H,COLUMN(H9),FALSE)),"0")+IFERROR(VALUE(VLOOKUP("Deferred Revenue Non Current*",'7.TIKR_BS'!$A:$H,COLUMN(H9),FALSE)),"0")</f>
        <v>252</v>
      </c>
      <c r="I9" s="161"/>
      <c r="J9" s="112"/>
      <c r="K9" s="112"/>
      <c r="L9" s="112"/>
      <c r="M9" s="167"/>
      <c r="N9" s="15"/>
    </row>
    <row r="10" spans="1:14" s="6" customFormat="1" ht="24.95" customHeight="1" thickBot="1">
      <c r="A10" s="168" t="s">
        <v>48</v>
      </c>
      <c r="B10" s="160">
        <f>B7+B8-B9</f>
        <v>1352</v>
      </c>
      <c r="C10" s="111">
        <f t="shared" ref="C10:H10" si="0">C7+C8-C9</f>
        <v>1012</v>
      </c>
      <c r="D10" s="111">
        <f t="shared" si="0"/>
        <v>1032</v>
      </c>
      <c r="E10" s="111">
        <f t="shared" si="0"/>
        <v>2892</v>
      </c>
      <c r="F10" s="111">
        <f t="shared" si="0"/>
        <v>3149</v>
      </c>
      <c r="G10" s="111">
        <f t="shared" si="0"/>
        <v>2818</v>
      </c>
      <c r="H10" s="111">
        <f t="shared" si="0"/>
        <v>2307</v>
      </c>
      <c r="I10" s="160">
        <f>IFERROR(IF(AND(I7&lt;&gt;"",I8&lt;&gt;"",I9&lt;&gt;""),I7+I8-I9,H10+I11),"")</f>
        <v>2659.8619106814303</v>
      </c>
      <c r="J10" s="111">
        <f>IFERROR(IF(AND(J7&lt;&gt;"",J8&lt;&gt;"",J9&lt;&gt;""),J7+J8-J9,I10+J11),"")</f>
        <v>3127.3767711895061</v>
      </c>
      <c r="K10" s="111">
        <f>IFERROR(IF(AND(K7&lt;&gt;"",K8&lt;&gt;"",K9&lt;&gt;""),K7+K8-K9,J10+K11),"")</f>
        <v>3746.797961688058</v>
      </c>
      <c r="L10" s="111">
        <f>IFERROR(IF(AND(L7&lt;&gt;"",L8&lt;&gt;"",L9&lt;&gt;""),L7+L8-L9,K10+L11),"")</f>
        <v>4567.4833423017844</v>
      </c>
      <c r="M10" s="165">
        <f>IFERROR(IF(AND(M7&lt;&gt;"",M8&lt;&gt;"",M9&lt;&gt;""),M7+M8-M9,L10+M11),"")</f>
        <v>5654.8282770318983</v>
      </c>
      <c r="N10" s="15"/>
    </row>
    <row r="11" spans="1:14" s="6" customFormat="1" ht="24.95" customHeight="1" thickTop="1" thickBot="1">
      <c r="A11" s="128" t="s">
        <v>49</v>
      </c>
      <c r="B11" s="160"/>
      <c r="C11" s="111">
        <f>(C7+C8-C9)-(B7+B8-B9)</f>
        <v>-340</v>
      </c>
      <c r="D11" s="111">
        <f t="shared" ref="D11:H11" si="1">(D7+D8-D9)-(C7+C8-C9)</f>
        <v>20</v>
      </c>
      <c r="E11" s="111">
        <f t="shared" si="1"/>
        <v>1860</v>
      </c>
      <c r="F11" s="111">
        <f t="shared" si="1"/>
        <v>257</v>
      </c>
      <c r="G11" s="111">
        <f t="shared" si="1"/>
        <v>-331</v>
      </c>
      <c r="H11" s="111">
        <f t="shared" si="1"/>
        <v>-511</v>
      </c>
      <c r="I11" s="267">
        <f>IFERROR((SUM(C11:H11)/SUM('1.IS'!C3:H3))*'1.IS'!I3,"")</f>
        <v>352.86191068143052</v>
      </c>
      <c r="J11" s="268">
        <f>IFERROR(IF(AND(J7&lt;&gt;"",J8&lt;&gt;"",J9&lt;&gt;""),(J7+J8-J9)-(I7+I8-I9),(I11/'1.IS'!I3)*'1.IS'!J3),"")</f>
        <v>467.51486050807563</v>
      </c>
      <c r="K11" s="268">
        <f>IFERROR(IF(AND(K7&lt;&gt;"",K8&lt;&gt;"",K9&lt;&gt;""),(K7+K8-K9)-(J7+J8-J9),(J11/'1.IS'!J3)*'1.IS'!K3),"")</f>
        <v>619.42119049855194</v>
      </c>
      <c r="L11" s="268">
        <f>IFERROR(IF(AND(L7&lt;&gt;"",L8&lt;&gt;"",L9&lt;&gt;""),(L7+L8-L9)-(K7+K8-K9),(K11/'1.IS'!K3)*'1.IS'!L3),"")</f>
        <v>820.68538061372669</v>
      </c>
      <c r="M11" s="269">
        <f>IFERROR(IF(AND(M7&lt;&gt;"",M8&lt;&gt;"",M9&lt;&gt;""),(M7+M8-M9)-(L7+L8-L9),(L11/'1.IS'!L3)*'1.IS'!M3),"")</f>
        <v>1087.3449347301139</v>
      </c>
      <c r="N11" s="15"/>
    </row>
    <row r="12" spans="1:14" s="6" customFormat="1" ht="24.95" customHeight="1" thickTop="1">
      <c r="A12" s="169" t="s">
        <v>50</v>
      </c>
      <c r="B12" s="161" t="str">
        <f>'1.IS'!B17</f>
        <v>0</v>
      </c>
      <c r="C12" s="112" t="str">
        <f>'1.IS'!C17</f>
        <v>0</v>
      </c>
      <c r="D12" s="112" t="str">
        <f>'1.IS'!D17</f>
        <v>0</v>
      </c>
      <c r="E12" s="112" t="str">
        <f>'1.IS'!E17</f>
        <v>0</v>
      </c>
      <c r="F12" s="112" t="str">
        <f>'1.IS'!F17</f>
        <v>0</v>
      </c>
      <c r="G12" s="112" t="str">
        <f>'1.IS'!G17</f>
        <v>0</v>
      </c>
      <c r="H12" s="112" t="str">
        <f>'1.IS'!H17</f>
        <v>0</v>
      </c>
      <c r="I12" s="161">
        <f>'1.IS'!I17</f>
        <v>0</v>
      </c>
      <c r="J12" s="112">
        <f>'1.IS'!J17</f>
        <v>0</v>
      </c>
      <c r="K12" s="112">
        <f>'1.IS'!K17</f>
        <v>0</v>
      </c>
      <c r="L12" s="112">
        <f>'1.IS'!L17</f>
        <v>0</v>
      </c>
      <c r="M12" s="167">
        <f>'1.IS'!M17</f>
        <v>0</v>
      </c>
      <c r="N12" s="17"/>
    </row>
    <row r="13" spans="1:14" s="6" customFormat="1" ht="24.95" customHeight="1">
      <c r="A13" s="170" t="s">
        <v>51</v>
      </c>
      <c r="B13" s="162">
        <f>B3+B4+B5+B6-B11+B12</f>
        <v>298</v>
      </c>
      <c r="C13" s="113">
        <f t="shared" ref="C13:H13" si="2">C3+C4+C5+C6-C11+C12</f>
        <v>529</v>
      </c>
      <c r="D13" s="113">
        <f t="shared" si="2"/>
        <v>-223</v>
      </c>
      <c r="E13" s="113">
        <f t="shared" si="2"/>
        <v>-1702</v>
      </c>
      <c r="F13" s="113">
        <f t="shared" si="2"/>
        <v>100</v>
      </c>
      <c r="G13" s="113">
        <f t="shared" si="2"/>
        <v>604</v>
      </c>
      <c r="H13" s="113">
        <f t="shared" si="2"/>
        <v>1403</v>
      </c>
      <c r="I13" s="162">
        <f>IFERROR(I3+I4+I5+I6-I11+I12,"")</f>
        <v>757.5602286367739</v>
      </c>
      <c r="J13" s="113">
        <f t="shared" ref="J13:M13" si="3">IFERROR(J3+J4+J5+J6-J11+J12,"")</f>
        <v>1003.3988584282786</v>
      </c>
      <c r="K13" s="113">
        <f t="shared" si="3"/>
        <v>1329.1161127857072</v>
      </c>
      <c r="L13" s="113">
        <f t="shared" si="3"/>
        <v>1760.6663938628428</v>
      </c>
      <c r="M13" s="171">
        <f t="shared" si="3"/>
        <v>2332.4372859672812</v>
      </c>
      <c r="N13" s="15"/>
    </row>
    <row r="14" spans="1:14" s="6" customFormat="1" ht="24.95" customHeight="1">
      <c r="A14" s="172" t="s">
        <v>52</v>
      </c>
      <c r="B14" s="163">
        <f>IFERROR(B13/'1.IS'!B3,"")</f>
        <v>0.14907453726863432</v>
      </c>
      <c r="C14" s="24">
        <f>IFERROR(C13/'1.IS'!C3,"")</f>
        <v>0.28781284004352559</v>
      </c>
      <c r="D14" s="24">
        <f>IFERROR(D13/'1.IS'!D3,"")</f>
        <v>-0.2494407158836689</v>
      </c>
      <c r="E14" s="24">
        <f>IFERROR(E13/'1.IS'!E3,"")</f>
        <v>-0.72890792291220552</v>
      </c>
      <c r="F14" s="24">
        <f>IFERROR(F13/'1.IS'!F3,"")</f>
        <v>2.607561929595828E-2</v>
      </c>
      <c r="G14" s="24">
        <f>IFERROR(G13/'1.IS'!G3,"")</f>
        <v>0.15183509301156359</v>
      </c>
      <c r="H14" s="75">
        <f>IFERROR(H13/'1.IS'!H3,"")</f>
        <v>0.28167034731981527</v>
      </c>
      <c r="I14" s="66">
        <f>IFERROR(I13/'1.IS'!I3,"")</f>
        <v>0.11479156745979811</v>
      </c>
      <c r="J14" s="24">
        <f>IFERROR(J13/'1.IS'!J3,"")</f>
        <v>0.11475610090985675</v>
      </c>
      <c r="K14" s="24">
        <f>IFERROR(K13/'1.IS'!K3,"")</f>
        <v>0.11472933214669061</v>
      </c>
      <c r="L14" s="24">
        <f>IFERROR(L13/'1.IS'!L3,"")</f>
        <v>0.11470912813241152</v>
      </c>
      <c r="M14" s="173">
        <f>IFERROR(M13/'1.IS'!M3,"")</f>
        <v>0.11469387893354288</v>
      </c>
      <c r="N14" s="15"/>
    </row>
    <row r="15" spans="1:14" s="6" customFormat="1" ht="24.95" customHeight="1">
      <c r="A15" s="131" t="s">
        <v>19</v>
      </c>
      <c r="B15" s="164"/>
      <c r="C15" s="24">
        <f t="shared" ref="C15:M15" si="4">IFERROR((C13-B13)/B13,"")</f>
        <v>0.77516778523489938</v>
      </c>
      <c r="D15" s="24">
        <f t="shared" si="4"/>
        <v>-1.4215500945179584</v>
      </c>
      <c r="E15" s="24">
        <f t="shared" si="4"/>
        <v>6.6322869955156953</v>
      </c>
      <c r="F15" s="24">
        <f t="shared" si="4"/>
        <v>-1.0587544065804935</v>
      </c>
      <c r="G15" s="24">
        <f t="shared" si="4"/>
        <v>5.04</v>
      </c>
      <c r="H15" s="75">
        <f t="shared" si="4"/>
        <v>1.3228476821192052</v>
      </c>
      <c r="I15" s="66">
        <f t="shared" si="4"/>
        <v>-0.46004260253971924</v>
      </c>
      <c r="J15" s="24">
        <f t="shared" si="4"/>
        <v>0.3245136432701729</v>
      </c>
      <c r="K15" s="24">
        <f t="shared" si="4"/>
        <v>0.32461393753988449</v>
      </c>
      <c r="L15" s="24">
        <f t="shared" si="4"/>
        <v>0.32468967679027327</v>
      </c>
      <c r="M15" s="173">
        <f t="shared" si="4"/>
        <v>0.32474686521959012</v>
      </c>
      <c r="N15" s="15"/>
    </row>
    <row r="16" spans="1:14" s="6" customFormat="1" ht="24.95" customHeight="1" thickBot="1">
      <c r="A16" s="131" t="s">
        <v>53</v>
      </c>
      <c r="B16" s="117">
        <f>IFERROR(B13/'1.IS'!B22,"")</f>
        <v>3.0408163265306123</v>
      </c>
      <c r="C16" s="115">
        <f>IFERROR(C13/'1.IS'!C22,"")</f>
        <v>5.924515623250084</v>
      </c>
      <c r="D16" s="115">
        <f>IFERROR(D13/'1.IS'!D22,"")</f>
        <v>-2.6179854425921576</v>
      </c>
      <c r="E16" s="115">
        <f>IFERROR(E13/'1.IS'!E22,"")</f>
        <v>-16.836482342467107</v>
      </c>
      <c r="F16" s="115">
        <f>IFERROR(F13/'1.IS'!F22,"")</f>
        <v>0.83333333333333337</v>
      </c>
      <c r="G16" s="115">
        <f>IFERROR(G13/'1.IS'!G22,"")</f>
        <v>5.4121863799283156</v>
      </c>
      <c r="H16" s="115">
        <f>IFERROR(H13/'1.IS'!H22,"")</f>
        <v>13.754901960784315</v>
      </c>
      <c r="I16" s="117">
        <f>IFERROR(I13/'1.IS'!I22,"")</f>
        <v>7.3258265398243534</v>
      </c>
      <c r="J16" s="115">
        <f>IFERROR(J13/'1.IS'!J22,"")</f>
        <v>9.5708983559950056</v>
      </c>
      <c r="K16" s="115">
        <f>IFERROR(K13/'1.IS'!K22,"")</f>
        <v>12.504941401280487</v>
      </c>
      <c r="L16" s="115">
        <f>IFERROR(L13/'1.IS'!L22,"")</f>
        <v>16.339375345567426</v>
      </c>
      <c r="M16" s="116">
        <f>IFERROR(M13/'1.IS'!M22,"")</f>
        <v>21.350496875772997</v>
      </c>
      <c r="N16" s="16"/>
    </row>
    <row r="17" spans="1:14" s="6" customFormat="1" ht="24.95" customHeight="1" thickTop="1" thickBot="1">
      <c r="A17" s="218" t="s">
        <v>54</v>
      </c>
      <c r="B17" s="174">
        <f>IFERROR(VALUE(VLOOKUP("Net Change in Cash*",'8.TIKR_CF'!$A:$H,COLUMN(B17),FALSE)),"0")</f>
        <v>-117</v>
      </c>
      <c r="C17" s="174">
        <f>IFERROR(VALUE(VLOOKUP("Net Change in Cash*",'8.TIKR_CF'!$A:$H,COLUMN(C17),FALSE)),"0")</f>
        <v>-28</v>
      </c>
      <c r="D17" s="174">
        <f>IFERROR(VALUE(VLOOKUP("Net Change in Cash*",'8.TIKR_CF'!$A:$H,COLUMN(D17),FALSE)),"0")</f>
        <v>374</v>
      </c>
      <c r="E17" s="174">
        <f>IFERROR(VALUE(VLOOKUP("Net Change in Cash*",'8.TIKR_CF'!$A:$H,COLUMN(E17),FALSE)),"0")</f>
        <v>169</v>
      </c>
      <c r="F17" s="174">
        <f>IFERROR(VALUE(VLOOKUP("Net Change in Cash*",'8.TIKR_CF'!$A:$H,COLUMN(F17),FALSE)),"0")</f>
        <v>-140</v>
      </c>
      <c r="G17" s="174">
        <f>IFERROR(VALUE(VLOOKUP("Net Change in Cash*",'8.TIKR_CF'!$A:$H,COLUMN(G17),FALSE)),"0")</f>
        <v>330</v>
      </c>
      <c r="H17" s="174">
        <f>IFERROR(VALUE(VLOOKUP("Net Change in Cash*",'8.TIKR_CF'!$A:$H,COLUMN(H17),FALSE)),"0")</f>
        <v>-119</v>
      </c>
      <c r="I17" s="267">
        <f>IFERROR((SUM($B17:$H17)/SUM('1.IS'!$B3:$H3))*'1.IS'!I3,"")</f>
        <v>155.84783690827433</v>
      </c>
      <c r="J17" s="268">
        <f>IFERROR((SUM($B17:$H17)/SUM('1.IS'!$B3:$H3))*'1.IS'!J3,"")</f>
        <v>206.48638327653745</v>
      </c>
      <c r="K17" s="268">
        <f>IFERROR((SUM($B17:$H17)/SUM('1.IS'!$B3:$H3))*'1.IS'!K3,"")</f>
        <v>273.57855793480985</v>
      </c>
      <c r="L17" s="268">
        <f>IFERROR((SUM($B17:$H17)/SUM('1.IS'!$B3:$H3))*'1.IS'!L3,"")</f>
        <v>362.47052311170296</v>
      </c>
      <c r="M17" s="269">
        <f>IFERROR((SUM($B17:$H17)/SUM('1.IS'!$B3:$H3))*'1.IS'!M3,"")</f>
        <v>480.24553209385226</v>
      </c>
      <c r="N17" s="16"/>
    </row>
    <row r="18" spans="1:14" s="6" customFormat="1" ht="24.75" customHeight="1" thickTop="1">
      <c r="A18" s="20"/>
      <c r="B18" s="14"/>
      <c r="C18" s="14"/>
      <c r="D18" s="14"/>
      <c r="E18" s="14"/>
      <c r="F18" s="14"/>
      <c r="G18" s="14"/>
      <c r="H18" s="14"/>
      <c r="I18" s="14"/>
      <c r="J18" s="14"/>
      <c r="K18" s="14"/>
      <c r="L18" s="14"/>
      <c r="M18" s="14"/>
      <c r="N18" s="7"/>
    </row>
    <row r="19" spans="1:14" s="134" customFormat="1" ht="39.950000000000003" customHeight="1">
      <c r="A19" s="137" t="s">
        <v>55</v>
      </c>
      <c r="B19" s="67">
        <f>'1.IS'!B$2</f>
        <v>2018</v>
      </c>
      <c r="C19" s="67">
        <f>'1.IS'!C$2</f>
        <v>2019</v>
      </c>
      <c r="D19" s="67">
        <f>'1.IS'!D$2</f>
        <v>2020</v>
      </c>
      <c r="E19" s="67">
        <f>'1.IS'!E$2</f>
        <v>2021</v>
      </c>
      <c r="F19" s="67">
        <f>'1.IS'!F$2</f>
        <v>2022</v>
      </c>
      <c r="G19" s="67">
        <f>'1.IS'!G$2</f>
        <v>2023</v>
      </c>
      <c r="H19" s="67">
        <f>'1.IS'!H$2</f>
        <v>2024</v>
      </c>
      <c r="I19" s="8" t="str">
        <f>'1.IS'!I$2</f>
        <v>2025e</v>
      </c>
      <c r="J19" s="8" t="str">
        <f>'1.IS'!J$2</f>
        <v>2026e</v>
      </c>
      <c r="K19" s="8" t="str">
        <f>'1.IS'!K$2</f>
        <v>2027e</v>
      </c>
      <c r="L19" s="8" t="str">
        <f>'1.IS'!L$2</f>
        <v>2028e</v>
      </c>
      <c r="M19" s="8" t="str">
        <f>'1.IS'!M$2</f>
        <v>2029e</v>
      </c>
      <c r="N19" s="126" t="str">
        <f>"Promedio "&amp;CHAR(10)&amp;B2&amp;" - "&amp;H2</f>
        <v>Promedio 
2018 - 2024</v>
      </c>
    </row>
    <row r="20" spans="1:14" s="6" customFormat="1" ht="24.95" customHeight="1">
      <c r="A20" s="128" t="s">
        <v>56</v>
      </c>
      <c r="B20" s="163">
        <f>IFERROR(ABS(B4)/'1.IS'!B$3,"")</f>
        <v>1.8009004502251125E-2</v>
      </c>
      <c r="C20" s="24">
        <f>IFERROR(ABS(C4)/'1.IS'!C$3,"")</f>
        <v>1.9042437431991296E-2</v>
      </c>
      <c r="D20" s="24">
        <f>IFERROR(ABS(D4)/'1.IS'!D$3,"")</f>
        <v>4.4742729306487695E-3</v>
      </c>
      <c r="E20" s="24">
        <f>IFERROR(ABS(E4)/'1.IS'!E$3,"")</f>
        <v>1.670235546038544E-2</v>
      </c>
      <c r="F20" s="24">
        <f>IFERROR(ABS(F4)/'1.IS'!F$3,"")</f>
        <v>2.529335071707953E-2</v>
      </c>
      <c r="G20" s="24">
        <f>IFERROR(ABS(G4)/'1.IS'!G$3,"")</f>
        <v>1.8853695324283559E-2</v>
      </c>
      <c r="H20" s="24">
        <f>IFERROR(ABS(H4)/'1.IS'!H$3,"")</f>
        <v>0</v>
      </c>
      <c r="I20" s="163">
        <f>IFERROR(ABS(I4)/'1.IS'!I$3,"")</f>
        <v>0</v>
      </c>
      <c r="J20" s="24">
        <f>IFERROR(ABS(J4)/'1.IS'!J$3,"")</f>
        <v>0</v>
      </c>
      <c r="K20" s="24">
        <f>IFERROR(ABS(K4)/'1.IS'!K$3,"")</f>
        <v>0</v>
      </c>
      <c r="L20" s="24">
        <f>IFERROR(ABS(L4)/'1.IS'!L$3,"")</f>
        <v>0</v>
      </c>
      <c r="M20" s="24">
        <f>IFERROR(ABS(M4)/'1.IS'!M$3,"")</f>
        <v>0</v>
      </c>
      <c r="N20" s="177">
        <f>IFERROR(AVERAGE(B20:H20),"")</f>
        <v>1.4625016623805675E-2</v>
      </c>
    </row>
    <row r="21" spans="1:14" s="6" customFormat="1" ht="24.75" customHeight="1">
      <c r="A21" s="128" t="s">
        <v>57</v>
      </c>
      <c r="B21" s="163">
        <f>IFERROR((B7+B8-B9)/'1.IS'!B$3,"")</f>
        <v>0.67633816908454225</v>
      </c>
      <c r="C21" s="24">
        <f>IFERROR((C7+C8-C9)/'1.IS'!C$3,"")</f>
        <v>0.55059847660500549</v>
      </c>
      <c r="D21" s="24">
        <f>IFERROR((D7+D8-D9)/'1.IS'!D$3,"")</f>
        <v>1.1543624161073827</v>
      </c>
      <c r="E21" s="24">
        <f>IFERROR((E7+E8-E9)/'1.IS'!E$3,"")</f>
        <v>1.2385438972162741</v>
      </c>
      <c r="F21" s="24">
        <f>IFERROR((F7+F8-F9)/'1.IS'!F$3,"")</f>
        <v>0.82112125162972616</v>
      </c>
      <c r="G21" s="24">
        <f>IFERROR((G7+G8-G9)/'1.IS'!G$3,"")</f>
        <v>0.70839617898441432</v>
      </c>
      <c r="H21" s="24">
        <f>IFERROR((H7+H8-H9)/'1.IS'!H$3,"")</f>
        <v>0.46316000803051594</v>
      </c>
      <c r="I21" s="163">
        <f>IFERROR(I10/'1.IS'!I$3,"")</f>
        <v>0.40304348936476553</v>
      </c>
      <c r="J21" s="24">
        <f>IFERROR(J10/'1.IS'!J$3,"")</f>
        <v>0.35766989500060065</v>
      </c>
      <c r="K21" s="24">
        <f>IFERROR(K10/'1.IS'!K$3,"")</f>
        <v>0.32342368262475496</v>
      </c>
      <c r="L21" s="24">
        <f>IFERROR(L10/'1.IS'!L$3,"")</f>
        <v>0.29757598246949063</v>
      </c>
      <c r="M21" s="24">
        <f>IFERROR(M10/'1.IS'!M$3,"")</f>
        <v>0.27806715048584996</v>
      </c>
      <c r="N21" s="177">
        <f>IFERROR(AVERAGE(B21:H21),"")</f>
        <v>0.80178862823683728</v>
      </c>
    </row>
    <row r="22" spans="1:14" s="6" customFormat="1" ht="24.95" customHeight="1">
      <c r="A22" s="128" t="s">
        <v>58</v>
      </c>
      <c r="B22" s="163">
        <f>IFERROR(B13/'1.IS'!B$3,"")</f>
        <v>0.14907453726863432</v>
      </c>
      <c r="C22" s="24">
        <f>IFERROR(C13/'1.IS'!C$3,"")</f>
        <v>0.28781284004352559</v>
      </c>
      <c r="D22" s="24">
        <f>IFERROR(D13/'1.IS'!D$3,"")</f>
        <v>-0.2494407158836689</v>
      </c>
      <c r="E22" s="24">
        <f>IFERROR(E13/'1.IS'!E$3,"")</f>
        <v>-0.72890792291220552</v>
      </c>
      <c r="F22" s="24">
        <f>IFERROR(F13/'1.IS'!F$3,"")</f>
        <v>2.607561929595828E-2</v>
      </c>
      <c r="G22" s="24">
        <f>IFERROR(G13/'1.IS'!G$3,"")</f>
        <v>0.15183509301156359</v>
      </c>
      <c r="H22" s="24">
        <f>IFERROR(H13/'1.IS'!H$3,"")</f>
        <v>0.28167034731981527</v>
      </c>
      <c r="I22" s="163">
        <f>IFERROR(I13/'1.IS'!I$3,"")</f>
        <v>0.11479156745979811</v>
      </c>
      <c r="J22" s="24">
        <f>IFERROR(J13/'1.IS'!J$3,"")</f>
        <v>0.11475610090985675</v>
      </c>
      <c r="K22" s="24">
        <f>IFERROR(K13/'1.IS'!K$3,"")</f>
        <v>0.11472933214669061</v>
      </c>
      <c r="L22" s="24">
        <f>IFERROR(L13/'1.IS'!L$3,"")</f>
        <v>0.11470912813241152</v>
      </c>
      <c r="M22" s="24">
        <f>IFERROR(M13/'1.IS'!M$3,"")</f>
        <v>0.11469387893354288</v>
      </c>
      <c r="N22" s="177">
        <f>IFERROR(AVERAGE(B22:H22),"")</f>
        <v>-1.16971716937682E-2</v>
      </c>
    </row>
    <row r="23" spans="1:14" ht="24.95" customHeight="1">
      <c r="A23" s="28" t="s">
        <v>59</v>
      </c>
      <c r="B23" s="176">
        <f t="shared" ref="B23:M23" si="5">IFERROR(B13/B3,"")</f>
        <v>0.63404255319148939</v>
      </c>
      <c r="C23" s="175">
        <f t="shared" si="5"/>
        <v>1.4414168937329701</v>
      </c>
      <c r="D23" s="175">
        <f t="shared" si="5"/>
        <v>-13.117647058823529</v>
      </c>
      <c r="E23" s="175">
        <f t="shared" si="5"/>
        <v>-2.799342105263158</v>
      </c>
      <c r="F23" s="175">
        <f t="shared" si="5"/>
        <v>0.10515247108307045</v>
      </c>
      <c r="G23" s="175">
        <f t="shared" si="5"/>
        <v>0.67335562987736897</v>
      </c>
      <c r="H23" s="175">
        <f t="shared" si="5"/>
        <v>1.7342398022249692</v>
      </c>
      <c r="I23" s="176">
        <f t="shared" si="5"/>
        <v>0.53367923081775148</v>
      </c>
      <c r="J23" s="175">
        <f t="shared" si="5"/>
        <v>0.53351434273832787</v>
      </c>
      <c r="K23" s="175">
        <f t="shared" si="5"/>
        <v>0.53338989167234296</v>
      </c>
      <c r="L23" s="175">
        <f t="shared" si="5"/>
        <v>0.53329596088074838</v>
      </c>
      <c r="M23" s="175">
        <f t="shared" si="5"/>
        <v>0.5332250655972105</v>
      </c>
      <c r="N23" s="178">
        <f>IFERROR(AVERAGE(B23:H23),"")</f>
        <v>-1.6183974019966885</v>
      </c>
    </row>
    <row r="24" spans="1:14" ht="24.95" customHeight="1">
      <c r="A24" s="131"/>
      <c r="B24" s="132"/>
      <c r="C24" s="132"/>
      <c r="D24" s="132"/>
      <c r="E24" s="132"/>
      <c r="F24" s="132"/>
      <c r="G24" s="132"/>
      <c r="H24" s="132"/>
      <c r="I24" s="132"/>
      <c r="J24" s="132"/>
      <c r="K24" s="132"/>
      <c r="L24" s="132"/>
      <c r="M24" s="132"/>
      <c r="N24" s="133"/>
    </row>
    <row r="25" spans="1:14" ht="39.950000000000003" customHeight="1">
      <c r="A25" s="137" t="s">
        <v>60</v>
      </c>
      <c r="B25" s="67">
        <f>'1.IS'!B$2</f>
        <v>2018</v>
      </c>
      <c r="C25" s="67">
        <f>'1.IS'!C$2</f>
        <v>2019</v>
      </c>
      <c r="D25" s="67">
        <f>'1.IS'!D$2</f>
        <v>2020</v>
      </c>
      <c r="E25" s="67">
        <f>'1.IS'!E$2</f>
        <v>2021</v>
      </c>
      <c r="F25" s="67">
        <f>'1.IS'!F$2</f>
        <v>2022</v>
      </c>
      <c r="G25" s="67">
        <f>'1.IS'!G$2</f>
        <v>2023</v>
      </c>
      <c r="H25" s="67">
        <f>'1.IS'!H$2</f>
        <v>2024</v>
      </c>
      <c r="I25" s="126" t="str">
        <f>"Promedio "&amp;CHAR(10)&amp;B2&amp;" - "&amp;H2</f>
        <v>Promedio 
2018 - 2024</v>
      </c>
      <c r="J25" s="126" t="str">
        <f>"Acumulado"&amp;CHAR(10)&amp;B2&amp;" - "&amp;H2</f>
        <v>Acumulado
2018 - 2024</v>
      </c>
      <c r="K25" s="132"/>
      <c r="L25" s="132"/>
      <c r="M25" s="132"/>
      <c r="N25" s="133"/>
    </row>
    <row r="26" spans="1:14" ht="24.95" customHeight="1">
      <c r="A26" s="128" t="s">
        <v>61</v>
      </c>
      <c r="B26" s="163">
        <f>IFERROR(TIKR_Cálculos!B11/B13,"")</f>
        <v>8.7248322147651006E-2</v>
      </c>
      <c r="C26" s="24">
        <f>IFERROR(TIKR_Cálculos!C11/C13,"")</f>
        <v>3.780718336483932E-3</v>
      </c>
      <c r="D26" s="24">
        <f>IFERROR(TIKR_Cálculos!D11/D13,"")</f>
        <v>-8.9686098654708519E-3</v>
      </c>
      <c r="E26" s="24">
        <f>IFERROR(TIKR_Cálculos!E11/E13,"")</f>
        <v>-0.93537015276145707</v>
      </c>
      <c r="F26" s="24">
        <f>IFERROR(TIKR_Cálculos!F11/F13,"")</f>
        <v>0</v>
      </c>
      <c r="G26" s="24">
        <f>IFERROR(TIKR_Cálculos!G11/G13,"")</f>
        <v>0.12251655629139073</v>
      </c>
      <c r="H26" s="24">
        <f>IFERROR(TIKR_Cálculos!H11/H13,"")</f>
        <v>1.0292230933713471</v>
      </c>
      <c r="I26" s="224">
        <f>IFERROR(AVERAGE(B26:H26),"")</f>
        <v>4.2632846788563543E-2</v>
      </c>
      <c r="J26" s="244">
        <f>IFERROR(TIKR_Cálculos!I29/SUM('2.FCF'!$B$13:$H$13),"")</f>
        <v>3.11199207135778</v>
      </c>
      <c r="K26" s="6"/>
      <c r="L26" s="132"/>
      <c r="M26" s="132"/>
      <c r="N26" s="133"/>
    </row>
    <row r="27" spans="1:14" ht="24.95" customHeight="1">
      <c r="A27" s="128" t="s">
        <v>62</v>
      </c>
      <c r="B27" s="163">
        <f>IFERROR(ABS(VALUE(VLOOKUP("Dividends Paid*",'8.TIKR_CF'!$A:$H,COLUMN(B18),FALSE)))/B13,"0")</f>
        <v>3.9932885906040267</v>
      </c>
      <c r="C27" s="163">
        <f>IFERROR(ABS(VALUE(VLOOKUP("Dividends Paid*",'8.TIKR_CF'!$A:$H,COLUMN(C18),FALSE)))/C13,"0")</f>
        <v>5.6710775047258983E-3</v>
      </c>
      <c r="D27" s="163">
        <f>IFERROR(ABS(VALUE(VLOOKUP("Dividends Paid*",'8.TIKR_CF'!$A:$H,COLUMN(D18),FALSE)))/D13,"0")</f>
        <v>-1.3452914798206279E-2</v>
      </c>
      <c r="E27" s="163">
        <f>IFERROR(ABS(VALUE(VLOOKUP("Dividends Paid*",'8.TIKR_CF'!$A:$H,COLUMN(E18),FALSE)))/E13,"0")</f>
        <v>-4.7003525264394828E-3</v>
      </c>
      <c r="F27" s="163">
        <f>IFERROR(ABS(VALUE(VLOOKUP("Dividends Paid*",'8.TIKR_CF'!$A:$H,COLUMN(F18),FALSE)))/F13,"0")</f>
        <v>7.0000000000000007E-2</v>
      </c>
      <c r="G27" s="163">
        <f>IFERROR(ABS(VALUE(VLOOKUP("Dividends Paid*",'8.TIKR_CF'!$A:$H,COLUMN(G18),FALSE)))/G13,"0")</f>
        <v>0</v>
      </c>
      <c r="H27" s="163">
        <f>IFERROR(ABS(VALUE(VLOOKUP("Dividends Paid*",'8.TIKR_CF'!$A:$H,COLUMN(H18),FALSE)))/H13,"0")</f>
        <v>0</v>
      </c>
      <c r="I27" s="224">
        <f t="shared" ref="I27:I29" si="6">IFERROR(AVERAGE(B27:H27),"")</f>
        <v>0.57868662868344389</v>
      </c>
      <c r="J27" s="244">
        <f>IFERROR(TIKR_Cálculos!I30/SUM('2.FCF'!$B$13:$H$13),"")</f>
        <v>0</v>
      </c>
      <c r="K27" s="6"/>
    </row>
    <row r="28" spans="1:14" ht="24.95" customHeight="1">
      <c r="A28" s="128" t="s">
        <v>63</v>
      </c>
      <c r="B28" s="163">
        <f>IFERROR(ABS(VALUE(VLOOKUP("Common Stock Repurchased*",'8.TIKR_CF'!$A:$H,COLUMN(B19),FALSE))/B13),"0")</f>
        <v>0.61409395973154357</v>
      </c>
      <c r="C28" s="163">
        <f>IFERROR(ABS(VALUE(VLOOKUP("Common Stock Repurchased*",'8.TIKR_CF'!$A:$H,COLUMN(C19),FALSE))/C13),"0")</f>
        <v>0.53497164461247637</v>
      </c>
      <c r="D28" s="163">
        <f>IFERROR(ABS(VALUE(VLOOKUP("Common Stock Repurchased*",'8.TIKR_CF'!$A:$H,COLUMN(D19),FALSE))/D13),"0")</f>
        <v>4.4843049327354258E-2</v>
      </c>
      <c r="E28" s="163">
        <f>IFERROR(ABS(VALUE(VLOOKUP("Common Stock Repurchased*",'8.TIKR_CF'!$A:$H,COLUMN(E19),FALSE))/E13),"0")</f>
        <v>3.5252643948296123E-3</v>
      </c>
      <c r="F28" s="163">
        <f>IFERROR(ABS(VALUE(VLOOKUP("Common Stock Repurchased*",'8.TIKR_CF'!$A:$H,COLUMN(F19),FALSE))/F13),"0")</f>
        <v>2.72</v>
      </c>
      <c r="G28" s="163">
        <f>IFERROR(ABS(VALUE(VLOOKUP("Common Stock Repurchased*",'8.TIKR_CF'!$A:$H,COLUMN(G19),FALSE))/G13),"0")</f>
        <v>0.60927152317880795</v>
      </c>
      <c r="H28" s="163">
        <f>IFERROR(ABS(VALUE(VLOOKUP("Common Stock Repurchased*",'8.TIKR_CF'!$A:$H,COLUMN(H19),FALSE))/H13),"0")</f>
        <v>0.30791161796151106</v>
      </c>
      <c r="I28" s="224">
        <f t="shared" si="6"/>
        <v>0.69065957988664617</v>
      </c>
      <c r="J28" s="244">
        <f>IFERROR(TIKR_Cálculos!I31/SUM('2.FCF'!$B$13:$H$13),"")</f>
        <v>0</v>
      </c>
      <c r="K28" s="6"/>
    </row>
    <row r="29" spans="1:14" ht="24.95" customHeight="1">
      <c r="A29" s="247" t="s">
        <v>64</v>
      </c>
      <c r="B29" s="187">
        <f>IFERROR((ABS(VLOOKUP("Cash Acquisitions*",'8.TIKR_CF'!$A:$H,COLUMN(B20),FALSE))-IFERROR(VLOOKUP("Divestitures*",'8.TIKR_CF'!$A:$H,COLUMN(B20),FALSE),"0"))/B13,"0")</f>
        <v>3.3557046979865771E-3</v>
      </c>
      <c r="C29" s="183">
        <f>IFERROR((ABS(VLOOKUP("Cash Acquisitions*",'8.TIKR_CF'!$A:$H,COLUMN(C20),FALSE))-IFERROR(VLOOKUP("Divestitures*",'8.TIKR_CF'!$A:$H,COLUMN(C20),FALSE),"0"))/C13,"0")</f>
        <v>3.780718336483932E-3</v>
      </c>
      <c r="D29" s="183">
        <f>IFERROR((ABS(VLOOKUP("Cash Acquisitions*",'8.TIKR_CF'!$A:$H,COLUMN(D20),FALSE))-IFERROR(VLOOKUP("Divestitures*",'8.TIKR_CF'!$A:$H,COLUMN(D20),FALSE),"0"))/D13,"0")</f>
        <v>-8.9686098654708519E-3</v>
      </c>
      <c r="E29" s="183">
        <f>IFERROR((ABS(VLOOKUP("Cash Acquisitions*",'8.TIKR_CF'!$A:$H,COLUMN(E20),FALSE))-IFERROR(VLOOKUP("Divestitures*",'8.TIKR_CF'!$A:$H,COLUMN(E20),FALSE),"0"))/E13,"0")</f>
        <v>-0.93537015276145707</v>
      </c>
      <c r="F29" s="183">
        <f>IFERROR((ABS(VLOOKUP("Cash Acquisitions*",'8.TIKR_CF'!$A:$H,COLUMN(F20),FALSE))-IFERROR(VLOOKUP("Divestitures*",'8.TIKR_CF'!$A:$H,COLUMN(F20),FALSE),"0"))/F13,"0")</f>
        <v>0</v>
      </c>
      <c r="G29" s="183">
        <f>IFERROR((ABS(VLOOKUP("Cash Acquisitions*",'8.TIKR_CF'!$A:$H,COLUMN(G20),FALSE))-IFERROR(VLOOKUP("Divestitures*",'8.TIKR_CF'!$A:$H,COLUMN(G20),FALSE),"0"))/G13,"0")</f>
        <v>0.12251655629139073</v>
      </c>
      <c r="H29" s="183">
        <f>IFERROR((ABS(VLOOKUP("Cash Acquisitions*",'8.TIKR_CF'!$A:$H,COLUMN(H20),FALSE))-IFERROR(VLOOKUP("Divestitures*",'8.TIKR_CF'!$A:$H,COLUMN(H20),FALSE),"0"))/H13,"0")</f>
        <v>1.0292230933713471</v>
      </c>
      <c r="I29" s="248">
        <f t="shared" si="6"/>
        <v>3.0648187152897188E-2</v>
      </c>
      <c r="J29" s="245">
        <f>IFERROR(TIKR_Cálculos!I32/SUM('2.FCF'!$B$13:$H$13),"")</f>
        <v>0</v>
      </c>
      <c r="K29" s="4"/>
    </row>
    <row r="30" spans="1:14" ht="24.95" customHeight="1">
      <c r="A30" s="246" t="s">
        <v>65</v>
      </c>
      <c r="B30" s="133">
        <f>SUM(B26:B29)</f>
        <v>4.6979865771812079</v>
      </c>
      <c r="C30" s="133">
        <f t="shared" ref="C30:J30" si="7">SUM(C26:C29)</f>
        <v>0.54820415879017015</v>
      </c>
      <c r="D30" s="133">
        <f t="shared" si="7"/>
        <v>1.3452914798206273E-2</v>
      </c>
      <c r="E30" s="133">
        <f t="shared" si="7"/>
        <v>-1.8719153936545241</v>
      </c>
      <c r="F30" s="133">
        <f t="shared" si="7"/>
        <v>2.79</v>
      </c>
      <c r="G30" s="133">
        <f t="shared" si="7"/>
        <v>0.85430463576158933</v>
      </c>
      <c r="H30" s="133">
        <f t="shared" si="7"/>
        <v>2.3663578047042053</v>
      </c>
      <c r="I30" s="133">
        <f t="shared" si="7"/>
        <v>1.3426272425115509</v>
      </c>
      <c r="J30" s="133">
        <f t="shared" si="7"/>
        <v>3.11199207135778</v>
      </c>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G16" sqref="G16"/>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66</v>
      </c>
      <c r="S1" s="25"/>
    </row>
    <row r="2" spans="1:19" s="6" customFormat="1" ht="39.950000000000003" customHeight="1">
      <c r="A2" s="137" t="s">
        <v>67</v>
      </c>
      <c r="B2" s="67">
        <f>'1.IS'!B$2</f>
        <v>2018</v>
      </c>
      <c r="C2" s="67">
        <f>'1.IS'!C$2</f>
        <v>2019</v>
      </c>
      <c r="D2" s="67">
        <f>'1.IS'!D$2</f>
        <v>2020</v>
      </c>
      <c r="E2" s="67">
        <f>'1.IS'!E$2</f>
        <v>2021</v>
      </c>
      <c r="F2" s="67">
        <f>'1.IS'!F$2</f>
        <v>2022</v>
      </c>
      <c r="G2" s="67">
        <f>'1.IS'!G$2</f>
        <v>2023</v>
      </c>
      <c r="H2" s="67">
        <f>'1.IS'!H$2</f>
        <v>2024</v>
      </c>
      <c r="I2" s="8" t="str">
        <f>'1.IS'!I$2</f>
        <v>2025e</v>
      </c>
      <c r="J2" s="8" t="str">
        <f>'1.IS'!J$2</f>
        <v>2026e</v>
      </c>
      <c r="K2" s="8" t="str">
        <f>'1.IS'!K$2</f>
        <v>2027e</v>
      </c>
      <c r="L2" s="8" t="str">
        <f>'1.IS'!L$2</f>
        <v>2028e</v>
      </c>
      <c r="M2" s="8" t="str">
        <f>'1.IS'!M$2</f>
        <v>2029e</v>
      </c>
      <c r="N2" s="18"/>
      <c r="O2" s="18"/>
    </row>
    <row r="3" spans="1:19" s="6" customFormat="1" ht="24.95" customHeight="1">
      <c r="A3" s="74" t="s">
        <v>68</v>
      </c>
      <c r="B3" s="160">
        <f>IFERROR(('1.IS'!B8)*PRODUCT(1-'1.IS'!$Q$5),"")</f>
        <v>363.06666666666666</v>
      </c>
      <c r="C3" s="111">
        <f>IFERROR(('1.IS'!C8)*PRODUCT(1-'1.IS'!$Q$5),"")</f>
        <v>264.35268817204303</v>
      </c>
      <c r="D3" s="111">
        <f>IFERROR(('1.IS'!D8)*PRODUCT(1-'1.IS'!$Q$5),"")</f>
        <v>-23.423655913978493</v>
      </c>
      <c r="E3" s="111">
        <f>IFERROR(('1.IS'!E8)*PRODUCT(1-'1.IS'!$Q$5),"")</f>
        <v>403.22150537634406</v>
      </c>
      <c r="F3" s="111">
        <f>IFERROR(('1.IS'!F8)*PRODUCT(1-'1.IS'!$Q$5),"")</f>
        <v>591.44731182795704</v>
      </c>
      <c r="G3" s="111">
        <f>IFERROR(('1.IS'!G8)*PRODUCT(1-'1.IS'!$Q$5),"")</f>
        <v>572.20645161290327</v>
      </c>
      <c r="H3" s="112">
        <f>IFERROR('1.IS'!H8*PRODUCT(1-'1.IS'!$Q$5),"")</f>
        <v>383.14408602150536</v>
      </c>
      <c r="I3" s="144">
        <f>IFERROR('1.IS'!I8*PRODUCT(1-'1.IS'!$Q$5),"")</f>
        <v>798.4595809711808</v>
      </c>
      <c r="J3" s="107">
        <f>IFERROR('1.IS'!J8*PRODUCT(1-'1.IS'!$Q$5),"")</f>
        <v>1057.8974616392982</v>
      </c>
      <c r="K3" s="107">
        <f>IFERROR('1.IS'!K8*PRODUCT(1-'1.IS'!$Q$5),"")</f>
        <v>1401.6326762359486</v>
      </c>
      <c r="L3" s="107">
        <f>IFERROR('1.IS'!L8*PRODUCT(1-'1.IS'!$Q$5),"")</f>
        <v>1857.0553672074043</v>
      </c>
      <c r="M3" s="153">
        <f>IFERROR('1.IS'!M8*PRODUCT(1-'1.IS'!$Q$5),"")</f>
        <v>2460.4553641936395</v>
      </c>
      <c r="N3" s="107"/>
      <c r="O3" s="107"/>
      <c r="S3" s="13"/>
    </row>
    <row r="4" spans="1:19" s="6" customFormat="1" ht="24.95" customHeight="1">
      <c r="A4" s="138" t="s">
        <v>69</v>
      </c>
      <c r="B4" s="142">
        <f>IFERROR(VALUE(VLOOKUP("Cash And Cash Equivalents*",'7.TIKR_BS'!$A:$H,COLUMN(B4),FALSE)),"0")</f>
        <v>108</v>
      </c>
      <c r="C4" s="142">
        <f>IFERROR(VALUE(VLOOKUP("Cash And Cash Equivalents*",'7.TIKR_BS'!$A:$H,COLUMN(C4),FALSE)),"0")</f>
        <v>67</v>
      </c>
      <c r="D4" s="142">
        <f>IFERROR(VALUE(VLOOKUP("Cash And Cash Equivalents*",'7.TIKR_BS'!$A:$H,COLUMN(D4),FALSE)),"0")</f>
        <v>428</v>
      </c>
      <c r="E4" s="142">
        <f>IFERROR(VALUE(VLOOKUP("Cash And Cash Equivalents*",'7.TIKR_BS'!$A:$H,COLUMN(E4),FALSE)),"0")</f>
        <v>432</v>
      </c>
      <c r="F4" s="142">
        <f>IFERROR(VALUE(VLOOKUP("Cash And Cash Equivalents*",'7.TIKR_BS'!$A:$H,COLUMN(F4),FALSE)),"0")</f>
        <v>223</v>
      </c>
      <c r="G4" s="142">
        <f>IFERROR(VALUE(VLOOKUP("Cash And Cash Equivalents*",'7.TIKR_BS'!$A:$H,COLUMN(G4),FALSE)),"0")</f>
        <v>885</v>
      </c>
      <c r="H4" s="142">
        <f>IFERROR(VALUE(VLOOKUP("Cash And Cash Equivalents*",'7.TIKR_BS'!$A:$H,COLUMN(H4),FALSE)),"0")</f>
        <v>328</v>
      </c>
      <c r="I4" s="144">
        <f>IFERROR(((H4+H5)+'2.FCF'!I17)*(1-(SUM($B$5:$H$5)/SUM($B$4:$H$5))),0)</f>
        <v>483.8478369082743</v>
      </c>
      <c r="J4" s="107">
        <f>IFERROR(((I4+I5)+'2.FCF'!J17)*(1-(SUM($B$5:$H$5)/SUM($B$4:$H$5))),0)</f>
        <v>690.33422018481178</v>
      </c>
      <c r="K4" s="107">
        <f>IFERROR(((J4+J5)+'2.FCF'!K17)*(1-(SUM($B$5:$H$5)/SUM($B$4:$H$5))),0)</f>
        <v>963.91277811962163</v>
      </c>
      <c r="L4" s="107">
        <f>IFERROR(((K4+K5)+'2.FCF'!L17)*(1-(SUM($B$5:$H$5)/SUM($B$4:$H$5))),0)</f>
        <v>1326.3833012313246</v>
      </c>
      <c r="M4" s="153">
        <f>IFERROR(((L4+L5)+'2.FCF'!M17)*(1-(SUM($B$5:$H$5)/SUM($B$4:$H$5))),0)</f>
        <v>1806.6288333251769</v>
      </c>
      <c r="N4" s="107"/>
      <c r="O4" s="107"/>
      <c r="S4" s="13"/>
    </row>
    <row r="5" spans="1:19" s="6" customFormat="1" ht="24.95" customHeight="1">
      <c r="A5" s="138" t="s">
        <v>70</v>
      </c>
      <c r="B5" s="142">
        <f>IFERROR(VALUE(VLOOKUP("Total Cash And Short Term Investments*",'7.TIKR_BS'!$A:$H,COLUMN(B5),FALSE))-B4,"0")</f>
        <v>0</v>
      </c>
      <c r="C5" s="142">
        <f>IFERROR(VALUE(VLOOKUP("Total Cash And Short Term Investments*",'7.TIKR_BS'!$A:$H,COLUMN(C5),FALSE))-C4,"0")</f>
        <v>0</v>
      </c>
      <c r="D5" s="142">
        <f>IFERROR(VALUE(VLOOKUP("Total Cash And Short Term Investments*",'7.TIKR_BS'!$A:$H,COLUMN(D5),FALSE))-D4,"0")</f>
        <v>0</v>
      </c>
      <c r="E5" s="142">
        <f>IFERROR(VALUE(VLOOKUP("Total Cash And Short Term Investments*",'7.TIKR_BS'!$A:$H,COLUMN(E5),FALSE))-E4,"0")</f>
        <v>0</v>
      </c>
      <c r="F5" s="142">
        <f>IFERROR(VALUE(VLOOKUP("Total Cash And Short Term Investments*",'7.TIKR_BS'!$A:$H,COLUMN(F5),FALSE))-F4,"0")</f>
        <v>0</v>
      </c>
      <c r="G5" s="142">
        <f>IFERROR(VALUE(VLOOKUP("Total Cash And Short Term Investments*",'7.TIKR_BS'!$A:$H,COLUMN(G5),FALSE))-G4,"0")</f>
        <v>0</v>
      </c>
      <c r="H5" s="142">
        <f>IFERROR(VALUE(VLOOKUP("Total Cash And Short Term Investments*",'7.TIKR_BS'!$A:$H,COLUMN(H5),FALSE))-H4,"0")</f>
        <v>0</v>
      </c>
      <c r="I5" s="144">
        <f>IFERROR(((H4+H5)+'2.FCF'!I17)*(SUM($B$5:$H$5)/SUM($B$4:$H$5)),0)</f>
        <v>0</v>
      </c>
      <c r="J5" s="107">
        <f>IFERROR(((I4+I5)+'2.FCF'!J17)*(SUM($B$5:$H$5)/SUM($B$4:$H$5)),0)</f>
        <v>0</v>
      </c>
      <c r="K5" s="107">
        <f>IFERROR(((J4+J5)+'2.FCF'!K17)*(SUM($B$5:$H$5)/SUM($B$4:$H$5)),0)</f>
        <v>0</v>
      </c>
      <c r="L5" s="107">
        <f>IFERROR(((K4+K5)+'2.FCF'!L17)*(SUM($B$5:$H$5)/SUM($B$4:$H$5)),0)</f>
        <v>0</v>
      </c>
      <c r="M5" s="153">
        <f>IFERROR(((L4+L5)+'2.FCF'!M17)*(SUM($B$5:$H$5)/SUM($B$4:$H$5)),0)</f>
        <v>0</v>
      </c>
      <c r="N5" s="107"/>
      <c r="O5" s="107"/>
      <c r="S5" s="13"/>
    </row>
    <row r="6" spans="1:19" s="6" customFormat="1" ht="24.75" customHeight="1">
      <c r="A6" s="138" t="s">
        <v>71</v>
      </c>
      <c r="B6" s="291">
        <f>IFERROR(VALUE(VLOOKUP("Short Term Debt*",'7.TIKR_BS'!$A:$H,COLUMN(B6),FALSE)),"0")+IFERROR(VALUE(VLOOKUP("Other Current Liabilities*",'7.TIKR_BS'!$A:$H,COLUMN(B6),FALSE)),"0")</f>
        <v>273</v>
      </c>
      <c r="C6" s="291">
        <f>IFERROR(VALUE(VLOOKUP("Short Term Debt*",'7.TIKR_BS'!$A:$H,COLUMN(C6),FALSE)),"0")+IFERROR(VALUE(VLOOKUP("Other Current Liabilities*",'7.TIKR_BS'!$A:$H,COLUMN(C6),FALSE)),"0")</f>
        <v>274</v>
      </c>
      <c r="D6" s="291">
        <f>IFERROR(VALUE(VLOOKUP("Short Term Debt*",'7.TIKR_BS'!$A:$H,COLUMN(D6),FALSE)),"0")+IFERROR(VALUE(VLOOKUP("Other Current Liabilities*",'7.TIKR_BS'!$A:$H,COLUMN(D6),FALSE)),"0")</f>
        <v>232</v>
      </c>
      <c r="E6" s="291">
        <f>IFERROR(VALUE(VLOOKUP("Short Term Debt*",'7.TIKR_BS'!$A:$H,COLUMN(E6),FALSE)),"0")+IFERROR(VALUE(VLOOKUP("Other Current Liabilities*",'7.TIKR_BS'!$A:$H,COLUMN(E6),FALSE)),"0")</f>
        <v>610</v>
      </c>
      <c r="F6" s="291">
        <f>IFERROR(VALUE(VLOOKUP("Short Term Debt*",'7.TIKR_BS'!$A:$H,COLUMN(F6),FALSE)),"0")+IFERROR(VALUE(VLOOKUP("Other Current Liabilities*",'7.TIKR_BS'!$A:$H,COLUMN(F6),FALSE)),"0")</f>
        <v>0</v>
      </c>
      <c r="G6" s="291">
        <f>IFERROR(VALUE(VLOOKUP("Short Term Debt*",'7.TIKR_BS'!$A:$H,COLUMN(G6),FALSE)),"0")+IFERROR(VALUE(VLOOKUP("Other Current Liabilities*",'7.TIKR_BS'!$A:$H,COLUMN(G6),FALSE)),"0")</f>
        <v>613</v>
      </c>
      <c r="H6" s="291">
        <f>IFERROR(VALUE(VLOOKUP("Short Term Debt*",'7.TIKR_BS'!$A:$H,COLUMN(H6),FALSE)),"0")+IFERROR(VALUE(VLOOKUP("Other Current Liabilities*",'7.TIKR_BS'!$A:$H,COLUMN(H6),FALSE)),"0")</f>
        <v>0</v>
      </c>
      <c r="I6" s="144">
        <f>IFERROR(IF((I4+I5+'4.Valoración'!I4)*TIKR_Cálculos!$B$17&gt;0,(I4+I5+'4.Valoración'!I4)*TIKR_Cálculos!$B$17,0),"0")</f>
        <v>1728.0860981560559</v>
      </c>
      <c r="J6" s="107">
        <f>IFERROR(IF((J4+J5+'4.Valoración'!J4)*TIKR_Cálculos!$B$17&gt;0,(J4+J5+'4.Valoración'!J4)*TIKR_Cálculos!$B$17,0),"0")</f>
        <v>2293.0816606766443</v>
      </c>
      <c r="K6" s="107">
        <f>IFERROR(IF((K4+K5+'4.Valoración'!K4)*TIKR_Cálculos!$B$17&gt;0,(K4+K5+'4.Valoración'!K4)*TIKR_Cálculos!$B$17,0),"0")</f>
        <v>3041.6572751128751</v>
      </c>
      <c r="L6" s="107">
        <f>IFERROR(IF((L4+L5+'4.Valoración'!L4)*TIKR_Cálculos!$B$17&gt;0,(L4+L5+'4.Valoración'!L4)*TIKR_Cálculos!$B$17,0),"0")</f>
        <v>4033.462322268731</v>
      </c>
      <c r="M6" s="153">
        <f>IFERROR(IF((M4+M5+'4.Valoración'!M4)*TIKR_Cálculos!$B$17&gt;0,(M4+M5+'4.Valoración'!M4)*TIKR_Cálculos!$B$17,0),"0")</f>
        <v>5347.5276385757006</v>
      </c>
      <c r="N6" s="107"/>
      <c r="O6" s="107"/>
      <c r="S6" s="13"/>
    </row>
    <row r="7" spans="1:19" s="6" customFormat="1" ht="24.95" customHeight="1">
      <c r="A7" s="138" t="s">
        <v>72</v>
      </c>
      <c r="B7" s="142">
        <f>IFERROR(VALUE(VLOOKUP("Long Term Debt*",'7.TIKR_BS'!$A:$H,COLUMN(B7),FALSE)),"0")+IFERROR(VALUE(VLOOKUP("Other Non Current Liabilities*",'7.TIKR_BS'!$A:$H,COLUMN(B7),FALSE)),"0")</f>
        <v>1167</v>
      </c>
      <c r="C7" s="142">
        <f>IFERROR(VALUE(VLOOKUP("Long Term Debt*",'7.TIKR_BS'!$A:$H,COLUMN(C7),FALSE)),"0")+IFERROR(VALUE(VLOOKUP("Other Non Current Liabilities*",'7.TIKR_BS'!$A:$H,COLUMN(C7),FALSE)),"0")</f>
        <v>1350</v>
      </c>
      <c r="D7" s="142">
        <f>IFERROR(VALUE(VLOOKUP("Long Term Debt*",'7.TIKR_BS'!$A:$H,COLUMN(D7),FALSE)),"0")+IFERROR(VALUE(VLOOKUP("Other Non Current Liabilities*",'7.TIKR_BS'!$A:$H,COLUMN(D7),FALSE)),"0")</f>
        <v>1613</v>
      </c>
      <c r="E7" s="142">
        <f>IFERROR(VALUE(VLOOKUP("Long Term Debt*",'7.TIKR_BS'!$A:$H,COLUMN(E7),FALSE)),"0")+IFERROR(VALUE(VLOOKUP("Other Non Current Liabilities*",'7.TIKR_BS'!$A:$H,COLUMN(E7),FALSE)),"0")</f>
        <v>4372</v>
      </c>
      <c r="F7" s="142">
        <f>IFERROR(VALUE(VLOOKUP("Long Term Debt*",'7.TIKR_BS'!$A:$H,COLUMN(F7),FALSE)),"0")+IFERROR(VALUE(VLOOKUP("Other Non Current Liabilities*",'7.TIKR_BS'!$A:$H,COLUMN(F7),FALSE)),"0")</f>
        <v>3807</v>
      </c>
      <c r="G7" s="142">
        <f>IFERROR(VALUE(VLOOKUP("Long Term Debt*",'7.TIKR_BS'!$A:$H,COLUMN(G7),FALSE)),"0")+IFERROR(VALUE(VLOOKUP("Other Non Current Liabilities*",'7.TIKR_BS'!$A:$H,COLUMN(G7),FALSE)),"0")</f>
        <v>4573</v>
      </c>
      <c r="H7" s="142">
        <f>IFERROR(VALUE(VLOOKUP("Long Term Debt*",'7.TIKR_BS'!$A:$H,COLUMN(H7),FALSE)),"0")+IFERROR(VALUE(VLOOKUP("Other Non Current Liabilities*",'7.TIKR_BS'!$A:$H,COLUMN(H7),FALSE)),"0")</f>
        <v>9295</v>
      </c>
      <c r="I7" s="144">
        <f>IFERROR(IF((I4+I5+'4.Valoración'!I4)*TIKR_Cálculos!$B$18&gt;0,(I4+I5+'4.Valoración'!I4)*TIKR_Cálculos!$B$18,0),"0")</f>
        <v>22595.459436279256</v>
      </c>
      <c r="J7" s="107">
        <f>IFERROR(IF((J4+J5+'4.Valoración'!J4)*TIKR_Cálculos!$B$18&gt;0,(J4+J5+'4.Valoración'!J4)*TIKR_Cálculos!$B$18,0),"0")</f>
        <v>29983.016299466792</v>
      </c>
      <c r="K7" s="107">
        <f>IFERROR(IF((K4+K5+'4.Valoración'!K4)*TIKR_Cálculos!$B$18&gt;0,(K4+K5+'4.Valoración'!K4)*TIKR_Cálculos!$B$18,0),"0")</f>
        <v>39770.96028502984</v>
      </c>
      <c r="L7" s="107">
        <f>IFERROR(IF((L4+L5+'4.Valoración'!L4)*TIKR_Cálculos!$B$18&gt;0,(L4+L5+'4.Valoración'!L4)*TIKR_Cálculos!$B$18,0),"0")</f>
        <v>52739.232372641651</v>
      </c>
      <c r="M7" s="153">
        <f>IFERROR(IF((M4+M5+'4.Valoración'!M4)*TIKR_Cálculos!$B$18&gt;0,(M4+M5+'4.Valoración'!M4)*TIKR_Cálculos!$B$18,0),"0")</f>
        <v>69921.194303194861</v>
      </c>
      <c r="N7" s="107"/>
      <c r="O7" s="107"/>
      <c r="P7" s="107"/>
      <c r="Q7" s="107"/>
      <c r="R7" s="107"/>
      <c r="S7" s="12"/>
    </row>
    <row r="8" spans="1:19" s="6" customFormat="1" ht="24.95" customHeight="1">
      <c r="A8" s="138" t="s">
        <v>73</v>
      </c>
      <c r="B8" s="142">
        <f>IFERROR(VALUE(VLOOKUP("Other Current Liabilities*",'7.TIKR_BS'!$A:$H,COLUMN(B8),FALSE)),"0")</f>
        <v>56</v>
      </c>
      <c r="C8" s="142">
        <f>IFERROR(VALUE(VLOOKUP("Other Current Liabilities*",'7.TIKR_BS'!$A:$H,COLUMN(C8),FALSE)),"0")</f>
        <v>274</v>
      </c>
      <c r="D8" s="142">
        <f>IFERROR(VALUE(VLOOKUP("Other Current Liabilities*",'7.TIKR_BS'!$A:$H,COLUMN(D8),FALSE)),"0")</f>
        <v>5</v>
      </c>
      <c r="E8" s="142">
        <f>IFERROR(VALUE(VLOOKUP("Other Current Liabilities*",'7.TIKR_BS'!$A:$H,COLUMN(E8),FALSE)),"0")</f>
        <v>92</v>
      </c>
      <c r="F8" s="142">
        <f>IFERROR(VALUE(VLOOKUP("Other Current Liabilities*",'7.TIKR_BS'!$A:$H,COLUMN(F8),FALSE)),"0")</f>
        <v>-92</v>
      </c>
      <c r="G8" s="142">
        <f>IFERROR(VALUE(VLOOKUP("Other Current Liabilities*",'7.TIKR_BS'!$A:$H,COLUMN(G8),FALSE)),"0")</f>
        <v>593</v>
      </c>
      <c r="H8" s="142">
        <f>IFERROR(VALUE(VLOOKUP("Other Current Liabilities*",'7.TIKR_BS'!$A:$H,COLUMN(H8),FALSE)),"0")</f>
        <v>0</v>
      </c>
      <c r="I8" s="144">
        <f>IFERROR(H8*'1.IS'!$Q$3+H8,"")</f>
        <v>0</v>
      </c>
      <c r="J8" s="107">
        <f>IFERROR(I8*'1.IS'!$Q$3+I8,"")</f>
        <v>0</v>
      </c>
      <c r="K8" s="107">
        <f>IFERROR(J8*'1.IS'!$Q$3+J8,"")</f>
        <v>0</v>
      </c>
      <c r="L8" s="107">
        <f>IFERROR(K8*'1.IS'!$Q$3+K8,"")</f>
        <v>0</v>
      </c>
      <c r="M8" s="153">
        <f>IFERROR(L8*'1.IS'!$Q$3+L8,"")</f>
        <v>0</v>
      </c>
      <c r="N8" s="107"/>
      <c r="O8" s="107"/>
      <c r="P8" s="107"/>
      <c r="Q8" s="107"/>
      <c r="R8" s="107"/>
      <c r="S8" s="12"/>
    </row>
    <row r="9" spans="1:19" s="6" customFormat="1" ht="24.95" customHeight="1">
      <c r="A9" s="138" t="s">
        <v>74</v>
      </c>
      <c r="B9" s="142">
        <f>IFERROR(VALUE(VLOOKUP("Other Non Current Liabilities*",'7.TIKR_BS'!$A:$H,COLUMN(B9),FALSE)),"0")</f>
        <v>-196</v>
      </c>
      <c r="C9" s="142">
        <f>IFERROR(VALUE(VLOOKUP("Other Non Current Liabilities*",'7.TIKR_BS'!$A:$H,COLUMN(C9),FALSE)),"0")</f>
        <v>-301</v>
      </c>
      <c r="D9" s="142">
        <f>IFERROR(VALUE(VLOOKUP("Other Non Current Liabilities*",'7.TIKR_BS'!$A:$H,COLUMN(D9),FALSE)),"0")</f>
        <v>-379</v>
      </c>
      <c r="E9" s="142">
        <f>IFERROR(VALUE(VLOOKUP("Other Non Current Liabilities*",'7.TIKR_BS'!$A:$H,COLUMN(E9),FALSE)),"0")</f>
        <v>44</v>
      </c>
      <c r="F9" s="142">
        <f>IFERROR(VALUE(VLOOKUP("Other Non Current Liabilities*",'7.TIKR_BS'!$A:$H,COLUMN(F9),FALSE)),"0")</f>
        <v>-40</v>
      </c>
      <c r="G9" s="142">
        <f>IFERROR(VALUE(VLOOKUP("Other Non Current Liabilities*",'7.TIKR_BS'!$A:$H,COLUMN(G9),FALSE)),"0")</f>
        <v>58</v>
      </c>
      <c r="H9" s="142">
        <f>IFERROR(VALUE(VLOOKUP("Other Non Current Liabilities*",'7.TIKR_BS'!$A:$H,COLUMN(H9),FALSE)),"0")</f>
        <v>9295</v>
      </c>
      <c r="I9" s="144">
        <f>IFERROR(H9*'1.IS'!$Q$3+H9,"")</f>
        <v>12315.159264514092</v>
      </c>
      <c r="J9" s="107">
        <f>IFERROR(I9*'1.IS'!$Q$3+I9,"")</f>
        <v>16316.637731075552</v>
      </c>
      <c r="K9" s="107">
        <f>IFERROR(J9*'1.IS'!$Q$3+J9,"")</f>
        <v>21618.288576608422</v>
      </c>
      <c r="L9" s="107">
        <f>IFERROR(K9*'1.IS'!$Q$3+K9,"")</f>
        <v>28642.567708139683</v>
      </c>
      <c r="M9" s="153">
        <f>IFERROR(L9*'1.IS'!$Q$3+L9,"")</f>
        <v>37949.196672444166</v>
      </c>
      <c r="N9" s="107"/>
      <c r="O9" s="107"/>
      <c r="P9" s="107"/>
      <c r="Q9" s="107"/>
      <c r="R9" s="107"/>
      <c r="S9" s="12"/>
    </row>
    <row r="10" spans="1:19" s="6" customFormat="1" ht="24.95" customHeight="1">
      <c r="A10" s="138" t="s">
        <v>75</v>
      </c>
      <c r="B10" s="142">
        <f>IFERROR(VALUE(VLOOKUP("Total Stockholders Equity*",'7.TIKR_BS'!$A:$H,COLUMN(B10),FALSE)),"0")</f>
        <v>616</v>
      </c>
      <c r="C10" s="142">
        <f>IFERROR(VALUE(VLOOKUP("Total Stockholders Equity*",'7.TIKR_BS'!$A:$H,COLUMN(C10),FALSE)),"0")</f>
        <v>570</v>
      </c>
      <c r="D10" s="142">
        <f>IFERROR(VALUE(VLOOKUP("Total Stockholders Equity*",'7.TIKR_BS'!$A:$H,COLUMN(D10),FALSE)),"0")</f>
        <v>374</v>
      </c>
      <c r="E10" s="142">
        <f>IFERROR(VALUE(VLOOKUP("Total Stockholders Equity*",'7.TIKR_BS'!$A:$H,COLUMN(E10),FALSE)),"0")</f>
        <v>1988</v>
      </c>
      <c r="F10" s="142">
        <f>IFERROR(VALUE(VLOOKUP("Total Stockholders Equity*",'7.TIKR_BS'!$A:$H,COLUMN(F10),FALSE)),"0")</f>
        <v>2151</v>
      </c>
      <c r="G10" s="142">
        <f>IFERROR(VALUE(VLOOKUP("Total Stockholders Equity*",'7.TIKR_BS'!$A:$H,COLUMN(G10),FALSE)),"0")</f>
        <v>2115</v>
      </c>
      <c r="H10" s="142">
        <f>IFERROR(VALUE(VLOOKUP("Total Stockholders Equity*",'7.TIKR_BS'!$A:$H,COLUMN(H10),FALSE)),"0")</f>
        <v>1752</v>
      </c>
      <c r="I10" s="144">
        <f>IFERROR(H10*'1.IS'!$Q$3+H10,"")</f>
        <v>2321.265092138643</v>
      </c>
      <c r="J10" s="107">
        <f>IFERROR(I10*'1.IS'!$Q$3+I10,"")</f>
        <v>3075.4975045556066</v>
      </c>
      <c r="K10" s="107">
        <f>IFERROR(J10*'1.IS'!$Q$3+J10,"")</f>
        <v>4074.797373450021</v>
      </c>
      <c r="L10" s="107">
        <f>IFERROR(K10*'1.IS'!$Q$3+K10,"")</f>
        <v>5398.7927514427874</v>
      </c>
      <c r="M10" s="153">
        <f>IFERROR(L10*'1.IS'!$Q$3+L10,"")</f>
        <v>7152.9846767210502</v>
      </c>
      <c r="N10" s="107"/>
      <c r="O10" s="107"/>
      <c r="P10" s="107"/>
      <c r="Q10" s="107"/>
      <c r="R10" s="107"/>
      <c r="S10" s="12"/>
    </row>
    <row r="11" spans="1:19" s="6" customFormat="1" ht="24.95" customHeight="1">
      <c r="A11" s="179" t="s">
        <v>76</v>
      </c>
      <c r="B11" s="186">
        <f t="shared" ref="B11:H11" si="0">B10+B6+B7+B8+B9-B5</f>
        <v>1916</v>
      </c>
      <c r="C11" s="180">
        <f t="shared" si="0"/>
        <v>2167</v>
      </c>
      <c r="D11" s="180">
        <f t="shared" si="0"/>
        <v>1845</v>
      </c>
      <c r="E11" s="180">
        <f t="shared" si="0"/>
        <v>7106</v>
      </c>
      <c r="F11" s="180">
        <f t="shared" si="0"/>
        <v>5826</v>
      </c>
      <c r="G11" s="180">
        <f t="shared" si="0"/>
        <v>7952</v>
      </c>
      <c r="H11" s="184">
        <f t="shared" si="0"/>
        <v>20342</v>
      </c>
      <c r="I11" s="185">
        <f>IFERROR(I10+I6+I7+I8+I9-I5,"")</f>
        <v>38959.969891088047</v>
      </c>
      <c r="J11" s="181">
        <f>IFERROR(J10+J6+J7+J8+J9-J5,"")</f>
        <v>51668.233195774592</v>
      </c>
      <c r="K11" s="181">
        <f>IFERROR(K10+K6+K7+K8+K9-K5,"")</f>
        <v>68505.703510201158</v>
      </c>
      <c r="L11" s="181">
        <f>IFERROR(L10+L6+L7+L8+L9-L5,"")</f>
        <v>90814.055154492846</v>
      </c>
      <c r="M11" s="182">
        <f>IFERROR(M10+M6+M7+M8+M9-M5,"")</f>
        <v>120370.90329093579</v>
      </c>
      <c r="N11" s="107"/>
      <c r="O11" s="107"/>
      <c r="P11" s="107"/>
      <c r="Q11" s="107"/>
      <c r="R11" s="107"/>
      <c r="S11" s="12"/>
    </row>
    <row r="12" spans="1:19" s="189" customFormat="1" ht="30" customHeight="1">
      <c r="A12" s="4"/>
      <c r="B12" s="5"/>
      <c r="C12" s="5"/>
      <c r="D12" s="5"/>
      <c r="E12" s="5"/>
      <c r="F12" s="5"/>
      <c r="G12" s="5"/>
      <c r="H12" s="5"/>
      <c r="I12" s="5"/>
      <c r="J12" s="5"/>
      <c r="K12" s="5"/>
      <c r="L12" s="5"/>
      <c r="M12" s="5"/>
      <c r="N12" s="5"/>
      <c r="O12" s="5"/>
      <c r="P12" s="5"/>
      <c r="Q12" s="5"/>
      <c r="R12" s="5"/>
      <c r="S12" s="23"/>
    </row>
    <row r="13" spans="1:19" s="190" customFormat="1" ht="39.950000000000003" customHeight="1">
      <c r="A13" s="71" t="s">
        <v>77</v>
      </c>
      <c r="B13" s="72">
        <f>'1.IS'!B$2</f>
        <v>2018</v>
      </c>
      <c r="C13" s="72">
        <f>'1.IS'!C$2</f>
        <v>2019</v>
      </c>
      <c r="D13" s="72">
        <f>'1.IS'!D$2</f>
        <v>2020</v>
      </c>
      <c r="E13" s="72">
        <f>'1.IS'!E$2</f>
        <v>2021</v>
      </c>
      <c r="F13" s="72">
        <f>'1.IS'!F$2</f>
        <v>2022</v>
      </c>
      <c r="G13" s="72">
        <f>'1.IS'!G$2</f>
        <v>2023</v>
      </c>
      <c r="H13" s="76">
        <f>'1.IS'!H$2</f>
        <v>2024</v>
      </c>
      <c r="I13" s="73" t="str">
        <f>'1.IS'!I$2</f>
        <v>2025e</v>
      </c>
      <c r="J13" s="73" t="str">
        <f>'1.IS'!J$2</f>
        <v>2026e</v>
      </c>
      <c r="K13" s="73" t="str">
        <f>'1.IS'!K$2</f>
        <v>2027e</v>
      </c>
      <c r="L13" s="73" t="str">
        <f>'1.IS'!L$2</f>
        <v>2028e</v>
      </c>
      <c r="M13" s="73" t="str">
        <f>'1.IS'!M$2</f>
        <v>2029e</v>
      </c>
      <c r="N13" s="78" t="str">
        <f>"Promedio "&amp;CHAR(10)&amp;B$2&amp;" - "&amp;H$2</f>
        <v>Promedio 
2018 - 2024</v>
      </c>
    </row>
    <row r="14" spans="1:19" s="77" customFormat="1" ht="24.95" customHeight="1">
      <c r="A14" s="261" t="s">
        <v>78</v>
      </c>
      <c r="B14" s="163">
        <f>IFERROR('1.IS'!B18/B10,"")</f>
        <v>0.48376623376623379</v>
      </c>
      <c r="C14" s="24">
        <f>IFERROR('1.IS'!C18/C10,"")</f>
        <v>0.30350877192982456</v>
      </c>
      <c r="D14" s="24">
        <f>IFERROR('1.IS'!D18/D10,"")</f>
        <v>-0.65240641711229952</v>
      </c>
      <c r="E14" s="24">
        <f>IFERROR('1.IS'!E18/E10,"")</f>
        <v>3.5714285714285712E-2</v>
      </c>
      <c r="F14" s="24">
        <f>IFERROR('1.IS'!F18/F10,"")</f>
        <v>9.7629009762900981E-2</v>
      </c>
      <c r="G14" s="24">
        <f>IFERROR('1.IS'!G18/G10,"")</f>
        <v>6.3829787234042548E-2</v>
      </c>
      <c r="H14" s="75">
        <f>IFERROR('1.IS'!H18/H10,"")</f>
        <v>0.30878995433789952</v>
      </c>
      <c r="I14" s="140">
        <f>IFERROR('1.IS'!I18/I10,"")</f>
        <v>0.27802691268544338</v>
      </c>
      <c r="J14" s="24">
        <f>IFERROR('1.IS'!J18/J10,"")</f>
        <v>0.27792607998837837</v>
      </c>
      <c r="K14" s="24">
        <f>IFERROR('1.IS'!K18/K10,"")</f>
        <v>0.2778499754168427</v>
      </c>
      <c r="L14" s="24">
        <f>IFERROR('1.IS'!L18/L10,"")</f>
        <v>0.27779253466620113</v>
      </c>
      <c r="M14" s="24">
        <f>IFERROR('1.IS'!M18/M10,"")</f>
        <v>0.27774918063676912</v>
      </c>
      <c r="N14" s="177">
        <f>IFERROR(AVERAGE(B14:H14),"")</f>
        <v>9.1547375090412525E-2</v>
      </c>
      <c r="O14" s="219"/>
      <c r="P14" s="219"/>
      <c r="Q14" s="219"/>
      <c r="R14" s="219"/>
    </row>
    <row r="15" spans="1:19" s="77" customFormat="1" ht="24.95" customHeight="1">
      <c r="A15" s="170" t="s">
        <v>79</v>
      </c>
      <c r="B15" s="163">
        <f t="shared" ref="B15:M15" si="1">IFERROR(B3/B11,"")</f>
        <v>0.1894919972164231</v>
      </c>
      <c r="C15" s="24">
        <f t="shared" si="1"/>
        <v>0.12199016528474528</v>
      </c>
      <c r="D15" s="24">
        <f t="shared" si="1"/>
        <v>-1.2695748462860972E-2</v>
      </c>
      <c r="E15" s="24">
        <f t="shared" si="1"/>
        <v>5.6743808806127789E-2</v>
      </c>
      <c r="F15" s="24">
        <f t="shared" si="1"/>
        <v>0.10151859111362119</v>
      </c>
      <c r="G15" s="24">
        <f t="shared" si="1"/>
        <v>7.1957551762186031E-2</v>
      </c>
      <c r="H15" s="75">
        <f t="shared" si="1"/>
        <v>1.8835123686043918E-2</v>
      </c>
      <c r="I15" s="140">
        <f t="shared" si="1"/>
        <v>2.0494358265759995E-2</v>
      </c>
      <c r="J15" s="24">
        <f t="shared" si="1"/>
        <v>2.047481394672138E-2</v>
      </c>
      <c r="K15" s="24">
        <f t="shared" si="1"/>
        <v>2.0460087327287019E-2</v>
      </c>
      <c r="L15" s="24">
        <f t="shared" si="1"/>
        <v>2.0448986272534379E-2</v>
      </c>
      <c r="M15" s="24">
        <f t="shared" si="1"/>
        <v>2.0440615604975006E-2</v>
      </c>
      <c r="N15" s="177">
        <f>IFERROR(AVERAGE(B15:H15),"")</f>
        <v>7.8263069915183753E-2</v>
      </c>
      <c r="O15" s="219"/>
      <c r="P15" s="219"/>
      <c r="Q15" s="219"/>
      <c r="R15" s="219"/>
    </row>
    <row r="16" spans="1:19" s="77" customFormat="1" ht="24.95" customHeight="1">
      <c r="A16" s="220" t="s">
        <v>80</v>
      </c>
      <c r="B16" s="187">
        <f>IFERROR(TIKR_Cálculos!B11/'2.FCF'!B13,"")</f>
        <v>8.7248322147651006E-2</v>
      </c>
      <c r="C16" s="183">
        <f>IFERROR(TIKR_Cálculos!C11/'2.FCF'!C13,"")</f>
        <v>3.780718336483932E-3</v>
      </c>
      <c r="D16" s="183">
        <f>IFERROR(TIKR_Cálculos!D11/'2.FCF'!D13,"")</f>
        <v>-8.9686098654708519E-3</v>
      </c>
      <c r="E16" s="183">
        <f>IFERROR(TIKR_Cálculos!E11/'2.FCF'!E13,"")</f>
        <v>-0.93537015276145707</v>
      </c>
      <c r="F16" s="183">
        <f>IFERROR(TIKR_Cálculos!F11/'2.FCF'!F13,"")</f>
        <v>0</v>
      </c>
      <c r="G16" s="183">
        <f>IFERROR(TIKR_Cálculos!G11/'2.FCF'!G13,"")</f>
        <v>0.12251655629139073</v>
      </c>
      <c r="H16" s="183">
        <f>IFERROR(TIKR_Cálculos!H11/'2.FCF'!H13,"")</f>
        <v>1.0292230933713471</v>
      </c>
      <c r="I16" s="156"/>
      <c r="J16" s="183"/>
      <c r="K16" s="183"/>
      <c r="L16" s="183"/>
      <c r="M16" s="183"/>
      <c r="N16" s="188">
        <f>IFERROR(AVERAGE(B16:H16),"")</f>
        <v>4.2632846788563543E-2</v>
      </c>
      <c r="O16" s="219"/>
      <c r="P16" s="219"/>
      <c r="Q16" s="219"/>
      <c r="R16" s="219"/>
    </row>
    <row r="17" spans="1:13" ht="37.5" customHeight="1">
      <c r="A17" s="189"/>
      <c r="B17" s="222"/>
      <c r="C17" s="222"/>
      <c r="D17" s="222"/>
      <c r="E17" s="222"/>
      <c r="F17" s="223"/>
      <c r="G17" s="223"/>
      <c r="H17" s="222"/>
    </row>
    <row r="18" spans="1:13">
      <c r="I18" s="221"/>
      <c r="M18" s="221"/>
    </row>
    <row r="19" spans="1:13">
      <c r="I19" s="221"/>
      <c r="J19" s="221"/>
      <c r="K19" s="221"/>
      <c r="L19" s="221"/>
      <c r="M19" s="221"/>
    </row>
  </sheetData>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opLeftCell="A15" zoomScale="90" zoomScaleNormal="90" workbookViewId="0">
      <selection activeCell="D18" sqref="D18"/>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81</v>
      </c>
      <c r="N1" s="26"/>
    </row>
    <row r="2" spans="1:14" s="6" customFormat="1" ht="39.950000000000003" customHeight="1">
      <c r="A2" s="137" t="s">
        <v>82</v>
      </c>
      <c r="B2" s="67">
        <f>'1.IS'!B$2</f>
        <v>2018</v>
      </c>
      <c r="C2" s="67">
        <f>'1.IS'!C$2</f>
        <v>2019</v>
      </c>
      <c r="D2" s="67">
        <f>'1.IS'!D$2</f>
        <v>2020</v>
      </c>
      <c r="E2" s="67">
        <f>'1.IS'!E$2</f>
        <v>2021</v>
      </c>
      <c r="F2" s="67">
        <f>'1.IS'!F$2</f>
        <v>2022</v>
      </c>
      <c r="G2" s="67">
        <f>'1.IS'!G$2</f>
        <v>2023</v>
      </c>
      <c r="H2" s="67">
        <f>'1.IS'!H$2</f>
        <v>2024</v>
      </c>
      <c r="I2" s="8" t="str">
        <f>'1.IS'!I$2</f>
        <v>2025e</v>
      </c>
      <c r="J2" s="8" t="str">
        <f>'1.IS'!J$2</f>
        <v>2026e</v>
      </c>
      <c r="K2" s="8" t="str">
        <f>'1.IS'!K$2</f>
        <v>2027e</v>
      </c>
      <c r="L2" s="8" t="str">
        <f>'1.IS'!L$2</f>
        <v>2028e</v>
      </c>
      <c r="M2" s="8" t="str">
        <f>'1.IS'!M$2</f>
        <v>2029e</v>
      </c>
    </row>
    <row r="3" spans="1:14" s="6" customFormat="1" ht="24.95" customHeight="1">
      <c r="A3" s="74" t="s">
        <v>83</v>
      </c>
      <c r="B3" s="160"/>
      <c r="C3" s="111"/>
      <c r="D3" s="111"/>
      <c r="E3" s="111"/>
      <c r="F3" s="111"/>
      <c r="G3" s="111"/>
      <c r="H3" s="107">
        <f>$D$12*'1.IS'!H22</f>
        <v>4284</v>
      </c>
      <c r="I3" s="144">
        <f>IFERROR($D$12*'1.IS'!I22,"")</f>
        <v>4343.1999692839263</v>
      </c>
      <c r="J3" s="111">
        <f>IFERROR($D$12*'1.IS'!J22,"")</f>
        <v>4403.2180142828902</v>
      </c>
      <c r="K3" s="111">
        <f>IFERROR($D$12*'1.IS'!K22,"")</f>
        <v>4464.0654398655179</v>
      </c>
      <c r="L3" s="111">
        <f>IFERROR($D$12*'1.IS'!L22,"")</f>
        <v>4525.7537071207644</v>
      </c>
      <c r="M3" s="165">
        <f>IFERROR($D$12*'1.IS'!M22,"")</f>
        <v>4588.2944355166946</v>
      </c>
      <c r="N3" s="134"/>
    </row>
    <row r="4" spans="1:14" s="6" customFormat="1" ht="24.95" customHeight="1" thickBot="1">
      <c r="A4" s="74" t="s">
        <v>84</v>
      </c>
      <c r="B4" s="160">
        <f>('3.ROIC'!B7+'3.ROIC'!B6)-('3.ROIC'!B4+'3.ROIC'!B5)</f>
        <v>1332</v>
      </c>
      <c r="C4" s="111">
        <f>('3.ROIC'!C7+'3.ROIC'!C6)-('3.ROIC'!C4+'3.ROIC'!C5)</f>
        <v>1557</v>
      </c>
      <c r="D4" s="111">
        <f>('3.ROIC'!D7+'3.ROIC'!D6)-('3.ROIC'!D4+'3.ROIC'!D5)</f>
        <v>1417</v>
      </c>
      <c r="E4" s="111">
        <f>('3.ROIC'!E7+'3.ROIC'!E6)-('3.ROIC'!E4+'3.ROIC'!E5)</f>
        <v>4550</v>
      </c>
      <c r="F4" s="111">
        <f>('3.ROIC'!F7+'3.ROIC'!F6)-('3.ROIC'!F4+'3.ROIC'!F5)</f>
        <v>3584</v>
      </c>
      <c r="G4" s="111">
        <f>('3.ROIC'!G7+'3.ROIC'!G6)-('3.ROIC'!G4+'3.ROIC'!G5)</f>
        <v>4301</v>
      </c>
      <c r="H4" s="107">
        <f>('3.ROIC'!H7+'3.ROIC'!H6)-('3.ROIC'!H4+'3.ROIC'!H5)</f>
        <v>8967</v>
      </c>
      <c r="I4" s="144">
        <f>IFERROR(I5*'1.IS'!I5,"")</f>
        <v>23839.697697527041</v>
      </c>
      <c r="J4" s="107">
        <f>IFERROR(J5*'1.IS'!J5,"")</f>
        <v>31585.763739958624</v>
      </c>
      <c r="K4" s="107">
        <f>IFERROR(K5*'1.IS'!K5,"")</f>
        <v>41848.704782023095</v>
      </c>
      <c r="L4" s="107">
        <f>IFERROR(L5*'1.IS'!L5,"")</f>
        <v>55446.311393679054</v>
      </c>
      <c r="M4" s="153">
        <f>IFERROR(M5*'1.IS'!M5,"")</f>
        <v>73462.093108445391</v>
      </c>
      <c r="N4" s="134"/>
    </row>
    <row r="5" spans="1:14" s="6" customFormat="1" ht="24.95" customHeight="1" thickTop="1" thickBot="1">
      <c r="A5" s="128" t="s">
        <v>85</v>
      </c>
      <c r="B5" s="194">
        <f>IFERROR('4.Valoración'!B4/'1.IS'!B5,"")</f>
        <v>2.8340425531914892</v>
      </c>
      <c r="C5" s="127">
        <f>IFERROR('4.Valoración'!C4/'1.IS'!C5,"")</f>
        <v>4.2425068119891005</v>
      </c>
      <c r="D5" s="127">
        <f>IFERROR('4.Valoración'!D4/'1.IS'!D5,"")</f>
        <v>83.352941176470594</v>
      </c>
      <c r="E5" s="127">
        <f>IFERROR('4.Valoración'!E4/'1.IS'!E5,"")</f>
        <v>7.4835526315789478</v>
      </c>
      <c r="F5" s="127">
        <f>IFERROR('4.Valoración'!F4/'1.IS'!F5,"")</f>
        <v>3.7686645636172451</v>
      </c>
      <c r="G5" s="127">
        <f>IFERROR('4.Valoración'!G4/'1.IS'!G5,"")</f>
        <v>4.7948717948717947</v>
      </c>
      <c r="H5" s="135">
        <f>IFERROR('4.Valoración'!H4/'1.IS'!H5,"")</f>
        <v>11.084054388133499</v>
      </c>
      <c r="I5" s="274">
        <f>IFERROR(AVERAGE('4.Valoración'!B5:H5),"")</f>
        <v>16.794376274264668</v>
      </c>
      <c r="J5" s="275">
        <f>I5</f>
        <v>16.794376274264668</v>
      </c>
      <c r="K5" s="275">
        <f t="shared" ref="K5:M5" si="0">J5</f>
        <v>16.794376274264668</v>
      </c>
      <c r="L5" s="275">
        <f t="shared" si="0"/>
        <v>16.794376274264668</v>
      </c>
      <c r="M5" s="276">
        <f t="shared" si="0"/>
        <v>16.794376274264668</v>
      </c>
      <c r="N5" s="136"/>
    </row>
    <row r="6" spans="1:14" s="6" customFormat="1" ht="24.95" customHeight="1" thickTop="1">
      <c r="A6" s="193" t="s">
        <v>86</v>
      </c>
      <c r="B6" s="186"/>
      <c r="C6" s="180"/>
      <c r="D6" s="180"/>
      <c r="E6" s="180"/>
      <c r="F6" s="180"/>
      <c r="G6" s="180"/>
      <c r="H6" s="180">
        <f>H3+H4</f>
        <v>13251</v>
      </c>
      <c r="I6" s="186">
        <f>IFERROR((I3+I4),"")</f>
        <v>28182.897666810968</v>
      </c>
      <c r="J6" s="180">
        <f>IFERROR((J3+J4),"")</f>
        <v>35988.981754241511</v>
      </c>
      <c r="K6" s="180">
        <f>IFERROR((K3+K4),"")</f>
        <v>46312.770221888612</v>
      </c>
      <c r="L6" s="180">
        <f>IFERROR((L3+L4),"")</f>
        <v>59972.065100799817</v>
      </c>
      <c r="M6" s="195">
        <f>IFERROR((M3+M4),"")</f>
        <v>78050.38754396209</v>
      </c>
    </row>
    <row r="7" spans="1:14" s="6" customFormat="1" ht="24.95" customHeight="1">
      <c r="A7" s="20" t="s">
        <v>21</v>
      </c>
      <c r="B7" s="118">
        <f>'1.IS'!B5</f>
        <v>470</v>
      </c>
      <c r="C7" s="118">
        <f>'1.IS'!C5</f>
        <v>367</v>
      </c>
      <c r="D7" s="118">
        <f>'1.IS'!D5</f>
        <v>17</v>
      </c>
      <c r="E7" s="118">
        <f>'1.IS'!E5</f>
        <v>608</v>
      </c>
      <c r="F7" s="118">
        <f>'1.IS'!F5</f>
        <v>951</v>
      </c>
      <c r="G7" s="118">
        <f>'1.IS'!G5</f>
        <v>897</v>
      </c>
      <c r="H7" s="119">
        <f>'1.IS'!H5</f>
        <v>809</v>
      </c>
      <c r="I7" s="120">
        <f>'1.IS'!I5</f>
        <v>1419.5047978089231</v>
      </c>
      <c r="J7" s="118">
        <f>'1.IS'!J5</f>
        <v>1880.7345520988447</v>
      </c>
      <c r="K7" s="118">
        <f>'1.IS'!K5</f>
        <v>2491.8284608253734</v>
      </c>
      <c r="L7" s="118">
        <f>'1.IS'!L5</f>
        <v>3301.4808343102186</v>
      </c>
      <c r="M7" s="118">
        <f>'1.IS'!M5</f>
        <v>4374.2078841604307</v>
      </c>
      <c r="N7" s="29"/>
    </row>
    <row r="8" spans="1:14" s="6" customFormat="1" ht="24.95" customHeight="1">
      <c r="A8" s="20" t="s">
        <v>87</v>
      </c>
      <c r="B8" s="118">
        <f>'1.IS'!B8</f>
        <v>434</v>
      </c>
      <c r="C8" s="118">
        <f>'1.IS'!C8</f>
        <v>316</v>
      </c>
      <c r="D8" s="118">
        <f>'1.IS'!D8</f>
        <v>-28</v>
      </c>
      <c r="E8" s="118">
        <f>'1.IS'!E8</f>
        <v>482</v>
      </c>
      <c r="F8" s="118">
        <f>'1.IS'!F8</f>
        <v>707</v>
      </c>
      <c r="G8" s="118">
        <f>'1.IS'!G8</f>
        <v>684</v>
      </c>
      <c r="H8" s="119">
        <f>'1.IS'!H8</f>
        <v>458</v>
      </c>
      <c r="I8" s="120">
        <f>'1.IS'!I8</f>
        <v>954.4568255825169</v>
      </c>
      <c r="J8" s="118">
        <f>'1.IS'!J8</f>
        <v>1264.5817986176701</v>
      </c>
      <c r="K8" s="118">
        <f>'1.IS'!K8</f>
        <v>1675.4735075828178</v>
      </c>
      <c r="L8" s="118">
        <f>'1.IS'!L8</f>
        <v>2219.8733823944549</v>
      </c>
      <c r="M8" s="118">
        <f>'1.IS'!M8</f>
        <v>2941.1612965296722</v>
      </c>
      <c r="N8" s="29"/>
    </row>
    <row r="9" spans="1:14" s="6" customFormat="1" ht="24.95" customHeight="1">
      <c r="A9" s="20" t="s">
        <v>88</v>
      </c>
      <c r="B9" s="118">
        <f>'1.IS'!B18</f>
        <v>298</v>
      </c>
      <c r="C9" s="118">
        <f>'1.IS'!C18</f>
        <v>173</v>
      </c>
      <c r="D9" s="118">
        <f>'1.IS'!D18</f>
        <v>-244</v>
      </c>
      <c r="E9" s="118">
        <f>'1.IS'!E18</f>
        <v>71</v>
      </c>
      <c r="F9" s="118">
        <f>'1.IS'!F18</f>
        <v>210</v>
      </c>
      <c r="G9" s="118">
        <f>'1.IS'!G18</f>
        <v>135</v>
      </c>
      <c r="H9" s="119">
        <f>'1.IS'!H18</f>
        <v>541</v>
      </c>
      <c r="I9" s="120">
        <f>'1.IS'!I18</f>
        <v>645.3741670917982</v>
      </c>
      <c r="J9" s="118">
        <f>'1.IS'!J18</f>
        <v>854.76096545517964</v>
      </c>
      <c r="K9" s="118">
        <f>'1.IS'!K18</f>
        <v>1132.1823500417036</v>
      </c>
      <c r="L9" s="118">
        <f>'1.IS'!L18</f>
        <v>1499.744322560806</v>
      </c>
      <c r="M9" s="118">
        <f>'1.IS'!M18</f>
        <v>1986.7356330666366</v>
      </c>
      <c r="N9" s="29"/>
    </row>
    <row r="10" spans="1:14" s="6" customFormat="1" ht="24.95" customHeight="1">
      <c r="A10" s="28" t="s">
        <v>89</v>
      </c>
      <c r="B10" s="121">
        <f>'2.FCF'!B13</f>
        <v>298</v>
      </c>
      <c r="C10" s="121">
        <f>'2.FCF'!C13</f>
        <v>529</v>
      </c>
      <c r="D10" s="121">
        <f>'2.FCF'!D13</f>
        <v>-223</v>
      </c>
      <c r="E10" s="121">
        <f>'2.FCF'!E13</f>
        <v>-1702</v>
      </c>
      <c r="F10" s="121">
        <f>'2.FCF'!F13</f>
        <v>100</v>
      </c>
      <c r="G10" s="121">
        <f>'2.FCF'!G13</f>
        <v>604</v>
      </c>
      <c r="H10" s="121">
        <f>'2.FCF'!H13</f>
        <v>1403</v>
      </c>
      <c r="I10" s="122">
        <f>'2.FCF'!I13</f>
        <v>757.5602286367739</v>
      </c>
      <c r="J10" s="121">
        <f>'2.FCF'!J13</f>
        <v>1003.3988584282786</v>
      </c>
      <c r="K10" s="121">
        <f>'2.FCF'!K13</f>
        <v>1329.1161127857072</v>
      </c>
      <c r="L10" s="121">
        <f>'2.FCF'!L13</f>
        <v>1760.6663938628428</v>
      </c>
      <c r="M10" s="121">
        <f>'2.FCF'!M13</f>
        <v>2332.4372859672812</v>
      </c>
      <c r="N10" s="29"/>
    </row>
    <row r="11" spans="1:14" s="6" customFormat="1" ht="20.100000000000001" customHeight="1" thickBot="1">
      <c r="A11" s="131"/>
      <c r="B11" s="114"/>
      <c r="C11" s="114"/>
      <c r="D11" s="114"/>
      <c r="E11" s="114"/>
      <c r="F11" s="114"/>
      <c r="G11" s="114"/>
      <c r="H11" s="114"/>
      <c r="I11" s="114"/>
      <c r="J11" s="114"/>
      <c r="K11" s="114"/>
      <c r="L11" s="114"/>
      <c r="M11" s="114"/>
      <c r="N11" s="29"/>
    </row>
    <row r="12" spans="1:14" s="6" customFormat="1" ht="24.95" customHeight="1" thickTop="1" thickBot="1">
      <c r="A12" s="302" t="s">
        <v>90</v>
      </c>
      <c r="B12" s="303"/>
      <c r="C12" s="304"/>
      <c r="D12" s="263">
        <v>42</v>
      </c>
      <c r="E12" s="114"/>
      <c r="F12" s="114"/>
      <c r="G12" s="114"/>
      <c r="H12" s="114"/>
      <c r="I12" s="114"/>
      <c r="J12" s="114"/>
      <c r="K12" s="114"/>
      <c r="L12" s="114"/>
      <c r="M12" s="114"/>
      <c r="N12" s="29"/>
    </row>
    <row r="13" spans="1:14" s="6" customFormat="1" ht="20.100000000000001" customHeight="1" thickTop="1" thickBot="1">
      <c r="A13" s="84"/>
      <c r="B13" s="31"/>
      <c r="C13" s="31"/>
      <c r="D13" s="31"/>
      <c r="E13" s="31"/>
      <c r="F13" s="31"/>
      <c r="G13" s="31"/>
      <c r="H13" s="31"/>
      <c r="I13" s="31"/>
      <c r="J13" s="31"/>
      <c r="K13" s="31"/>
      <c r="L13" s="31"/>
      <c r="M13" s="31"/>
    </row>
    <row r="14" spans="1:14" s="6" customFormat="1" ht="39.950000000000003" customHeight="1" thickTop="1">
      <c r="A14" s="137" t="s">
        <v>91</v>
      </c>
      <c r="B14" s="191" t="s">
        <v>92</v>
      </c>
      <c r="C14" s="191" t="s">
        <v>93</v>
      </c>
      <c r="D14" s="270" t="s">
        <v>94</v>
      </c>
      <c r="E14" s="86"/>
      <c r="G14" s="7"/>
      <c r="H14" s="7"/>
      <c r="I14" s="7"/>
      <c r="J14" s="7"/>
      <c r="K14" s="7"/>
      <c r="L14" s="7"/>
      <c r="M14" s="7"/>
    </row>
    <row r="15" spans="1:14" s="6" customFormat="1" ht="24.95" customHeight="1" thickBot="1">
      <c r="A15" s="198" t="s">
        <v>95</v>
      </c>
      <c r="B15" s="199">
        <f>IF(D12&lt;&gt;"",IFERROR(D12/'1.IS'!H20,""),"")</f>
        <v>7.9186691312384472</v>
      </c>
      <c r="C15" s="199">
        <f>IF(D12&lt;&gt;"",IFERROR(D12/'1.IS'!I20,""),"")</f>
        <v>6.7297394143545706</v>
      </c>
      <c r="D15" s="271">
        <v>13</v>
      </c>
      <c r="E15" s="87"/>
      <c r="G15" s="7"/>
      <c r="H15" s="7"/>
      <c r="I15" s="7"/>
      <c r="J15" s="7"/>
      <c r="K15" s="7"/>
      <c r="L15" s="7"/>
      <c r="M15" s="7"/>
    </row>
    <row r="16" spans="1:14" s="6" customFormat="1" ht="24.95" customHeight="1" thickBot="1">
      <c r="A16" s="201" t="s">
        <v>96</v>
      </c>
      <c r="B16" s="206">
        <f>IF(D12&lt;&gt;"",IFERROR(H6/H10,""),"")</f>
        <v>9.4447612259444043</v>
      </c>
      <c r="C16" s="206">
        <f>IF(D12&lt;&gt;"",IFERROR(I6/I10,""),"")</f>
        <v>37.202187498050101</v>
      </c>
      <c r="D16" s="272">
        <v>10</v>
      </c>
      <c r="E16" s="88"/>
      <c r="G16" s="7"/>
      <c r="H16" s="7"/>
      <c r="I16" s="7"/>
      <c r="J16" s="7"/>
      <c r="K16" s="7"/>
      <c r="L16" s="7"/>
      <c r="M16" s="7"/>
    </row>
    <row r="17" spans="1:14" s="6" customFormat="1" ht="24.95" customHeight="1">
      <c r="A17" s="74" t="s">
        <v>97</v>
      </c>
      <c r="B17" s="200">
        <f>IF(D12&lt;&gt;"",IFERROR(H6/H7,""),"")</f>
        <v>16.379480840543881</v>
      </c>
      <c r="C17" s="89">
        <f>IF(D12&lt;&gt;"",IFERROR(I6/I7,""),"")</f>
        <v>19.854034808697151</v>
      </c>
      <c r="D17" s="271">
        <v>10</v>
      </c>
      <c r="E17" s="87"/>
      <c r="G17" s="7"/>
      <c r="H17" s="7"/>
      <c r="I17" s="7"/>
      <c r="J17" s="7"/>
      <c r="K17" s="7"/>
      <c r="L17" s="7"/>
      <c r="M17" s="7"/>
    </row>
    <row r="18" spans="1:14" s="6" customFormat="1" ht="24.95" customHeight="1" thickBot="1">
      <c r="A18" s="28" t="s">
        <v>98</v>
      </c>
      <c r="B18" s="208">
        <f>IF(D12&lt;&gt;"",IFERROR(H6/H8,""),"")</f>
        <v>28.932314410480348</v>
      </c>
      <c r="C18" s="209">
        <f>IF(D12&lt;&gt;"",IFERROR(I6/I8,""),"")</f>
        <v>29.527682040107571</v>
      </c>
      <c r="D18" s="273">
        <v>13</v>
      </c>
      <c r="E18" s="87"/>
      <c r="G18" s="7"/>
      <c r="H18" s="7"/>
      <c r="I18" s="7"/>
      <c r="J18" s="7"/>
      <c r="K18" s="7"/>
      <c r="L18" s="7"/>
      <c r="M18" s="7"/>
      <c r="N18" s="29"/>
    </row>
    <row r="19" spans="1:14" s="6" customFormat="1" ht="20.100000000000001" customHeight="1" thickTop="1">
      <c r="A19" s="90"/>
      <c r="B19" s="32"/>
      <c r="C19" s="7"/>
      <c r="D19" s="7"/>
      <c r="E19" s="7"/>
      <c r="F19" s="7"/>
      <c r="G19" s="7"/>
      <c r="H19" s="7"/>
      <c r="I19" s="7"/>
      <c r="J19" s="7"/>
      <c r="K19" s="7"/>
      <c r="L19" s="7"/>
      <c r="M19" s="7"/>
    </row>
    <row r="20" spans="1:14" s="6" customFormat="1" ht="39.950000000000003" customHeight="1">
      <c r="A20" s="192" t="s">
        <v>99</v>
      </c>
      <c r="B20" s="191" t="str">
        <f>I2</f>
        <v>2025e</v>
      </c>
      <c r="C20" s="191" t="str">
        <f>J2</f>
        <v>2026e</v>
      </c>
      <c r="D20" s="191" t="str">
        <f>K2</f>
        <v>2027e</v>
      </c>
      <c r="E20" s="191" t="str">
        <f>L2</f>
        <v>2028e</v>
      </c>
      <c r="F20" s="126" t="str">
        <f>M2</f>
        <v>2029e</v>
      </c>
      <c r="H20" s="305" t="str">
        <f>"Retorno Anualizado"&amp;CHAR(10)&amp;"valorando por..."</f>
        <v>Retorno Anualizado
valorando por...</v>
      </c>
      <c r="I20" s="305"/>
      <c r="J20" s="191" t="str">
        <f>"CAGR"&amp;CHAR(10)&amp;"5 años"</f>
        <v>CAGR
5 años</v>
      </c>
      <c r="L20" s="7"/>
      <c r="M20" s="7"/>
    </row>
    <row r="21" spans="1:14" s="6" customFormat="1" ht="24.95" customHeight="1" thickBot="1">
      <c r="A21" s="84" t="s">
        <v>100</v>
      </c>
      <c r="B21" s="16">
        <f>IF(D12&lt;&gt;"",IFERROR(IF(--I4&lt;0,(I9*$D$15-I4),IF(--I4&gt;0,I9*$D$15))/'1.IS'!I22,""),"")</f>
        <v>81.132413364383623</v>
      </c>
      <c r="C21" s="16">
        <f>IF(D12&lt;&gt;"",IFERROR(IF(--J4&lt;0,(J9*$D$15-J4),IF(--J4&gt;0,J9*$D$15))/'1.IS'!J22,""),"")</f>
        <v>105.99054728261848</v>
      </c>
      <c r="D21" s="16">
        <f>IF(D12&lt;&gt;"",IFERROR(IF(--K4&lt;0,(K9*$D$15-K4),IF(--K4&gt;0,K9*$D$15))/'1.IS'!K22,""),"")</f>
        <v>138.47726281122635</v>
      </c>
      <c r="E21" s="16">
        <f>IF(D12&lt;&gt;"",IFERROR(IF(--L4&lt;0,(L9*$D$15-L4),IF(--L4&gt;0,L9*$D$15))/'1.IS'!L22,""),"")</f>
        <v>180.93348712940684</v>
      </c>
      <c r="F21" s="196">
        <f>IF(D12&lt;&gt;"",IFERROR(IF(--M4&lt;0,(M9*$D$15-M4),IF(--M4&gt;0,M9*$D$15))/'1.IS'!M22,""),"")</f>
        <v>236.418492949707</v>
      </c>
      <c r="H21" s="84" t="s">
        <v>100</v>
      </c>
      <c r="I21" s="84"/>
      <c r="J21" s="197">
        <f>IFERROR((F21/$D$12)^(1/5)-1,"")</f>
        <v>0.4128186878561424</v>
      </c>
      <c r="L21" s="7"/>
      <c r="M21" s="7"/>
    </row>
    <row r="22" spans="1:14" s="6" customFormat="1" ht="24.95" customHeight="1" thickBot="1">
      <c r="A22" s="201" t="s">
        <v>101</v>
      </c>
      <c r="B22" s="202">
        <f>IF(D12&lt;&gt;"",IFERROR(((I10*$D$16)-I4)/'1.IS'!I22,""),"")</f>
        <v>-157.27850711449366</v>
      </c>
      <c r="C22" s="202">
        <f>IF(D12&lt;&gt;"",IFERROR(((J10*$D$16)-J4)/'1.IS'!J22,""),"")</f>
        <v>-205.57114219696484</v>
      </c>
      <c r="D22" s="202">
        <f>IF(D12&lt;&gt;"",IFERROR(((K10*$D$16)-K4)/'1.IS'!K22,""),"")</f>
        <v>-268.68262789425103</v>
      </c>
      <c r="E22" s="202">
        <f>IF(D12&lt;&gt;"",IFERROR(((L10*$D$16)-L4)/'1.IS'!L22,""),"")</f>
        <v>-351.1603361472358</v>
      </c>
      <c r="F22" s="203">
        <f>IF(D12&lt;&gt;"",IFERROR(((M10*$D$16)-M4)/'1.IS'!M22,""),"")</f>
        <v>-458.94706192962809</v>
      </c>
      <c r="H22" s="201" t="s">
        <v>96</v>
      </c>
      <c r="I22" s="204"/>
      <c r="J22" s="205">
        <f>IFERROR((F22/$D$12)^(1/5)-1,"")</f>
        <v>-2.6132536661051269</v>
      </c>
      <c r="L22" s="7"/>
      <c r="M22" s="7"/>
    </row>
    <row r="23" spans="1:14" s="6" customFormat="1" ht="24.95" customHeight="1">
      <c r="A23" s="20" t="s">
        <v>97</v>
      </c>
      <c r="B23" s="16">
        <f>IF(D12&lt;&gt;"",IFERROR(((I7*$D$17)-I4)/'1.IS'!I22,""),"")</f>
        <v>-93.266552560593638</v>
      </c>
      <c r="C23" s="16">
        <f>IF(D12&lt;&gt;"",IFERROR(((J7*$D$17)-J4)/'1.IS'!J22,""),"")</f>
        <v>-121.88666640076724</v>
      </c>
      <c r="D23" s="16">
        <f>IF(D12&lt;&gt;"",IFERROR(((K7*$D$17)-K4)/'1.IS'!K22,""),"")</f>
        <v>-159.28925256071841</v>
      </c>
      <c r="E23" s="16">
        <f>IF(D12&lt;&gt;"",IFERROR(((L7*$D$17)-L4)/'1.IS'!L22,""),"")</f>
        <v>-208.16933246762935</v>
      </c>
      <c r="F23" s="196">
        <f>IF(D12&lt;&gt;"",IFERROR(((M7*$D$17)-M4)/'1.IS'!M22,""),"")</f>
        <v>-272.04893163460622</v>
      </c>
      <c r="H23" s="20" t="s">
        <v>97</v>
      </c>
      <c r="I23" s="20"/>
      <c r="J23" s="197">
        <f>IFERROR((F23/$D$12)^(1/5)-1,"")</f>
        <v>-2.4530466143268166</v>
      </c>
      <c r="L23" s="7"/>
      <c r="M23" s="7"/>
    </row>
    <row r="24" spans="1:14" s="6" customFormat="1" ht="24.95" customHeight="1">
      <c r="A24" s="84" t="s">
        <v>98</v>
      </c>
      <c r="B24" s="85">
        <f>IF(D12&lt;&gt;"",IFERROR(((I8*$D$18)-I4)/'1.IS'!I22,""),"")</f>
        <v>-110.54841589696416</v>
      </c>
      <c r="C24" s="85">
        <f>IF(D12&lt;&gt;"",IFERROR(((J8*$D$18)-J4)/'1.IS'!J22,""),"")</f>
        <v>-144.47170523229622</v>
      </c>
      <c r="D24" s="85">
        <f>IF(D12&lt;&gt;"",IFERROR(((K8*$D$18)-K4)/'1.IS'!K22,""),"")</f>
        <v>-188.80481862518178</v>
      </c>
      <c r="E24" s="85">
        <f>IF(D12&lt;&gt;"",IFERROR(((L8*$D$18)-L4)/'1.IS'!L22,""),"")</f>
        <v>-246.74215258116126</v>
      </c>
      <c r="F24" s="196">
        <f>IF(D12&lt;&gt;"",IFERROR(((M8*$D$18)-M4)/'1.IS'!M22,""),"")</f>
        <v>-322.45834774613644</v>
      </c>
      <c r="H24" s="84" t="s">
        <v>98</v>
      </c>
      <c r="I24" s="84"/>
      <c r="J24" s="197">
        <f>IFERROR((F24/$D$12)^(1/5)-1,"")</f>
        <v>-2.5032972631178199</v>
      </c>
      <c r="L24" s="7"/>
      <c r="M24" s="7"/>
    </row>
    <row r="25" spans="1:14" s="6" customFormat="1" ht="24.95" customHeight="1">
      <c r="A25" s="249" t="s">
        <v>102</v>
      </c>
      <c r="B25" s="250">
        <f>IFERROR(AVERAGE(B21:B24),"")</f>
        <v>-69.990265551916963</v>
      </c>
      <c r="C25" s="250">
        <f>IFERROR(AVERAGE(C21:C24),"")</f>
        <v>-91.484741636852448</v>
      </c>
      <c r="D25" s="250">
        <f>IFERROR(AVERAGE(D21:D24),"")</f>
        <v>-119.57485906723122</v>
      </c>
      <c r="E25" s="250">
        <f>IFERROR(AVERAGE(E21:E24),"")</f>
        <v>-156.28458351665489</v>
      </c>
      <c r="F25" s="251">
        <f>IFERROR(AVERAGE(F21:F24),"")</f>
        <v>-204.25896209016594</v>
      </c>
      <c r="H25" s="210" t="s">
        <v>102</v>
      </c>
      <c r="I25" s="211"/>
      <c r="J25" s="212">
        <f>IFERROR(AVERAGE(J21:J24),"")</f>
        <v>-1.7891947139234052</v>
      </c>
      <c r="L25" s="7"/>
      <c r="M25" s="7"/>
    </row>
    <row r="26" spans="1:14" s="6" customFormat="1" ht="24.95" customHeight="1">
      <c r="A26" s="210" t="s">
        <v>103</v>
      </c>
      <c r="B26" s="252">
        <f>IFERROR((B25/$D$12)-1,"")</f>
        <v>-2.666434894093261</v>
      </c>
      <c r="C26" s="252">
        <f t="shared" ref="C26:F26" si="1">IFERROR((C25/$D$12)-1,"")</f>
        <v>-3.1782081342107724</v>
      </c>
      <c r="D26" s="252">
        <f t="shared" si="1"/>
        <v>-3.8470204539816955</v>
      </c>
      <c r="E26" s="252">
        <f t="shared" si="1"/>
        <v>-4.7210615123013069</v>
      </c>
      <c r="F26" s="253">
        <f t="shared" si="1"/>
        <v>-5.8633086211944274</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207"/>
      <c r="C42" s="207"/>
      <c r="D42" s="207"/>
      <c r="E42" s="207"/>
      <c r="F42" s="207"/>
      <c r="G42" s="207"/>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78F2D-A912-4254-99DB-696E457A7EE4}">
  <dimension ref="A1:S86"/>
  <sheetViews>
    <sheetView showGridLines="0" zoomScaleNormal="100" workbookViewId="0"/>
  </sheetViews>
  <sheetFormatPr defaultColWidth="0" defaultRowHeight="17.25"/>
  <cols>
    <col min="1" max="1" width="41.85546875" style="4" bestFit="1" customWidth="1"/>
    <col min="2" max="7" width="10.7109375" style="5" customWidth="1"/>
    <col min="8" max="9" width="12.7109375" style="5" customWidth="1"/>
    <col min="10" max="19" width="11.42578125" style="4" customWidth="1"/>
    <col min="20" max="16384" width="11.42578125" style="4" hidden="1"/>
  </cols>
  <sheetData>
    <row r="1" spans="2:2" ht="65.25" customHeight="1">
      <c r="B1" s="19" t="s">
        <v>104</v>
      </c>
    </row>
    <row r="31" spans="2:2" ht="20.100000000000001" customHeight="1"/>
    <row r="32" spans="2:2" s="6" customFormat="1" ht="20.100000000000001" customHeight="1">
      <c r="B32" s="19"/>
    </row>
    <row r="33" s="6" customFormat="1"/>
    <row r="34" s="6" customFormat="1"/>
    <row r="35" s="6" customFormat="1"/>
    <row r="36" s="6" customFormat="1"/>
    <row r="37" s="6" customFormat="1"/>
    <row r="38" s="6" customFormat="1"/>
    <row r="39" s="6" customFormat="1"/>
    <row r="40" s="6" customFormat="1"/>
    <row r="41" s="6" customFormat="1"/>
    <row r="42" s="6" customFormat="1"/>
    <row r="43" s="6" customFormat="1"/>
    <row r="44" s="6" customFormat="1"/>
    <row r="45" s="6" customFormat="1"/>
    <row r="46" s="6" customFormat="1"/>
    <row r="47" s="6" customFormat="1"/>
    <row r="48" s="6" customFormat="1"/>
    <row r="49" spans="2:9" s="6" customFormat="1"/>
    <row r="50" spans="2:9" s="6" customFormat="1"/>
    <row r="51" spans="2:9" s="6" customFormat="1"/>
    <row r="52" spans="2:9" s="6" customFormat="1">
      <c r="B52" s="214"/>
      <c r="C52" s="214"/>
      <c r="D52" s="214"/>
      <c r="E52" s="214"/>
      <c r="F52" s="214"/>
      <c r="G52" s="214"/>
      <c r="H52" s="214"/>
      <c r="I52" s="7"/>
    </row>
    <row r="53" spans="2:9" s="6" customFormat="1">
      <c r="B53" s="214"/>
      <c r="C53" s="214"/>
      <c r="D53" s="214"/>
      <c r="E53" s="214"/>
      <c r="F53" s="214"/>
      <c r="G53" s="214"/>
      <c r="H53" s="214"/>
      <c r="I53" s="7"/>
    </row>
    <row r="54" spans="2:9" s="6" customFormat="1">
      <c r="B54" s="214"/>
      <c r="C54" s="214"/>
      <c r="D54" s="214"/>
      <c r="E54" s="214"/>
      <c r="F54" s="214"/>
      <c r="G54" s="214"/>
      <c r="H54" s="214"/>
      <c r="I54" s="7"/>
    </row>
    <row r="55" spans="2:9" s="6" customFormat="1">
      <c r="B55" s="214"/>
      <c r="C55" s="214"/>
      <c r="D55" s="214"/>
      <c r="E55" s="214"/>
      <c r="F55" s="214"/>
      <c r="G55" s="214"/>
      <c r="H55" s="214"/>
      <c r="I55" s="7"/>
    </row>
    <row r="56" spans="2:9" s="6" customFormat="1">
      <c r="B56" s="7"/>
      <c r="C56" s="7"/>
      <c r="D56" s="7"/>
      <c r="E56" s="7"/>
      <c r="F56" s="7"/>
      <c r="G56" s="7"/>
      <c r="H56" s="7"/>
      <c r="I56" s="7"/>
    </row>
    <row r="57" spans="2:9" s="6" customFormat="1">
      <c r="B57" s="7"/>
      <c r="C57" s="7"/>
      <c r="D57" s="7"/>
      <c r="E57" s="7"/>
      <c r="F57" s="7"/>
      <c r="G57" s="7"/>
      <c r="H57" s="7"/>
      <c r="I57" s="7"/>
    </row>
    <row r="58" spans="2:9" s="6" customFormat="1">
      <c r="B58" s="7"/>
      <c r="C58" s="7"/>
      <c r="D58" s="7"/>
      <c r="E58" s="7"/>
      <c r="F58" s="7"/>
      <c r="G58" s="7"/>
      <c r="H58" s="7"/>
      <c r="I58" s="7"/>
    </row>
    <row r="59" spans="2:9" s="6" customFormat="1">
      <c r="B59" s="7"/>
      <c r="C59" s="7"/>
      <c r="D59" s="7"/>
      <c r="E59" s="7"/>
      <c r="F59" s="7"/>
      <c r="G59" s="7"/>
      <c r="H59" s="7"/>
      <c r="I59" s="7"/>
    </row>
    <row r="60" spans="2:9" s="6" customFormat="1">
      <c r="B60" s="7"/>
      <c r="C60" s="7"/>
      <c r="D60" s="7"/>
      <c r="E60" s="7"/>
      <c r="F60" s="7"/>
      <c r="G60" s="7"/>
      <c r="H60" s="7"/>
      <c r="I60" s="7"/>
    </row>
    <row r="61" spans="2:9" s="6" customFormat="1">
      <c r="B61" s="7"/>
      <c r="C61" s="7"/>
      <c r="D61" s="7"/>
      <c r="E61" s="7"/>
      <c r="F61" s="7"/>
      <c r="G61" s="7"/>
      <c r="H61" s="7"/>
      <c r="I61" s="7"/>
    </row>
    <row r="62" spans="2:9" s="6" customFormat="1">
      <c r="B62" s="7"/>
      <c r="C62" s="7"/>
      <c r="D62" s="7"/>
      <c r="E62" s="7"/>
      <c r="F62" s="7"/>
      <c r="G62" s="7"/>
      <c r="H62" s="7"/>
      <c r="I62" s="7"/>
    </row>
    <row r="63" spans="2:9" s="6" customFormat="1">
      <c r="B63" s="7"/>
      <c r="C63" s="7"/>
      <c r="D63" s="7"/>
      <c r="E63" s="7"/>
      <c r="F63" s="7"/>
      <c r="G63" s="7"/>
      <c r="H63" s="7"/>
      <c r="I63" s="7"/>
    </row>
    <row r="64" spans="2:9" s="6" customFormat="1">
      <c r="B64" s="7"/>
      <c r="C64" s="7"/>
      <c r="D64" s="7"/>
      <c r="E64" s="7"/>
      <c r="F64" s="7"/>
      <c r="G64" s="7"/>
      <c r="H64" s="7"/>
      <c r="I64" s="7"/>
    </row>
    <row r="65" spans="2:9" s="6" customFormat="1">
      <c r="B65" s="7"/>
      <c r="C65" s="7"/>
      <c r="D65" s="7"/>
      <c r="E65" s="7"/>
      <c r="F65" s="7"/>
      <c r="G65" s="7"/>
      <c r="H65" s="7"/>
      <c r="I65" s="7"/>
    </row>
    <row r="66" spans="2:9" s="6" customFormat="1">
      <c r="B66" s="7"/>
      <c r="C66" s="7"/>
      <c r="D66" s="7"/>
      <c r="E66" s="7"/>
      <c r="F66" s="7"/>
      <c r="G66" s="7"/>
      <c r="H66" s="7"/>
      <c r="I66" s="7"/>
    </row>
    <row r="67" spans="2:9" s="6" customFormat="1">
      <c r="B67" s="7"/>
      <c r="C67" s="7"/>
      <c r="D67" s="7"/>
      <c r="E67" s="7"/>
      <c r="F67" s="7"/>
      <c r="G67" s="7"/>
      <c r="H67" s="7"/>
      <c r="I67" s="7"/>
    </row>
    <row r="68" spans="2:9" s="6" customFormat="1">
      <c r="B68" s="7"/>
      <c r="C68" s="7"/>
      <c r="D68" s="7"/>
      <c r="E68" s="7"/>
      <c r="F68" s="7"/>
      <c r="G68" s="7"/>
      <c r="H68" s="7"/>
      <c r="I68" s="7"/>
    </row>
    <row r="69" spans="2:9" s="6" customFormat="1">
      <c r="B69" s="7"/>
      <c r="C69" s="7"/>
      <c r="D69" s="7"/>
      <c r="E69" s="7"/>
      <c r="F69" s="7"/>
      <c r="G69" s="7"/>
      <c r="H69" s="7"/>
      <c r="I69" s="7"/>
    </row>
    <row r="70" spans="2:9" s="6" customFormat="1">
      <c r="B70" s="7"/>
      <c r="C70" s="7"/>
      <c r="D70" s="7"/>
      <c r="E70" s="7"/>
      <c r="F70" s="7"/>
      <c r="G70" s="7"/>
      <c r="H70" s="7"/>
      <c r="I70" s="7"/>
    </row>
    <row r="71" spans="2:9" s="6" customFormat="1">
      <c r="B71" s="7"/>
      <c r="C71" s="7"/>
      <c r="D71" s="7"/>
      <c r="E71" s="7"/>
      <c r="F71" s="7"/>
      <c r="G71" s="7"/>
      <c r="H71" s="7"/>
      <c r="I71" s="7"/>
    </row>
    <row r="72" spans="2:9" s="6" customFormat="1">
      <c r="B72" s="7"/>
      <c r="C72" s="7"/>
      <c r="D72" s="7"/>
      <c r="E72" s="7"/>
      <c r="F72" s="7"/>
      <c r="G72" s="7"/>
      <c r="H72" s="7"/>
      <c r="I72" s="7"/>
    </row>
    <row r="73" spans="2:9" s="6" customFormat="1">
      <c r="B73" s="7"/>
      <c r="C73" s="7"/>
      <c r="D73" s="7"/>
      <c r="E73" s="7"/>
      <c r="F73" s="7"/>
      <c r="G73" s="7"/>
      <c r="H73" s="7"/>
      <c r="I73" s="7"/>
    </row>
    <row r="74" spans="2:9" s="6" customFormat="1">
      <c r="B74" s="7"/>
      <c r="C74" s="7"/>
      <c r="D74" s="7"/>
      <c r="E74" s="7"/>
      <c r="F74" s="7"/>
      <c r="G74" s="7"/>
      <c r="H74" s="7"/>
      <c r="I74" s="7"/>
    </row>
    <row r="75" spans="2:9" s="6" customFormat="1">
      <c r="B75" s="7"/>
      <c r="C75" s="7"/>
      <c r="D75" s="7"/>
      <c r="E75" s="7"/>
      <c r="F75" s="7"/>
      <c r="G75" s="7"/>
      <c r="H75" s="7"/>
      <c r="I75" s="7"/>
    </row>
    <row r="76" spans="2:9" s="6" customFormat="1">
      <c r="B76" s="7"/>
      <c r="C76" s="7"/>
      <c r="D76" s="7"/>
      <c r="E76" s="7"/>
      <c r="F76" s="7"/>
      <c r="G76" s="7"/>
      <c r="H76" s="7"/>
      <c r="I76" s="7"/>
    </row>
    <row r="77" spans="2:9" s="6" customFormat="1">
      <c r="B77" s="7"/>
      <c r="C77" s="7"/>
      <c r="D77" s="7"/>
      <c r="E77" s="7"/>
      <c r="F77" s="7"/>
      <c r="G77" s="7"/>
      <c r="H77" s="7"/>
      <c r="I77" s="7"/>
    </row>
    <row r="78" spans="2:9" s="6" customFormat="1">
      <c r="B78" s="7"/>
      <c r="C78" s="7"/>
      <c r="D78" s="7"/>
      <c r="E78" s="7"/>
      <c r="F78" s="7"/>
      <c r="G78" s="7"/>
      <c r="H78" s="7"/>
      <c r="I78" s="7"/>
    </row>
    <row r="79" spans="2:9" s="6" customFormat="1">
      <c r="B79" s="7"/>
      <c r="C79" s="7"/>
      <c r="D79" s="7"/>
      <c r="E79" s="7"/>
      <c r="F79" s="7"/>
      <c r="G79" s="7"/>
      <c r="H79" s="7"/>
      <c r="I79" s="7"/>
    </row>
    <row r="80" spans="2:9" s="6" customFormat="1">
      <c r="B80" s="7"/>
      <c r="C80" s="7"/>
      <c r="D80" s="7"/>
      <c r="E80" s="7"/>
      <c r="F80" s="7"/>
      <c r="G80" s="7"/>
      <c r="H80" s="7"/>
      <c r="I80" s="7"/>
    </row>
    <row r="81" spans="2:9" s="6" customFormat="1">
      <c r="B81" s="7"/>
      <c r="C81" s="7"/>
      <c r="D81" s="7"/>
      <c r="E81" s="7"/>
      <c r="F81" s="7"/>
      <c r="G81" s="7"/>
      <c r="H81" s="7"/>
      <c r="I81" s="7"/>
    </row>
    <row r="82" spans="2:9" s="6" customFormat="1">
      <c r="B82" s="7"/>
      <c r="C82" s="7"/>
      <c r="D82" s="7"/>
      <c r="E82" s="7"/>
      <c r="F82" s="7"/>
      <c r="G82" s="7"/>
      <c r="H82" s="7"/>
      <c r="I82" s="7"/>
    </row>
    <row r="83" spans="2:9" s="6" customFormat="1">
      <c r="B83" s="7"/>
      <c r="C83" s="7"/>
      <c r="D83" s="7"/>
      <c r="E83" s="7"/>
      <c r="F83" s="7"/>
      <c r="G83" s="7"/>
      <c r="H83" s="7"/>
      <c r="I83" s="7"/>
    </row>
    <row r="84" spans="2:9" s="6" customFormat="1">
      <c r="B84" s="7"/>
      <c r="C84" s="7"/>
      <c r="D84" s="7"/>
      <c r="E84" s="7"/>
      <c r="F84" s="7"/>
      <c r="G84" s="7"/>
      <c r="H84" s="7"/>
      <c r="I84" s="7"/>
    </row>
    <row r="85" spans="2:9" s="6" customFormat="1">
      <c r="B85" s="7"/>
      <c r="C85" s="7"/>
      <c r="D85" s="7"/>
      <c r="E85" s="7"/>
      <c r="F85" s="7"/>
      <c r="G85" s="7"/>
      <c r="H85" s="7"/>
      <c r="I85" s="7"/>
    </row>
    <row r="86" spans="2:9" s="6" customFormat="1">
      <c r="B86" s="7"/>
      <c r="C86" s="7"/>
      <c r="D86" s="7"/>
      <c r="E86" s="7"/>
      <c r="F86" s="7"/>
      <c r="G86" s="7"/>
      <c r="H86" s="7"/>
      <c r="I86" s="7"/>
    </row>
  </sheetData>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tabSelected="1" workbookViewId="0">
      <selection sqref="A1:H39"/>
    </sheetView>
  </sheetViews>
  <sheetFormatPr defaultColWidth="0" defaultRowHeight="15"/>
  <cols>
    <col min="1" max="1" width="48.42578125" bestFit="1" customWidth="1"/>
    <col min="2" max="8" width="11.42578125" style="3" customWidth="1"/>
    <col min="9" max="16384" width="11.42578125" hidden="1"/>
  </cols>
  <sheetData>
    <row r="1" spans="1:10">
      <c r="A1" s="93" t="s">
        <v>105</v>
      </c>
      <c r="B1" s="94">
        <v>43465</v>
      </c>
      <c r="C1" s="94">
        <v>43830</v>
      </c>
      <c r="D1" s="94">
        <v>44196</v>
      </c>
      <c r="E1" s="94">
        <v>44561</v>
      </c>
      <c r="F1" s="94">
        <v>44926</v>
      </c>
      <c r="G1" s="94">
        <v>45291</v>
      </c>
      <c r="H1" s="94">
        <v>45657</v>
      </c>
      <c r="I1" t="s">
        <v>106</v>
      </c>
      <c r="J1" t="s">
        <v>107</v>
      </c>
    </row>
    <row r="2" spans="1:10" s="93" customFormat="1">
      <c r="A2" s="93" t="s">
        <v>108</v>
      </c>
      <c r="B2" s="94"/>
      <c r="C2" s="94"/>
      <c r="D2" s="94"/>
      <c r="E2" s="94"/>
      <c r="F2" s="94"/>
      <c r="G2" s="94"/>
      <c r="H2" s="94"/>
      <c r="I2" s="123"/>
    </row>
    <row r="3" spans="1:10">
      <c r="A3" t="s">
        <v>109</v>
      </c>
      <c r="B3" s="92">
        <v>1999</v>
      </c>
      <c r="C3" s="92">
        <v>1838</v>
      </c>
      <c r="D3" s="92">
        <v>894</v>
      </c>
      <c r="E3" s="92">
        <v>2335</v>
      </c>
      <c r="F3" s="92">
        <v>3835</v>
      </c>
      <c r="G3" s="92">
        <v>3978</v>
      </c>
      <c r="H3" s="92">
        <v>4981</v>
      </c>
      <c r="I3" t="s">
        <v>110</v>
      </c>
      <c r="J3" t="s">
        <v>111</v>
      </c>
    </row>
    <row r="4" spans="1:10">
      <c r="A4" t="s">
        <v>112</v>
      </c>
      <c r="B4" s="92">
        <v>0.16800000000000001</v>
      </c>
      <c r="C4" s="92">
        <v>-8.1000000000000003E-2</v>
      </c>
      <c r="D4" s="92">
        <v>-0.51400000000000001</v>
      </c>
      <c r="E4" s="92">
        <v>1.6120000000000001</v>
      </c>
      <c r="F4" s="92">
        <v>0.64200000000000002</v>
      </c>
      <c r="G4" s="92">
        <v>3.6999999999999998E-2</v>
      </c>
      <c r="H4" s="92">
        <v>0.252</v>
      </c>
      <c r="I4" s="124" t="s">
        <v>113</v>
      </c>
      <c r="J4" t="s">
        <v>114</v>
      </c>
    </row>
    <row r="5" spans="1:10">
      <c r="A5" t="s">
        <v>115</v>
      </c>
      <c r="B5" s="92">
        <v>-1314</v>
      </c>
      <c r="C5" s="92">
        <v>-1260</v>
      </c>
      <c r="D5" s="92">
        <v>-742</v>
      </c>
      <c r="E5" s="92">
        <v>-1480</v>
      </c>
      <c r="F5" s="92">
        <v>-2560</v>
      </c>
      <c r="G5" s="92">
        <v>-1681</v>
      </c>
      <c r="H5" s="92"/>
      <c r="I5" s="124" t="s">
        <v>116</v>
      </c>
      <c r="J5" t="s">
        <v>117</v>
      </c>
    </row>
    <row r="6" spans="1:10">
      <c r="A6" t="s">
        <v>118</v>
      </c>
      <c r="B6" s="92">
        <v>685</v>
      </c>
      <c r="C6" s="92">
        <v>578</v>
      </c>
      <c r="D6" s="92">
        <v>152</v>
      </c>
      <c r="E6" s="92">
        <v>855</v>
      </c>
      <c r="F6" s="92">
        <v>1275</v>
      </c>
      <c r="G6" s="92">
        <v>2297</v>
      </c>
      <c r="H6" s="92">
        <v>4981</v>
      </c>
      <c r="I6" s="124" t="s">
        <v>119</v>
      </c>
      <c r="J6" t="s">
        <v>120</v>
      </c>
    </row>
    <row r="7" spans="1:10">
      <c r="A7" t="s">
        <v>112</v>
      </c>
      <c r="B7" s="92">
        <v>0.23</v>
      </c>
      <c r="C7" s="92">
        <v>-0.156</v>
      </c>
      <c r="D7" s="92">
        <v>-0.73699999999999999</v>
      </c>
      <c r="E7" s="92">
        <v>4.625</v>
      </c>
      <c r="F7" s="92">
        <v>0.49099999999999999</v>
      </c>
      <c r="G7" s="92">
        <v>0.80200000000000005</v>
      </c>
      <c r="H7" s="92">
        <v>1.1679999999999999</v>
      </c>
      <c r="I7" s="124" t="s">
        <v>121</v>
      </c>
      <c r="J7" t="s">
        <v>122</v>
      </c>
    </row>
    <row r="8" spans="1:10">
      <c r="A8" t="s">
        <v>123</v>
      </c>
      <c r="B8" s="92">
        <v>0.34300000000000003</v>
      </c>
      <c r="C8" s="92">
        <v>0.314</v>
      </c>
      <c r="D8" s="92">
        <v>0.17</v>
      </c>
      <c r="E8" s="92">
        <v>0.36599999999999999</v>
      </c>
      <c r="F8" s="92">
        <v>0.33200000000000002</v>
      </c>
      <c r="G8" s="92">
        <v>0.57699999999999996</v>
      </c>
      <c r="H8" s="92">
        <v>1</v>
      </c>
      <c r="I8" s="124" t="s">
        <v>124</v>
      </c>
      <c r="J8" t="s">
        <v>125</v>
      </c>
    </row>
    <row r="9" spans="1:10">
      <c r="A9" t="s">
        <v>126</v>
      </c>
      <c r="B9" s="92">
        <v>-215</v>
      </c>
      <c r="C9" s="92">
        <v>-212</v>
      </c>
      <c r="D9" s="92">
        <v>-143</v>
      </c>
      <c r="E9" s="92">
        <v>-231</v>
      </c>
      <c r="F9" s="92">
        <v>-336</v>
      </c>
      <c r="G9" s="92">
        <v>-1613</v>
      </c>
      <c r="H9" s="92">
        <v>-836</v>
      </c>
      <c r="I9" s="124" t="s">
        <v>127</v>
      </c>
      <c r="J9" t="s">
        <v>128</v>
      </c>
    </row>
    <row r="10" spans="1:10">
      <c r="A10" t="s">
        <v>129</v>
      </c>
      <c r="B10" s="92">
        <v>1</v>
      </c>
      <c r="C10" s="92">
        <v>-51</v>
      </c>
      <c r="D10" s="92">
        <v>-45</v>
      </c>
      <c r="E10" s="92">
        <v>-126</v>
      </c>
      <c r="F10" s="92">
        <v>-244</v>
      </c>
      <c r="G10" s="92">
        <v>-2</v>
      </c>
      <c r="H10" s="92">
        <v>-3687</v>
      </c>
      <c r="I10" s="124" t="s">
        <v>130</v>
      </c>
      <c r="J10" t="s">
        <v>131</v>
      </c>
    </row>
    <row r="11" spans="1:10">
      <c r="A11" t="s">
        <v>132</v>
      </c>
      <c r="B11" s="92">
        <v>-251</v>
      </c>
      <c r="C11" s="92">
        <v>-263</v>
      </c>
      <c r="D11" s="92">
        <v>-188</v>
      </c>
      <c r="E11" s="92">
        <v>-357</v>
      </c>
      <c r="F11" s="92">
        <v>-580</v>
      </c>
      <c r="G11" s="92">
        <v>-1613</v>
      </c>
      <c r="H11" s="92">
        <v>-4523</v>
      </c>
      <c r="I11" s="124" t="s">
        <v>133</v>
      </c>
      <c r="J11" t="s">
        <v>134</v>
      </c>
    </row>
    <row r="12" spans="1:10">
      <c r="A12" t="s">
        <v>135</v>
      </c>
      <c r="B12" s="92">
        <v>434</v>
      </c>
      <c r="C12" s="92">
        <v>316</v>
      </c>
      <c r="D12" s="92">
        <v>-28</v>
      </c>
      <c r="E12" s="92">
        <v>482</v>
      </c>
      <c r="F12" s="92">
        <v>707</v>
      </c>
      <c r="G12" s="92">
        <v>684</v>
      </c>
      <c r="H12" s="92">
        <v>458</v>
      </c>
      <c r="I12" s="124" t="s">
        <v>136</v>
      </c>
      <c r="J12" t="s">
        <v>137</v>
      </c>
    </row>
    <row r="13" spans="1:10">
      <c r="A13" t="s">
        <v>112</v>
      </c>
      <c r="B13" s="92">
        <v>0.28799999999999998</v>
      </c>
      <c r="C13" s="92">
        <v>-0.27200000000000002</v>
      </c>
      <c r="D13" s="92">
        <v>-1.089</v>
      </c>
      <c r="E13" s="92">
        <v>18.213999999999999</v>
      </c>
      <c r="F13" s="92">
        <v>0.46700000000000003</v>
      </c>
      <c r="G13" s="92">
        <v>-3.3000000000000002E-2</v>
      </c>
      <c r="H13" s="92">
        <v>-0.33</v>
      </c>
      <c r="I13" s="124" t="s">
        <v>138</v>
      </c>
      <c r="J13" t="s">
        <v>139</v>
      </c>
    </row>
    <row r="14" spans="1:10">
      <c r="A14" t="s">
        <v>140</v>
      </c>
      <c r="B14" s="92">
        <v>0.217</v>
      </c>
      <c r="C14" s="92">
        <v>0.17199999999999999</v>
      </c>
      <c r="D14" s="92">
        <v>-3.1E-2</v>
      </c>
      <c r="E14" s="92">
        <v>0.20599999999999999</v>
      </c>
      <c r="F14" s="92">
        <v>0.184</v>
      </c>
      <c r="G14" s="92">
        <v>0.17199999999999999</v>
      </c>
      <c r="H14" s="92">
        <v>9.1999999999999998E-2</v>
      </c>
      <c r="I14" s="124" t="s">
        <v>141</v>
      </c>
      <c r="J14" t="s">
        <v>142</v>
      </c>
    </row>
    <row r="15" spans="1:10">
      <c r="A15" t="s">
        <v>143</v>
      </c>
      <c r="B15" s="92">
        <v>-30</v>
      </c>
      <c r="C15" s="92">
        <v>-43</v>
      </c>
      <c r="D15" s="92">
        <v>-43</v>
      </c>
      <c r="E15" s="92">
        <v>-105</v>
      </c>
      <c r="F15" s="92">
        <v>-142</v>
      </c>
      <c r="G15" s="92">
        <v>-178</v>
      </c>
      <c r="H15" s="92">
        <v>329</v>
      </c>
      <c r="I15" s="124" t="s">
        <v>144</v>
      </c>
      <c r="J15" t="s">
        <v>145</v>
      </c>
    </row>
    <row r="16" spans="1:10">
      <c r="A16" t="s">
        <v>146</v>
      </c>
      <c r="B16" s="92">
        <v>-1</v>
      </c>
      <c r="C16" s="92">
        <v>-43</v>
      </c>
      <c r="D16" s="92">
        <v>-252</v>
      </c>
      <c r="E16" s="92">
        <v>-213</v>
      </c>
      <c r="F16" s="92">
        <v>-226</v>
      </c>
      <c r="G16" s="92">
        <v>-235</v>
      </c>
      <c r="H16" s="92">
        <v>-322</v>
      </c>
      <c r="I16" t="s">
        <v>147</v>
      </c>
      <c r="J16" t="s">
        <v>148</v>
      </c>
    </row>
    <row r="17" spans="1:10">
      <c r="A17" t="s">
        <v>149</v>
      </c>
      <c r="B17" s="92">
        <v>403</v>
      </c>
      <c r="C17" s="92">
        <v>273</v>
      </c>
      <c r="D17" s="92">
        <v>-280</v>
      </c>
      <c r="E17" s="92">
        <v>269</v>
      </c>
      <c r="F17" s="92">
        <v>481</v>
      </c>
      <c r="G17" s="92">
        <v>449</v>
      </c>
      <c r="H17" s="92">
        <v>136</v>
      </c>
      <c r="I17" t="s">
        <v>150</v>
      </c>
      <c r="J17" t="s">
        <v>151</v>
      </c>
    </row>
    <row r="18" spans="1:10">
      <c r="A18" t="s">
        <v>112</v>
      </c>
      <c r="B18" s="92">
        <v>0.29599999999999999</v>
      </c>
      <c r="C18" s="92">
        <v>-0.32300000000000001</v>
      </c>
      <c r="D18" s="92">
        <v>-2.0259999999999998</v>
      </c>
      <c r="E18" s="92">
        <v>1.9610000000000001</v>
      </c>
      <c r="F18" s="92">
        <v>0.78800000000000003</v>
      </c>
      <c r="G18" s="92">
        <v>-6.7000000000000004E-2</v>
      </c>
      <c r="H18" s="92">
        <v>-0.69699999999999995</v>
      </c>
      <c r="I18" s="124" t="s">
        <v>152</v>
      </c>
      <c r="J18" t="s">
        <v>153</v>
      </c>
    </row>
    <row r="19" spans="1:10">
      <c r="A19" t="s">
        <v>154</v>
      </c>
      <c r="B19" s="92">
        <v>0.20200000000000001</v>
      </c>
      <c r="C19" s="92">
        <v>0.14899999999999999</v>
      </c>
      <c r="D19" s="92">
        <v>-0.313</v>
      </c>
      <c r="E19" s="92">
        <v>0.115</v>
      </c>
      <c r="F19" s="92">
        <v>0.125</v>
      </c>
      <c r="G19" s="92">
        <v>0.113</v>
      </c>
      <c r="H19" s="92">
        <v>2.7E-2</v>
      </c>
      <c r="I19" s="124" t="s">
        <v>155</v>
      </c>
      <c r="J19" t="s">
        <v>156</v>
      </c>
    </row>
    <row r="20" spans="1:10">
      <c r="A20" t="s">
        <v>157</v>
      </c>
      <c r="B20" s="92">
        <v>-105</v>
      </c>
      <c r="C20" s="92">
        <v>-57</v>
      </c>
      <c r="D20" s="92">
        <v>79</v>
      </c>
      <c r="E20" s="92">
        <v>-93</v>
      </c>
      <c r="F20" s="92">
        <v>-129</v>
      </c>
      <c r="G20" s="92">
        <v>-136</v>
      </c>
      <c r="H20" s="92">
        <v>76</v>
      </c>
      <c r="I20" t="s">
        <v>158</v>
      </c>
      <c r="J20" t="s">
        <v>159</v>
      </c>
    </row>
    <row r="21" spans="1:10">
      <c r="A21" t="s">
        <v>160</v>
      </c>
      <c r="B21" s="92">
        <v>0.26100000000000001</v>
      </c>
      <c r="C21" s="92">
        <v>0.20899999999999999</v>
      </c>
      <c r="D21" s="92">
        <v>0.28199999999999997</v>
      </c>
      <c r="E21" s="92">
        <v>0.34599999999999997</v>
      </c>
      <c r="F21" s="92">
        <v>0.26800000000000002</v>
      </c>
      <c r="G21" s="92">
        <v>0.30299999999999999</v>
      </c>
      <c r="H21" s="92">
        <v>-0.55900000000000005</v>
      </c>
      <c r="I21" s="124" t="s">
        <v>161</v>
      </c>
      <c r="J21" t="s">
        <v>162</v>
      </c>
    </row>
    <row r="22" spans="1:10">
      <c r="A22" t="s">
        <v>36</v>
      </c>
      <c r="B22" s="92">
        <v>298</v>
      </c>
      <c r="C22" s="92">
        <v>216</v>
      </c>
      <c r="D22" s="92">
        <v>-201</v>
      </c>
      <c r="E22" s="92">
        <v>176</v>
      </c>
      <c r="F22" s="92">
        <v>352</v>
      </c>
      <c r="G22" s="92">
        <v>313</v>
      </c>
      <c r="H22" s="92">
        <v>212</v>
      </c>
      <c r="I22" s="124" t="s">
        <v>163</v>
      </c>
      <c r="J22" t="s">
        <v>164</v>
      </c>
    </row>
    <row r="23" spans="1:10">
      <c r="A23" t="s">
        <v>112</v>
      </c>
      <c r="B23" s="92">
        <v>-8.8999999999999996E-2</v>
      </c>
      <c r="C23" s="92">
        <v>-0.27500000000000002</v>
      </c>
      <c r="D23" s="92">
        <v>-1.931</v>
      </c>
      <c r="E23" s="92">
        <v>1.8759999999999999</v>
      </c>
      <c r="F23" s="92">
        <v>1</v>
      </c>
      <c r="G23" s="92">
        <v>-0.111</v>
      </c>
      <c r="H23" s="92">
        <v>-0.32300000000000001</v>
      </c>
      <c r="I23" s="124" t="s">
        <v>165</v>
      </c>
      <c r="J23" t="s">
        <v>166</v>
      </c>
    </row>
    <row r="24" spans="1:10">
      <c r="A24" t="s">
        <v>167</v>
      </c>
      <c r="B24" s="92">
        <v>0.14899999999999999</v>
      </c>
      <c r="C24" s="92">
        <v>0.11799999999999999</v>
      </c>
      <c r="D24" s="92">
        <v>-0.22500000000000001</v>
      </c>
      <c r="E24" s="92">
        <v>7.4999999999999997E-2</v>
      </c>
      <c r="F24" s="92">
        <v>9.1999999999999998E-2</v>
      </c>
      <c r="G24" s="92">
        <v>7.9000000000000001E-2</v>
      </c>
      <c r="H24" s="92">
        <v>4.2999999999999997E-2</v>
      </c>
      <c r="I24" s="124" t="s">
        <v>168</v>
      </c>
      <c r="J24" t="s">
        <v>169</v>
      </c>
    </row>
    <row r="25" spans="1:10">
      <c r="A25" t="s">
        <v>170</v>
      </c>
      <c r="B25" s="92">
        <v>98</v>
      </c>
      <c r="C25" s="92">
        <v>89.29</v>
      </c>
      <c r="D25" s="92">
        <v>85.18</v>
      </c>
      <c r="E25" s="92">
        <v>101.09</v>
      </c>
      <c r="F25" s="92">
        <v>120</v>
      </c>
      <c r="G25" s="92">
        <v>111.6</v>
      </c>
      <c r="H25" s="92">
        <v>102</v>
      </c>
      <c r="I25" s="124" t="s">
        <v>171</v>
      </c>
      <c r="J25" t="s">
        <v>172</v>
      </c>
    </row>
    <row r="26" spans="1:10">
      <c r="A26" t="s">
        <v>112</v>
      </c>
      <c r="B26" s="92">
        <v>-0.02</v>
      </c>
      <c r="C26" s="92">
        <v>-8.8999999999999996E-2</v>
      </c>
      <c r="D26" s="92">
        <v>-4.5999999999999999E-2</v>
      </c>
      <c r="E26" s="92">
        <v>0.187</v>
      </c>
      <c r="F26" s="92">
        <v>0.187</v>
      </c>
      <c r="G26" s="92">
        <v>-7.0000000000000007E-2</v>
      </c>
      <c r="H26" s="92">
        <v>-8.5999999999999993E-2</v>
      </c>
      <c r="I26" s="124" t="s">
        <v>173</v>
      </c>
      <c r="J26" t="s">
        <v>174</v>
      </c>
    </row>
    <row r="27" spans="1:10">
      <c r="A27" t="s">
        <v>175</v>
      </c>
      <c r="B27" s="92">
        <v>3.04</v>
      </c>
      <c r="C27" s="92">
        <v>2.42</v>
      </c>
      <c r="D27" s="92">
        <v>-2.36</v>
      </c>
      <c r="E27" s="92">
        <v>1.74</v>
      </c>
      <c r="F27" s="92">
        <v>2.93</v>
      </c>
      <c r="G27" s="92">
        <v>2.8</v>
      </c>
      <c r="H27" s="92">
        <v>2.08</v>
      </c>
      <c r="I27" s="124" t="s">
        <v>176</v>
      </c>
      <c r="J27" t="s">
        <v>177</v>
      </c>
    </row>
    <row r="28" spans="1:10">
      <c r="A28" t="s">
        <v>112</v>
      </c>
      <c r="B28" s="92">
        <v>-7.2999999999999995E-2</v>
      </c>
      <c r="C28" s="92">
        <v>-0.20399999999999999</v>
      </c>
      <c r="D28" s="92">
        <v>-1.9750000000000001</v>
      </c>
      <c r="E28" s="92">
        <v>1.7370000000000001</v>
      </c>
      <c r="F28" s="92">
        <v>0.68400000000000005</v>
      </c>
      <c r="G28" s="92">
        <v>-4.3999999999999997E-2</v>
      </c>
      <c r="H28" s="92">
        <v>-0.25700000000000001</v>
      </c>
      <c r="I28" s="124" t="s">
        <v>178</v>
      </c>
      <c r="J28" t="s">
        <v>179</v>
      </c>
    </row>
    <row r="29" spans="1:10">
      <c r="A29" t="s">
        <v>180</v>
      </c>
      <c r="B29" s="92"/>
      <c r="C29" s="92"/>
      <c r="D29" s="92"/>
      <c r="E29" s="92"/>
      <c r="F29" s="92"/>
      <c r="G29" s="92"/>
      <c r="H29" s="92"/>
      <c r="I29" s="124" t="s">
        <v>181</v>
      </c>
      <c r="J29" t="s">
        <v>182</v>
      </c>
    </row>
    <row r="30" spans="1:10">
      <c r="A30" t="s">
        <v>183</v>
      </c>
      <c r="B30" s="92">
        <v>3.07</v>
      </c>
      <c r="C30" s="92">
        <v>2.4300000000000002</v>
      </c>
      <c r="D30" s="92">
        <v>-2.36</v>
      </c>
      <c r="E30" s="92">
        <v>1.76</v>
      </c>
      <c r="F30" s="92">
        <v>2.98</v>
      </c>
      <c r="G30" s="92">
        <v>2.84</v>
      </c>
      <c r="H30" s="92">
        <v>2.1</v>
      </c>
      <c r="I30" s="124"/>
    </row>
    <row r="31" spans="1:10">
      <c r="A31" t="s">
        <v>112</v>
      </c>
      <c r="B31" s="92">
        <v>-7.0000000000000007E-2</v>
      </c>
      <c r="C31" s="92">
        <v>-0.20799999999999999</v>
      </c>
      <c r="D31" s="92">
        <v>-1.9710000000000001</v>
      </c>
      <c r="E31" s="92">
        <v>1.746</v>
      </c>
      <c r="F31" s="92">
        <v>0.69299999999999995</v>
      </c>
      <c r="G31" s="92">
        <v>-4.7E-2</v>
      </c>
      <c r="H31" s="92">
        <v>-0.26100000000000001</v>
      </c>
      <c r="I31" s="124" t="s">
        <v>178</v>
      </c>
      <c r="J31">
        <v>45658</v>
      </c>
    </row>
    <row r="32" spans="1:10">
      <c r="A32" t="s">
        <v>184</v>
      </c>
      <c r="B32" s="92">
        <v>97</v>
      </c>
      <c r="C32" s="92">
        <v>88.76</v>
      </c>
      <c r="D32" s="92">
        <v>85.18</v>
      </c>
      <c r="E32" s="92">
        <v>99.75</v>
      </c>
      <c r="F32" s="92">
        <v>118</v>
      </c>
      <c r="G32" s="92">
        <v>110.1</v>
      </c>
      <c r="H32" s="92">
        <v>101</v>
      </c>
      <c r="I32" s="124" t="s">
        <v>185</v>
      </c>
      <c r="J32" t="s">
        <v>186</v>
      </c>
    </row>
    <row r="33" spans="1:10">
      <c r="A33" t="s">
        <v>112</v>
      </c>
      <c r="B33" s="92">
        <v>-0.02</v>
      </c>
      <c r="C33" s="92">
        <v>-8.5000000000000006E-2</v>
      </c>
      <c r="D33" s="92">
        <v>-0.04</v>
      </c>
      <c r="E33" s="92">
        <v>0.17100000000000001</v>
      </c>
      <c r="F33" s="92">
        <v>0.183</v>
      </c>
      <c r="G33" s="92">
        <v>-6.7000000000000004E-2</v>
      </c>
      <c r="H33" s="92">
        <v>-8.3000000000000004E-2</v>
      </c>
      <c r="I33" t="s">
        <v>187</v>
      </c>
      <c r="J33" t="s">
        <v>188</v>
      </c>
    </row>
    <row r="34" spans="1:10">
      <c r="A34" t="s">
        <v>21</v>
      </c>
      <c r="B34" s="92">
        <v>469</v>
      </c>
      <c r="C34" s="92">
        <v>367</v>
      </c>
      <c r="D34" s="92">
        <v>17</v>
      </c>
      <c r="E34" s="92">
        <v>608</v>
      </c>
      <c r="F34" s="92">
        <v>951</v>
      </c>
      <c r="G34" s="92">
        <v>897</v>
      </c>
      <c r="H34" s="92">
        <v>75</v>
      </c>
      <c r="I34" s="124" t="s">
        <v>176</v>
      </c>
      <c r="J34" t="s">
        <v>189</v>
      </c>
    </row>
    <row r="35" spans="1:10">
      <c r="A35" t="s">
        <v>112</v>
      </c>
      <c r="B35" s="92">
        <v>0.27800000000000002</v>
      </c>
      <c r="C35" s="92">
        <v>-0.217</v>
      </c>
      <c r="D35" s="92">
        <v>-0.95399999999999996</v>
      </c>
      <c r="E35" s="92">
        <v>34.765000000000001</v>
      </c>
      <c r="F35" s="92">
        <v>0.56399999999999995</v>
      </c>
      <c r="G35" s="92">
        <v>-5.7000000000000002E-2</v>
      </c>
      <c r="H35" s="92">
        <v>-0.91600000000000004</v>
      </c>
      <c r="I35" t="s">
        <v>190</v>
      </c>
      <c r="J35" t="s">
        <v>139</v>
      </c>
    </row>
    <row r="36" spans="1:10">
      <c r="A36" t="s">
        <v>191</v>
      </c>
      <c r="B36" s="292">
        <v>0.23499999999999999</v>
      </c>
      <c r="C36" s="292">
        <v>0.2</v>
      </c>
      <c r="D36" s="92">
        <v>1.9E-2</v>
      </c>
      <c r="E36" s="92">
        <v>0.26</v>
      </c>
      <c r="F36" s="92">
        <v>0.248</v>
      </c>
      <c r="G36" s="92">
        <v>0.22500000000000001</v>
      </c>
      <c r="H36" s="92">
        <v>1.4999999999999999E-2</v>
      </c>
      <c r="I36" s="124" t="s">
        <v>192</v>
      </c>
      <c r="J36" t="s">
        <v>193</v>
      </c>
    </row>
    <row r="37" spans="1:10">
      <c r="A37" t="s">
        <v>194</v>
      </c>
      <c r="B37" s="292">
        <v>36</v>
      </c>
      <c r="C37" s="92">
        <v>51</v>
      </c>
      <c r="D37" s="92">
        <v>45</v>
      </c>
      <c r="E37" s="92">
        <v>126</v>
      </c>
      <c r="F37" s="92">
        <v>244</v>
      </c>
      <c r="G37" s="92">
        <v>213</v>
      </c>
      <c r="H37" s="92">
        <v>268</v>
      </c>
      <c r="I37" t="s">
        <v>195</v>
      </c>
      <c r="J37" t="s">
        <v>145</v>
      </c>
    </row>
    <row r="38" spans="1:10">
      <c r="A38" t="s">
        <v>196</v>
      </c>
      <c r="B38" s="92">
        <v>215</v>
      </c>
      <c r="C38" s="92">
        <v>212</v>
      </c>
      <c r="D38" s="92">
        <v>143</v>
      </c>
      <c r="E38" s="92">
        <v>231</v>
      </c>
      <c r="F38" s="92">
        <v>336</v>
      </c>
      <c r="G38" s="92">
        <v>194</v>
      </c>
      <c r="H38" s="92">
        <v>199</v>
      </c>
      <c r="I38" t="s">
        <v>197</v>
      </c>
    </row>
    <row r="39" spans="1:10">
      <c r="A39" t="s">
        <v>198</v>
      </c>
      <c r="B39" s="92">
        <v>570</v>
      </c>
      <c r="C39" s="92">
        <v>573</v>
      </c>
      <c r="D39" s="92">
        <v>221</v>
      </c>
      <c r="E39" s="92">
        <v>385</v>
      </c>
      <c r="F39" s="92">
        <v>620</v>
      </c>
      <c r="G39" s="92">
        <v>634</v>
      </c>
      <c r="H39" s="92">
        <v>637</v>
      </c>
      <c r="I39" s="124"/>
    </row>
    <row r="40" spans="1:10">
      <c r="A40" t="s">
        <v>198</v>
      </c>
      <c r="B40" s="92">
        <v>13594</v>
      </c>
      <c r="C40" s="92">
        <v>14768</v>
      </c>
      <c r="D40" s="92">
        <v>14743</v>
      </c>
      <c r="E40" s="92">
        <v>14374</v>
      </c>
      <c r="F40" s="92">
        <v>17833</v>
      </c>
      <c r="G40" s="92">
        <v>21397</v>
      </c>
      <c r="H40" s="92"/>
    </row>
    <row r="41" spans="1:10">
      <c r="B41" s="92"/>
      <c r="C41" s="92"/>
      <c r="D41" s="92"/>
      <c r="E41" s="92"/>
      <c r="F41" s="92"/>
      <c r="G41" s="92"/>
      <c r="H41" s="92"/>
      <c r="I41" s="124"/>
    </row>
    <row r="42" spans="1:10">
      <c r="B42" s="92"/>
      <c r="C42" s="92"/>
      <c r="D42" s="92"/>
      <c r="E42" s="92"/>
      <c r="F42" s="92"/>
      <c r="G42" s="92"/>
      <c r="H42" s="92"/>
      <c r="I42" s="124"/>
    </row>
    <row r="44" spans="1:10">
      <c r="B44" s="92"/>
      <c r="C44" s="92"/>
      <c r="D44" s="92"/>
      <c r="E44" s="92"/>
      <c r="F44" s="92"/>
      <c r="G44" s="92"/>
      <c r="H44" s="92"/>
      <c r="I44" s="124"/>
    </row>
    <row r="45" spans="1:10">
      <c r="B45" s="92"/>
      <c r="C45" s="92"/>
      <c r="D45" s="92"/>
      <c r="E45" s="92"/>
      <c r="F45" s="92"/>
      <c r="G45" s="92"/>
      <c r="H45" s="92"/>
      <c r="I45" s="124"/>
    </row>
    <row r="46" spans="1:10">
      <c r="B46" s="92"/>
      <c r="C46" s="92"/>
      <c r="D46" s="92"/>
      <c r="E46" s="92"/>
      <c r="F46" s="92"/>
      <c r="G46" s="92"/>
      <c r="H46" s="92"/>
    </row>
    <row r="47" spans="1:10">
      <c r="B47" s="92"/>
      <c r="C47" s="92"/>
      <c r="D47" s="92"/>
      <c r="E47" s="92"/>
      <c r="F47" s="92"/>
      <c r="G47" s="92"/>
      <c r="H47" s="92"/>
      <c r="I47" s="124"/>
    </row>
    <row r="48" spans="1:10">
      <c r="B48" s="92"/>
      <c r="C48" s="92"/>
      <c r="D48" s="92"/>
      <c r="E48" s="92"/>
      <c r="F48" s="92"/>
      <c r="G48" s="92"/>
      <c r="H48" s="92"/>
      <c r="I48" s="124"/>
    </row>
    <row r="49" spans="2:9">
      <c r="B49" s="92"/>
      <c r="C49" s="92"/>
      <c r="D49" s="92"/>
      <c r="E49" s="92"/>
      <c r="F49" s="92"/>
      <c r="G49" s="92"/>
      <c r="H49" s="92"/>
      <c r="I49" s="124"/>
    </row>
    <row r="50" spans="2:9">
      <c r="B50" s="92"/>
      <c r="C50" s="92"/>
      <c r="D50" s="92"/>
      <c r="E50" s="92"/>
      <c r="F50" s="92"/>
      <c r="G50" s="92"/>
      <c r="H50" s="92"/>
      <c r="I50" s="124"/>
    </row>
    <row r="51" spans="2:9">
      <c r="B51" s="92"/>
      <c r="C51" s="92"/>
      <c r="D51" s="92"/>
      <c r="E51" s="92"/>
      <c r="F51" s="92"/>
      <c r="G51" s="92"/>
      <c r="H51" s="92"/>
    </row>
    <row r="52" spans="2:9">
      <c r="B52" s="92"/>
      <c r="C52" s="92"/>
      <c r="D52" s="92"/>
      <c r="E52" s="92"/>
      <c r="F52" s="92"/>
      <c r="G52" s="92"/>
      <c r="H52" s="92"/>
    </row>
    <row r="53" spans="2:9">
      <c r="B53" s="92"/>
      <c r="C53" s="92"/>
      <c r="D53" s="92"/>
      <c r="E53" s="92"/>
      <c r="F53" s="92"/>
      <c r="G53" s="92"/>
      <c r="H53" s="92"/>
    </row>
    <row r="54" spans="2:9">
      <c r="B54" s="92"/>
      <c r="C54" s="92"/>
      <c r="D54" s="92"/>
      <c r="E54" s="92"/>
      <c r="F54" s="92"/>
      <c r="G54" s="92"/>
      <c r="H54" s="92"/>
    </row>
    <row r="55" spans="2:9">
      <c r="B55" s="92"/>
      <c r="C55" s="92"/>
      <c r="D55" s="92"/>
      <c r="E55" s="92"/>
      <c r="F55" s="92"/>
      <c r="G55" s="92"/>
      <c r="H55" s="92"/>
    </row>
    <row r="56" spans="2:9">
      <c r="B56" s="92"/>
      <c r="C56" s="92"/>
      <c r="D56" s="92"/>
      <c r="E56" s="92"/>
      <c r="F56" s="92"/>
      <c r="G56" s="92"/>
      <c r="H56" s="92"/>
    </row>
    <row r="57" spans="2:9">
      <c r="B57" s="92"/>
      <c r="C57" s="92"/>
      <c r="D57" s="92"/>
      <c r="E57" s="92"/>
      <c r="F57" s="92"/>
      <c r="G57" s="92"/>
      <c r="H57" s="92"/>
    </row>
    <row r="58" spans="2:9">
      <c r="D58" s="92"/>
      <c r="E58" s="92"/>
      <c r="F58" s="92"/>
      <c r="G58" s="92"/>
      <c r="H58" s="92"/>
    </row>
    <row r="59" spans="2:9">
      <c r="B59" s="92"/>
      <c r="C59" s="92"/>
      <c r="D59" s="92"/>
      <c r="E59" s="92"/>
      <c r="F59" s="92"/>
      <c r="G59" s="92"/>
      <c r="H59" s="92"/>
    </row>
    <row r="60" spans="2:9">
      <c r="B60" s="92"/>
      <c r="C60" s="92"/>
      <c r="D60" s="92"/>
      <c r="E60" s="92"/>
      <c r="F60" s="92"/>
      <c r="G60" s="92"/>
      <c r="H60" s="92"/>
    </row>
    <row r="61" spans="2:9">
      <c r="B61" s="91"/>
      <c r="C61" s="91"/>
      <c r="D61" s="91"/>
      <c r="E61" s="91"/>
      <c r="F61" s="91"/>
      <c r="G61" s="91"/>
    </row>
    <row r="63" spans="2:9">
      <c r="B63" s="92"/>
      <c r="C63" s="92"/>
      <c r="D63" s="92"/>
      <c r="E63" s="92"/>
      <c r="F63" s="92"/>
      <c r="G63" s="92"/>
      <c r="H63" s="92"/>
    </row>
    <row r="64" spans="2:9">
      <c r="B64" s="92"/>
      <c r="C64" s="92"/>
      <c r="D64" s="92"/>
      <c r="E64" s="92"/>
      <c r="F64" s="92"/>
      <c r="G64" s="92"/>
      <c r="H64" s="92"/>
    </row>
    <row r="66" spans="2:8">
      <c r="B66" s="92"/>
      <c r="C66" s="92"/>
      <c r="D66" s="92"/>
      <c r="E66" s="92"/>
      <c r="F66" s="92"/>
      <c r="G66" s="92"/>
      <c r="H66" s="92"/>
    </row>
    <row r="67" spans="2:8">
      <c r="B67" s="92"/>
      <c r="C67" s="92"/>
      <c r="D67" s="92"/>
      <c r="E67" s="92"/>
      <c r="F67" s="92"/>
      <c r="G67" s="92"/>
      <c r="H67" s="92"/>
    </row>
    <row r="103" spans="7:7">
      <c r="G103" s="92"/>
    </row>
    <row r="110" spans="7:7">
      <c r="G110" s="92"/>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7"/>
    </sheetView>
  </sheetViews>
  <sheetFormatPr defaultColWidth="0" defaultRowHeight="15"/>
  <cols>
    <col min="1" max="1" width="40.28515625" bestFit="1" customWidth="1"/>
    <col min="2" max="8" width="11.42578125" style="3" customWidth="1"/>
    <col min="9" max="16384" width="11.42578125" hidden="1"/>
  </cols>
  <sheetData>
    <row r="1" spans="1:10">
      <c r="A1" s="293" t="s">
        <v>199</v>
      </c>
      <c r="B1" s="94">
        <v>43465</v>
      </c>
      <c r="C1" s="94">
        <v>43830</v>
      </c>
      <c r="D1" s="94">
        <v>44196</v>
      </c>
      <c r="E1" s="94">
        <v>44561</v>
      </c>
      <c r="F1" s="94">
        <v>44926</v>
      </c>
      <c r="G1" s="94">
        <v>45291</v>
      </c>
      <c r="H1" s="94">
        <v>45657</v>
      </c>
      <c r="I1" t="s">
        <v>106</v>
      </c>
      <c r="J1" t="s">
        <v>107</v>
      </c>
    </row>
    <row r="2" spans="1:10">
      <c r="A2" s="293" t="s">
        <v>108</v>
      </c>
      <c r="B2" s="94"/>
      <c r="C2" s="94"/>
      <c r="D2" s="94"/>
      <c r="E2" s="94"/>
      <c r="F2" s="94"/>
      <c r="G2" s="94"/>
      <c r="H2" s="94"/>
      <c r="I2" s="125"/>
    </row>
    <row r="3" spans="1:10">
      <c r="A3" s="294" t="s">
        <v>200</v>
      </c>
      <c r="B3" s="92">
        <v>108</v>
      </c>
      <c r="C3" s="92">
        <v>67</v>
      </c>
      <c r="D3" s="92">
        <v>428</v>
      </c>
      <c r="E3" s="92">
        <v>432</v>
      </c>
      <c r="F3" s="92">
        <v>223</v>
      </c>
      <c r="G3" s="92">
        <v>885</v>
      </c>
      <c r="H3" s="92">
        <v>328</v>
      </c>
      <c r="I3" t="s">
        <v>201</v>
      </c>
      <c r="J3" t="s">
        <v>202</v>
      </c>
    </row>
    <row r="4" spans="1:10">
      <c r="A4" s="294" t="s">
        <v>203</v>
      </c>
      <c r="B4" s="92"/>
      <c r="C4" s="92"/>
      <c r="D4" s="92"/>
      <c r="E4" s="92">
        <v>2</v>
      </c>
      <c r="F4" s="92">
        <v>72</v>
      </c>
      <c r="G4" s="92">
        <v>42</v>
      </c>
      <c r="H4" s="92"/>
      <c r="I4" s="124" t="s">
        <v>204</v>
      </c>
      <c r="J4" t="s">
        <v>205</v>
      </c>
    </row>
    <row r="5" spans="1:10">
      <c r="A5" s="294" t="s">
        <v>206</v>
      </c>
      <c r="B5" s="92">
        <v>108</v>
      </c>
      <c r="C5" s="92">
        <v>67</v>
      </c>
      <c r="D5" s="92">
        <v>428</v>
      </c>
      <c r="E5" s="92">
        <v>432</v>
      </c>
      <c r="F5" s="92">
        <v>223</v>
      </c>
      <c r="G5" s="92">
        <v>885</v>
      </c>
      <c r="H5" s="92">
        <v>328</v>
      </c>
      <c r="I5" s="124" t="s">
        <v>207</v>
      </c>
      <c r="J5" t="s">
        <v>208</v>
      </c>
    </row>
    <row r="6" spans="1:10">
      <c r="A6" s="294" t="s">
        <v>209</v>
      </c>
      <c r="B6" s="92">
        <v>1273</v>
      </c>
      <c r="C6" s="92">
        <v>1330</v>
      </c>
      <c r="D6" s="92">
        <v>1093</v>
      </c>
      <c r="E6" s="92">
        <v>2049</v>
      </c>
      <c r="F6" s="92">
        <v>2278</v>
      </c>
      <c r="G6" s="92">
        <v>2620</v>
      </c>
      <c r="H6" s="92">
        <v>315</v>
      </c>
      <c r="I6" s="124" t="s">
        <v>210</v>
      </c>
      <c r="J6" t="s">
        <v>211</v>
      </c>
    </row>
    <row r="7" spans="1:10">
      <c r="A7" s="294" t="s">
        <v>212</v>
      </c>
      <c r="B7" s="92">
        <v>527</v>
      </c>
      <c r="C7" s="92">
        <v>558</v>
      </c>
      <c r="D7" s="92">
        <v>702</v>
      </c>
      <c r="E7" s="92">
        <v>1240</v>
      </c>
      <c r="F7" s="92">
        <v>1159</v>
      </c>
      <c r="G7" s="92">
        <v>1400</v>
      </c>
      <c r="H7" s="92">
        <v>2244</v>
      </c>
      <c r="I7" s="124" t="s">
        <v>213</v>
      </c>
      <c r="J7" t="s">
        <v>214</v>
      </c>
    </row>
    <row r="8" spans="1:10">
      <c r="A8" s="294" t="s">
        <v>215</v>
      </c>
      <c r="B8" s="92">
        <v>90</v>
      </c>
      <c r="C8" s="92">
        <v>85</v>
      </c>
      <c r="D8" s="92">
        <v>139</v>
      </c>
      <c r="E8" s="92">
        <v>304</v>
      </c>
      <c r="F8" s="92">
        <v>332</v>
      </c>
      <c r="G8" s="92">
        <v>2725</v>
      </c>
      <c r="H8" s="92"/>
      <c r="I8" s="124" t="s">
        <v>216</v>
      </c>
      <c r="J8" t="s">
        <v>217</v>
      </c>
    </row>
    <row r="9" spans="1:10">
      <c r="A9" s="294" t="s">
        <v>218</v>
      </c>
      <c r="B9" s="92">
        <v>1980</v>
      </c>
      <c r="C9" s="92">
        <v>2040</v>
      </c>
      <c r="D9" s="92">
        <v>2362</v>
      </c>
      <c r="E9" s="92">
        <v>4025</v>
      </c>
      <c r="F9" s="92">
        <v>3992</v>
      </c>
      <c r="G9" s="92">
        <v>4905</v>
      </c>
      <c r="H9" s="92">
        <v>2887</v>
      </c>
      <c r="I9" s="124" t="s">
        <v>219</v>
      </c>
      <c r="J9" t="s">
        <v>220</v>
      </c>
    </row>
    <row r="10" spans="1:10">
      <c r="A10" s="294" t="s">
        <v>221</v>
      </c>
      <c r="B10" s="92">
        <v>559</v>
      </c>
      <c r="C10" s="92">
        <v>838</v>
      </c>
      <c r="D10" s="92">
        <v>553</v>
      </c>
      <c r="E10" s="92">
        <v>826</v>
      </c>
      <c r="F10" s="92">
        <v>874</v>
      </c>
      <c r="G10" s="92">
        <v>819</v>
      </c>
      <c r="H10" s="92">
        <v>976</v>
      </c>
      <c r="I10" s="124" t="s">
        <v>222</v>
      </c>
      <c r="J10" t="s">
        <v>223</v>
      </c>
    </row>
    <row r="11" spans="1:10">
      <c r="A11" s="294" t="s">
        <v>224</v>
      </c>
      <c r="B11" s="92"/>
      <c r="C11" s="92"/>
      <c r="D11" s="92"/>
      <c r="E11" s="92">
        <v>1377</v>
      </c>
      <c r="F11" s="92">
        <v>1416</v>
      </c>
      <c r="G11" s="92">
        <v>1418</v>
      </c>
      <c r="H11" s="92">
        <v>1985</v>
      </c>
      <c r="I11" t="s">
        <v>225</v>
      </c>
      <c r="J11" t="s">
        <v>226</v>
      </c>
    </row>
    <row r="12" spans="1:10">
      <c r="A12" s="294" t="s">
        <v>227</v>
      </c>
      <c r="B12" s="92">
        <v>81</v>
      </c>
      <c r="C12" s="92">
        <v>89</v>
      </c>
      <c r="D12" s="92">
        <v>81</v>
      </c>
      <c r="E12" s="92">
        <v>1441</v>
      </c>
      <c r="F12" s="92">
        <v>1277</v>
      </c>
      <c r="G12" s="92">
        <v>1158</v>
      </c>
      <c r="H12" s="92">
        <v>1787</v>
      </c>
      <c r="I12" t="s">
        <v>228</v>
      </c>
      <c r="J12" t="s">
        <v>229</v>
      </c>
    </row>
    <row r="13" spans="1:10">
      <c r="A13" s="294" t="s">
        <v>230</v>
      </c>
      <c r="B13" s="92">
        <v>38</v>
      </c>
      <c r="C13" s="92">
        <v>44</v>
      </c>
      <c r="D13" s="92">
        <v>51</v>
      </c>
      <c r="E13" s="92">
        <v>59</v>
      </c>
      <c r="F13" s="92">
        <v>72</v>
      </c>
      <c r="G13" s="92">
        <v>134</v>
      </c>
      <c r="H13" s="92">
        <v>73</v>
      </c>
      <c r="I13" s="124" t="s">
        <v>231</v>
      </c>
    </row>
    <row r="14" spans="1:10">
      <c r="A14" s="294" t="s">
        <v>232</v>
      </c>
      <c r="B14" s="92">
        <v>254</v>
      </c>
      <c r="C14" s="92">
        <v>259</v>
      </c>
      <c r="D14" s="92">
        <v>137</v>
      </c>
      <c r="E14" s="92">
        <v>7</v>
      </c>
      <c r="F14" s="92">
        <v>659</v>
      </c>
      <c r="G14" s="92">
        <v>9</v>
      </c>
      <c r="H14" s="92">
        <v>925</v>
      </c>
      <c r="I14" s="124" t="s">
        <v>233</v>
      </c>
      <c r="J14" t="s">
        <v>234</v>
      </c>
    </row>
    <row r="15" spans="1:10">
      <c r="A15" s="294" t="s">
        <v>235</v>
      </c>
      <c r="B15" s="92">
        <v>-159</v>
      </c>
      <c r="C15" s="92">
        <v>-191</v>
      </c>
      <c r="D15" s="92">
        <v>-50</v>
      </c>
      <c r="E15" s="92">
        <v>273</v>
      </c>
      <c r="F15" s="92">
        <v>-286</v>
      </c>
      <c r="G15" s="92">
        <v>242</v>
      </c>
      <c r="H15" s="92"/>
      <c r="I15" s="124" t="s">
        <v>236</v>
      </c>
      <c r="J15" t="s">
        <v>237</v>
      </c>
    </row>
    <row r="16" spans="1:10">
      <c r="A16" s="294" t="s">
        <v>238</v>
      </c>
      <c r="B16" s="92">
        <v>773</v>
      </c>
      <c r="C16" s="92">
        <v>1039</v>
      </c>
      <c r="D16" s="92">
        <v>772</v>
      </c>
      <c r="E16" s="92">
        <v>3983</v>
      </c>
      <c r="F16" s="92">
        <v>4012</v>
      </c>
      <c r="G16" s="92">
        <v>3780</v>
      </c>
      <c r="H16" s="92">
        <v>5746</v>
      </c>
      <c r="I16" s="124" t="s">
        <v>239</v>
      </c>
      <c r="J16" t="s">
        <v>240</v>
      </c>
    </row>
    <row r="17" spans="1:10">
      <c r="A17" s="294" t="s">
        <v>241</v>
      </c>
      <c r="B17" s="92"/>
      <c r="C17" s="92"/>
      <c r="D17" s="92"/>
      <c r="E17" s="92"/>
      <c r="F17" s="92"/>
      <c r="G17" s="92"/>
      <c r="H17" s="92">
        <v>2809</v>
      </c>
      <c r="I17" s="124" t="s">
        <v>242</v>
      </c>
      <c r="J17" t="s">
        <v>243</v>
      </c>
    </row>
    <row r="18" spans="1:10">
      <c r="A18" s="294" t="s">
        <v>244</v>
      </c>
      <c r="B18" s="92">
        <v>2753</v>
      </c>
      <c r="C18" s="92">
        <v>3079</v>
      </c>
      <c r="D18" s="92">
        <v>3134</v>
      </c>
      <c r="E18" s="92">
        <v>8008</v>
      </c>
      <c r="F18" s="92">
        <v>8004</v>
      </c>
      <c r="G18" s="92">
        <v>8685</v>
      </c>
      <c r="H18" s="92">
        <v>11442</v>
      </c>
      <c r="I18" s="124" t="s">
        <v>245</v>
      </c>
    </row>
    <row r="19" spans="1:10">
      <c r="A19" s="294" t="s">
        <v>246</v>
      </c>
      <c r="B19" s="92">
        <v>217</v>
      </c>
      <c r="C19" s="92"/>
      <c r="D19" s="92">
        <v>227</v>
      </c>
      <c r="E19" s="92">
        <v>518</v>
      </c>
      <c r="F19" s="92">
        <v>92</v>
      </c>
      <c r="G19" s="92">
        <v>20</v>
      </c>
      <c r="H19" s="92"/>
      <c r="I19" s="124"/>
    </row>
    <row r="20" spans="1:10">
      <c r="A20" s="294" t="s">
        <v>247</v>
      </c>
      <c r="B20" s="92">
        <v>7</v>
      </c>
      <c r="C20" s="92">
        <v>8</v>
      </c>
      <c r="D20" s="92">
        <v>2</v>
      </c>
      <c r="E20" s="92">
        <v>123</v>
      </c>
      <c r="F20" s="92">
        <v>179</v>
      </c>
      <c r="G20" s="92">
        <v>11</v>
      </c>
      <c r="H20" s="92"/>
      <c r="I20" s="124" t="s">
        <v>248</v>
      </c>
    </row>
    <row r="21" spans="1:10">
      <c r="A21" s="294" t="s">
        <v>249</v>
      </c>
      <c r="B21" s="92">
        <v>196</v>
      </c>
      <c r="C21" s="92">
        <v>301</v>
      </c>
      <c r="D21" s="92">
        <v>379</v>
      </c>
      <c r="E21" s="92">
        <v>349</v>
      </c>
      <c r="F21" s="92">
        <v>190</v>
      </c>
      <c r="G21" s="92">
        <v>394</v>
      </c>
      <c r="H21" s="92">
        <v>252</v>
      </c>
      <c r="I21" s="124" t="s">
        <v>250</v>
      </c>
      <c r="J21" t="s">
        <v>251</v>
      </c>
    </row>
    <row r="22" spans="1:10">
      <c r="A22" s="294" t="s">
        <v>252</v>
      </c>
      <c r="B22" s="92">
        <v>56</v>
      </c>
      <c r="C22" s="92">
        <v>274</v>
      </c>
      <c r="D22" s="92">
        <v>5</v>
      </c>
      <c r="E22" s="92">
        <v>92</v>
      </c>
      <c r="F22" s="92">
        <v>-92</v>
      </c>
      <c r="G22" s="92">
        <v>593</v>
      </c>
      <c r="H22" s="92"/>
      <c r="I22" s="124" t="s">
        <v>253</v>
      </c>
      <c r="J22" t="s">
        <v>254</v>
      </c>
    </row>
    <row r="23" spans="1:10">
      <c r="A23" s="294" t="s">
        <v>255</v>
      </c>
      <c r="B23" s="92">
        <v>520</v>
      </c>
      <c r="C23" s="92">
        <v>599</v>
      </c>
      <c r="D23" s="92">
        <v>631</v>
      </c>
      <c r="E23" s="92">
        <v>1022</v>
      </c>
      <c r="F23" s="92">
        <v>1197</v>
      </c>
      <c r="G23" s="92">
        <v>1151</v>
      </c>
      <c r="H23" s="92">
        <v>252</v>
      </c>
      <c r="I23" s="124" t="s">
        <v>256</v>
      </c>
      <c r="J23" t="s">
        <v>257</v>
      </c>
    </row>
    <row r="24" spans="1:10">
      <c r="A24" s="295" t="s">
        <v>258</v>
      </c>
      <c r="B24" s="92">
        <v>1363</v>
      </c>
      <c r="C24" s="92">
        <v>1651</v>
      </c>
      <c r="D24" s="92">
        <v>1992</v>
      </c>
      <c r="E24" s="92">
        <v>4328</v>
      </c>
      <c r="F24" s="92">
        <v>3847</v>
      </c>
      <c r="G24" s="92">
        <v>4515</v>
      </c>
      <c r="H24" s="92"/>
      <c r="I24" s="124"/>
    </row>
    <row r="25" spans="1:10">
      <c r="A25" s="294" t="s">
        <v>259</v>
      </c>
      <c r="B25" s="92">
        <v>196</v>
      </c>
      <c r="C25" s="92">
        <v>301</v>
      </c>
      <c r="D25" s="92">
        <v>379</v>
      </c>
      <c r="E25" s="92">
        <v>-44</v>
      </c>
      <c r="F25" s="92">
        <v>190</v>
      </c>
      <c r="G25" s="92">
        <v>215</v>
      </c>
      <c r="H25" s="92"/>
      <c r="I25" s="124" t="s">
        <v>260</v>
      </c>
      <c r="J25" t="s">
        <v>261</v>
      </c>
    </row>
    <row r="26" spans="1:10">
      <c r="A26" s="294" t="s">
        <v>262</v>
      </c>
      <c r="B26" s="92">
        <v>-196</v>
      </c>
      <c r="C26" s="92">
        <v>-301</v>
      </c>
      <c r="D26" s="92">
        <v>-379</v>
      </c>
      <c r="E26" s="92">
        <v>44</v>
      </c>
      <c r="F26" s="92">
        <v>-40</v>
      </c>
      <c r="G26" s="92">
        <v>58</v>
      </c>
      <c r="H26" s="92">
        <v>9295</v>
      </c>
      <c r="I26" s="124" t="s">
        <v>263</v>
      </c>
      <c r="J26" t="s">
        <v>264</v>
      </c>
    </row>
    <row r="27" spans="1:10">
      <c r="A27" s="294" t="s">
        <v>265</v>
      </c>
      <c r="B27" s="92">
        <v>1617</v>
      </c>
      <c r="C27" s="92">
        <v>1910</v>
      </c>
      <c r="D27" s="92">
        <v>2129</v>
      </c>
      <c r="E27" s="92">
        <v>4998</v>
      </c>
      <c r="F27" s="92">
        <v>4656</v>
      </c>
      <c r="G27" s="92">
        <v>5419</v>
      </c>
      <c r="H27" s="92">
        <v>9295</v>
      </c>
      <c r="I27" s="124" t="s">
        <v>266</v>
      </c>
      <c r="J27" t="s">
        <v>267</v>
      </c>
    </row>
    <row r="28" spans="1:10">
      <c r="A28" s="294" t="s">
        <v>268</v>
      </c>
      <c r="B28" s="92">
        <v>2137</v>
      </c>
      <c r="C28" s="92">
        <v>2509</v>
      </c>
      <c r="D28" s="92">
        <v>2760</v>
      </c>
      <c r="E28" s="92">
        <v>6020</v>
      </c>
      <c r="F28" s="92">
        <v>5853</v>
      </c>
      <c r="G28" s="92">
        <v>6570</v>
      </c>
      <c r="H28" s="92">
        <v>9547</v>
      </c>
      <c r="I28" s="124"/>
    </row>
    <row r="29" spans="1:10">
      <c r="A29" s="294" t="s">
        <v>269</v>
      </c>
      <c r="B29" s="92">
        <v>1</v>
      </c>
      <c r="C29" s="92">
        <v>1</v>
      </c>
      <c r="D29" s="92">
        <v>1</v>
      </c>
      <c r="E29" s="92">
        <v>1</v>
      </c>
      <c r="F29" s="92">
        <v>1</v>
      </c>
      <c r="G29" s="92">
        <v>1</v>
      </c>
      <c r="H29" s="92">
        <v>1</v>
      </c>
      <c r="I29" s="124" t="s">
        <v>270</v>
      </c>
      <c r="J29" t="s">
        <v>270</v>
      </c>
    </row>
    <row r="30" spans="1:10">
      <c r="A30" s="294" t="s">
        <v>271</v>
      </c>
      <c r="B30" s="92">
        <v>441</v>
      </c>
      <c r="C30" s="92">
        <v>390</v>
      </c>
      <c r="D30" s="92">
        <v>181</v>
      </c>
      <c r="E30" s="92">
        <v>357</v>
      </c>
      <c r="F30" s="92">
        <v>529</v>
      </c>
      <c r="G30" s="92">
        <v>593</v>
      </c>
      <c r="H30" s="92">
        <v>352</v>
      </c>
      <c r="I30" s="124" t="s">
        <v>272</v>
      </c>
      <c r="J30" t="s">
        <v>273</v>
      </c>
    </row>
    <row r="31" spans="1:10" ht="30.75">
      <c r="A31" s="294" t="s">
        <v>274</v>
      </c>
      <c r="B31" s="92">
        <v>-83</v>
      </c>
      <c r="C31" s="92"/>
      <c r="D31" s="92"/>
      <c r="E31" s="92"/>
      <c r="F31" s="92">
        <v>39</v>
      </c>
      <c r="G31" s="92">
        <v>17</v>
      </c>
      <c r="H31" s="92"/>
      <c r="I31" s="124" t="s">
        <v>275</v>
      </c>
      <c r="J31" t="s">
        <v>276</v>
      </c>
    </row>
    <row r="32" spans="1:10">
      <c r="A32" s="294" t="s">
        <v>277</v>
      </c>
      <c r="B32" s="92">
        <v>257</v>
      </c>
      <c r="C32" s="92">
        <v>179</v>
      </c>
      <c r="D32" s="92">
        <v>192</v>
      </c>
      <c r="E32" s="92">
        <v>1630</v>
      </c>
      <c r="F32" s="92">
        <v>1582</v>
      </c>
      <c r="G32" s="92">
        <v>1504</v>
      </c>
      <c r="H32" s="92">
        <v>1399</v>
      </c>
      <c r="I32" s="124" t="s">
        <v>278</v>
      </c>
      <c r="J32" t="s">
        <v>279</v>
      </c>
    </row>
    <row r="33" spans="1:10">
      <c r="A33" s="294" t="s">
        <v>280</v>
      </c>
      <c r="B33" s="92">
        <v>616</v>
      </c>
      <c r="C33" s="92">
        <v>570</v>
      </c>
      <c r="D33" s="92">
        <v>374</v>
      </c>
      <c r="E33" s="92">
        <v>1988</v>
      </c>
      <c r="F33" s="92">
        <v>2151</v>
      </c>
      <c r="G33" s="92">
        <v>2115</v>
      </c>
      <c r="H33" s="92">
        <v>1752</v>
      </c>
      <c r="I33" s="124" t="s">
        <v>281</v>
      </c>
      <c r="J33" t="s">
        <v>282</v>
      </c>
    </row>
    <row r="34" spans="1:10">
      <c r="A34" s="294" t="s">
        <v>283</v>
      </c>
      <c r="B34" s="92">
        <v>2753</v>
      </c>
      <c r="C34" s="92">
        <v>3079</v>
      </c>
      <c r="D34" s="92">
        <v>3134</v>
      </c>
      <c r="E34" s="92">
        <v>8008</v>
      </c>
      <c r="F34" s="92">
        <v>8004</v>
      </c>
      <c r="G34" s="92">
        <v>8685</v>
      </c>
      <c r="H34" s="92">
        <v>11442</v>
      </c>
      <c r="I34" s="124" t="s">
        <v>242</v>
      </c>
      <c r="J34" t="s">
        <v>282</v>
      </c>
    </row>
    <row r="35" spans="1:10">
      <c r="A35" s="294" t="s">
        <v>180</v>
      </c>
      <c r="B35" s="92"/>
      <c r="C35" s="92"/>
      <c r="D35" s="92"/>
      <c r="E35" s="92"/>
      <c r="F35" s="92"/>
      <c r="G35" s="92"/>
      <c r="H35" s="92"/>
      <c r="I35" s="124"/>
    </row>
    <row r="36" spans="1:10">
      <c r="A36" s="294" t="s">
        <v>284</v>
      </c>
      <c r="B36" s="92">
        <v>1363</v>
      </c>
      <c r="C36" s="92">
        <v>1651</v>
      </c>
      <c r="D36" s="92">
        <v>1992</v>
      </c>
      <c r="E36" s="92">
        <v>4328</v>
      </c>
      <c r="F36" s="92">
        <v>3847</v>
      </c>
      <c r="G36" s="92">
        <v>4593</v>
      </c>
      <c r="H36" s="92"/>
      <c r="I36" s="124" t="s">
        <v>285</v>
      </c>
      <c r="J36" t="s">
        <v>257</v>
      </c>
    </row>
    <row r="37" spans="1:10">
      <c r="A37" s="294" t="s">
        <v>286</v>
      </c>
      <c r="B37" s="92">
        <v>1255</v>
      </c>
      <c r="C37" s="92">
        <v>1584</v>
      </c>
      <c r="D37" s="92">
        <v>1564</v>
      </c>
      <c r="E37" s="92">
        <v>3896</v>
      </c>
      <c r="F37" s="92">
        <v>3624</v>
      </c>
      <c r="G37" s="92">
        <v>3708</v>
      </c>
      <c r="H37" s="92">
        <v>-328</v>
      </c>
      <c r="I37" s="124" t="s">
        <v>287</v>
      </c>
      <c r="J37" t="s">
        <v>288</v>
      </c>
    </row>
    <row r="38" spans="1:10">
      <c r="A38" t="s">
        <v>286</v>
      </c>
      <c r="B38" s="92">
        <v>1326</v>
      </c>
      <c r="C38" s="92">
        <v>2101</v>
      </c>
      <c r="D38" s="92">
        <v>2665</v>
      </c>
      <c r="E38" s="92">
        <v>2274</v>
      </c>
      <c r="F38" s="92">
        <v>2666</v>
      </c>
      <c r="G38" s="92">
        <v>2602</v>
      </c>
      <c r="H38" s="92">
        <v>4550</v>
      </c>
      <c r="I38" s="124"/>
    </row>
    <row r="39" spans="1:10">
      <c r="A39" t="s">
        <v>286</v>
      </c>
      <c r="B39" s="92">
        <v>-94.6</v>
      </c>
      <c r="C39" s="92">
        <v>-424</v>
      </c>
      <c r="D39" s="92">
        <v>-1386.6</v>
      </c>
      <c r="E39" s="92">
        <v>-2876.8</v>
      </c>
      <c r="F39" s="92">
        <v>-3007.9</v>
      </c>
      <c r="G39" s="92">
        <v>-2145.1999999999998</v>
      </c>
      <c r="H39" s="92">
        <v>-9058.6</v>
      </c>
      <c r="I39" s="124"/>
    </row>
    <row r="40" spans="1:10">
      <c r="B40" s="92"/>
      <c r="C40" s="92"/>
      <c r="D40" s="92"/>
      <c r="E40" s="92"/>
      <c r="F40" s="92"/>
      <c r="G40" s="92"/>
      <c r="H40" s="92"/>
      <c r="I40" s="124"/>
    </row>
    <row r="41" spans="1:10">
      <c r="B41" s="92"/>
      <c r="C41" s="92"/>
      <c r="D41" s="92"/>
      <c r="E41" s="92"/>
      <c r="F41" s="92"/>
      <c r="G41" s="92"/>
      <c r="H41" s="92"/>
      <c r="I41" s="124"/>
    </row>
    <row r="42" spans="1:10">
      <c r="B42" s="92"/>
      <c r="C42" s="92"/>
      <c r="D42" s="92"/>
      <c r="E42" s="92"/>
      <c r="F42" s="92"/>
      <c r="G42" s="92"/>
      <c r="H42" s="92"/>
      <c r="I42" s="124"/>
    </row>
    <row r="43" spans="1:10">
      <c r="B43" s="92"/>
      <c r="C43" s="92"/>
      <c r="D43" s="92"/>
      <c r="E43" s="92"/>
      <c r="F43" s="92"/>
      <c r="G43" s="92"/>
      <c r="H43" s="92"/>
      <c r="I43" s="124"/>
    </row>
    <row r="44" spans="1:10">
      <c r="B44" s="92"/>
      <c r="C44" s="92"/>
      <c r="D44" s="92"/>
      <c r="E44" s="92"/>
      <c r="F44" s="92"/>
      <c r="G44" s="92"/>
      <c r="H44" s="92"/>
      <c r="I44" s="124"/>
    </row>
    <row r="45" spans="1:10">
      <c r="B45" s="92"/>
      <c r="C45" s="92"/>
      <c r="D45" s="92"/>
      <c r="E45" s="92"/>
      <c r="F45" s="92"/>
      <c r="G45" s="92"/>
      <c r="H45" s="92"/>
      <c r="I45" s="124"/>
    </row>
    <row r="46" spans="1:10">
      <c r="B46" s="92"/>
      <c r="C46" s="92"/>
      <c r="D46" s="92"/>
      <c r="E46" s="92"/>
      <c r="F46" s="92"/>
      <c r="G46" s="92"/>
      <c r="H46" s="92"/>
      <c r="I46" s="124"/>
    </row>
    <row r="47" spans="1:10">
      <c r="B47" s="92"/>
      <c r="C47" s="92"/>
      <c r="D47" s="92"/>
      <c r="E47" s="92"/>
      <c r="F47" s="92"/>
      <c r="G47" s="92"/>
      <c r="H47" s="92"/>
      <c r="I47" s="124"/>
    </row>
    <row r="48" spans="1:10">
      <c r="B48" s="92"/>
      <c r="C48" s="92"/>
      <c r="D48" s="92"/>
      <c r="E48" s="92"/>
      <c r="F48" s="92"/>
      <c r="G48" s="92"/>
      <c r="H48" s="92"/>
      <c r="I48" s="124"/>
    </row>
    <row r="49" spans="2:9">
      <c r="B49" s="92"/>
      <c r="C49" s="92"/>
      <c r="D49" s="92"/>
      <c r="E49" s="92"/>
      <c r="F49" s="92"/>
      <c r="G49" s="92"/>
      <c r="H49" s="92"/>
      <c r="I49" s="124"/>
    </row>
    <row r="50" spans="2:9">
      <c r="B50" s="92"/>
      <c r="C50" s="92"/>
      <c r="D50" s="92"/>
      <c r="E50" s="92"/>
      <c r="F50" s="92"/>
      <c r="G50" s="92"/>
      <c r="H50" s="92"/>
      <c r="I50" s="124"/>
    </row>
    <row r="51" spans="2:9">
      <c r="B51" s="92"/>
      <c r="C51" s="92"/>
      <c r="D51" s="92"/>
      <c r="E51" s="92"/>
      <c r="F51" s="92"/>
      <c r="G51" s="92"/>
      <c r="H51" s="92"/>
      <c r="I51" s="124"/>
    </row>
    <row r="52" spans="2:9">
      <c r="B52" s="92"/>
      <c r="C52" s="92"/>
      <c r="D52" s="92"/>
      <c r="E52" s="92"/>
      <c r="F52" s="92"/>
      <c r="G52" s="92"/>
      <c r="H52" s="92"/>
      <c r="I52" s="124"/>
    </row>
    <row r="53" spans="2:9">
      <c r="B53" s="92"/>
      <c r="C53" s="92"/>
      <c r="D53" s="92"/>
      <c r="E53" s="92"/>
      <c r="F53" s="92"/>
      <c r="G53" s="92"/>
      <c r="H53" s="92"/>
      <c r="I53" s="124"/>
    </row>
    <row r="54" spans="2:9">
      <c r="B54" s="92"/>
      <c r="C54" s="92"/>
      <c r="D54" s="92"/>
      <c r="E54" s="92"/>
      <c r="F54" s="92"/>
      <c r="G54" s="92"/>
      <c r="H54" s="92"/>
      <c r="I54" s="124"/>
    </row>
    <row r="55" spans="2:9">
      <c r="B55" s="92"/>
      <c r="C55" s="92"/>
      <c r="D55" s="92"/>
      <c r="E55" s="92"/>
      <c r="F55" s="92"/>
      <c r="G55" s="92"/>
      <c r="H55" s="92"/>
      <c r="I55" s="124"/>
    </row>
    <row r="56" spans="2:9">
      <c r="B56" s="92"/>
      <c r="C56" s="92"/>
      <c r="D56" s="92"/>
      <c r="E56" s="92"/>
      <c r="F56" s="92"/>
      <c r="G56" s="92"/>
      <c r="H56" s="92"/>
      <c r="I56" s="124"/>
    </row>
    <row r="57" spans="2:9">
      <c r="B57" s="92"/>
      <c r="C57" s="92"/>
      <c r="D57" s="92"/>
      <c r="E57" s="92"/>
      <c r="F57" s="92"/>
      <c r="G57" s="92"/>
      <c r="H57" s="92"/>
      <c r="I57" s="124"/>
    </row>
    <row r="58" spans="2:9">
      <c r="B58" s="92"/>
      <c r="C58" s="92"/>
      <c r="D58" s="92"/>
      <c r="E58" s="92"/>
      <c r="F58" s="92"/>
      <c r="G58" s="92"/>
      <c r="H58" s="92"/>
      <c r="I58" s="124"/>
    </row>
    <row r="59" spans="2:9">
      <c r="B59" s="92"/>
      <c r="C59" s="92"/>
      <c r="D59" s="92"/>
      <c r="E59" s="92"/>
      <c r="F59" s="92"/>
      <c r="G59" s="92"/>
      <c r="H59" s="92"/>
      <c r="I59" s="124"/>
    </row>
    <row r="60" spans="2:9">
      <c r="B60" s="92"/>
      <c r="C60" s="92"/>
      <c r="D60" s="92"/>
      <c r="E60" s="92"/>
      <c r="F60" s="92"/>
      <c r="G60" s="92"/>
      <c r="H60" s="92"/>
      <c r="I60" s="124"/>
    </row>
    <row r="61" spans="2:9">
      <c r="B61" s="92"/>
      <c r="C61" s="92"/>
      <c r="D61" s="92"/>
      <c r="E61" s="92"/>
      <c r="F61" s="92"/>
      <c r="G61" s="92"/>
      <c r="H61" s="92"/>
    </row>
    <row r="62" spans="2:9">
      <c r="B62" s="92"/>
      <c r="C62" s="92"/>
      <c r="D62" s="92"/>
      <c r="E62" s="92"/>
      <c r="F62" s="92"/>
      <c r="G62" s="92"/>
      <c r="H62" s="92"/>
    </row>
    <row r="63" spans="2:9">
      <c r="B63" s="92"/>
      <c r="C63" s="92"/>
      <c r="D63" s="92"/>
      <c r="E63" s="92"/>
      <c r="F63" s="92"/>
      <c r="G63" s="92"/>
      <c r="H63" s="92"/>
    </row>
    <row r="64" spans="2:9">
      <c r="B64" s="92"/>
      <c r="C64" s="92"/>
      <c r="D64" s="92"/>
      <c r="E64" s="92"/>
      <c r="F64" s="92"/>
      <c r="G64" s="92"/>
      <c r="H64" s="92"/>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workbookViewId="0">
      <selection sqref="A1:H29"/>
    </sheetView>
  </sheetViews>
  <sheetFormatPr defaultColWidth="0" defaultRowHeight="15"/>
  <cols>
    <col min="1" max="1" width="43.5703125" bestFit="1" customWidth="1"/>
    <col min="2" max="8" width="11.42578125" style="3" customWidth="1"/>
    <col min="9" max="16384" width="11.42578125" hidden="1"/>
  </cols>
  <sheetData>
    <row r="1" spans="1:10">
      <c r="A1" s="97" t="s">
        <v>289</v>
      </c>
      <c r="B1" s="296">
        <v>43465</v>
      </c>
      <c r="C1" s="296">
        <v>43830</v>
      </c>
      <c r="D1" s="296">
        <v>44196</v>
      </c>
      <c r="E1" s="296">
        <v>44561</v>
      </c>
      <c r="F1" s="278">
        <v>44926</v>
      </c>
      <c r="G1" s="278">
        <v>45291</v>
      </c>
      <c r="H1" s="278">
        <v>45657</v>
      </c>
      <c r="I1" t="s">
        <v>106</v>
      </c>
      <c r="J1" t="s">
        <v>107</v>
      </c>
    </row>
    <row r="2" spans="1:10">
      <c r="A2" s="97" t="s">
        <v>108</v>
      </c>
      <c r="B2" s="297"/>
      <c r="C2" s="297"/>
      <c r="D2" s="297"/>
      <c r="E2" s="297"/>
      <c r="F2" s="98"/>
      <c r="G2" s="98"/>
      <c r="H2" s="98"/>
    </row>
    <row r="3" spans="1:10">
      <c r="A3" s="99" t="s">
        <v>36</v>
      </c>
      <c r="B3" s="300">
        <v>298</v>
      </c>
      <c r="C3" s="298">
        <v>216</v>
      </c>
      <c r="D3" s="298">
        <v>-201</v>
      </c>
      <c r="E3" s="298">
        <v>176</v>
      </c>
      <c r="F3" s="283">
        <v>352</v>
      </c>
      <c r="G3" s="283">
        <v>313</v>
      </c>
      <c r="H3" s="283">
        <v>60</v>
      </c>
      <c r="I3" t="s">
        <v>165</v>
      </c>
      <c r="J3" t="s">
        <v>166</v>
      </c>
    </row>
    <row r="4" spans="1:10">
      <c r="A4" s="99" t="s">
        <v>290</v>
      </c>
      <c r="B4" s="298">
        <v>36</v>
      </c>
      <c r="C4" s="298">
        <v>51</v>
      </c>
      <c r="D4" s="298">
        <v>45</v>
      </c>
      <c r="E4" s="298">
        <v>126</v>
      </c>
      <c r="F4" s="283">
        <v>244</v>
      </c>
      <c r="G4" s="283">
        <v>213</v>
      </c>
      <c r="H4" s="283">
        <v>351</v>
      </c>
      <c r="I4" s="124" t="s">
        <v>197</v>
      </c>
      <c r="J4" t="s">
        <v>291</v>
      </c>
    </row>
    <row r="5" spans="1:10">
      <c r="A5" s="99" t="s">
        <v>292</v>
      </c>
      <c r="B5" s="298">
        <v>20</v>
      </c>
      <c r="C5" s="298">
        <v>3</v>
      </c>
      <c r="D5" s="298">
        <v>-123</v>
      </c>
      <c r="E5" s="298">
        <v>58</v>
      </c>
      <c r="F5" s="283">
        <v>-38</v>
      </c>
      <c r="G5" s="283">
        <v>-23</v>
      </c>
      <c r="H5" s="283">
        <v>-29</v>
      </c>
      <c r="I5" s="124" t="s">
        <v>293</v>
      </c>
      <c r="J5" t="s">
        <v>294</v>
      </c>
    </row>
    <row r="6" spans="1:10">
      <c r="A6" s="99" t="s">
        <v>295</v>
      </c>
      <c r="B6" s="298">
        <v>16</v>
      </c>
      <c r="C6" s="298">
        <v>22</v>
      </c>
      <c r="D6" s="298">
        <v>15</v>
      </c>
      <c r="E6" s="298">
        <v>48</v>
      </c>
      <c r="F6" s="283">
        <v>46</v>
      </c>
      <c r="G6" s="283">
        <v>40</v>
      </c>
      <c r="H6" s="283">
        <v>47</v>
      </c>
      <c r="I6" t="s">
        <v>296</v>
      </c>
      <c r="J6" t="s">
        <v>297</v>
      </c>
    </row>
    <row r="7" spans="1:10">
      <c r="A7" s="99" t="s">
        <v>298</v>
      </c>
      <c r="B7" s="298">
        <v>-310</v>
      </c>
      <c r="C7" s="298">
        <v>-63</v>
      </c>
      <c r="D7" s="298">
        <v>83</v>
      </c>
      <c r="E7" s="298">
        <v>-375</v>
      </c>
      <c r="F7" s="283">
        <v>-50</v>
      </c>
      <c r="G7" s="283">
        <v>-440</v>
      </c>
      <c r="H7" s="283"/>
      <c r="I7" s="124" t="s">
        <v>299</v>
      </c>
      <c r="J7" t="s">
        <v>300</v>
      </c>
    </row>
    <row r="8" spans="1:10">
      <c r="A8" s="99" t="s">
        <v>301</v>
      </c>
      <c r="B8" s="298">
        <v>-219</v>
      </c>
      <c r="C8" s="298">
        <v>-84</v>
      </c>
      <c r="D8" s="298">
        <v>260</v>
      </c>
      <c r="E8" s="298">
        <v>135</v>
      </c>
      <c r="F8" s="283">
        <v>193</v>
      </c>
      <c r="G8" s="283">
        <v>209</v>
      </c>
      <c r="H8" s="283">
        <v>-120</v>
      </c>
      <c r="I8" s="124" t="s">
        <v>302</v>
      </c>
      <c r="J8" t="s">
        <v>303</v>
      </c>
    </row>
    <row r="9" spans="1:10">
      <c r="A9" s="99" t="s">
        <v>304</v>
      </c>
      <c r="B9" s="298">
        <v>-159</v>
      </c>
      <c r="C9" s="298">
        <v>145</v>
      </c>
      <c r="D9" s="298">
        <v>79</v>
      </c>
      <c r="E9" s="298">
        <v>168</v>
      </c>
      <c r="F9" s="283">
        <v>747</v>
      </c>
      <c r="G9" s="283">
        <v>312</v>
      </c>
      <c r="H9" s="283">
        <v>309</v>
      </c>
      <c r="I9" t="s">
        <v>305</v>
      </c>
      <c r="J9" t="s">
        <v>306</v>
      </c>
    </row>
    <row r="10" spans="1:10">
      <c r="A10" s="99" t="s">
        <v>307</v>
      </c>
      <c r="B10" s="298">
        <v>-63</v>
      </c>
      <c r="C10" s="298">
        <v>-63</v>
      </c>
      <c r="D10" s="298">
        <v>-31</v>
      </c>
      <c r="E10" s="298">
        <v>-39</v>
      </c>
      <c r="F10" s="283">
        <v>-97</v>
      </c>
      <c r="G10" s="283">
        <v>-75</v>
      </c>
      <c r="H10" s="283"/>
      <c r="I10" s="124" t="s">
        <v>308</v>
      </c>
      <c r="J10" t="s">
        <v>309</v>
      </c>
    </row>
    <row r="11" spans="1:10">
      <c r="A11" s="99" t="s">
        <v>310</v>
      </c>
      <c r="B11" s="298">
        <v>1</v>
      </c>
      <c r="C11" s="298">
        <v>-2</v>
      </c>
      <c r="D11" s="298">
        <v>-2</v>
      </c>
      <c r="E11" s="298">
        <v>-1592</v>
      </c>
      <c r="F11" s="283"/>
      <c r="G11" s="283">
        <v>-74</v>
      </c>
      <c r="H11" s="283">
        <v>-1444</v>
      </c>
      <c r="I11" s="124" t="s">
        <v>311</v>
      </c>
      <c r="J11" t="s">
        <v>312</v>
      </c>
    </row>
    <row r="12" spans="1:10">
      <c r="A12" s="99" t="s">
        <v>313</v>
      </c>
      <c r="B12" s="298"/>
      <c r="C12" s="298">
        <v>-2</v>
      </c>
      <c r="D12" s="298">
        <v>-2</v>
      </c>
      <c r="E12" s="298"/>
      <c r="F12" s="283"/>
      <c r="G12" s="283">
        <v>-1</v>
      </c>
      <c r="H12" s="283"/>
      <c r="I12" t="s">
        <v>314</v>
      </c>
      <c r="J12" t="s">
        <v>315</v>
      </c>
    </row>
    <row r="13" spans="1:10">
      <c r="A13" s="99" t="s">
        <v>316</v>
      </c>
      <c r="B13" s="298"/>
      <c r="C13" s="298">
        <v>28</v>
      </c>
      <c r="D13" s="298">
        <v>27</v>
      </c>
      <c r="E13" s="298"/>
      <c r="F13" s="283"/>
      <c r="G13" s="283"/>
      <c r="H13" s="283"/>
      <c r="I13" s="124" t="s">
        <v>317</v>
      </c>
      <c r="J13" t="s">
        <v>318</v>
      </c>
    </row>
    <row r="14" spans="1:10">
      <c r="A14" s="99" t="s">
        <v>319</v>
      </c>
      <c r="B14" s="298"/>
      <c r="C14" s="298">
        <v>-26</v>
      </c>
      <c r="D14" s="298">
        <v>-25</v>
      </c>
      <c r="E14" s="298"/>
      <c r="F14" s="283"/>
      <c r="G14" s="283">
        <v>-8</v>
      </c>
      <c r="H14" s="283">
        <v>-127</v>
      </c>
      <c r="I14" s="124" t="s">
        <v>320</v>
      </c>
      <c r="J14" t="s">
        <v>321</v>
      </c>
    </row>
    <row r="15" spans="1:10">
      <c r="A15" s="99" t="s">
        <v>322</v>
      </c>
      <c r="B15" s="298">
        <v>-62</v>
      </c>
      <c r="C15" s="298">
        <v>-65</v>
      </c>
      <c r="D15" s="298">
        <v>-33</v>
      </c>
      <c r="E15" s="298">
        <v>-1631</v>
      </c>
      <c r="F15" s="283">
        <v>-97</v>
      </c>
      <c r="G15" s="283">
        <v>-158</v>
      </c>
      <c r="H15" s="283">
        <v>-1571</v>
      </c>
      <c r="I15" s="124" t="s">
        <v>323</v>
      </c>
      <c r="J15" t="s">
        <v>324</v>
      </c>
    </row>
    <row r="16" spans="1:10" s="217" customFormat="1">
      <c r="A16" s="215" t="s">
        <v>325</v>
      </c>
      <c r="B16" s="299">
        <v>-893</v>
      </c>
      <c r="C16" s="299">
        <v>-666</v>
      </c>
      <c r="D16" s="299">
        <v>-640</v>
      </c>
      <c r="E16" s="299">
        <v>-1513</v>
      </c>
      <c r="F16" s="284">
        <v>-1303</v>
      </c>
      <c r="G16" s="284">
        <v>-552</v>
      </c>
      <c r="H16" s="284"/>
      <c r="J16" s="217" t="s">
        <v>326</v>
      </c>
    </row>
    <row r="17" spans="1:10">
      <c r="A17" s="99" t="s">
        <v>327</v>
      </c>
      <c r="B17" s="298">
        <v>3</v>
      </c>
      <c r="C17" s="298">
        <v>3</v>
      </c>
      <c r="D17" s="298">
        <v>3</v>
      </c>
      <c r="E17" s="298">
        <v>14</v>
      </c>
      <c r="F17" s="283">
        <v>7</v>
      </c>
      <c r="G17" s="283">
        <v>17</v>
      </c>
      <c r="H17" s="283"/>
      <c r="I17" s="124" t="s">
        <v>328</v>
      </c>
    </row>
    <row r="18" spans="1:10">
      <c r="A18" s="99" t="s">
        <v>329</v>
      </c>
      <c r="B18" s="298">
        <v>-183</v>
      </c>
      <c r="C18" s="298">
        <v>-283</v>
      </c>
      <c r="D18" s="298">
        <v>-10</v>
      </c>
      <c r="E18" s="298">
        <v>-6</v>
      </c>
      <c r="F18" s="283">
        <v>-272</v>
      </c>
      <c r="G18" s="283">
        <v>-368</v>
      </c>
      <c r="H18" s="283">
        <v>-432</v>
      </c>
      <c r="I18" s="124" t="s">
        <v>330</v>
      </c>
      <c r="J18" t="s">
        <v>331</v>
      </c>
    </row>
    <row r="19" spans="1:10">
      <c r="A19" s="99" t="s">
        <v>332</v>
      </c>
      <c r="B19" s="298">
        <v>-1190</v>
      </c>
      <c r="C19" s="298">
        <v>-3</v>
      </c>
      <c r="D19" s="298">
        <v>-3</v>
      </c>
      <c r="E19" s="298">
        <v>-8</v>
      </c>
      <c r="F19" s="283">
        <v>-7</v>
      </c>
      <c r="G19" s="283"/>
      <c r="H19" s="283"/>
      <c r="I19" s="124"/>
    </row>
    <row r="20" spans="1:10">
      <c r="A20" s="99" t="s">
        <v>333</v>
      </c>
      <c r="B20" s="298">
        <v>2367</v>
      </c>
      <c r="C20" s="298">
        <v>841</v>
      </c>
      <c r="D20" s="298">
        <v>978</v>
      </c>
      <c r="E20" s="298">
        <v>3149</v>
      </c>
      <c r="F20" s="283">
        <v>793</v>
      </c>
      <c r="G20" s="283">
        <v>2190</v>
      </c>
      <c r="H20" s="283">
        <v>1156</v>
      </c>
      <c r="I20" s="124" t="s">
        <v>334</v>
      </c>
      <c r="J20" t="s">
        <v>335</v>
      </c>
    </row>
    <row r="21" spans="1:10">
      <c r="A21" s="99" t="s">
        <v>336</v>
      </c>
      <c r="B21" s="298">
        <v>104</v>
      </c>
      <c r="C21" s="298">
        <v>-108</v>
      </c>
      <c r="D21" s="298">
        <v>328</v>
      </c>
      <c r="E21" s="298">
        <v>1636</v>
      </c>
      <c r="F21" s="283">
        <v>-782</v>
      </c>
      <c r="G21" s="283">
        <v>183</v>
      </c>
      <c r="H21" s="283">
        <v>1156</v>
      </c>
      <c r="I21" s="124" t="s">
        <v>337</v>
      </c>
      <c r="J21" t="s">
        <v>338</v>
      </c>
    </row>
    <row r="22" spans="1:10">
      <c r="A22" s="99" t="s">
        <v>339</v>
      </c>
      <c r="B22" s="298"/>
      <c r="C22" s="298"/>
      <c r="D22" s="298"/>
      <c r="E22" s="298">
        <v>-4</v>
      </c>
      <c r="F22" s="283">
        <v>-8</v>
      </c>
      <c r="G22" s="283">
        <v>-7</v>
      </c>
      <c r="H22" s="283">
        <v>-13</v>
      </c>
      <c r="I22" s="124"/>
    </row>
    <row r="23" spans="1:10">
      <c r="A23" s="99" t="s">
        <v>340</v>
      </c>
      <c r="B23" s="298">
        <v>-117</v>
      </c>
      <c r="C23" s="298">
        <v>-28</v>
      </c>
      <c r="D23" s="298">
        <v>374</v>
      </c>
      <c r="E23" s="298">
        <v>169</v>
      </c>
      <c r="F23" s="283">
        <v>-140</v>
      </c>
      <c r="G23" s="283">
        <v>330</v>
      </c>
      <c r="H23" s="283">
        <v>-119</v>
      </c>
      <c r="I23" s="124" t="s">
        <v>341</v>
      </c>
      <c r="J23" t="s">
        <v>342</v>
      </c>
    </row>
    <row r="24" spans="1:10" s="217" customFormat="1">
      <c r="A24" s="215" t="s">
        <v>180</v>
      </c>
      <c r="B24" s="299"/>
      <c r="C24" s="299"/>
      <c r="D24" s="299"/>
      <c r="E24" s="299"/>
      <c r="F24" s="284"/>
      <c r="G24" s="284"/>
      <c r="H24" s="284"/>
      <c r="I24" s="277"/>
    </row>
    <row r="25" spans="1:10">
      <c r="A25" s="99" t="s">
        <v>343</v>
      </c>
      <c r="B25" s="298">
        <v>-222</v>
      </c>
      <c r="C25" s="298">
        <v>82</v>
      </c>
      <c r="D25" s="298">
        <v>48</v>
      </c>
      <c r="E25" s="298">
        <v>129</v>
      </c>
      <c r="F25" s="283">
        <v>650</v>
      </c>
      <c r="G25" s="283">
        <v>237</v>
      </c>
      <c r="H25" s="283">
        <v>309</v>
      </c>
      <c r="I25" s="124" t="s">
        <v>344</v>
      </c>
      <c r="J25" t="s">
        <v>345</v>
      </c>
    </row>
    <row r="26" spans="1:10">
      <c r="A26" s="99" t="s">
        <v>112</v>
      </c>
      <c r="B26" s="298">
        <v>-1.718</v>
      </c>
      <c r="C26" s="298">
        <v>1.369</v>
      </c>
      <c r="D26" s="298">
        <v>-0.41499999999999998</v>
      </c>
      <c r="E26" s="298">
        <v>1.6879999999999999</v>
      </c>
      <c r="F26" s="283">
        <v>4.0389999999999997</v>
      </c>
      <c r="G26" s="283">
        <v>-0.63500000000000001</v>
      </c>
      <c r="H26" s="283">
        <v>0.30399999999999999</v>
      </c>
      <c r="I26" s="124" t="s">
        <v>346</v>
      </c>
      <c r="J26" t="s">
        <v>347</v>
      </c>
    </row>
    <row r="27" spans="1:10">
      <c r="A27" s="99" t="s">
        <v>348</v>
      </c>
      <c r="B27" s="298">
        <v>-0.111</v>
      </c>
      <c r="C27" s="298">
        <v>4.4999999999999998E-2</v>
      </c>
      <c r="D27" s="298">
        <v>5.3999999999999999E-2</v>
      </c>
      <c r="E27" s="298">
        <v>5.5E-2</v>
      </c>
      <c r="F27" s="283">
        <v>0.16900000000000001</v>
      </c>
      <c r="G27" s="283">
        <v>0.06</v>
      </c>
      <c r="H27" s="283">
        <v>6.2E-2</v>
      </c>
      <c r="I27" s="124" t="s">
        <v>349</v>
      </c>
      <c r="J27" t="s">
        <v>350</v>
      </c>
    </row>
    <row r="28" spans="1:10">
      <c r="A28" s="99" t="s">
        <v>351</v>
      </c>
      <c r="B28" s="298">
        <v>297</v>
      </c>
      <c r="C28" s="298">
        <v>180</v>
      </c>
      <c r="D28" s="298">
        <v>152</v>
      </c>
      <c r="E28" s="298">
        <v>526</v>
      </c>
      <c r="F28" s="283">
        <v>695</v>
      </c>
      <c r="G28" s="283">
        <v>555</v>
      </c>
      <c r="H28" s="283">
        <v>885</v>
      </c>
      <c r="I28" s="124" t="s">
        <v>352</v>
      </c>
      <c r="J28" t="s">
        <v>201</v>
      </c>
    </row>
    <row r="29" spans="1:10">
      <c r="A29" s="99" t="s">
        <v>353</v>
      </c>
      <c r="B29" s="298">
        <v>180</v>
      </c>
      <c r="C29" s="298">
        <v>152</v>
      </c>
      <c r="D29" s="298">
        <v>526</v>
      </c>
      <c r="E29" s="298">
        <v>695</v>
      </c>
      <c r="F29" s="283">
        <v>555</v>
      </c>
      <c r="G29" s="283">
        <v>885</v>
      </c>
      <c r="H29" s="283">
        <v>766</v>
      </c>
      <c r="I29" s="124" t="s">
        <v>201</v>
      </c>
      <c r="J29" t="s">
        <v>354</v>
      </c>
    </row>
    <row r="30" spans="1:10">
      <c r="A30" s="99"/>
      <c r="B30" s="101"/>
      <c r="C30" s="101"/>
      <c r="D30" s="101"/>
      <c r="E30" s="101"/>
      <c r="F30" s="101"/>
      <c r="G30" s="101"/>
      <c r="H30" s="101"/>
      <c r="I30" s="124"/>
    </row>
    <row r="31" spans="1:10" s="217" customFormat="1">
      <c r="A31" s="215"/>
      <c r="B31" s="216"/>
      <c r="C31" s="216"/>
      <c r="D31" s="216"/>
      <c r="E31" s="216"/>
      <c r="F31" s="216"/>
      <c r="G31" s="216"/>
      <c r="H31" s="216"/>
      <c r="I31" s="277"/>
    </row>
    <row r="32" spans="1:10">
      <c r="A32" s="99"/>
      <c r="B32" s="101"/>
      <c r="C32" s="101"/>
      <c r="D32" s="101"/>
      <c r="E32" s="101"/>
      <c r="F32" s="101"/>
      <c r="G32" s="101"/>
      <c r="H32" s="101"/>
      <c r="I32" s="124"/>
    </row>
    <row r="33" spans="1:9">
      <c r="A33" s="99"/>
      <c r="B33" s="101"/>
      <c r="C33" s="101"/>
      <c r="D33" s="101"/>
      <c r="E33" s="101"/>
      <c r="F33" s="101"/>
      <c r="G33" s="101"/>
      <c r="H33" s="101"/>
      <c r="I33" s="124"/>
    </row>
    <row r="34" spans="1:9">
      <c r="A34" s="99"/>
      <c r="B34" s="101"/>
      <c r="C34" s="101"/>
      <c r="D34" s="101"/>
      <c r="E34" s="101"/>
      <c r="F34" s="101"/>
      <c r="G34" s="101"/>
      <c r="H34" s="101"/>
      <c r="I34" s="124"/>
    </row>
    <row r="35" spans="1:9">
      <c r="A35" s="99"/>
      <c r="B35" s="101"/>
      <c r="C35" s="101"/>
      <c r="D35" s="101"/>
      <c r="E35" s="101"/>
      <c r="F35" s="101"/>
      <c r="G35" s="101"/>
      <c r="H35" s="101"/>
      <c r="I35" s="124"/>
    </row>
    <row r="36" spans="1:9">
      <c r="A36" s="99"/>
      <c r="B36" s="101"/>
      <c r="C36" s="101"/>
      <c r="D36" s="101"/>
      <c r="E36" s="101"/>
      <c r="F36" s="101"/>
      <c r="G36" s="101"/>
      <c r="H36" s="101"/>
    </row>
    <row r="37" spans="1:9">
      <c r="A37" s="99"/>
      <c r="B37" s="101"/>
      <c r="C37" s="101"/>
      <c r="D37" s="101"/>
      <c r="E37" s="101"/>
      <c r="F37" s="101"/>
      <c r="G37" s="101"/>
      <c r="H37" s="101"/>
      <c r="I37" s="124"/>
    </row>
    <row r="38" spans="1:9">
      <c r="A38" s="99"/>
      <c r="B38" s="101"/>
      <c r="C38" s="101"/>
      <c r="D38" s="101"/>
      <c r="E38" s="101"/>
      <c r="F38" s="101"/>
      <c r="G38" s="101"/>
      <c r="H38" s="101"/>
      <c r="I38" s="124"/>
    </row>
    <row r="39" spans="1:9">
      <c r="A39" s="99"/>
      <c r="B39" s="101"/>
      <c r="C39" s="101"/>
      <c r="D39" s="101"/>
      <c r="E39" s="101"/>
      <c r="F39" s="101"/>
      <c r="G39" s="101"/>
      <c r="H39" s="101"/>
      <c r="I39" s="124"/>
    </row>
    <row r="40" spans="1:9">
      <c r="A40" s="99"/>
      <c r="B40" s="101"/>
      <c r="C40" s="101"/>
      <c r="D40" s="101"/>
      <c r="E40" s="101"/>
      <c r="F40" s="101"/>
      <c r="G40" s="101"/>
      <c r="H40" s="101"/>
      <c r="I40" s="124"/>
    </row>
    <row r="41" spans="1:9">
      <c r="A41" s="99"/>
      <c r="B41" s="101"/>
      <c r="C41" s="101"/>
      <c r="D41" s="101"/>
      <c r="E41" s="101"/>
      <c r="F41" s="101"/>
      <c r="G41" s="101"/>
      <c r="H41" s="101"/>
      <c r="I41" s="124"/>
    </row>
    <row r="42" spans="1:9">
      <c r="A42" s="99"/>
      <c r="B42" s="101"/>
      <c r="C42" s="101"/>
      <c r="D42" s="101"/>
      <c r="E42" s="101"/>
      <c r="F42" s="101"/>
      <c r="G42" s="101"/>
      <c r="H42" s="101"/>
      <c r="I42" s="124"/>
    </row>
    <row r="43" spans="1:9">
      <c r="A43" s="99"/>
      <c r="B43" s="101"/>
      <c r="C43" s="101"/>
      <c r="D43" s="101"/>
      <c r="E43" s="101"/>
      <c r="F43" s="101"/>
      <c r="G43" s="101"/>
      <c r="H43" s="101"/>
      <c r="I43" s="124"/>
    </row>
    <row r="44" spans="1:9">
      <c r="A44" s="99"/>
      <c r="B44" s="101"/>
      <c r="C44" s="101"/>
      <c r="D44" s="101"/>
      <c r="E44" s="101"/>
      <c r="F44" s="101"/>
      <c r="G44" s="101"/>
      <c r="H44" s="101"/>
    </row>
    <row r="45" spans="1:9">
      <c r="A45" s="99"/>
      <c r="B45" s="101"/>
      <c r="C45" s="100"/>
      <c r="D45" s="101"/>
      <c r="E45" s="101"/>
      <c r="F45" s="101"/>
      <c r="G45" s="101"/>
      <c r="H45" s="101"/>
      <c r="I45" s="124"/>
    </row>
    <row r="46" spans="1:9">
      <c r="A46" s="99"/>
      <c r="B46" s="101"/>
      <c r="C46" s="101"/>
      <c r="D46" s="101"/>
      <c r="E46" s="101"/>
      <c r="F46" s="101"/>
      <c r="G46" s="101"/>
      <c r="H46" s="101"/>
    </row>
    <row r="47" spans="1:9">
      <c r="A47" s="99"/>
      <c r="B47" s="101"/>
      <c r="C47" s="101"/>
      <c r="D47" s="101"/>
      <c r="E47" s="101"/>
      <c r="F47" s="101"/>
      <c r="G47" s="101"/>
      <c r="H47" s="101"/>
    </row>
    <row r="48" spans="1:9">
      <c r="A48" s="99"/>
      <c r="B48" s="100"/>
      <c r="C48" s="100"/>
      <c r="D48" s="100"/>
      <c r="E48" s="100"/>
      <c r="F48" s="101"/>
      <c r="G48" s="101"/>
      <c r="H48" s="101"/>
    </row>
    <row r="49" spans="1:8">
      <c r="A49" s="99"/>
      <c r="B49" s="101"/>
      <c r="C49" s="101"/>
      <c r="D49" s="101"/>
      <c r="E49" s="101"/>
      <c r="F49" s="101"/>
      <c r="G49" s="101"/>
      <c r="H49" s="101"/>
    </row>
    <row r="50" spans="1:8">
      <c r="A50" s="99"/>
      <c r="B50" s="101"/>
      <c r="C50" s="101"/>
      <c r="D50" s="101"/>
      <c r="E50" s="101"/>
      <c r="F50" s="101"/>
      <c r="G50" s="101"/>
      <c r="H50" s="101"/>
    </row>
    <row r="51" spans="1:8">
      <c r="A51" s="99"/>
      <c r="B51" s="101"/>
      <c r="C51" s="101"/>
      <c r="D51" s="101"/>
      <c r="E51" s="101"/>
      <c r="F51" s="101"/>
      <c r="G51" s="101"/>
      <c r="H51" s="101"/>
    </row>
    <row r="52" spans="1:8">
      <c r="A52" s="99"/>
      <c r="B52" s="100"/>
      <c r="C52" s="100"/>
      <c r="D52" s="100"/>
      <c r="E52" s="100"/>
      <c r="F52" s="100"/>
      <c r="G52" s="100"/>
      <c r="H52" s="100"/>
    </row>
    <row r="53" spans="1:8">
      <c r="A53" s="99"/>
      <c r="B53" s="101"/>
      <c r="C53" s="101"/>
      <c r="D53" s="101"/>
      <c r="E53" s="101"/>
      <c r="F53" s="101"/>
      <c r="G53" s="101"/>
      <c r="H53" s="101"/>
    </row>
    <row r="54" spans="1:8">
      <c r="A54" s="99"/>
      <c r="B54" s="101"/>
      <c r="C54" s="101"/>
      <c r="D54" s="101"/>
      <c r="E54" s="101"/>
      <c r="F54" s="101"/>
      <c r="G54" s="101"/>
      <c r="H54" s="101"/>
    </row>
    <row r="55" spans="1:8">
      <c r="A55" s="99"/>
      <c r="B55" s="101"/>
      <c r="C55" s="101"/>
      <c r="D55" s="101"/>
      <c r="E55" s="101"/>
      <c r="F55" s="101"/>
      <c r="G55" s="101"/>
      <c r="H55" s="101"/>
    </row>
    <row r="56" spans="1:8">
      <c r="A56" s="99"/>
      <c r="B56" s="101"/>
      <c r="C56" s="101"/>
      <c r="D56" s="101"/>
      <c r="E56" s="101"/>
      <c r="F56" s="101"/>
      <c r="G56" s="101"/>
      <c r="H56" s="101"/>
    </row>
    <row r="57" spans="1:8">
      <c r="A57" s="99"/>
      <c r="B57" s="101"/>
      <c r="C57" s="101"/>
      <c r="D57" s="101"/>
      <c r="E57" s="101"/>
      <c r="F57" s="101"/>
      <c r="G57" s="101"/>
      <c r="H57" s="101"/>
    </row>
    <row r="58" spans="1:8">
      <c r="A58" s="99"/>
      <c r="B58" s="101"/>
      <c r="C58" s="101"/>
      <c r="D58" s="101"/>
      <c r="E58" s="101"/>
      <c r="F58" s="101"/>
      <c r="G58" s="101"/>
      <c r="H58" s="101"/>
    </row>
    <row r="59" spans="1:8">
      <c r="A59" s="99"/>
      <c r="B59" s="101"/>
      <c r="C59" s="101"/>
      <c r="D59" s="101"/>
      <c r="E59" s="101"/>
      <c r="F59" s="101"/>
      <c r="G59" s="101"/>
      <c r="H59" s="101"/>
    </row>
    <row r="60" spans="1:8">
      <c r="A60" s="99"/>
      <c r="B60" s="101"/>
      <c r="C60" s="101"/>
      <c r="D60" s="101"/>
      <c r="E60" s="101"/>
      <c r="F60" s="101"/>
      <c r="G60" s="101"/>
      <c r="H60" s="101"/>
    </row>
    <row r="61" spans="1:8">
      <c r="A61" s="99"/>
      <c r="B61" s="100"/>
      <c r="C61" s="100"/>
      <c r="D61" s="100"/>
      <c r="E61" s="100"/>
      <c r="F61" s="100"/>
      <c r="G61" s="100"/>
      <c r="H61" s="100"/>
    </row>
    <row r="62" spans="1:8">
      <c r="A62" s="99"/>
      <c r="B62" s="101"/>
      <c r="C62" s="101"/>
      <c r="D62" s="101"/>
      <c r="E62" s="101"/>
      <c r="F62" s="101"/>
      <c r="G62" s="101"/>
      <c r="H62" s="101"/>
    </row>
    <row r="63" spans="1:8">
      <c r="A63" s="99"/>
      <c r="B63" s="101"/>
      <c r="C63" s="101"/>
      <c r="D63" s="101"/>
      <c r="E63" s="101"/>
      <c r="F63" s="101"/>
      <c r="G63" s="101"/>
      <c r="H63" s="101"/>
    </row>
    <row r="64" spans="1:8">
      <c r="A64" s="99"/>
      <c r="B64" s="100"/>
      <c r="C64" s="100"/>
      <c r="D64" s="100"/>
      <c r="E64" s="100"/>
      <c r="F64" s="101"/>
      <c r="G64" s="101"/>
      <c r="H64" s="101"/>
    </row>
    <row r="65" spans="1:8">
      <c r="A65" s="99"/>
      <c r="B65" s="101"/>
      <c r="C65" s="101"/>
      <c r="D65" s="101"/>
      <c r="E65" s="101"/>
      <c r="F65" s="101"/>
      <c r="G65" s="101"/>
      <c r="H65" s="101"/>
    </row>
    <row r="66" spans="1:8">
      <c r="A66" s="99"/>
      <c r="B66" s="100"/>
      <c r="C66" s="100"/>
      <c r="D66" s="100"/>
      <c r="E66" s="100"/>
      <c r="F66" s="100"/>
      <c r="G66" s="100"/>
      <c r="H66" s="100"/>
    </row>
    <row r="67" spans="1:8">
      <c r="A67" s="99"/>
      <c r="B67" s="100"/>
      <c r="C67" s="100"/>
      <c r="D67" s="100"/>
      <c r="E67" s="100"/>
      <c r="F67" s="100"/>
      <c r="G67" s="100"/>
      <c r="H67" s="100"/>
    </row>
    <row r="68" spans="1:8">
      <c r="A68" s="99"/>
      <c r="B68" s="100"/>
      <c r="C68" s="100"/>
      <c r="D68" s="100"/>
      <c r="E68" s="100"/>
      <c r="F68" s="101"/>
      <c r="G68" s="101"/>
      <c r="H68" s="101"/>
    </row>
    <row r="69" spans="1:8">
      <c r="A69" s="99"/>
      <c r="B69" s="100"/>
      <c r="C69" s="100"/>
      <c r="D69" s="100"/>
      <c r="E69" s="100"/>
      <c r="F69" s="101"/>
      <c r="G69" s="101"/>
      <c r="H69" s="101"/>
    </row>
    <row r="70" spans="1:8">
      <c r="A70" s="99"/>
      <c r="B70" s="101"/>
      <c r="C70" s="101"/>
      <c r="D70" s="101"/>
      <c r="E70" s="101"/>
      <c r="F70" s="101"/>
      <c r="G70" s="101"/>
      <c r="H70" s="101"/>
    </row>
    <row r="71" spans="1:8">
      <c r="A71" s="99"/>
      <c r="B71" s="100"/>
      <c r="C71" s="100"/>
      <c r="D71" s="100"/>
      <c r="E71" s="100"/>
      <c r="F71" s="100"/>
      <c r="G71" s="100"/>
      <c r="H71" s="100"/>
    </row>
    <row r="72" spans="1:8">
      <c r="A72" s="99"/>
      <c r="B72" s="100"/>
      <c r="C72" s="100"/>
      <c r="D72" s="100"/>
      <c r="E72" s="100"/>
      <c r="F72" s="100"/>
      <c r="G72" s="100"/>
      <c r="H72" s="100"/>
    </row>
    <row r="73" spans="1:8">
      <c r="A73" s="99"/>
      <c r="B73" s="100"/>
      <c r="C73" s="100"/>
      <c r="D73" s="100"/>
      <c r="E73" s="100"/>
      <c r="F73" s="100"/>
      <c r="G73" s="100"/>
      <c r="H73" s="100"/>
    </row>
    <row r="74" spans="1:8">
      <c r="A74" s="99"/>
      <c r="B74" s="100"/>
      <c r="C74" s="100"/>
      <c r="D74" s="100"/>
      <c r="E74" s="100"/>
      <c r="F74" s="100"/>
      <c r="G74" s="100"/>
      <c r="H74" s="100"/>
    </row>
    <row r="75" spans="1:8">
      <c r="A75" s="99"/>
      <c r="B75" s="100"/>
      <c r="C75" s="100"/>
      <c r="D75" s="100"/>
      <c r="E75" s="100"/>
      <c r="F75" s="100"/>
      <c r="G75" s="100"/>
      <c r="H75" s="100"/>
    </row>
    <row r="76" spans="1:8">
      <c r="A76" s="99"/>
      <c r="B76" s="100"/>
      <c r="C76" s="100"/>
      <c r="D76" s="100"/>
      <c r="E76" s="100"/>
      <c r="F76" s="100"/>
      <c r="G76" s="100"/>
      <c r="H76" s="100"/>
    </row>
    <row r="77" spans="1:8">
      <c r="A77" s="99"/>
      <c r="B77" s="100"/>
      <c r="C77" s="100"/>
      <c r="D77" s="100"/>
      <c r="E77" s="100"/>
      <c r="F77" s="100"/>
      <c r="G77" s="100"/>
      <c r="H77" s="100"/>
    </row>
    <row r="78" spans="1:8">
      <c r="A78" s="99"/>
      <c r="B78" s="100"/>
      <c r="C78" s="100"/>
      <c r="D78" s="100"/>
      <c r="E78" s="100"/>
      <c r="F78" s="100"/>
      <c r="G78" s="100"/>
      <c r="H78" s="100"/>
    </row>
    <row r="79" spans="1:8">
      <c r="A79" s="99"/>
      <c r="B79" s="100"/>
      <c r="C79" s="100"/>
      <c r="D79" s="100"/>
      <c r="E79" s="100"/>
      <c r="F79" s="100"/>
      <c r="G79" s="100"/>
      <c r="H79" s="100"/>
    </row>
    <row r="80" spans="1:8">
      <c r="A80" s="99"/>
      <c r="B80" s="100"/>
      <c r="C80" s="100"/>
      <c r="D80" s="100"/>
      <c r="E80" s="100"/>
      <c r="F80" s="100"/>
      <c r="G80" s="100"/>
      <c r="H80" s="100"/>
    </row>
    <row r="81" spans="1:8">
      <c r="A81" s="99"/>
      <c r="B81" s="100"/>
      <c r="C81" s="100"/>
      <c r="D81" s="100"/>
      <c r="E81" s="100"/>
      <c r="F81" s="100"/>
      <c r="G81" s="100"/>
      <c r="H81" s="100"/>
    </row>
    <row r="82" spans="1:8">
      <c r="A82" s="99"/>
      <c r="B82" s="100"/>
      <c r="C82" s="100"/>
      <c r="D82" s="100"/>
      <c r="E82" s="100"/>
      <c r="F82" s="100"/>
      <c r="G82" s="100"/>
      <c r="H82" s="100"/>
    </row>
    <row r="83" spans="1:8">
      <c r="A83" s="99"/>
      <c r="B83" s="100"/>
      <c r="C83" s="100"/>
      <c r="D83" s="100"/>
      <c r="E83" s="100"/>
      <c r="F83" s="100"/>
      <c r="G83" s="100"/>
      <c r="H83" s="100"/>
    </row>
    <row r="84" spans="1:8">
      <c r="A84" s="99"/>
      <c r="B84" s="100"/>
      <c r="C84" s="100"/>
      <c r="D84" s="100"/>
      <c r="E84" s="100"/>
      <c r="F84" s="100"/>
      <c r="G84" s="100"/>
      <c r="H84" s="100"/>
    </row>
    <row r="85" spans="1:8">
      <c r="A85" s="99"/>
      <c r="B85" s="100"/>
      <c r="C85" s="100"/>
      <c r="D85" s="100"/>
      <c r="E85" s="100"/>
      <c r="F85" s="100"/>
      <c r="G85" s="100"/>
      <c r="H85" s="100"/>
    </row>
    <row r="86" spans="1:8">
      <c r="A86" s="99"/>
      <c r="B86" s="100"/>
      <c r="C86" s="100"/>
      <c r="D86" s="100"/>
      <c r="E86" s="100"/>
      <c r="F86" s="100"/>
      <c r="G86" s="100"/>
      <c r="H86" s="100"/>
    </row>
    <row r="87" spans="1:8">
      <c r="A87" s="99"/>
      <c r="B87" s="100"/>
      <c r="C87" s="100"/>
      <c r="D87" s="100"/>
      <c r="E87" s="100"/>
      <c r="F87" s="100"/>
      <c r="G87" s="100"/>
      <c r="H87" s="100"/>
    </row>
    <row r="88" spans="1:8">
      <c r="A88" s="99"/>
      <c r="B88" s="100"/>
      <c r="C88" s="100"/>
      <c r="D88" s="100"/>
      <c r="E88" s="100"/>
      <c r="F88" s="100"/>
      <c r="G88" s="100"/>
      <c r="H88" s="100"/>
    </row>
    <row r="89" spans="1:8">
      <c r="A89" s="99"/>
      <c r="B89" s="100"/>
      <c r="C89" s="100"/>
      <c r="D89" s="100"/>
      <c r="E89" s="100"/>
      <c r="F89" s="100"/>
      <c r="G89" s="100"/>
      <c r="H89" s="100"/>
    </row>
    <row r="90" spans="1:8">
      <c r="A90" s="99"/>
      <c r="B90" s="100"/>
      <c r="C90" s="100"/>
      <c r="D90" s="100"/>
      <c r="E90" s="100"/>
      <c r="F90" s="100"/>
      <c r="G90" s="100"/>
      <c r="H90" s="100"/>
    </row>
    <row r="91" spans="1:8">
      <c r="A91" s="99"/>
      <c r="B91" s="100"/>
      <c r="C91" s="100"/>
      <c r="D91" s="100"/>
      <c r="E91" s="100"/>
      <c r="F91" s="100"/>
      <c r="G91" s="100"/>
      <c r="H91" s="100"/>
    </row>
    <row r="92" spans="1:8">
      <c r="A92" s="99"/>
      <c r="B92" s="100"/>
      <c r="C92" s="100"/>
      <c r="D92" s="100"/>
      <c r="E92" s="100"/>
      <c r="F92" s="100"/>
      <c r="G92" s="100"/>
      <c r="H92" s="100"/>
    </row>
    <row r="93" spans="1:8">
      <c r="A93" s="99"/>
      <c r="B93" s="100"/>
      <c r="C93" s="100"/>
      <c r="D93" s="100"/>
      <c r="E93" s="100"/>
      <c r="F93" s="100"/>
      <c r="G93" s="100"/>
      <c r="H93" s="100"/>
    </row>
    <row r="94" spans="1:8">
      <c r="A94" s="99"/>
      <c r="B94" s="100"/>
      <c r="C94" s="100"/>
      <c r="D94" s="100"/>
      <c r="E94" s="100"/>
      <c r="F94" s="100"/>
      <c r="G94" s="100"/>
      <c r="H94" s="100"/>
    </row>
    <row r="95" spans="1:8">
      <c r="A95" s="99"/>
      <c r="B95" s="100"/>
      <c r="C95" s="100"/>
      <c r="D95" s="100"/>
      <c r="E95" s="100"/>
      <c r="F95" s="100"/>
      <c r="G95" s="100"/>
      <c r="H95" s="100"/>
    </row>
    <row r="96" spans="1:8">
      <c r="A96" s="99"/>
      <c r="B96" s="100"/>
      <c r="C96" s="100"/>
      <c r="D96" s="100"/>
      <c r="E96" s="100"/>
      <c r="F96" s="100"/>
      <c r="G96" s="100"/>
      <c r="H96" s="100"/>
    </row>
    <row r="97" spans="1:8">
      <c r="A97" s="99"/>
      <c r="B97" s="100"/>
      <c r="C97" s="100"/>
      <c r="D97" s="100"/>
      <c r="E97" s="100"/>
      <c r="F97" s="100"/>
      <c r="G97" s="100"/>
      <c r="H97" s="100"/>
    </row>
    <row r="98" spans="1:8">
      <c r="A98" s="99"/>
      <c r="B98" s="100"/>
      <c r="C98" s="100"/>
      <c r="D98" s="100"/>
      <c r="E98" s="100"/>
      <c r="F98" s="100"/>
      <c r="G98" s="100"/>
      <c r="H98" s="100"/>
    </row>
    <row r="99" spans="1:8">
      <c r="A99" s="99"/>
      <c r="B99" s="100"/>
      <c r="C99" s="100"/>
      <c r="D99" s="100"/>
      <c r="E99" s="100"/>
      <c r="F99" s="100"/>
      <c r="G99" s="100"/>
      <c r="H99" s="100"/>
    </row>
    <row r="200" s="96" customFormat="1"/>
    <row r="201" s="96" customFormat="1"/>
    <row r="202" s="96" customFormat="1"/>
    <row r="203" s="96" customFormat="1"/>
  </sheetData>
  <sheetProtection formatCells="0" formatColumns="0" formatRows="0"/>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Astartes RA</cp:lastModifiedBy>
  <cp:revision/>
  <dcterms:created xsi:type="dcterms:W3CDTF">2006-09-16T00:00:00Z</dcterms:created>
  <dcterms:modified xsi:type="dcterms:W3CDTF">2025-03-06T05:00:30Z</dcterms:modified>
  <cp:category/>
  <cp:contentStatus/>
</cp:coreProperties>
</file>