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4E764C54-1362-43CE-9F56-F33E53D1DFD4}" xr6:coauthVersionLast="47" xr6:coauthVersionMax="47" xr10:uidLastSave="{00000000-0000-0000-0000-000000000000}"/>
  <bookViews>
    <workbookView xWindow="28680" yWindow="-90" windowWidth="29040" windowHeight="16440" firstSheet="4" xr2:uid="{00000000-000D-0000-FFFF-FFFF00000000}"/>
  </bookViews>
  <sheets>
    <sheet name="1.IS" sheetId="1" r:id="rId1"/>
    <sheet name="2.FCF" sheetId="2" r:id="rId2"/>
    <sheet name="3.ROIC" sheetId="3" r:id="rId3"/>
    <sheet name="4.Valoración" sheetId="5" r:id="rId4"/>
    <sheet name="6.TIKR_IS" sheetId="8" r:id="rId5"/>
    <sheet name="7.TIKR_BS" sheetId="10" r:id="rId6"/>
    <sheet name="8.TIKR_CF" sheetId="11" r:id="rId7"/>
    <sheet name="TIKR_Cálculos" sheetId="12" state="hidden" r:id="rId8"/>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2" l="1"/>
  <c r="D29" i="2"/>
  <c r="E29" i="2"/>
  <c r="F29" i="2"/>
  <c r="G29" i="2"/>
  <c r="H29" i="2"/>
  <c r="B29" i="2"/>
  <c r="C32" i="12"/>
  <c r="D32" i="12"/>
  <c r="E32" i="12"/>
  <c r="F32" i="12"/>
  <c r="G32" i="12"/>
  <c r="H32" i="12"/>
  <c r="B32" i="12"/>
  <c r="C31" i="12"/>
  <c r="D31" i="12"/>
  <c r="E31" i="12"/>
  <c r="F31" i="12"/>
  <c r="G31" i="12"/>
  <c r="H31" i="12"/>
  <c r="B31" i="12"/>
  <c r="C30" i="12"/>
  <c r="D30" i="12"/>
  <c r="E30" i="12"/>
  <c r="F30" i="12"/>
  <c r="G30" i="12"/>
  <c r="H30" i="12"/>
  <c r="B30" i="1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53" i="12"/>
  <c r="G13" i="2"/>
  <c r="G53" i="12"/>
  <c r="D13" i="2"/>
  <c r="C13" i="2"/>
  <c r="H13" i="2"/>
  <c r="E13" i="2"/>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<sst xmlns="http://schemas.openxmlformats.org/spreadsheetml/2006/main" count="438" uniqueCount="377">
  <si>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</si>
  <si>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</si>
  <si>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</si>
  <si>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</si>
  <si>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</si>
  <si>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</si>
  <si>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</si>
  <si>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</si>
  <si>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</si>
  <si>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</si>
  <si>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</si>
  <si>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</si>
  <si>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</si>
  <si>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</si>
  <si>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</si>
  <si>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</si>
  <si>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</si>
  <si>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</si>
  <si>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</si>
  <si>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</si>
  <si>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</si>
  <si>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</si>
  <si>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</si>
  <si>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</si>
  <si>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</si>
  <si>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</si>
  <si>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</si>
  <si>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</si>
  <si>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</si>
  <si>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</si>
  <si>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</si>
  <si>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</si>
  <si>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</si>
  <si>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</si>
  <si>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</si>
  <si>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</si>
  <si>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</si>
  <si>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</si>
  <si>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</si>
  <si>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</si>
  <si>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</si>
  <si>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</si>
  <si>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</si>
  <si>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</si>
  <si>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</si>
  <si>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</si>
  <si>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</si>
  <si>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</si>
  <si>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</si>
  <si>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</si>
  <si>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</si>
  <si>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</si>
  <si>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</si>
  <si>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</si>
  <si>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</si>
  <si>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</si>
  <si>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</si>
  <si>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</si>
  <si>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</si>
  <si>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</si>
  <si>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</si>
  <si>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</si>
  <si>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</si>
  <si>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</si>
  <si>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</si>
  <si>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</si>
  <si>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</si>
  <si>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</si>
  <si>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</si>
  <si>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</si>
  <si>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</si>
  <si>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</si>
  <si>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</si>
  <si>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</si>
  <si>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</si>
  <si>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</si>
  <si>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</si>
  <si>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</si>
  <si>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</si>
  <si>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</si>
  <si>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</si>
  <si>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</si>
  <si>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</si>
  <si>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</si>
  <si>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</si>
  <si>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</si>
  <si>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</si>
  <si>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</si>
  <si>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</si>
  <si>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</si>
  <si>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</si>
  <si>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</si>
  <si>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</si>
  <si>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</si>
  <si>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</si>
  <si>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</si>
  <si>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</si>
  <si>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</si>
  <si>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</si>
  <si>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</si>
  <si>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</si>
  <si>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</si>
  <si>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</si>
  <si>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</si>
  <si>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</si>
  <si>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</si>
  <si>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</si>
  <si>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</si>
  <si>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</si>
  <si>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</si>
  <si>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</si>
  <si>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</si>
  <si>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</si>
  <si>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</si>
  <si>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Research And Development Expenses</t>
  </si>
  <si>
    <t>(5,872.00)</t>
  </si>
  <si>
    <t>(6,456.00)</t>
  </si>
  <si>
    <t>Other Expenses</t>
  </si>
  <si>
    <t>8.00</t>
  </si>
  <si>
    <t>(1,586.00)</t>
  </si>
  <si>
    <t>Operating Expenses</t>
  </si>
  <si>
    <t>(10,059.00)</t>
  </si>
  <si>
    <t>(10,825.00)</t>
  </si>
  <si>
    <t>Operating Income</t>
  </si>
  <si>
    <t>401.00</t>
  </si>
  <si>
    <t>1,900.00</t>
  </si>
  <si>
    <t>(68.3%)</t>
  </si>
  <si>
    <t>373.8%</t>
  </si>
  <si>
    <t xml:space="preserve">   % Operating Margins</t>
  </si>
  <si>
    <t>1.8%</t>
  </si>
  <si>
    <t>7.4%</t>
  </si>
  <si>
    <t>Interest Expense</t>
  </si>
  <si>
    <t>(106.00)</t>
  </si>
  <si>
    <t>(92.00)</t>
  </si>
  <si>
    <t>Total Other Income/Expenses Net</t>
  </si>
  <si>
    <t>(9.00)</t>
  </si>
  <si>
    <t>89.00</t>
  </si>
  <si>
    <t>Earnings Before Tax</t>
  </si>
  <si>
    <t>492.00</t>
  </si>
  <si>
    <t>1,989.00</t>
  </si>
  <si>
    <t>(58.4%)</t>
  </si>
  <si>
    <t>304.3%</t>
  </si>
  <si>
    <t xml:space="preserve">   % EBT Margins</t>
  </si>
  <si>
    <t>2.2%</t>
  </si>
  <si>
    <t>7.7%</t>
  </si>
  <si>
    <t>Income Tax Expense</t>
  </si>
  <si>
    <t>346.00</t>
  </si>
  <si>
    <t>(381.00)</t>
  </si>
  <si>
    <t xml:space="preserve">   Effective Tax Rate %</t>
  </si>
  <si>
    <t>(70.3%)</t>
  </si>
  <si>
    <t>19.2%</t>
  </si>
  <si>
    <t>854.00</t>
  </si>
  <si>
    <t>1,641.00</t>
  </si>
  <si>
    <t>(35.3%)</t>
  </si>
  <si>
    <t>92.2%</t>
  </si>
  <si>
    <t xml:space="preserve">   % Net Income Margins</t>
  </si>
  <si>
    <t>3.8%</t>
  </si>
  <si>
    <t>6.4%</t>
  </si>
  <si>
    <t>Diluted Weighted Average Shares Outstanding</t>
  </si>
  <si>
    <t>1,625.00</t>
  </si>
  <si>
    <t>1,637.00</t>
  </si>
  <si>
    <t>3.4%</t>
  </si>
  <si>
    <t>0.7%</t>
  </si>
  <si>
    <t>EPS Diluted</t>
  </si>
  <si>
    <t>0.53</t>
  </si>
  <si>
    <t>1.00</t>
  </si>
  <si>
    <t>(36.9%)</t>
  </si>
  <si>
    <t>88.7%</t>
  </si>
  <si>
    <t>Supplementary Data:</t>
  </si>
  <si>
    <t>Basic EPS</t>
  </si>
  <si>
    <t>(37.6%)</t>
  </si>
  <si>
    <t>90.6%</t>
  </si>
  <si>
    <t>Basic Weighted Average Shares Out.</t>
  </si>
  <si>
    <t>1,614.00</t>
  </si>
  <si>
    <t>1,620.00</t>
  </si>
  <si>
    <t>0.4%</t>
  </si>
  <si>
    <t>4,149.00</t>
  </si>
  <si>
    <t>23.0%</t>
  </si>
  <si>
    <t>(54.2%)</t>
  </si>
  <si>
    <t xml:space="preserve">   % EBITDA Margins</t>
  </si>
  <si>
    <t>18.3%</t>
  </si>
  <si>
    <t>Depreciation and Amortization</t>
  </si>
  <si>
    <t>3,551.00</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</si>
  <si>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</si>
  <si>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</si>
  <si>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</si>
  <si>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</si>
  <si>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</si>
  <si>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</si>
  <si>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</si>
  <si>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</si>
  <si>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</si>
  <si>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</si>
  <si>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</si>
  <si>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</si>
  <si>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</si>
  <si>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</si>
  <si>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</si>
  <si>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</si>
  <si>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</si>
  <si>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</si>
  <si>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</si>
  <si>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</si>
  <si>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</si>
  <si>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</si>
  <si>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</si>
  <si>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</si>
  <si>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</si>
  <si>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</si>
  <si>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</si>
  <si>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</si>
  <si>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</si>
  <si>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</si>
  <si>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</si>
  <si>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</si>
  <si>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</si>
  <si>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</si>
  <si>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</si>
  <si>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</si>
  <si>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</si>
  <si>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</si>
  <si>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</si>
  <si>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</si>
  <si>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</si>
  <si>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</si>
  <si>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</si>
  <si>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Other Assets</t>
  </si>
  <si>
    <t>67,885.00</t>
  </si>
  <si>
    <t>69,226.00</t>
  </si>
  <si>
    <t>Total Assets</t>
  </si>
  <si>
    <t>751.00</t>
  </si>
  <si>
    <t>Short Term Debt</t>
  </si>
  <si>
    <t>Tax Payables</t>
  </si>
  <si>
    <t>544.00</t>
  </si>
  <si>
    <t>Deferred Revenue</t>
  </si>
  <si>
    <t>3,339.00</t>
  </si>
  <si>
    <t>5,291.00</t>
  </si>
  <si>
    <t>Other Current Liabilities</t>
  </si>
  <si>
    <t>6,689.00</t>
  </si>
  <si>
    <t>7,281.00</t>
  </si>
  <si>
    <t>Total Current Liabilities</t>
  </si>
  <si>
    <t>2,252.00</t>
  </si>
  <si>
    <t>491.00</t>
  </si>
  <si>
    <t>Long Term Debt</t>
  </si>
  <si>
    <t>Deferred Revenue Non Current</t>
  </si>
  <si>
    <t>1,850.00</t>
  </si>
  <si>
    <t>3,537.00</t>
  </si>
  <si>
    <t>Other Non Current Liabilities</t>
  </si>
  <si>
    <t>5,304.00</t>
  </si>
  <si>
    <t>4,377.00</t>
  </si>
  <si>
    <t>Total Non Current Liabilities</t>
  </si>
  <si>
    <t>11,993.00</t>
  </si>
  <si>
    <t>11,658.00</t>
  </si>
  <si>
    <t>Other Liabilities</t>
  </si>
  <si>
    <t>Total Liabilities</t>
  </si>
  <si>
    <t>17.00</t>
  </si>
  <si>
    <t>Preferred Stock</t>
  </si>
  <si>
    <t>723.00</t>
  </si>
  <si>
    <t>2,364.00</t>
  </si>
  <si>
    <t>Common Stock</t>
  </si>
  <si>
    <t>(10.00)</t>
  </si>
  <si>
    <t>(69.00)</t>
  </si>
  <si>
    <t>Retained Earnings</t>
  </si>
  <si>
    <t>55,162.00</t>
  </si>
  <si>
    <t>55,256.00</t>
  </si>
  <si>
    <t>Accumulated Other Comprehensive Income Loss</t>
  </si>
  <si>
    <t>55,892.00</t>
  </si>
  <si>
    <t>57,568.00</t>
  </si>
  <si>
    <t>Other Total Stockholders Equity</t>
  </si>
  <si>
    <t>Total Stockholders Equity</t>
  </si>
  <si>
    <t>Total Liabilities And Stockholders Equity</t>
  </si>
  <si>
    <t>3,003.00</t>
  </si>
  <si>
    <t>(930.00)</t>
  </si>
  <si>
    <t>(3,296.00)</t>
  </si>
  <si>
    <t>Total Debt</t>
  </si>
  <si>
    <t>Net Debt</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</si>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</sst>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6" formatCode="#,##0.0"/>
    <numFmt numFmtId="167" formatCode="#,##0;[Red]\(#,##0\)"/>
    <numFmt numFmtId="168" formatCode="#,##0.00;[Red]\(#,##0.00\)"/>
    <numFmt numFmtId="169" formatCode="0.0%"/>
    <numFmt numFmtId="170" formatCode="#,##0.0;\(#,##0.0\)"/>
    <numFmt numFmtId="171" formatCode="#,##0;\(#,##0\)"/>
    <numFmt numFmtId="172" formatCode="0.00_);\(0.00\)"/>
  </numFmts>
  <fonts count="22">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8">
    <border>
      <left/>
      <right/>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67">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1"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3"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4"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7" xfId="1" applyFont="1" applyFill="1" applyBorder="1" applyAlignment="1">
      <alignment horizontal="center" vertical="center"/>
    </xf>
    <xf numFmtId="0" fontId="8" fillId="4" borderId="10" xfId="0" applyFont="1" applyFill="1" applyBorder="1" applyAlignment="1">
      <alignment horizontal="left" vertical="center" indent="1"/>
    </xf>
    <xf numFmtId="0" fontId="8" fillId="4" borderId="11" xfId="0" applyFont="1" applyFill="1" applyBorder="1" applyAlignment="1">
      <alignment horizontal="center" vertical="center"/>
    </xf>
    <xf numFmtId="0" fontId="8" fillId="5" borderId="11" xfId="0" applyFont="1" applyFill="1" applyBorder="1" applyAlignment="1">
      <alignment horizontal="center" vertical="center"/>
    </xf>
    <xf numFmtId="0" fontId="10" fillId="0" borderId="6" xfId="0" applyFont="1" applyBorder="1" applyAlignment="1">
      <alignment horizontal="left" vertical="center" indent="1"/>
    </xf>
    <xf numFmtId="9" fontId="10" fillId="0" borderId="0" xfId="1" applyFont="1" applyFill="1" applyBorder="1" applyAlignment="1">
      <alignment horizontal="center" vertical="center"/>
    </xf>
    <xf numFmtId="0" fontId="8" fillId="4" borderId="15" xfId="0" applyFont="1" applyFill="1" applyBorder="1" applyAlignment="1">
      <alignment horizontal="center" vertical="center"/>
    </xf>
    <xf numFmtId="0" fontId="10" fillId="0" borderId="0" xfId="0" applyFont="1" applyBorder="1" applyAlignment="1">
      <alignment horizontal="center" vertical="center"/>
    </xf>
    <xf numFmtId="0" fontId="8" fillId="5" borderId="12"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14" fillId="6" borderId="13" xfId="0" applyFont="1" applyFill="1" applyBorder="1" applyAlignment="1">
      <alignment vertical="center"/>
    </xf>
    <xf numFmtId="0" fontId="14" fillId="3" borderId="13" xfId="0" applyFont="1" applyFill="1" applyBorder="1" applyAlignment="1">
      <alignment vertical="center"/>
    </xf>
    <xf numFmtId="0" fontId="14" fillId="3" borderId="14" xfId="0" applyFont="1" applyFill="1" applyBorder="1" applyAlignment="1">
      <alignment vertical="center"/>
    </xf>
    <xf numFmtId="0" fontId="8" fillId="4" borderId="9"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6"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19" fillId="0" borderId="0" xfId="0" applyFont="1"/>
    <xf numFmtId="14" fontId="19" fillId="0" borderId="0" xfId="0" applyNumberFormat="1" applyFont="1" applyAlignment="1">
      <alignment horizontal="center"/>
    </xf>
    <xf numFmtId="0" fontId="19" fillId="8" borderId="0" xfId="0" applyFont="1" applyFill="1" applyProtection="1"/>
    <xf numFmtId="0" fontId="0" fillId="0" borderId="0" xfId="0" applyProtection="1"/>
    <xf numFmtId="0" fontId="19" fillId="0" borderId="0" xfId="0" applyFont="1" applyProtection="1">
      <protection locked="0"/>
    </xf>
    <xf numFmtId="14" fontId="19"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19" fillId="8" borderId="0" xfId="0" applyFont="1" applyFill="1" applyAlignment="1" applyProtection="1">
      <alignment horizontal="center"/>
    </xf>
    <xf numFmtId="0" fontId="19" fillId="0" borderId="0" xfId="0" applyFont="1" applyProtection="1"/>
    <xf numFmtId="0" fontId="19" fillId="0" borderId="0" xfId="0" applyFont="1" applyFill="1" applyAlignment="1" applyProtection="1">
      <alignment horizontal="center"/>
    </xf>
    <xf numFmtId="167" fontId="9" fillId="2" borderId="0" xfId="0" applyNumberFormat="1" applyFont="1" applyFill="1" applyBorder="1" applyAlignment="1">
      <alignment horizontal="center" vertical="center"/>
    </xf>
    <xf numFmtId="167" fontId="9" fillId="2" borderId="1"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1" xfId="0" applyNumberFormat="1" applyFont="1" applyFill="1" applyBorder="1" applyAlignment="1">
      <alignment horizontal="center" vertical="center"/>
    </xf>
    <xf numFmtId="168" fontId="10" fillId="2" borderId="0" xfId="0" applyNumberFormat="1" applyFont="1" applyFill="1" applyBorder="1" applyAlignment="1">
      <alignment horizontal="center" vertical="center"/>
    </xf>
    <xf numFmtId="168" fontId="10" fillId="2" borderId="1" xfId="0" applyNumberFormat="1" applyFont="1" applyFill="1" applyBorder="1" applyAlignment="1">
      <alignment horizontal="center" vertical="center"/>
    </xf>
    <xf numFmtId="167" fontId="10" fillId="0" borderId="0" xfId="0" applyNumberFormat="1" applyFont="1" applyBorder="1" applyAlignment="1">
      <alignment horizontal="center" vertical="center"/>
    </xf>
    <xf numFmtId="167" fontId="10" fillId="0" borderId="0" xfId="0" applyNumberFormat="1" applyFont="1" applyFill="1" applyBorder="1" applyAlignment="1">
      <alignment horizontal="center" vertical="center"/>
    </xf>
    <xf numFmtId="167" fontId="9" fillId="0" borderId="0" xfId="0" applyNumberFormat="1" applyFont="1" applyBorder="1" applyAlignment="1">
      <alignment horizontal="center" vertical="center"/>
    </xf>
    <xf numFmtId="167" fontId="10" fillId="2" borderId="0" xfId="1" applyNumberFormat="1" applyFont="1" applyFill="1" applyBorder="1" applyAlignment="1">
      <alignment horizontal="center" vertical="center"/>
    </xf>
    <xf numFmtId="168" fontId="10" fillId="2" borderId="0" xfId="1" applyNumberFormat="1" applyFont="1" applyFill="1" applyBorder="1" applyAlignment="1">
      <alignment horizontal="center" vertical="center"/>
    </xf>
    <xf numFmtId="168" fontId="10" fillId="2" borderId="8" xfId="1" applyNumberFormat="1" applyFont="1" applyFill="1" applyBorder="1" applyAlignment="1">
      <alignment horizontal="center" vertical="center"/>
    </xf>
    <xf numFmtId="168" fontId="10" fillId="2" borderId="4" xfId="1"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2" borderId="0" xfId="0" applyNumberFormat="1" applyFont="1" applyFill="1" applyAlignment="1">
      <alignment horizontal="center" vertical="center"/>
    </xf>
    <xf numFmtId="167" fontId="10" fillId="2" borderId="2" xfId="0" applyNumberFormat="1" applyFont="1" applyFill="1" applyBorder="1" applyAlignment="1">
      <alignment horizontal="center" vertical="center"/>
    </xf>
    <xf numFmtId="167" fontId="10" fillId="2" borderId="3" xfId="1" applyNumberFormat="1" applyFont="1" applyFill="1" applyBorder="1" applyAlignment="1">
      <alignment horizontal="center" vertical="center"/>
    </xf>
    <xf numFmtId="167" fontId="10" fillId="2" borderId="5" xfId="1" applyNumberFormat="1" applyFont="1" applyFill="1" applyBorder="1" applyAlignment="1">
      <alignment horizontal="center" vertical="center"/>
    </xf>
    <xf numFmtId="14" fontId="19"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6"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6" xfId="0" applyFont="1" applyFill="1" applyBorder="1" applyAlignment="1">
      <alignment horizontal="left" vertical="center" indent="3"/>
    </xf>
    <xf numFmtId="3" fontId="9" fillId="6" borderId="4" xfId="0" applyNumberFormat="1" applyFont="1" applyFill="1" applyBorder="1" applyAlignment="1">
      <alignment horizontal="center" vertical="center"/>
    </xf>
    <xf numFmtId="9" fontId="10" fillId="2" borderId="4" xfId="1" applyFont="1" applyFill="1" applyBorder="1" applyAlignment="1">
      <alignment horizontal="center" vertical="center"/>
    </xf>
    <xf numFmtId="167" fontId="9" fillId="2" borderId="4" xfId="0" applyNumberFormat="1" applyFont="1" applyFill="1" applyBorder="1" applyAlignment="1">
      <alignment horizontal="center" vertical="center"/>
    </xf>
    <xf numFmtId="167" fontId="10" fillId="6" borderId="4" xfId="0" applyNumberFormat="1" applyFont="1" applyFill="1" applyBorder="1" applyAlignment="1">
      <alignment horizontal="center" vertical="center"/>
    </xf>
    <xf numFmtId="167" fontId="9" fillId="6" borderId="4" xfId="0" applyNumberFormat="1" applyFont="1" applyFill="1" applyBorder="1" applyAlignment="1">
      <alignment horizontal="center" vertical="center"/>
    </xf>
    <xf numFmtId="167" fontId="10" fillId="2" borderId="4" xfId="0" applyNumberFormat="1" applyFont="1" applyFill="1" applyBorder="1" applyAlignment="1">
      <alignment horizontal="center" vertical="center"/>
    </xf>
    <xf numFmtId="168" fontId="10" fillId="2" borderId="4" xfId="0" applyNumberFormat="1" applyFont="1" applyFill="1" applyBorder="1" applyAlignment="1">
      <alignment horizontal="center" vertical="center"/>
    </xf>
    <xf numFmtId="3" fontId="10" fillId="6" borderId="4"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8" xfId="0" applyNumberFormat="1" applyFont="1" applyFill="1" applyBorder="1" applyAlignment="1">
      <alignment horizontal="center" vertical="center"/>
    </xf>
    <xf numFmtId="9" fontId="10" fillId="2" borderId="8" xfId="1" applyFont="1" applyFill="1" applyBorder="1" applyAlignment="1">
      <alignment horizontal="center" vertical="center"/>
    </xf>
    <xf numFmtId="0" fontId="9" fillId="2" borderId="0" xfId="0" applyFont="1" applyFill="1" applyBorder="1" applyAlignment="1">
      <alignment horizontal="left" vertical="center" indent="1"/>
    </xf>
    <xf numFmtId="167" fontId="9" fillId="2" borderId="8"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7" fontId="10" fillId="2" borderId="8" xfId="0" applyNumberFormat="1" applyFont="1" applyFill="1" applyBorder="1" applyAlignment="1">
      <alignment horizontal="center" vertical="center"/>
    </xf>
    <xf numFmtId="168" fontId="10" fillId="2" borderId="8" xfId="0" applyNumberFormat="1" applyFont="1" applyFill="1" applyBorder="1" applyAlignment="1">
      <alignment horizontal="center" vertical="center"/>
    </xf>
    <xf numFmtId="3" fontId="10" fillId="2" borderId="8" xfId="0" applyNumberFormat="1" applyFont="1" applyFill="1" applyBorder="1" applyAlignment="1">
      <alignment horizontal="center" vertical="center"/>
    </xf>
    <xf numFmtId="9" fontId="10" fillId="2" borderId="5" xfId="1" applyFont="1" applyFill="1" applyBorder="1" applyAlignment="1">
      <alignment horizontal="center" vertical="center"/>
    </xf>
    <xf numFmtId="9" fontId="10" fillId="2" borderId="3" xfId="1" applyFont="1" applyFill="1" applyBorder="1" applyAlignment="1">
      <alignment horizontal="center" vertical="center"/>
    </xf>
    <xf numFmtId="9" fontId="10" fillId="2" borderId="17" xfId="1" applyFont="1" applyFill="1" applyBorder="1" applyAlignment="1">
      <alignment horizontal="center" vertical="center"/>
    </xf>
    <xf numFmtId="9" fontId="10" fillId="2" borderId="20" xfId="1" applyFont="1" applyFill="1" applyBorder="1" applyAlignment="1">
      <alignment horizontal="center" vertical="center"/>
    </xf>
    <xf numFmtId="167" fontId="10" fillId="0" borderId="4" xfId="0" applyNumberFormat="1" applyFont="1" applyBorder="1" applyAlignment="1">
      <alignment horizontal="center" vertical="center"/>
    </xf>
    <xf numFmtId="167" fontId="10" fillId="0" borderId="4" xfId="0" applyNumberFormat="1" applyFont="1" applyFill="1" applyBorder="1" applyAlignment="1">
      <alignment horizontal="center" vertical="center"/>
    </xf>
    <xf numFmtId="167" fontId="9" fillId="0" borderId="4" xfId="0" applyNumberFormat="1" applyFont="1" applyBorder="1" applyAlignment="1">
      <alignment horizontal="center" vertical="center"/>
    </xf>
    <xf numFmtId="9" fontId="10" fillId="0" borderId="4" xfId="1" applyFont="1" applyBorder="1" applyAlignment="1">
      <alignment horizontal="center" vertical="center"/>
    </xf>
    <xf numFmtId="3" fontId="10" fillId="0" borderId="4" xfId="0" applyNumberFormat="1" applyFont="1" applyBorder="1" applyAlignment="1">
      <alignment horizontal="center" vertical="center"/>
    </xf>
    <xf numFmtId="167" fontId="10" fillId="0" borderId="8" xfId="0" applyNumberFormat="1" applyFont="1" applyBorder="1" applyAlignment="1">
      <alignment horizontal="center" vertical="center"/>
    </xf>
    <xf numFmtId="0" fontId="10" fillId="6" borderId="0" xfId="0" applyFont="1" applyFill="1" applyBorder="1" applyAlignment="1">
      <alignment horizontal="left" vertical="center" indent="4"/>
    </xf>
    <xf numFmtId="167" fontId="10" fillId="0" borderId="8"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7" fontId="9" fillId="0" borderId="8"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8" xfId="1" applyFont="1" applyBorder="1" applyAlignment="1">
      <alignment horizontal="center" vertical="center"/>
    </xf>
    <xf numFmtId="167" fontId="9" fillId="2" borderId="5" xfId="1" applyNumberFormat="1" applyFont="1" applyFill="1" applyBorder="1" applyAlignment="1">
      <alignment horizontal="center" vertical="center"/>
    </xf>
    <xf numFmtId="9" fontId="10" fillId="2" borderId="3" xfId="1" applyNumberFormat="1" applyFont="1" applyFill="1" applyBorder="1" applyAlignment="1">
      <alignment horizontal="center" vertical="center"/>
    </xf>
    <xf numFmtId="9" fontId="10" fillId="2" borderId="5" xfId="1" applyNumberFormat="1" applyFont="1" applyFill="1" applyBorder="1" applyAlignment="1">
      <alignment horizontal="center" vertical="center"/>
    </xf>
    <xf numFmtId="9" fontId="9" fillId="0" borderId="21" xfId="1" applyFont="1" applyBorder="1" applyAlignment="1">
      <alignment horizontal="center" vertical="center"/>
    </xf>
    <xf numFmtId="9" fontId="9" fillId="2" borderId="22" xfId="1" applyNumberFormat="1" applyFont="1" applyFill="1" applyBorder="1" applyAlignment="1">
      <alignment horizontal="center" vertical="center"/>
    </xf>
    <xf numFmtId="0" fontId="10" fillId="0" borderId="19" xfId="0" applyFont="1" applyBorder="1" applyAlignment="1">
      <alignment horizontal="left" vertical="center" indent="1"/>
    </xf>
    <xf numFmtId="167" fontId="10" fillId="0" borderId="3" xfId="0" applyNumberFormat="1" applyFont="1" applyBorder="1" applyAlignment="1">
      <alignment horizontal="center" vertical="center"/>
    </xf>
    <xf numFmtId="167" fontId="10" fillId="2" borderId="3" xfId="0" applyNumberFormat="1" applyFont="1" applyFill="1" applyBorder="1" applyAlignment="1">
      <alignment horizontal="center" vertical="center"/>
    </xf>
    <xf numFmtId="167" fontId="10" fillId="2" borderId="20" xfId="0" applyNumberFormat="1" applyFont="1" applyFill="1" applyBorder="1" applyAlignment="1">
      <alignment horizontal="center" vertical="center"/>
    </xf>
    <xf numFmtId="9" fontId="10" fillId="0" borderId="3" xfId="1" applyFont="1" applyBorder="1" applyAlignment="1">
      <alignment horizontal="center" vertical="center"/>
    </xf>
    <xf numFmtId="167" fontId="10" fillId="0" borderId="3" xfId="0" applyNumberFormat="1" applyFont="1" applyFill="1" applyBorder="1" applyAlignment="1">
      <alignment horizontal="center" vertical="center"/>
    </xf>
    <xf numFmtId="167" fontId="10" fillId="2" borderId="5" xfId="0" applyNumberFormat="1" applyFont="1" applyFill="1" applyBorder="1" applyAlignment="1">
      <alignment horizontal="center" vertical="center"/>
    </xf>
    <xf numFmtId="167" fontId="10" fillId="0" borderId="5" xfId="0" applyNumberFormat="1" applyFont="1" applyBorder="1" applyAlignment="1">
      <alignment horizontal="center" vertical="center"/>
    </xf>
    <xf numFmtId="9" fontId="10" fillId="0" borderId="5" xfId="1" applyFont="1" applyBorder="1" applyAlignment="1">
      <alignment horizontal="center" vertical="center"/>
    </xf>
    <xf numFmtId="9" fontId="9" fillId="0" borderId="22"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19" xfId="0" applyFont="1" applyFill="1" applyBorder="1" applyAlignment="1">
      <alignment horizontal="left" vertical="center" indent="1"/>
    </xf>
    <xf numFmtId="164" fontId="10" fillId="0" borderId="4" xfId="1" applyNumberFormat="1" applyFont="1" applyBorder="1" applyAlignment="1">
      <alignment horizontal="center" vertical="center"/>
    </xf>
    <xf numFmtId="167" fontId="10" fillId="0" borderId="20" xfId="0" applyNumberFormat="1" applyFont="1" applyBorder="1" applyAlignment="1">
      <alignment horizontal="center" vertical="center"/>
    </xf>
    <xf numFmtId="4" fontId="9" fillId="2" borderId="21" xfId="1" applyNumberFormat="1" applyFont="1" applyFill="1" applyBorder="1" applyAlignment="1">
      <alignment horizontal="center" vertical="center"/>
    </xf>
    <xf numFmtId="9" fontId="10" fillId="0" borderId="21" xfId="1" applyFont="1" applyBorder="1" applyAlignment="1">
      <alignment horizontal="center" vertical="center"/>
    </xf>
    <xf numFmtId="0" fontId="10" fillId="2" borderId="6" xfId="0" applyFont="1" applyFill="1" applyBorder="1" applyAlignment="1">
      <alignment horizontal="left" vertical="center" indent="1"/>
    </xf>
    <xf numFmtId="166"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6" xfId="0" applyFont="1" applyFill="1" applyBorder="1" applyAlignment="1">
      <alignment horizontal="left" vertical="center" indent="1"/>
    </xf>
    <xf numFmtId="4" fontId="9" fillId="0" borderId="27" xfId="0" applyNumberFormat="1" applyFont="1" applyBorder="1" applyAlignment="1">
      <alignment horizontal="center" vertical="center"/>
    </xf>
    <xf numFmtId="4" fontId="9" fillId="2" borderId="28" xfId="1" applyNumberFormat="1" applyFont="1" applyFill="1" applyBorder="1" applyAlignment="1">
      <alignment horizontal="center" vertical="center"/>
    </xf>
    <xf numFmtId="0" fontId="9" fillId="2" borderId="27" xfId="0" applyFont="1" applyFill="1" applyBorder="1" applyAlignment="1">
      <alignment horizontal="left" vertical="center" indent="1"/>
    </xf>
    <xf numFmtId="9" fontId="9" fillId="0" borderId="28" xfId="1" applyFont="1" applyBorder="1" applyAlignment="1">
      <alignment horizontal="center" vertical="center"/>
    </xf>
    <xf numFmtId="166" fontId="9" fillId="0" borderId="27" xfId="0" applyNumberFormat="1" applyFont="1" applyBorder="1" applyAlignment="1">
      <alignment horizontal="center" vertical="center"/>
    </xf>
    <xf numFmtId="9" fontId="0" fillId="0" borderId="0" xfId="1" applyFont="1" applyAlignment="1">
      <alignment horizontal="center"/>
    </xf>
    <xf numFmtId="164" fontId="10" fillId="0" borderId="3" xfId="0" applyNumberFormat="1" applyFont="1" applyBorder="1" applyAlignment="1">
      <alignment horizontal="center" vertical="center"/>
    </xf>
    <xf numFmtId="166" fontId="10" fillId="2" borderId="3" xfId="1" applyNumberFormat="1" applyFont="1" applyFill="1" applyBorder="1" applyAlignment="1">
      <alignment horizontal="center" vertical="center"/>
    </xf>
    <xf numFmtId="0" fontId="16" fillId="8" borderId="3" xfId="0" applyFont="1" applyFill="1" applyBorder="1" applyAlignment="1">
      <alignment horizontal="left" vertical="center" indent="2"/>
    </xf>
    <xf numFmtId="0" fontId="16" fillId="8" borderId="3" xfId="0" applyFont="1" applyFill="1" applyBorder="1" applyAlignment="1">
      <alignment horizontal="left" vertical="center" indent="1"/>
    </xf>
    <xf numFmtId="9" fontId="16" fillId="0" borderId="22" xfId="1" applyFont="1" applyBorder="1" applyAlignment="1">
      <alignment horizontal="center" vertical="center"/>
    </xf>
    <xf numFmtId="0" fontId="19"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3" xfId="0" applyFont="1" applyFill="1" applyBorder="1" applyAlignment="1">
      <alignment horizontal="left" vertical="center" indent="1"/>
    </xf>
    <xf numFmtId="9" fontId="9" fillId="0" borderId="0" xfId="1" applyFont="1" applyBorder="1" applyAlignment="1">
      <alignment horizontal="center" vertical="center"/>
    </xf>
    <xf numFmtId="0" fontId="9" fillId="0" borderId="19" xfId="0" applyFont="1" applyBorder="1" applyAlignment="1">
      <alignment horizontal="left" vertical="center" indent="1"/>
    </xf>
    <xf numFmtId="167" fontId="7" fillId="0" borderId="0" xfId="0" applyNumberFormat="1" applyFont="1" applyAlignment="1">
      <alignment horizontal="center"/>
    </xf>
    <xf numFmtId="9" fontId="7" fillId="0" borderId="0" xfId="0" applyNumberFormat="1" applyFont="1" applyBorder="1" applyAlignment="1">
      <alignment horizontal="center"/>
    </xf>
    <xf numFmtId="169" fontId="7" fillId="0" borderId="0" xfId="0" applyNumberFormat="1" applyFont="1" applyBorder="1" applyAlignment="1">
      <alignment horizontal="center"/>
    </xf>
    <xf numFmtId="9" fontId="9" fillId="0" borderId="4" xfId="1" applyFont="1" applyBorder="1" applyAlignment="1">
      <alignment horizontal="center" vertical="center"/>
    </xf>
    <xf numFmtId="0" fontId="0" fillId="0" borderId="18" xfId="0" applyFont="1" applyBorder="1"/>
    <xf numFmtId="0" fontId="0" fillId="0" borderId="0" xfId="0" applyFont="1" applyProtection="1"/>
    <xf numFmtId="0" fontId="0" fillId="0" borderId="18"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4"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9" fontId="0" fillId="0" borderId="0" xfId="0" applyNumberFormat="1" applyFont="1" applyAlignment="1">
      <alignment horizontal="center" vertical="center"/>
    </xf>
    <xf numFmtId="169" fontId="0" fillId="0" borderId="4"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4" xfId="0" applyFont="1" applyBorder="1" applyAlignment="1">
      <alignment horizontal="center" vertical="center"/>
    </xf>
    <xf numFmtId="9" fontId="0" fillId="0" borderId="0" xfId="1" applyFont="1" applyAlignment="1">
      <alignment horizontal="center" vertical="center"/>
    </xf>
    <xf numFmtId="9" fontId="9" fillId="2" borderId="8" xfId="1" applyNumberFormat="1" applyFont="1" applyFill="1" applyBorder="1" applyAlignment="1">
      <alignment horizontal="center" vertical="center"/>
    </xf>
    <xf numFmtId="9" fontId="9" fillId="2" borderId="20"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3" xfId="0" applyFont="1" applyBorder="1" applyAlignment="1">
      <alignment horizontal="left" vertical="center" indent="1"/>
    </xf>
    <xf numFmtId="9" fontId="9" fillId="0" borderId="5"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7" fillId="8" borderId="21" xfId="1" applyNumberFormat="1" applyFont="1" applyFill="1" applyBorder="1" applyAlignment="1">
      <alignment horizontal="center" vertical="center"/>
    </xf>
    <xf numFmtId="9" fontId="16" fillId="8" borderId="3" xfId="1" applyFont="1" applyFill="1" applyBorder="1" applyAlignment="1">
      <alignment horizontal="center" vertical="center"/>
    </xf>
    <xf numFmtId="9" fontId="17" fillId="8" borderId="22" xfId="1" applyFont="1" applyFill="1" applyBorder="1" applyAlignment="1">
      <alignment horizontal="center" vertical="center"/>
    </xf>
    <xf numFmtId="0" fontId="9" fillId="0" borderId="6" xfId="0" applyFont="1" applyBorder="1" applyAlignment="1">
      <alignment horizontal="left" vertical="center" indent="1"/>
    </xf>
    <xf numFmtId="4" fontId="13" fillId="6" borderId="29" xfId="1" applyNumberFormat="1" applyFont="1" applyFill="1" applyBorder="1" applyAlignment="1">
      <alignment horizontal="center" vertical="center"/>
    </xf>
    <xf numFmtId="0" fontId="8" fillId="5" borderId="30" xfId="0" applyFont="1" applyFill="1" applyBorder="1" applyAlignment="1">
      <alignment horizontal="center" vertical="center" wrapText="1"/>
    </xf>
    <xf numFmtId="9" fontId="13" fillId="6" borderId="31" xfId="1" applyFont="1" applyFill="1" applyBorder="1" applyAlignment="1">
      <alignment horizontal="center" vertical="center"/>
    </xf>
    <xf numFmtId="9" fontId="13" fillId="3" borderId="32" xfId="1" applyFont="1" applyFill="1" applyBorder="1" applyAlignment="1">
      <alignment horizontal="center" vertical="center"/>
    </xf>
    <xf numFmtId="171" fontId="13" fillId="6" borderId="33" xfId="1" applyNumberFormat="1" applyFont="1" applyFill="1" applyBorder="1" applyAlignment="1">
      <alignment horizontal="center" vertical="center"/>
    </xf>
    <xf numFmtId="171" fontId="13" fillId="6" borderId="34" xfId="0" applyNumberFormat="1" applyFont="1" applyFill="1" applyBorder="1" applyAlignment="1">
      <alignment horizontal="center" vertical="center"/>
    </xf>
    <xf numFmtId="171" fontId="13" fillId="6" borderId="35" xfId="0" applyNumberFormat="1" applyFont="1" applyFill="1" applyBorder="1" applyAlignment="1">
      <alignment horizontal="center" vertical="center"/>
    </xf>
    <xf numFmtId="0" fontId="8" fillId="5" borderId="36" xfId="0" applyFont="1" applyFill="1" applyBorder="1" applyAlignment="1">
      <alignment horizontal="center" vertical="center" wrapText="1"/>
    </xf>
    <xf numFmtId="166" fontId="18" fillId="6" borderId="31" xfId="1" applyNumberFormat="1" applyFont="1" applyFill="1" applyBorder="1" applyAlignment="1">
      <alignment horizontal="center" vertical="center"/>
    </xf>
    <xf numFmtId="166" fontId="18" fillId="6" borderId="37" xfId="0" applyNumberFormat="1" applyFont="1" applyFill="1" applyBorder="1" applyAlignment="1">
      <alignment horizontal="center" vertical="center"/>
    </xf>
    <xf numFmtId="166" fontId="18" fillId="6" borderId="32" xfId="1" applyNumberFormat="1" applyFont="1" applyFill="1" applyBorder="1" applyAlignment="1">
      <alignment horizontal="center" vertical="center"/>
    </xf>
    <xf numFmtId="170" fontId="13" fillId="9" borderId="33" xfId="0" applyNumberFormat="1" applyFont="1" applyFill="1" applyBorder="1" applyAlignment="1">
      <alignment horizontal="center" vertical="center"/>
    </xf>
    <xf numFmtId="170" fontId="13" fillId="9" borderId="34" xfId="0" applyNumberFormat="1" applyFont="1" applyFill="1" applyBorder="1" applyAlignment="1">
      <alignment horizontal="center" vertical="center"/>
    </xf>
    <xf numFmtId="170" fontId="13" fillId="9" borderId="35" xfId="0" applyNumberFormat="1" applyFont="1" applyFill="1" applyBorder="1" applyAlignment="1">
      <alignment horizontal="center" vertical="center"/>
    </xf>
    <xf numFmtId="4" fontId="0" fillId="0" borderId="0" xfId="0" applyNumberFormat="1" applyFont="1"/>
    <xf numFmtId="14" fontId="19" fillId="0" borderId="0" xfId="0" applyNumberFormat="1" applyFont="1" applyProtection="1">
      <protection locked="0"/>
    </xf>
    <xf numFmtId="3" fontId="0" fillId="0" borderId="0" xfId="0" applyNumberFormat="1" applyFont="1"/>
    <xf numFmtId="0" fontId="0" fillId="0" borderId="0" xfId="0" applyNumberFormat="1" applyFont="1"/>
    <xf numFmtId="172"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8" xfId="0" applyNumberFormat="1" applyFont="1" applyBorder="1" applyAlignment="1" applyProtection="1">
      <alignment horizontal="center"/>
    </xf>
    <xf numFmtId="39" fontId="0" fillId="0" borderId="0" xfId="0" applyNumberFormat="1" applyFont="1" applyAlignment="1" applyProtection="1">
      <alignment horizontal="center"/>
    </xf>
    <xf numFmtId="39" fontId="19" fillId="0" borderId="0" xfId="0" applyNumberFormat="1" applyFont="1" applyAlignment="1" applyProtection="1">
      <alignment horizontal="center"/>
    </xf>
    <xf numFmtId="39" fontId="0" fillId="0" borderId="0" xfId="0" applyNumberFormat="1" applyFont="1" applyAlignment="1">
      <alignment horizontal="center"/>
    </xf>
    <xf numFmtId="39" fontId="0" fillId="0" borderId="18" xfId="0" applyNumberFormat="1" applyFont="1" applyBorder="1" applyAlignment="1">
      <alignment horizontal="center"/>
    </xf>
    <xf numFmtId="39" fontId="19" fillId="0" borderId="0" xfId="0" applyNumberFormat="1" applyFont="1" applyAlignment="1">
      <alignment horizontal="center"/>
    </xf>
    <xf numFmtId="167" fontId="10" fillId="6" borderId="4" xfId="0" applyNumberFormat="1" applyFont="1" applyFill="1" applyBorder="1" applyAlignment="1">
      <alignment horizontal="center" vertical="center" wrapText="1"/>
    </xf>
    <xf numFmtId="10" fontId="0" fillId="0" borderId="0" xfId="0" applyNumberFormat="1" applyAlignment="1">
      <alignment horizontal="center"/>
    </xf>
    <xf numFmtId="0" fontId="19"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19" fillId="0" borderId="0" xfId="0" applyNumberFormat="1" applyFont="1" applyAlignment="1" applyProtection="1">
      <alignment wrapText="1"/>
      <protection locked="0"/>
    </xf>
    <xf numFmtId="14" fontId="19"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9" fillId="6" borderId="23" xfId="0" applyFont="1" applyFill="1" applyBorder="1" applyAlignment="1">
      <alignment horizontal="left" vertical="center" indent="1"/>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abSelected="1"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0</v>
      </c>
      <c r="C1" s="27"/>
      <c r="D1" s="27"/>
      <c r="E1" s="27"/>
      <c r="F1" s="27"/>
      <c r="G1" s="27"/>
      <c r="H1" s="27"/>
      <c r="I1" s="27"/>
      <c r="J1" s="27"/>
      <c r="K1" s="3"/>
      <c r="L1" s="3"/>
      <c r="M1" s="3"/>
      <c r="N1"/>
      <c r="O1" s="26"/>
      <c r="P1" s="27"/>
      <c r="Q1" s="27"/>
      <c r="R1" s="1"/>
      <c r="S1" s="1"/>
    </row>
    <row r="2" spans="1:20" ht="44.1" customHeight="1" thickTop="1">
      <c r="A2" s="108" t="s">
        <v>1</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2</v>
      </c>
      <c r="P2" s="52" t="str">
        <f>"Promedio "&amp;CHAR(10)&amp;B2&amp;" - "&amp;H2</f>
        <v>Promedio 
2018 - 2024</v>
      </c>
      <c r="Q2" s="226" t="str">
        <f>"Estimaciones "&amp;CHAR(10)&amp;I2&amp;" - "&amp;M2</f>
        <v>Estimaciones 
2025e - 2029e</v>
      </c>
      <c r="R2" s="33"/>
      <c r="S2" s="33"/>
      <c r="T2" s="33"/>
    </row>
    <row r="3" spans="1:20" ht="24.95" customHeight="1">
      <c r="A3" s="118" t="s">
        <v>3</v>
      </c>
      <c r="B3" s="110">
        <f>IFERROR(VALUE(VLOOKUP("Revenue*",'6.TIKR_IS'!$A:$H,COLUMN(B3),FALSE)),"0")</f>
        <v>10944</v>
      </c>
      <c r="C3" s="110">
        <f>IFERROR(VALUE(VLOOKUP("Revenue*",'6.TIKR_IS'!$A:$H,COLUMN(C3),FALSE)),"0")</f>
        <v>11820</v>
      </c>
      <c r="D3" s="110">
        <f>IFERROR(VALUE(VLOOKUP("Revenue*",'6.TIKR_IS'!$A:$H,COLUMN(D3),FALSE)),"0")</f>
        <v>13978.5</v>
      </c>
      <c r="E3" s="110">
        <f>IFERROR(VALUE(VLOOKUP("Revenue*",'6.TIKR_IS'!$A:$H,COLUMN(E3),FALSE)),"0")</f>
        <v>18611</v>
      </c>
      <c r="F3" s="110">
        <f>IFERROR(VALUE(VLOOKUP("Revenue*",'6.TIKR_IS'!$A:$H,COLUMN(F3),FALSE)),"0")</f>
        <v>21173.4</v>
      </c>
      <c r="G3" s="110">
        <f>IFERROR(VALUE(VLOOKUP("Revenue*",'6.TIKR_IS'!$A:$H,COLUMN(G3),FALSE)),"0")</f>
        <v>27558.5</v>
      </c>
      <c r="H3" s="110">
        <f>IFERROR(VALUE(VLOOKUP("Revenue*",'6.TIKR_IS'!$A:$H,COLUMN(H3),FALSE)),"0")</f>
        <v>28262.9</v>
      </c>
      <c r="I3" s="9">
        <f>IFERROR((H3*$Q$3)+H3,"")</f>
        <v>33250.6630807701</v>
      </c>
      <c r="J3" s="9">
        <f>IFERROR((I3*$Q$3)+I3,"")</f>
        <v>39118.653616963849</v>
      </c>
      <c r="K3" s="9">
        <f>IFERROR((J3*$Q$3)+J3,"")</f>
        <v>46022.211860460658</v>
      </c>
      <c r="L3" s="9">
        <f>IFERROR((K3*$Q$3)+K3,"")</f>
        <v>54144.092106754753</v>
      </c>
      <c r="M3" s="119">
        <f>IFERROR((L3*$Q$3)+L3,"")</f>
        <v>63699.300654068968</v>
      </c>
      <c r="N3" s="6"/>
      <c r="O3" s="53" t="s">
        <v>4</v>
      </c>
      <c r="P3" s="41">
        <f>IFERROR(AVERAGE(C4:H4),"")</f>
        <v>0.17647739902027382</v>
      </c>
      <c r="Q3" s="227">
        <f>P3</f>
        <v>0.17647739902027382</v>
      </c>
      <c r="R3" s="33"/>
      <c r="S3" s="33"/>
      <c r="T3" s="33"/>
    </row>
    <row r="4" spans="1:20" ht="24.95" customHeight="1">
      <c r="A4" s="102" t="s">
        <v>5</v>
      </c>
      <c r="B4" s="111"/>
      <c r="C4" s="11">
        <f t="shared" ref="C4:H4" si="0">IFERROR((C3-B3)/B3,"")</f>
        <v>8.0043859649122806E-2</v>
      </c>
      <c r="D4" s="11">
        <f t="shared" si="0"/>
        <v>0.18261421319796955</v>
      </c>
      <c r="E4" s="11">
        <f t="shared" si="0"/>
        <v>0.33140179561469402</v>
      </c>
      <c r="F4" s="11">
        <f t="shared" si="0"/>
        <v>0.13768201601203597</v>
      </c>
      <c r="G4" s="11">
        <f t="shared" si="0"/>
        <v>0.30156233765007029</v>
      </c>
      <c r="H4" s="10">
        <f t="shared" si="0"/>
        <v>2.5560171997750292E-2</v>
      </c>
      <c r="I4" s="11">
        <f>$Q$3</f>
        <v>0.17647739902027382</v>
      </c>
      <c r="J4" s="11">
        <f>$Q$3</f>
        <v>0.17647739902027382</v>
      </c>
      <c r="K4" s="11">
        <f>$Q$3</f>
        <v>0.17647739902027382</v>
      </c>
      <c r="L4" s="11">
        <f>$Q$3</f>
        <v>0.17647739902027382</v>
      </c>
      <c r="M4" s="120">
        <f>$Q$3</f>
        <v>0.17647739902027382</v>
      </c>
      <c r="N4" s="6"/>
      <c r="O4" s="54" t="s">
        <v>6</v>
      </c>
      <c r="P4" s="42">
        <f>IFERROR(AVERAGE(B9:H9),"")</f>
        <v>0.30556371417466016</v>
      </c>
      <c r="Q4" s="227">
        <f>P4</f>
        <v>0.30556371417466016</v>
      </c>
      <c r="R4" s="33"/>
      <c r="S4" s="33"/>
      <c r="T4" s="33"/>
    </row>
    <row r="5" spans="1:20" ht="24.95" customHeight="1">
      <c r="A5" s="121" t="s">
        <v>7</v>
      </c>
      <c r="B5" s="112">
        <f t="shared" ref="B5:H5" si="1">B8-B7</f>
        <v>3616.8</v>
      </c>
      <c r="C5" s="78">
        <f t="shared" si="1"/>
        <v>3545</v>
      </c>
      <c r="D5" s="78">
        <f t="shared" si="1"/>
        <v>4542.3</v>
      </c>
      <c r="E5" s="78">
        <f t="shared" si="1"/>
        <v>7221.1</v>
      </c>
      <c r="F5" s="78">
        <f t="shared" si="1"/>
        <v>8196.9</v>
      </c>
      <c r="G5" s="78">
        <f t="shared" si="1"/>
        <v>9828.5</v>
      </c>
      <c r="H5" s="79">
        <f t="shared" si="1"/>
        <v>9941.2000000000007</v>
      </c>
      <c r="I5" s="78">
        <f>IFERROR(I8-I7,"")</f>
        <v>11240.908248470383</v>
      </c>
      <c r="J5" s="78">
        <f t="shared" ref="J5:M5" si="2">IFERROR(J8-J7,"")</f>
        <v>13224.674498785978</v>
      </c>
      <c r="K5" s="78">
        <f t="shared" si="2"/>
        <v>15558.530657221472</v>
      </c>
      <c r="L5" s="78">
        <f t="shared" si="2"/>
        <v>18304.259680185107</v>
      </c>
      <c r="M5" s="122">
        <f t="shared" si="2"/>
        <v>21534.547819535845</v>
      </c>
      <c r="N5" s="6"/>
      <c r="O5" s="53" t="s">
        <v>8</v>
      </c>
      <c r="P5" s="41">
        <f>IFERROR(AVERAGE(B15:H15),"")</f>
        <v>0.1354288111883957</v>
      </c>
      <c r="Q5" s="227">
        <f>H15</f>
        <v>0.18585773688401308</v>
      </c>
      <c r="R5" s="33"/>
      <c r="S5" s="33"/>
      <c r="T5" s="33"/>
    </row>
    <row r="6" spans="1:20" ht="24.95" customHeight="1" thickBot="1">
      <c r="A6" s="102" t="s">
        <v>9</v>
      </c>
      <c r="B6" s="111">
        <f t="shared" ref="B6:H6" si="3">IFERROR((B5/B3),"")</f>
        <v>0.33048245614035088</v>
      </c>
      <c r="C6" s="11">
        <f t="shared" si="3"/>
        <v>0.29991539763113367</v>
      </c>
      <c r="D6" s="11">
        <f t="shared" si="3"/>
        <v>0.32494902886575816</v>
      </c>
      <c r="E6" s="11">
        <f t="shared" si="3"/>
        <v>0.38800171941325023</v>
      </c>
      <c r="F6" s="11">
        <f t="shared" si="3"/>
        <v>0.38713196746861622</v>
      </c>
      <c r="G6" s="11">
        <f t="shared" si="3"/>
        <v>0.35664132663243647</v>
      </c>
      <c r="H6" s="10">
        <f t="shared" si="3"/>
        <v>0.35174026727618185</v>
      </c>
      <c r="I6" s="11">
        <f>IFERROR(I5/I3,"")</f>
        <v>0.33806568672524767</v>
      </c>
      <c r="J6" s="11">
        <f>IFERROR(J5/J3,"")</f>
        <v>0.33806568672524767</v>
      </c>
      <c r="K6" s="11">
        <f>IFERROR(K5/K3,"")</f>
        <v>0.33806568672524773</v>
      </c>
      <c r="L6" s="11">
        <f>IFERROR(L5/L3,"")</f>
        <v>0.33806568672524767</v>
      </c>
      <c r="M6" s="120">
        <f>IFERROR(M5/M3,"")</f>
        <v>0.33806568672524767</v>
      </c>
      <c r="N6" s="6"/>
      <c r="O6" s="55" t="s">
        <v>10</v>
      </c>
      <c r="P6" s="43">
        <f>IFERROR(AVERAGE(C23:H23),"")</f>
        <v>-1.3204621526586522E-2</v>
      </c>
      <c r="Q6" s="228">
        <f>P6</f>
        <v>-1.3204621526586522E-2</v>
      </c>
      <c r="R6" s="33"/>
      <c r="S6" s="33"/>
      <c r="T6" s="33"/>
    </row>
    <row r="7" spans="1:20" ht="24.95" customHeight="1" thickTop="1">
      <c r="A7" s="123" t="s">
        <v>11</v>
      </c>
      <c r="B7" s="113">
        <f>IFERROR(-VALUE(VLOOKUP("Depreciation And Amortization*",'8.TIKR_CF'!$A:$H,COLUMN(B7),FALSE))-IFERROR(VALUE(VLOOKUP("Amortization of Goodwill and Intangible Assets*",'8.TIKR_CF'!$A:$H,COLUMN(B7),FALSE)),"0"),"0")</f>
        <v>-733.5</v>
      </c>
      <c r="C7" s="113">
        <f>IFERROR(-VALUE(VLOOKUP("Depreciation And Amortization*",'8.TIKR_CF'!$A:$H,COLUMN(C7),FALSE))-IFERROR(VALUE(VLOOKUP("Amortization of Goodwill and Intangible Assets*",'8.TIKR_CF'!$A:$H,COLUMN(C7),FALSE)),"0"),"0")</f>
        <v>-828.3</v>
      </c>
      <c r="D7" s="113">
        <f>IFERROR(-VALUE(VLOOKUP("Depreciation And Amortization*",'8.TIKR_CF'!$A:$H,COLUMN(D7),FALSE))-IFERROR(VALUE(VLOOKUP("Amortization of Goodwill and Intangible Assets*",'8.TIKR_CF'!$A:$H,COLUMN(D7),FALSE)),"0"),"0")</f>
        <v>-490.8</v>
      </c>
      <c r="E7" s="113">
        <f>IFERROR(-VALUE(VLOOKUP("Depreciation And Amortization*",'8.TIKR_CF'!$A:$H,COLUMN(E7),FALSE))-IFERROR(VALUE(VLOOKUP("Amortization of Goodwill and Intangible Assets*",'8.TIKR_CF'!$A:$H,COLUMN(E7),FALSE)),"0"),"0")</f>
        <v>-471</v>
      </c>
      <c r="F7" s="113">
        <f>IFERROR(-VALUE(VLOOKUP("Depreciation And Amortization*",'8.TIKR_CF'!$A:$H,COLUMN(F7),FALSE))-IFERROR(VALUE(VLOOKUP("Amortization of Goodwill and Intangible Assets*",'8.TIKR_CF'!$A:$H,COLUMN(F7),FALSE)),"0"),"0")</f>
        <v>-875.9</v>
      </c>
      <c r="G7" s="113">
        <f>IFERROR(-VALUE(VLOOKUP("Depreciation And Amortization*",'8.TIKR_CF'!$A:$H,COLUMN(G7),FALSE))-IFERROR(VALUE(VLOOKUP("Amortization of Goodwill and Intangible Assets*",'8.TIKR_CF'!$A:$H,COLUMN(G7),FALSE)),"0"),"0")</f>
        <v>-786.2</v>
      </c>
      <c r="H7" s="113">
        <f>IFERROR(-VALUE(VLOOKUP("Depreciation And Amortization*",'8.TIKR_CF'!$A:$H,COLUMN(H7),FALSE))-IFERROR(VALUE(VLOOKUP("Amortization of Goodwill and Intangible Assets*",'8.TIKR_CF'!$A:$H,COLUMN(H7),FALSE)),"0"),"0")</f>
        <v>-918.6</v>
      </c>
      <c r="I7" s="80">
        <f>IFERROR((H7*$Q$3)+H7,"")</f>
        <v>-1080.7121387400236</v>
      </c>
      <c r="J7" s="80">
        <f>IFERROR((I7*$Q$3)+I7,"")</f>
        <v>-1271.4334060745002</v>
      </c>
      <c r="K7" s="80">
        <f>IFERROR((J7*$Q$3)+J7,"")</f>
        <v>-1495.8126666060157</v>
      </c>
      <c r="L7" s="80">
        <f>IFERROR((K7*$Q$3)+K7,"")</f>
        <v>-1759.7897954302252</v>
      </c>
      <c r="M7" s="124">
        <f>IFERROR((L7*$Q$3)+L7,"")</f>
        <v>-2070.3529213501711</v>
      </c>
      <c r="N7" s="6"/>
      <c r="O7" s="6"/>
      <c r="P7" s="7"/>
      <c r="Q7" s="7"/>
      <c r="R7" s="33"/>
      <c r="S7" s="33"/>
      <c r="T7" s="33"/>
    </row>
    <row r="8" spans="1:20" ht="24.95" customHeight="1">
      <c r="A8" s="118" t="s">
        <v>12</v>
      </c>
      <c r="B8" s="114">
        <f>IFERROR(VALUE(VLOOKUP("Operating Income*",'6.TIKR_IS'!$A:$H,COLUMN(B2),FALSE)),"0")</f>
        <v>2883.3</v>
      </c>
      <c r="C8" s="114">
        <f>IFERROR(VALUE(VLOOKUP("Operating Income*",'6.TIKR_IS'!$A:$H,COLUMN(C2),FALSE)),"0")</f>
        <v>2716.7</v>
      </c>
      <c r="D8" s="114">
        <f>IFERROR(VALUE(VLOOKUP("Operating Income*",'6.TIKR_IS'!$A:$H,COLUMN(D2),FALSE)),"0")</f>
        <v>4051.5</v>
      </c>
      <c r="E8" s="114">
        <f>IFERROR(VALUE(VLOOKUP("Operating Income*",'6.TIKR_IS'!$A:$H,COLUMN(E2),FALSE)),"0")</f>
        <v>6750.1</v>
      </c>
      <c r="F8" s="114">
        <f>IFERROR(VALUE(VLOOKUP("Operating Income*",'6.TIKR_IS'!$A:$H,COLUMN(F2),FALSE)),"0")</f>
        <v>7321</v>
      </c>
      <c r="G8" s="114">
        <f>IFERROR(VALUE(VLOOKUP("Operating Income*",'6.TIKR_IS'!$A:$H,COLUMN(G2),FALSE)),"0")</f>
        <v>9042.2999999999993</v>
      </c>
      <c r="H8" s="114">
        <f>IFERROR(VALUE(VLOOKUP("Operating Income*",'6.TIKR_IS'!$A:$H,COLUMN(H2),FALSE)),"0")</f>
        <v>9022.6</v>
      </c>
      <c r="I8" s="78">
        <f>IFERROR(I3*$Q$4,"")</f>
        <v>10160.196109730359</v>
      </c>
      <c r="J8" s="78">
        <f>IFERROR(J3*$Q$4,"")</f>
        <v>11953.241092711478</v>
      </c>
      <c r="K8" s="78">
        <f>IFERROR(K3*$Q$4,"")</f>
        <v>14062.717990615456</v>
      </c>
      <c r="L8" s="78">
        <f>IFERROR(L3*$Q$4,"")</f>
        <v>16544.469884754883</v>
      </c>
      <c r="M8" s="122">
        <f>IFERROR(M3*$Q$4,"")</f>
        <v>19464.194898185673</v>
      </c>
      <c r="N8" s="6"/>
      <c r="O8" s="6"/>
      <c r="P8" s="6"/>
      <c r="Q8" s="6"/>
      <c r="R8" s="33"/>
      <c r="S8" s="33"/>
      <c r="T8" s="33"/>
    </row>
    <row r="9" spans="1:20" ht="24.95" customHeight="1">
      <c r="A9" s="102" t="s">
        <v>13</v>
      </c>
      <c r="B9" s="111">
        <f t="shared" ref="B9:M9" si="4">IFERROR((B8/B3),"")</f>
        <v>0.26345942982456144</v>
      </c>
      <c r="C9" s="11">
        <f t="shared" si="4"/>
        <v>0.22983925549915396</v>
      </c>
      <c r="D9" s="11">
        <f t="shared" si="4"/>
        <v>0.28983796544693635</v>
      </c>
      <c r="E9" s="11">
        <f t="shared" si="4"/>
        <v>0.3626941056364516</v>
      </c>
      <c r="F9" s="11">
        <f t="shared" si="4"/>
        <v>0.34576402467246636</v>
      </c>
      <c r="G9" s="11">
        <f t="shared" si="4"/>
        <v>0.3281129234174574</v>
      </c>
      <c r="H9" s="10">
        <f t="shared" si="4"/>
        <v>0.31923829472559434</v>
      </c>
      <c r="I9" s="11">
        <f t="shared" si="4"/>
        <v>0.30556371417466016</v>
      </c>
      <c r="J9" s="11">
        <f t="shared" si="4"/>
        <v>0.30556371417466016</v>
      </c>
      <c r="K9" s="11">
        <f t="shared" si="4"/>
        <v>0.30556371417466016</v>
      </c>
      <c r="L9" s="11">
        <f t="shared" si="4"/>
        <v>0.30556371417466016</v>
      </c>
      <c r="M9" s="120">
        <f t="shared" si="4"/>
        <v>0.30556371417466016</v>
      </c>
      <c r="N9" s="6"/>
      <c r="O9" s="6"/>
      <c r="P9" s="6"/>
      <c r="Q9" s="6"/>
      <c r="R9" s="33"/>
      <c r="S9" s="33"/>
      <c r="T9" s="33"/>
    </row>
    <row r="10" spans="1:20" ht="24.95" customHeight="1">
      <c r="A10" s="123" t="s">
        <v>14</v>
      </c>
      <c r="B10" s="113">
        <f>IFERROR(VALUE(VLOOKUP("Interest Expense*",'6.TIKR_IS'!$A:$H,COLUMN(B10),FALSE)),"0")</f>
        <v>-41.8</v>
      </c>
      <c r="C10" s="113">
        <f>IFERROR(VALUE(VLOOKUP("Interest Expense*",'6.TIKR_IS'!$A:$H,COLUMN(C10),FALSE)),"0")</f>
        <v>-36.6</v>
      </c>
      <c r="D10" s="113">
        <f>IFERROR(VALUE(VLOOKUP("Interest Expense*",'6.TIKR_IS'!$A:$H,COLUMN(D10),FALSE)),"0")</f>
        <v>-43.4</v>
      </c>
      <c r="E10" s="113">
        <f>IFERROR(VALUE(VLOOKUP("Interest Expense*",'6.TIKR_IS'!$A:$H,COLUMN(E10),FALSE)),"0")</f>
        <v>-54.6</v>
      </c>
      <c r="F10" s="113">
        <f>IFERROR(VALUE(VLOOKUP("Interest Expense*",'6.TIKR_IS'!$A:$H,COLUMN(F10),FALSE)),"0")</f>
        <v>-60.8</v>
      </c>
      <c r="G10" s="113">
        <f>IFERROR(VALUE(VLOOKUP("Interest Expense*",'6.TIKR_IS'!$A:$H,COLUMN(G10),FALSE)),"0")</f>
        <v>-152.1</v>
      </c>
      <c r="H10" s="113">
        <f>IFERROR(VALUE(VLOOKUP("Interest Expense*",'6.TIKR_IS'!$A:$H,COLUMN(H10),FALSE)),"0")</f>
        <v>0</v>
      </c>
      <c r="I10" s="80">
        <f>IFERROR(-TIKR_Cálculos!$B$26*SUM('3.ROIC'!I6:I7),"")</f>
        <v>-98.105062056246013</v>
      </c>
      <c r="J10" s="80">
        <f>IFERROR(-TIKR_Cálculos!$B$26*SUM('3.ROIC'!J6:J7),"")</f>
        <v>-108.55829449503106</v>
      </c>
      <c r="K10" s="80">
        <f>IFERROR(-TIKR_Cálculos!$B$26*SUM('3.ROIC'!K6:K7),"")</f>
        <v>-120.85628620596722</v>
      </c>
      <c r="L10" s="80">
        <f>IFERROR(-TIKR_Cálculos!$B$26*SUM('3.ROIC'!L6:L7),"")</f>
        <v>-135.32459550722228</v>
      </c>
      <c r="M10" s="124">
        <f>IFERROR(-TIKR_Cálculos!$B$26*SUM('3.ROIC'!M6:M7),"")</f>
        <v>-152.34623440218368</v>
      </c>
      <c r="N10" s="6"/>
      <c r="O10" s="6"/>
      <c r="P10" s="6"/>
      <c r="Q10" s="6"/>
      <c r="R10" s="33"/>
      <c r="S10" s="33"/>
      <c r="T10" s="33"/>
    </row>
    <row r="11" spans="1:20" ht="24.95" customHeight="1">
      <c r="A11" s="123" t="s">
        <v>15</v>
      </c>
      <c r="B11" s="113">
        <f>IFERROR(VALUE(VLOOKUP("Total Other Income/Expenses Net*",'6.TIKR_IS'!$A:$H,COLUMN(B11),FALSE)),"0")</f>
        <v>-28.3</v>
      </c>
      <c r="C11" s="113">
        <f>IFERROR(VALUE(VLOOKUP("Total Other Income/Expenses Net*",'6.TIKR_IS'!$A:$H,COLUMN(C11),FALSE)),"0")</f>
        <v>-25</v>
      </c>
      <c r="D11" s="113">
        <f>IFERROR(VALUE(VLOOKUP("Total Other Income/Expenses Net*",'6.TIKR_IS'!$A:$H,COLUMN(D11),FALSE)),"0")</f>
        <v>-34.9</v>
      </c>
      <c r="E11" s="113">
        <f>IFERROR(VALUE(VLOOKUP("Total Other Income/Expenses Net*",'6.TIKR_IS'!$A:$H,COLUMN(E11),FALSE)),"0")</f>
        <v>-44.6</v>
      </c>
      <c r="F11" s="113">
        <f>IFERROR(VALUE(VLOOKUP("Total Other Income/Expenses Net*",'6.TIKR_IS'!$A:$H,COLUMN(F11),FALSE)),"0")</f>
        <v>-44.6</v>
      </c>
      <c r="G11" s="113">
        <f>IFERROR(VALUE(VLOOKUP("Total Other Income/Expenses Net*",'6.TIKR_IS'!$A:$H,COLUMN(G11),FALSE)),"0")</f>
        <v>41.2</v>
      </c>
      <c r="H11" s="113">
        <f>IFERROR(VALUE(VLOOKUP("Total Other Income/Expenses Net*",'6.TIKR_IS'!$A:$H,COLUMN(H11),FALSE)),"0")</f>
        <v>19.8</v>
      </c>
      <c r="I11" s="80">
        <f>IFERROR(TIKR_Cálculos!$B$25*'3.ROIC'!I5,"")</f>
        <v>-31.912879493750342</v>
      </c>
      <c r="J11" s="80">
        <f>IFERROR(TIKR_Cálculos!$B$25*'3.ROIC'!J5,"")</f>
        <v>-35.125568964700022</v>
      </c>
      <c r="K11" s="80">
        <f>IFERROR(TIKR_Cálculos!$B$25*'3.ROIC'!K5,"")</f>
        <v>-38.905225517342721</v>
      </c>
      <c r="L11" s="80">
        <f>IFERROR(TIKR_Cálculos!$B$25*'3.ROIC'!L5,"")</f>
        <v>-43.351906027585748</v>
      </c>
      <c r="M11" s="124">
        <f>IFERROR(TIKR_Cálculos!$B$25*'3.ROIC'!M5,"")</f>
        <v>-48.583325148550593</v>
      </c>
      <c r="N11" s="6"/>
      <c r="O11" s="6"/>
      <c r="P11" s="6"/>
      <c r="Q11" s="6"/>
      <c r="R11" s="33"/>
      <c r="S11" s="33"/>
      <c r="T11" s="33"/>
    </row>
    <row r="12" spans="1:20" ht="24.95" customHeight="1">
      <c r="A12" s="102" t="s">
        <v>16</v>
      </c>
      <c r="B12" s="115">
        <f>B10+B11</f>
        <v>-70.099999999999994</v>
      </c>
      <c r="C12" s="80">
        <f t="shared" ref="C12:H12" si="5">C10+C11</f>
        <v>-61.6</v>
      </c>
      <c r="D12" s="80">
        <f t="shared" si="5"/>
        <v>-78.3</v>
      </c>
      <c r="E12" s="80">
        <f t="shared" si="5"/>
        <v>-99.2</v>
      </c>
      <c r="F12" s="80">
        <f t="shared" si="5"/>
        <v>-105.4</v>
      </c>
      <c r="G12" s="80">
        <f t="shared" si="5"/>
        <v>-110.89999999999999</v>
      </c>
      <c r="H12" s="81">
        <f t="shared" si="5"/>
        <v>19.8</v>
      </c>
      <c r="I12" s="80">
        <f>IFERROR(SUM(I10:I11),"")</f>
        <v>-130.01794154999635</v>
      </c>
      <c r="J12" s="80">
        <f t="shared" ref="J12:M12" si="6">IFERROR(SUM(J10:J11),"")</f>
        <v>-143.68386345973107</v>
      </c>
      <c r="K12" s="80">
        <f t="shared" si="6"/>
        <v>-159.76151172330995</v>
      </c>
      <c r="L12" s="80">
        <f t="shared" si="6"/>
        <v>-178.67650153480804</v>
      </c>
      <c r="M12" s="124">
        <f t="shared" si="6"/>
        <v>-200.92955955073427</v>
      </c>
      <c r="N12" s="6"/>
      <c r="O12" s="6"/>
      <c r="P12" s="7"/>
      <c r="Q12" s="7"/>
      <c r="R12" s="33"/>
      <c r="S12" s="33"/>
      <c r="T12" s="33"/>
    </row>
    <row r="13" spans="1:20" ht="24.95" customHeight="1" collapsed="1">
      <c r="A13" s="102" t="s">
        <v>17</v>
      </c>
      <c r="B13" s="115">
        <f t="shared" ref="B13:M13" si="7">IFERROR(B8+B12,"")</f>
        <v>2813.2000000000003</v>
      </c>
      <c r="C13" s="80">
        <f t="shared" si="7"/>
        <v>2655.1</v>
      </c>
      <c r="D13" s="80">
        <f t="shared" si="7"/>
        <v>3973.2</v>
      </c>
      <c r="E13" s="80">
        <f t="shared" si="7"/>
        <v>6650.9000000000005</v>
      </c>
      <c r="F13" s="80">
        <f t="shared" si="7"/>
        <v>7215.6</v>
      </c>
      <c r="G13" s="80">
        <f t="shared" si="7"/>
        <v>8931.4</v>
      </c>
      <c r="H13" s="81">
        <f t="shared" si="7"/>
        <v>9042.4</v>
      </c>
      <c r="I13" s="80">
        <f t="shared" si="7"/>
        <v>10030.178168180362</v>
      </c>
      <c r="J13" s="80">
        <f t="shared" si="7"/>
        <v>11809.557229251746</v>
      </c>
      <c r="K13" s="80">
        <f t="shared" si="7"/>
        <v>13902.956478892145</v>
      </c>
      <c r="L13" s="80">
        <f t="shared" si="7"/>
        <v>16365.793383220074</v>
      </c>
      <c r="M13" s="124">
        <f t="shared" si="7"/>
        <v>19263.265338634938</v>
      </c>
      <c r="N13" s="6"/>
      <c r="O13" s="6"/>
      <c r="P13" s="7"/>
      <c r="Q13" s="7"/>
      <c r="R13" s="33"/>
      <c r="S13" s="33"/>
      <c r="T13" s="33"/>
    </row>
    <row r="14" spans="1:20" ht="24.95" customHeight="1">
      <c r="A14" s="123" t="s">
        <v>18</v>
      </c>
      <c r="B14" s="113">
        <f>IFERROR(VALUE(VLOOKUP("Income Tax Expense*",'6.TIKR_IS'!$A:$H,COLUMN(B14),FALSE)),"0")</f>
        <v>-335.7</v>
      </c>
      <c r="C14" s="113">
        <f>IFERROR(VALUE(VLOOKUP("Income Tax Expense*",'6.TIKR_IS'!$A:$H,COLUMN(C14),FALSE)),"0")</f>
        <v>-128.80000000000001</v>
      </c>
      <c r="D14" s="113">
        <f>IFERROR(VALUE(VLOOKUP("Income Tax Expense*",'6.TIKR_IS'!$A:$H,COLUMN(D14),FALSE)),"0")</f>
        <v>-551.5</v>
      </c>
      <c r="E14" s="113">
        <f>IFERROR(VALUE(VLOOKUP("Income Tax Expense*",'6.TIKR_IS'!$A:$H,COLUMN(E14),FALSE)),"0")</f>
        <v>-1021.4</v>
      </c>
      <c r="F14" s="113">
        <f>IFERROR(VALUE(VLOOKUP("Income Tax Expense*",'6.TIKR_IS'!$A:$H,COLUMN(F14),FALSE)),"0")</f>
        <v>-1018.6</v>
      </c>
      <c r="G14" s="113">
        <f>IFERROR(VALUE(VLOOKUP("Income Tax Expense*",'6.TIKR_IS'!$A:$H,COLUMN(G14),FALSE)),"0")</f>
        <v>-1435.8</v>
      </c>
      <c r="H14" s="113">
        <f>IFERROR(VALUE(VLOOKUP("Income Tax Expense*",'6.TIKR_IS'!$A:$H,COLUMN(H14),FALSE)),"0")</f>
        <v>-1680.6</v>
      </c>
      <c r="I14" s="80">
        <f>IFERROR(-I13*I15,"")</f>
        <v>-1864.186214881438</v>
      </c>
      <c r="J14" s="80">
        <f>IFERROR(-J13*J15,"")</f>
        <v>-2194.8975802309656</v>
      </c>
      <c r="K14" s="80">
        <f>IFERROR(-K13*K15,"")</f>
        <v>-2583.9720271638212</v>
      </c>
      <c r="L14" s="80">
        <f>IFERROR(-L13*L15,"")</f>
        <v>-3041.7093205166389</v>
      </c>
      <c r="M14" s="124">
        <f>IFERROR(-M13*M15,"")</f>
        <v>-3580.2269008349413</v>
      </c>
      <c r="N14" s="6"/>
      <c r="O14" s="6"/>
      <c r="P14" s="6"/>
      <c r="Q14" s="6"/>
      <c r="R14" s="33"/>
      <c r="S14" s="33"/>
      <c r="T14" s="33"/>
    </row>
    <row r="15" spans="1:20" ht="24.95" customHeight="1">
      <c r="A15" s="102" t="s">
        <v>19</v>
      </c>
      <c r="B15" s="111">
        <f t="shared" ref="B15:H15" si="8">IFERROR((ABS(B14)/B13),"")</f>
        <v>0.11933030001421867</v>
      </c>
      <c r="C15" s="11">
        <f t="shared" si="8"/>
        <v>4.851041392037965E-2</v>
      </c>
      <c r="D15" s="11">
        <f t="shared" si="8"/>
        <v>0.13880499345615627</v>
      </c>
      <c r="E15" s="11">
        <f t="shared" si="8"/>
        <v>0.15357320061946503</v>
      </c>
      <c r="F15" s="11">
        <f t="shared" si="8"/>
        <v>0.14116636177171682</v>
      </c>
      <c r="G15" s="11">
        <f t="shared" si="8"/>
        <v>0.1607586716528204</v>
      </c>
      <c r="H15" s="10">
        <f t="shared" si="8"/>
        <v>0.18585773688401308</v>
      </c>
      <c r="I15" s="11">
        <f>$Q$5</f>
        <v>0.18585773688401308</v>
      </c>
      <c r="J15" s="11">
        <f>$Q$5</f>
        <v>0.18585773688401308</v>
      </c>
      <c r="K15" s="11">
        <f>$Q$5</f>
        <v>0.18585773688401308</v>
      </c>
      <c r="L15" s="11">
        <f>$Q$5</f>
        <v>0.18585773688401308</v>
      </c>
      <c r="M15" s="120">
        <f>$Q$5</f>
        <v>0.18585773688401308</v>
      </c>
      <c r="N15" s="6"/>
      <c r="O15" s="6"/>
      <c r="P15" s="7"/>
      <c r="Q15" s="7"/>
      <c r="R15" s="33"/>
      <c r="S15" s="33"/>
      <c r="T15" s="33"/>
    </row>
    <row r="16" spans="1:20" ht="24.95" customHeight="1">
      <c r="A16" s="102" t="s">
        <v>20</v>
      </c>
      <c r="B16" s="115">
        <f t="shared" ref="B16:H16" si="9">B13+B14</f>
        <v>2477.5000000000005</v>
      </c>
      <c r="C16" s="80">
        <f t="shared" si="9"/>
        <v>2526.2999999999997</v>
      </c>
      <c r="D16" s="80">
        <f t="shared" si="9"/>
        <v>3421.7</v>
      </c>
      <c r="E16" s="80">
        <f t="shared" si="9"/>
        <v>5629.5000000000009</v>
      </c>
      <c r="F16" s="80">
        <f t="shared" si="9"/>
        <v>6197</v>
      </c>
      <c r="G16" s="80">
        <f t="shared" si="9"/>
        <v>7495.5999999999995</v>
      </c>
      <c r="H16" s="81">
        <f t="shared" si="9"/>
        <v>7361.7999999999993</v>
      </c>
      <c r="I16" s="80">
        <f>IFERROR(I13+I14,"")</f>
        <v>8165.9919532989243</v>
      </c>
      <c r="J16" s="80">
        <f>IFERROR(J13+J14,"")</f>
        <v>9614.6596490207812</v>
      </c>
      <c r="K16" s="80">
        <f>IFERROR(K13+K14,"")</f>
        <v>11318.984451728324</v>
      </c>
      <c r="L16" s="80">
        <f>IFERROR(L13+L14,"")</f>
        <v>13324.084062703436</v>
      </c>
      <c r="M16" s="124">
        <f>IFERROR(M13+M14,"")</f>
        <v>15683.038437799996</v>
      </c>
      <c r="N16" s="6"/>
      <c r="O16" s="6"/>
      <c r="P16" s="7"/>
      <c r="Q16" s="7"/>
      <c r="R16" s="33"/>
      <c r="S16" s="33"/>
      <c r="T16" s="33"/>
    </row>
    <row r="17" spans="1:20" ht="24.95" customHeight="1">
      <c r="A17" s="123" t="s">
        <v>21</v>
      </c>
      <c r="B17" s="113" t="str">
        <f>IFERROR(VALUE(VLOOKUP("Minority Interest*",'6.TIKR_IS'!$A:$H,COLUMN(B17),FALSE)),"0")</f>
        <v>0</v>
      </c>
      <c r="C17" s="113" t="str">
        <f>IFERROR(VALUE(VLOOKUP("Minority Interest*",'6.TIKR_IS'!$A:$H,COLUMN(C17),FALSE)),"0")</f>
        <v>0</v>
      </c>
      <c r="D17" s="113" t="str">
        <f>IFERROR(VALUE(VLOOKUP("Minority Interest*",'6.TIKR_IS'!$A:$H,COLUMN(D17),FALSE)),"0")</f>
        <v>0</v>
      </c>
      <c r="E17" s="113" t="str">
        <f>IFERROR(VALUE(VLOOKUP("Minority Interest*",'6.TIKR_IS'!$A:$H,COLUMN(E17),FALSE)),"0")</f>
        <v>0</v>
      </c>
      <c r="F17" s="113" t="str">
        <f>IFERROR(VALUE(VLOOKUP("Minority Interest*",'6.TIKR_IS'!$A:$H,COLUMN(F17),FALSE)),"0")</f>
        <v>0</v>
      </c>
      <c r="G17" s="113" t="str">
        <f>IFERROR(VALUE(VLOOKUP("Minority Interest*",'6.TIKR_IS'!$A:$H,COLUMN(G17),FALSE)),"0")</f>
        <v>0</v>
      </c>
      <c r="H17" s="113" t="str">
        <f>IFERROR(VALUE(VLOOKUP("Minority Interest*",'6.TIKR_IS'!$A:$H,COLUMN(H17),FALSE)),"0")</f>
        <v>0</v>
      </c>
      <c r="I17" s="80">
        <f>IFERROR(H17/H16*I16,"")</f>
        <v>0</v>
      </c>
      <c r="J17" s="80">
        <f>IFERROR(I17/I16*J16,"")</f>
        <v>0</v>
      </c>
      <c r="K17" s="80">
        <f>IFERROR(J17/J16*K16,"")</f>
        <v>0</v>
      </c>
      <c r="L17" s="80">
        <f>IFERROR(K17/K16*L16,"")</f>
        <v>0</v>
      </c>
      <c r="M17" s="124">
        <f>IFERROR(L17/L16*M16,"")</f>
        <v>0</v>
      </c>
      <c r="N17" s="6"/>
      <c r="O17" s="6"/>
      <c r="P17" s="7"/>
      <c r="Q17" s="7"/>
      <c r="R17" s="33"/>
      <c r="S17" s="33"/>
      <c r="T17" s="33"/>
    </row>
    <row r="18" spans="1:20" ht="24.95" customHeight="1">
      <c r="A18" s="121" t="s">
        <v>22</v>
      </c>
      <c r="B18" s="112">
        <f t="shared" ref="B18:H18" si="10">B16+B17</f>
        <v>2477.5000000000005</v>
      </c>
      <c r="C18" s="78">
        <f t="shared" si="10"/>
        <v>2526.2999999999997</v>
      </c>
      <c r="D18" s="78">
        <f t="shared" si="10"/>
        <v>3421.7</v>
      </c>
      <c r="E18" s="78">
        <f t="shared" si="10"/>
        <v>5629.5000000000009</v>
      </c>
      <c r="F18" s="78">
        <f t="shared" si="10"/>
        <v>6197</v>
      </c>
      <c r="G18" s="78">
        <f t="shared" si="10"/>
        <v>7495.5999999999995</v>
      </c>
      <c r="H18" s="79">
        <f t="shared" si="10"/>
        <v>7361.7999999999993</v>
      </c>
      <c r="I18" s="78">
        <f>IFERROR(I16+I17,"")</f>
        <v>8165.9919532989243</v>
      </c>
      <c r="J18" s="78">
        <f>IFERROR(J16+J17,"")</f>
        <v>9614.6596490207812</v>
      </c>
      <c r="K18" s="78">
        <f>IFERROR(K16+K17,"")</f>
        <v>11318.984451728324</v>
      </c>
      <c r="L18" s="78">
        <f>IFERROR(L16+L17,"")</f>
        <v>13324.084062703436</v>
      </c>
      <c r="M18" s="122">
        <f>IFERROR(M16+M17,"")</f>
        <v>15683.038437799996</v>
      </c>
      <c r="N18" s="6"/>
      <c r="O18" s="6"/>
      <c r="P18" s="7"/>
      <c r="Q18" s="7"/>
      <c r="R18" s="33"/>
      <c r="S18" s="33"/>
      <c r="T18" s="33"/>
    </row>
    <row r="19" spans="1:20" ht="24.95" customHeight="1">
      <c r="A19" s="102" t="s">
        <v>23</v>
      </c>
      <c r="B19" s="111">
        <f t="shared" ref="B19:M19" si="11">IFERROR(B18/B3,"")</f>
        <v>0.22637975146198835</v>
      </c>
      <c r="C19" s="11">
        <f t="shared" si="11"/>
        <v>0.21373096446700504</v>
      </c>
      <c r="D19" s="11">
        <f t="shared" si="11"/>
        <v>0.24478305969882319</v>
      </c>
      <c r="E19" s="11">
        <f t="shared" si="11"/>
        <v>0.30248240288001726</v>
      </c>
      <c r="F19" s="11">
        <f t="shared" si="11"/>
        <v>0.2926785495007887</v>
      </c>
      <c r="G19" s="11">
        <f t="shared" si="11"/>
        <v>0.27198867862909809</v>
      </c>
      <c r="H19" s="10">
        <f t="shared" si="11"/>
        <v>0.26047574735784362</v>
      </c>
      <c r="I19" s="11">
        <f t="shared" si="11"/>
        <v>0.24558884535513437</v>
      </c>
      <c r="J19" s="11">
        <f t="shared" si="11"/>
        <v>0.24578196742567268</v>
      </c>
      <c r="K19" s="11">
        <f t="shared" si="11"/>
        <v>0.24594612023532209</v>
      </c>
      <c r="L19" s="11">
        <f t="shared" si="11"/>
        <v>0.24608564931576696</v>
      </c>
      <c r="M19" s="120">
        <f t="shared" si="11"/>
        <v>0.24620424834755544</v>
      </c>
      <c r="N19" s="6"/>
      <c r="O19" s="6"/>
      <c r="P19" s="7"/>
      <c r="Q19" s="7"/>
      <c r="R19" s="33"/>
      <c r="S19" s="33"/>
      <c r="T19" s="33"/>
    </row>
    <row r="20" spans="1:20" ht="24.95" customHeight="1">
      <c r="A20" s="102" t="s">
        <v>24</v>
      </c>
      <c r="B20" s="116">
        <f t="shared" ref="B20:M20" si="12">IFERROR(B18/B22,"")</f>
        <v>5.8102720450281442</v>
      </c>
      <c r="C20" s="82">
        <f t="shared" si="12"/>
        <v>5.9921726755218208</v>
      </c>
      <c r="D20" s="82">
        <f t="shared" si="12"/>
        <v>8.1643999045573832</v>
      </c>
      <c r="E20" s="82">
        <f t="shared" si="12"/>
        <v>13.717105263157897</v>
      </c>
      <c r="F20" s="82">
        <f t="shared" si="12"/>
        <v>15.57035175879397</v>
      </c>
      <c r="G20" s="82">
        <f t="shared" si="12"/>
        <v>19.019538188277085</v>
      </c>
      <c r="H20" s="83">
        <f t="shared" si="12"/>
        <v>18.703760162601622</v>
      </c>
      <c r="I20" s="82">
        <f t="shared" si="12"/>
        <v>21.024552027952982</v>
      </c>
      <c r="J20" s="82">
        <f t="shared" si="12"/>
        <v>25.08560685697832</v>
      </c>
      <c r="K20" s="82">
        <f t="shared" si="12"/>
        <v>29.927542279219917</v>
      </c>
      <c r="L20" s="82">
        <f t="shared" si="12"/>
        <v>35.700462860204333</v>
      </c>
      <c r="M20" s="125">
        <f t="shared" si="12"/>
        <v>42.583326344656413</v>
      </c>
      <c r="N20" s="6"/>
      <c r="O20" s="6"/>
      <c r="P20" s="6"/>
      <c r="Q20" s="6"/>
      <c r="R20" s="33"/>
      <c r="S20" s="33"/>
      <c r="T20" s="33"/>
    </row>
    <row r="21" spans="1:20" ht="24.95" customHeight="1">
      <c r="A21" s="102" t="s">
        <v>5</v>
      </c>
      <c r="B21" s="111"/>
      <c r="C21" s="11">
        <f t="shared" ref="C21:M21" si="13">IFERROR((C20-B20)/B20,"")</f>
        <v>3.1306732126136695E-2</v>
      </c>
      <c r="D21" s="11">
        <f t="shared" si="13"/>
        <v>0.36251078643130002</v>
      </c>
      <c r="E21" s="11">
        <f t="shared" si="13"/>
        <v>0.68011187882908375</v>
      </c>
      <c r="F21" s="11">
        <f t="shared" si="13"/>
        <v>0.13510478049721009</v>
      </c>
      <c r="G21" s="11">
        <f t="shared" si="13"/>
        <v>0.22152270436247856</v>
      </c>
      <c r="H21" s="10">
        <f t="shared" si="13"/>
        <v>-1.6602822978640821E-2</v>
      </c>
      <c r="I21" s="11">
        <f t="shared" si="13"/>
        <v>0.12408156676387508</v>
      </c>
      <c r="J21" s="11">
        <f t="shared" si="13"/>
        <v>0.19315773404474934</v>
      </c>
      <c r="K21" s="11">
        <f t="shared" si="13"/>
        <v>0.19301647553703358</v>
      </c>
      <c r="L21" s="11">
        <f t="shared" si="13"/>
        <v>0.19289658091947037</v>
      </c>
      <c r="M21" s="120">
        <f t="shared" si="13"/>
        <v>0.19279479684630302</v>
      </c>
      <c r="N21" s="6"/>
      <c r="O21" s="6"/>
      <c r="P21" s="6"/>
      <c r="Q21" s="6"/>
      <c r="R21" s="33"/>
      <c r="S21" s="33"/>
      <c r="T21" s="33"/>
    </row>
    <row r="22" spans="1:20" ht="24.95" customHeight="1">
      <c r="A22" s="123" t="s">
        <v>25</v>
      </c>
      <c r="B22" s="117">
        <f>IFERROR(VALUE(VLOOKUP("*Diluted Weighted Average Shares Outstanding*",'6.TIKR_IS'!$A:$H,COLUMN(B22),FALSE)),"0")</f>
        <v>426.4</v>
      </c>
      <c r="C22" s="117">
        <f>IFERROR(VALUE(VLOOKUP("*Diluted Weighted Average Shares Outstanding*",'6.TIKR_IS'!$A:$H,COLUMN(C22),FALSE)),"0")</f>
        <v>421.6</v>
      </c>
      <c r="D22" s="117">
        <f>IFERROR(VALUE(VLOOKUP("*Diluted Weighted Average Shares Outstanding*",'6.TIKR_IS'!$A:$H,COLUMN(D22),FALSE)),"0")</f>
        <v>419.1</v>
      </c>
      <c r="E22" s="117">
        <f>IFERROR(VALUE(VLOOKUP("*Diluted Weighted Average Shares Outstanding*",'6.TIKR_IS'!$A:$H,COLUMN(E22),FALSE)),"0")</f>
        <v>410.4</v>
      </c>
      <c r="F22" s="117">
        <f>IFERROR(VALUE(VLOOKUP("*Diluted Weighted Average Shares Outstanding*",'6.TIKR_IS'!$A:$H,COLUMN(F22),FALSE)),"0")</f>
        <v>398</v>
      </c>
      <c r="G22" s="117">
        <f>IFERROR(VALUE(VLOOKUP("*Diluted Weighted Average Shares Outstanding*",'6.TIKR_IS'!$A:$H,COLUMN(G22),FALSE)),"0")</f>
        <v>394.1</v>
      </c>
      <c r="H22" s="117">
        <f>IFERROR(VALUE(VLOOKUP("*Diluted Weighted Average Shares Outstanding*",'6.TIKR_IS'!$A:$H,COLUMN(H22),FALSE)),"0")</f>
        <v>393.6</v>
      </c>
      <c r="I22" s="12">
        <f>IFERROR(H22*(1+$Q$6),"")</f>
        <v>388.40266096713555</v>
      </c>
      <c r="J22" s="12">
        <f>IFERROR(I22*(1+$Q$6),"")</f>
        <v>383.27395082914541</v>
      </c>
      <c r="K22" s="12">
        <f>IFERROR(J22*(1+$Q$6),"")</f>
        <v>378.212963367447</v>
      </c>
      <c r="L22" s="12">
        <f>IFERROR(K22*(1+$Q$6),"")</f>
        <v>373.21880432973114</v>
      </c>
      <c r="M22" s="126">
        <f>IFERROR(L22*(1+$Q$6),"")</f>
        <v>368.29059127195188</v>
      </c>
      <c r="N22" s="6"/>
      <c r="O22" s="6"/>
      <c r="P22" s="7"/>
      <c r="Q22" s="7"/>
      <c r="R22" s="33"/>
      <c r="S22" s="33"/>
      <c r="T22" s="33"/>
    </row>
    <row r="23" spans="1:20" ht="24.95" customHeight="1">
      <c r="A23" s="28" t="s">
        <v>5</v>
      </c>
      <c r="B23" s="127"/>
      <c r="C23" s="128">
        <f t="shared" ref="C23:M23" si="14">IFERROR((C22-B22)/B22,"")</f>
        <v>-1.1257035647279444E-2</v>
      </c>
      <c r="D23" s="128">
        <f t="shared" si="14"/>
        <v>-5.9297912713472479E-3</v>
      </c>
      <c r="E23" s="128">
        <f t="shared" si="14"/>
        <v>-2.0758768790264961E-2</v>
      </c>
      <c r="F23" s="128">
        <f t="shared" si="14"/>
        <v>-3.0214424951267003E-2</v>
      </c>
      <c r="G23" s="128">
        <f t="shared" si="14"/>
        <v>-9.7989949748743151E-3</v>
      </c>
      <c r="H23" s="129">
        <f t="shared" si="14"/>
        <v>-1.2687135244861709E-3</v>
      </c>
      <c r="I23" s="128">
        <f t="shared" si="14"/>
        <v>-1.3204621526586576E-2</v>
      </c>
      <c r="J23" s="128">
        <f t="shared" si="14"/>
        <v>-1.3204621526586562E-2</v>
      </c>
      <c r="K23" s="128">
        <f t="shared" si="14"/>
        <v>-1.3204621526586536E-2</v>
      </c>
      <c r="L23" s="128">
        <f t="shared" si="14"/>
        <v>-1.3204621526586496E-2</v>
      </c>
      <c r="M23" s="130">
        <f t="shared" si="14"/>
        <v>-1.3204621526586547E-2</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26</v>
      </c>
    </row>
    <row r="2" spans="1:14" s="6" customFormat="1" ht="39.950000000000003" customHeight="1">
      <c r="A2" s="108" t="s">
        <v>27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1" t="s">
        <v>7</v>
      </c>
      <c r="B3" s="112">
        <f>VALUE('1.IS'!B5)</f>
        <v>3616.8</v>
      </c>
      <c r="C3" s="112">
        <f>VALUE('1.IS'!C5)</f>
        <v>3545</v>
      </c>
      <c r="D3" s="112">
        <f>VALUE('1.IS'!D5)</f>
        <v>4542.3</v>
      </c>
      <c r="E3" s="112">
        <f>VALUE('1.IS'!E5)</f>
        <v>7221.1</v>
      </c>
      <c r="F3" s="112">
        <f>VALUE('1.IS'!F5)</f>
        <v>8196.9</v>
      </c>
      <c r="G3" s="112">
        <f>VALUE('1.IS'!G5)</f>
        <v>9828.5</v>
      </c>
      <c r="H3" s="112">
        <f>VALUE('1.IS'!H5)</f>
        <v>9941.2000000000007</v>
      </c>
      <c r="I3" s="112">
        <f>'1.IS'!I5</f>
        <v>11240.908248470383</v>
      </c>
      <c r="J3" s="78">
        <f>'1.IS'!J5</f>
        <v>13224.674498785978</v>
      </c>
      <c r="K3" s="78">
        <f>'1.IS'!K5</f>
        <v>15558.530657221472</v>
      </c>
      <c r="L3" s="78">
        <f>'1.IS'!L5</f>
        <v>18304.259680185107</v>
      </c>
      <c r="M3" s="122">
        <f>'1.IS'!M5</f>
        <v>21534.547819535845</v>
      </c>
      <c r="N3" s="9"/>
    </row>
    <row r="4" spans="1:14" s="6" customFormat="1" ht="24.95" customHeight="1">
      <c r="A4" s="123" t="s">
        <v>28</v>
      </c>
      <c r="B4" s="113">
        <f>IFERROR(VALUE(VLOOKUP("CapEx Mantenimiento",TIKR_Cálculos!$A:$H,COLUMN(B4),FALSE)),"0")</f>
        <v>195.79999999999995</v>
      </c>
      <c r="C4" s="113">
        <f>IFERROR(VALUE(VLOOKUP("CapEx Mantenimiento",TIKR_Cálculos!$A:$H,COLUMN(C4),FALSE)),"0")</f>
        <v>-172.5</v>
      </c>
      <c r="D4" s="113">
        <f>IFERROR(VALUE(VLOOKUP("CapEx Mantenimiento",TIKR_Cálculos!$A:$H,COLUMN(D4),FALSE)),"0")</f>
        <v>358.29999999999995</v>
      </c>
      <c r="E4" s="113">
        <f>IFERROR(VALUE(VLOOKUP("CapEx Mantenimiento",TIKR_Cálculos!$A:$H,COLUMN(E4),FALSE)),"0")</f>
        <v>-471</v>
      </c>
      <c r="F4" s="113">
        <f>IFERROR(VALUE(VLOOKUP("CapEx Mantenimiento",TIKR_Cálculos!$A:$H,COLUMN(F4),FALSE)),"0")</f>
        <v>-875.9</v>
      </c>
      <c r="G4" s="113">
        <f>IFERROR(VALUE(VLOOKUP("CapEx Mantenimiento",TIKR_Cálculos!$A:$H,COLUMN(G4),FALSE)),"0")</f>
        <v>-786.2</v>
      </c>
      <c r="H4" s="113">
        <f>IFERROR(VALUE(VLOOKUP("CapEx Mantenimiento",TIKR_Cálculos!$A:$H,COLUMN(H4),FALSE)),"0")</f>
        <v>-918.6</v>
      </c>
      <c r="I4" s="131">
        <f>IFERROR((H4*'1.IS'!$Q$3)+'2.FCF'!H4,"")</f>
        <v>-1080.7121387400236</v>
      </c>
      <c r="J4" s="84">
        <f>IFERROR((I4*'1.IS'!$Q$3)+'2.FCF'!I4,"")</f>
        <v>-1271.4334060745002</v>
      </c>
      <c r="K4" s="84">
        <f>IFERROR((J4*'1.IS'!$Q$3)+'2.FCF'!J4,"")</f>
        <v>-1495.8126666060157</v>
      </c>
      <c r="L4" s="84">
        <f>IFERROR((K4*'1.IS'!$Q$3)+'2.FCF'!K4,"")</f>
        <v>-1759.7897954302252</v>
      </c>
      <c r="M4" s="136">
        <f>IFERROR((L4*'1.IS'!$Q$3)+'2.FCF'!L4,"")</f>
        <v>-2070.3529213501711</v>
      </c>
      <c r="N4" s="15"/>
    </row>
    <row r="5" spans="1:14" s="6" customFormat="1" ht="24.95" customHeight="1">
      <c r="A5" s="101" t="s">
        <v>29</v>
      </c>
      <c r="B5" s="131">
        <f>VALUE('1.IS'!B12)</f>
        <v>-70.099999999999994</v>
      </c>
      <c r="C5" s="131">
        <f>VALUE('1.IS'!C12)</f>
        <v>-61.6</v>
      </c>
      <c r="D5" s="131">
        <f>VALUE('1.IS'!D12)</f>
        <v>-78.3</v>
      </c>
      <c r="E5" s="131">
        <f>VALUE('1.IS'!E12)</f>
        <v>-99.2</v>
      </c>
      <c r="F5" s="131">
        <f>VALUE('1.IS'!F12)</f>
        <v>-105.4</v>
      </c>
      <c r="G5" s="131">
        <f>VALUE('1.IS'!G12)</f>
        <v>-110.89999999999999</v>
      </c>
      <c r="H5" s="131">
        <f>VALUE('1.IS'!H12)</f>
        <v>19.8</v>
      </c>
      <c r="I5" s="131">
        <f>'1.IS'!I12</f>
        <v>-130.01794154999635</v>
      </c>
      <c r="J5" s="84">
        <f>'1.IS'!J12</f>
        <v>-143.68386345973107</v>
      </c>
      <c r="K5" s="84">
        <f>'1.IS'!K12</f>
        <v>-159.76151172330995</v>
      </c>
      <c r="L5" s="84">
        <f>'1.IS'!L12</f>
        <v>-178.67650153480804</v>
      </c>
      <c r="M5" s="136">
        <f>'1.IS'!M12</f>
        <v>-200.92955955073427</v>
      </c>
      <c r="N5" s="15"/>
    </row>
    <row r="6" spans="1:14" s="6" customFormat="1" ht="24.95" customHeight="1">
      <c r="A6" s="101" t="s">
        <v>30</v>
      </c>
      <c r="B6" s="131">
        <f>'1.IS'!B14</f>
        <v>-335.7</v>
      </c>
      <c r="C6" s="84">
        <f>'1.IS'!C14</f>
        <v>-128.80000000000001</v>
      </c>
      <c r="D6" s="84">
        <f>'1.IS'!D14</f>
        <v>-551.5</v>
      </c>
      <c r="E6" s="84">
        <f>'1.IS'!E14</f>
        <v>-1021.4</v>
      </c>
      <c r="F6" s="84">
        <f>'1.IS'!F14</f>
        <v>-1018.6</v>
      </c>
      <c r="G6" s="84">
        <f>'1.IS'!G14</f>
        <v>-1435.8</v>
      </c>
      <c r="H6" s="84">
        <f>'1.IS'!H14</f>
        <v>-1680.6</v>
      </c>
      <c r="I6" s="131">
        <f>'1.IS'!I14</f>
        <v>-1864.186214881438</v>
      </c>
      <c r="J6" s="84">
        <f>'1.IS'!J14</f>
        <v>-2194.8975802309656</v>
      </c>
      <c r="K6" s="84">
        <f>'1.IS'!K14</f>
        <v>-2583.9720271638212</v>
      </c>
      <c r="L6" s="84">
        <f>'1.IS'!L14</f>
        <v>-3041.7093205166389</v>
      </c>
      <c r="M6" s="136">
        <f>'1.IS'!M14</f>
        <v>-3580.2269008349413</v>
      </c>
      <c r="N6" s="15"/>
    </row>
    <row r="7" spans="1:14" s="6" customFormat="1" ht="24.95" customHeight="1">
      <c r="A7" s="137" t="s">
        <v>31</v>
      </c>
      <c r="B7" s="113">
        <f>IFERROR(VALUE(VLOOKUP("Inventory*",'7.TIKR_BS'!$A:$H,COLUMN(B7),FALSE)),"0")</f>
        <v>3439.5</v>
      </c>
      <c r="C7" s="113">
        <f>IFERROR(VALUE(VLOOKUP("Inventory*",'7.TIKR_BS'!$A:$H,COLUMN(C7),FALSE)),"0")</f>
        <v>3809.2</v>
      </c>
      <c r="D7" s="113">
        <f>IFERROR(VALUE(VLOOKUP("Inventory*",'7.TIKR_BS'!$A:$H,COLUMN(D7),FALSE)),"0")</f>
        <v>4569.3999999999996</v>
      </c>
      <c r="E7" s="113">
        <f>IFERROR(VALUE(VLOOKUP("Inventory*",'7.TIKR_BS'!$A:$H,COLUMN(E7),FALSE)),"0")</f>
        <v>5179.2</v>
      </c>
      <c r="F7" s="113">
        <f>IFERROR(VALUE(VLOOKUP("Inventory*",'7.TIKR_BS'!$A:$H,COLUMN(F7),FALSE)),"0")</f>
        <v>7199.7</v>
      </c>
      <c r="G7" s="113">
        <f>IFERROR(VALUE(VLOOKUP("Inventory*",'7.TIKR_BS'!$A:$H,COLUMN(G7),FALSE)),"0")</f>
        <v>9542.6</v>
      </c>
      <c r="H7" s="113">
        <f>IFERROR(VALUE(VLOOKUP("Inventory*",'7.TIKR_BS'!$A:$H,COLUMN(H7),FALSE)),"0")</f>
        <v>10891.5</v>
      </c>
      <c r="I7" s="132"/>
      <c r="J7" s="85"/>
      <c r="K7" s="85"/>
      <c r="L7" s="85"/>
      <c r="M7" s="138"/>
      <c r="N7" s="15"/>
    </row>
    <row r="8" spans="1:14" s="6" customFormat="1" ht="24.95" customHeight="1">
      <c r="A8" s="137" t="s">
        <v>32</v>
      </c>
      <c r="B8" s="113">
        <f>IFERROR(VALUE(VLOOKUP("Net Receivables*",'7.TIKR_BS'!$A:$H,COLUMN(B8),FALSE)),"0")</f>
        <v>2400.9</v>
      </c>
      <c r="C8" s="113">
        <f>IFERROR(VALUE(VLOOKUP("Net Receivables*",'7.TIKR_BS'!$A:$H,COLUMN(C8),FALSE)),"0")</f>
        <v>2850.5</v>
      </c>
      <c r="D8" s="113">
        <f>IFERROR(VALUE(VLOOKUP("Net Receivables*",'7.TIKR_BS'!$A:$H,COLUMN(D8),FALSE)),"0")</f>
        <v>3207.3</v>
      </c>
      <c r="E8" s="113">
        <f>IFERROR(VALUE(VLOOKUP("Net Receivables*",'7.TIKR_BS'!$A:$H,COLUMN(E8),FALSE)),"0")</f>
        <v>4420.2</v>
      </c>
      <c r="F8" s="113">
        <f>IFERROR(VALUE(VLOOKUP("Net Receivables*",'7.TIKR_BS'!$A:$H,COLUMN(F8),FALSE)),"0")</f>
        <v>7047</v>
      </c>
      <c r="G8" s="113">
        <f>IFERROR(VALUE(VLOOKUP("Net Receivables*",'7.TIKR_BS'!$A:$H,COLUMN(G8),FALSE)),"0")</f>
        <v>7256.8</v>
      </c>
      <c r="H8" s="113">
        <f>IFERROR(VALUE(VLOOKUP("Net Receivables*",'7.TIKR_BS'!$A:$H,COLUMN(H8),FALSE)),"0")</f>
        <v>5164.3</v>
      </c>
      <c r="I8" s="132"/>
      <c r="J8" s="85"/>
      <c r="K8" s="85"/>
      <c r="L8" s="85"/>
      <c r="M8" s="138"/>
      <c r="N8" s="15"/>
    </row>
    <row r="9" spans="1:14" s="6" customFormat="1" ht="24.95" customHeight="1">
      <c r="A9" s="137" t="s">
        <v>33</v>
      </c>
      <c r="B9" s="113">
        <f>IFERROR(VALUE(VLOOKUP("Other Current Liabilities*",'7.TIKR_BS'!$A:$H,COLUMN(B9),FALSE)),"0")+IFERROR(VALUE(VLOOKUP("Deferred Revenue*",'7.TIKR_BS'!$A:$H,COLUMN(B9),FALSE)),"0")+IFERROR(VALUE(VLOOKUP("Deferred Revenue Non Current*",'7.TIKR_BS'!$A:$H,COLUMN(B9),FALSE)),"0")</f>
        <v>3864.6</v>
      </c>
      <c r="C9" s="113">
        <f>IFERROR(VALUE(VLOOKUP("Other Current Liabilities*",'7.TIKR_BS'!$A:$H,COLUMN(C9),FALSE)),"0")+IFERROR(VALUE(VLOOKUP("Deferred Revenue*",'7.TIKR_BS'!$A:$H,COLUMN(C9),FALSE)),"0")+IFERROR(VALUE(VLOOKUP("Deferred Revenue Non Current*",'7.TIKR_BS'!$A:$H,COLUMN(C9),FALSE)),"0")</f>
        <v>4289.8999999999996</v>
      </c>
      <c r="D9" s="113">
        <f>IFERROR(VALUE(VLOOKUP("Other Current Liabilities*",'7.TIKR_BS'!$A:$H,COLUMN(D9),FALSE)),"0")+IFERROR(VALUE(VLOOKUP("Deferred Revenue*",'7.TIKR_BS'!$A:$H,COLUMN(D9),FALSE)),"0")+IFERROR(VALUE(VLOOKUP("Deferred Revenue Non Current*",'7.TIKR_BS'!$A:$H,COLUMN(D9),FALSE)),"0")</f>
        <v>6850.1</v>
      </c>
      <c r="E9" s="113">
        <f>IFERROR(VALUE(VLOOKUP("Other Current Liabilities*",'7.TIKR_BS'!$A:$H,COLUMN(E9),FALSE)),"0")+IFERROR(VALUE(VLOOKUP("Deferred Revenue*",'7.TIKR_BS'!$A:$H,COLUMN(E9),FALSE)),"0")+IFERROR(VALUE(VLOOKUP("Deferred Revenue Non Current*",'7.TIKR_BS'!$A:$H,COLUMN(E9),FALSE)),"0")</f>
        <v>12898.3</v>
      </c>
      <c r="F9" s="113">
        <f>IFERROR(VALUE(VLOOKUP("Other Current Liabilities*",'7.TIKR_BS'!$A:$H,COLUMN(F9),FALSE)),"0")+IFERROR(VALUE(VLOOKUP("Deferred Revenue*",'7.TIKR_BS'!$A:$H,COLUMN(F9),FALSE)),"0")+IFERROR(VALUE(VLOOKUP("Deferred Revenue Non Current*",'7.TIKR_BS'!$A:$H,COLUMN(F9),FALSE)),"0")</f>
        <v>19722.8</v>
      </c>
      <c r="G9" s="113">
        <f>IFERROR(VALUE(VLOOKUP("Other Current Liabilities*",'7.TIKR_BS'!$A:$H,COLUMN(G9),FALSE)),"0")+IFERROR(VALUE(VLOOKUP("Deferred Revenue*",'7.TIKR_BS'!$A:$H,COLUMN(G9),FALSE)),"0")+IFERROR(VALUE(VLOOKUP("Deferred Revenue Non Current*",'7.TIKR_BS'!$A:$H,COLUMN(G9),FALSE)),"0")</f>
        <v>18706.099999999999</v>
      </c>
      <c r="H9" s="113">
        <f>IFERROR(VALUE(VLOOKUP("Other Current Liabilities*",'7.TIKR_BS'!$A:$H,COLUMN(H9),FALSE)),"0")+IFERROR(VALUE(VLOOKUP("Deferred Revenue*",'7.TIKR_BS'!$A:$H,COLUMN(H9),FALSE)),"0")+IFERROR(VALUE(VLOOKUP("Deferred Revenue Non Current*",'7.TIKR_BS'!$A:$H,COLUMN(H9),FALSE)),"0")</f>
        <v>25676.800000000003</v>
      </c>
      <c r="I9" s="132"/>
      <c r="J9" s="85"/>
      <c r="K9" s="85"/>
      <c r="L9" s="85"/>
      <c r="M9" s="138"/>
      <c r="N9" s="15"/>
    </row>
    <row r="10" spans="1:14" s="6" customFormat="1" ht="24.95" customHeight="1" thickBot="1">
      <c r="A10" s="139" t="s">
        <v>34</v>
      </c>
      <c r="B10" s="131">
        <f>B7+B8-B9</f>
        <v>1975.7999999999997</v>
      </c>
      <c r="C10" s="84">
        <f t="shared" ref="C10:H10" si="0">C7+C8-C9</f>
        <v>2369.8000000000002</v>
      </c>
      <c r="D10" s="84">
        <f t="shared" si="0"/>
        <v>926.59999999999945</v>
      </c>
      <c r="E10" s="84">
        <f t="shared" si="0"/>
        <v>-3298.8999999999996</v>
      </c>
      <c r="F10" s="84">
        <f t="shared" si="0"/>
        <v>-5476.0999999999985</v>
      </c>
      <c r="G10" s="84">
        <f t="shared" si="0"/>
        <v>-1906.6999999999971</v>
      </c>
      <c r="H10" s="84">
        <f t="shared" si="0"/>
        <v>-9621.0000000000036</v>
      </c>
      <c r="I10" s="131">
        <f>IFERROR(IF(AND(I7&lt;&gt;"",I8&lt;&gt;"",I9&lt;&gt;""),I7+I8-I9,H10+I11),"")</f>
        <v>-12797.174893435202</v>
      </c>
      <c r="J10" s="84">
        <f>IFERROR(IF(AND(J7&lt;&gt;"",J8&lt;&gt;"",J9&lt;&gt;""),J7+J8-J9,I10+J11),"")</f>
        <v>-16533.872870897339</v>
      </c>
      <c r="K10" s="84">
        <f>IFERROR(IF(AND(K7&lt;&gt;"",K8&lt;&gt;"",K9&lt;&gt;""),K7+K8-K9,J10+K11),"")</f>
        <v>-20930.013588346312</v>
      </c>
      <c r="L10" s="84">
        <f>IFERROR(IF(AND(L7&lt;&gt;"",L8&lt;&gt;"",L9&lt;&gt;""),L7+L8-L9,K10+L11),"")</f>
        <v>-26101.973785337803</v>
      </c>
      <c r="M10" s="136">
        <f>IFERROR(IF(AND(M7&lt;&gt;"",M8&lt;&gt;"",M9&lt;&gt;""),M7+M8-M9,L10+M11),"")</f>
        <v>-32186.668065730733</v>
      </c>
      <c r="N10" s="15"/>
    </row>
    <row r="11" spans="1:14" s="6" customFormat="1" ht="24.95" customHeight="1" thickTop="1" thickBot="1">
      <c r="A11" s="101" t="s">
        <v>35</v>
      </c>
      <c r="B11" s="131"/>
      <c r="C11" s="84">
        <f>(C7+C8-C9)-(B7+B8-B9)</f>
        <v>394.00000000000045</v>
      </c>
      <c r="D11" s="84">
        <f t="shared" ref="D11:H11" si="1">(D7+D8-D9)-(C7+C8-C9)</f>
        <v>-1443.2000000000007</v>
      </c>
      <c r="E11" s="84">
        <f t="shared" si="1"/>
        <v>-4225.4999999999991</v>
      </c>
      <c r="F11" s="84">
        <f t="shared" si="1"/>
        <v>-2177.1999999999989</v>
      </c>
      <c r="G11" s="84">
        <f t="shared" si="1"/>
        <v>3569.4000000000015</v>
      </c>
      <c r="H11" s="84">
        <f t="shared" si="1"/>
        <v>-7714.3000000000065</v>
      </c>
      <c r="I11" s="229">
        <f>IFERROR((SUM(C11:H11)/SUM('1.IS'!C3:H3))*'1.IS'!I3,"")</f>
        <v>-3176.1748934351981</v>
      </c>
      <c r="J11" s="230">
        <f>IFERROR(IF(AND(J7&lt;&gt;"",J8&lt;&gt;"",J9&lt;&gt;""),(J7+J8-J9)-(I7+I8-I9),(I11/'1.IS'!I3)*'1.IS'!J3),"")</f>
        <v>-3736.6979774621368</v>
      </c>
      <c r="K11" s="230">
        <f>IFERROR(IF(AND(K7&lt;&gt;"",K8&lt;&gt;"",K9&lt;&gt;""),(K7+K8-K9)-(J7+J8-J9),(J11/'1.IS'!J3)*'1.IS'!K3),"")</f>
        <v>-4396.1407174489732</v>
      </c>
      <c r="L11" s="230">
        <f>IFERROR(IF(AND(L7&lt;&gt;"",L8&lt;&gt;"",L9&lt;&gt;""),(L7+L8-L9)-(K7+K8-K9),(K11/'1.IS'!K3)*'1.IS'!L3),"")</f>
        <v>-5171.9601969914893</v>
      </c>
      <c r="M11" s="231">
        <f>IFERROR(IF(AND(M7&lt;&gt;"",M8&lt;&gt;"",M9&lt;&gt;""),(M7+M8-M9)-(L7+L8-L9),(L11/'1.IS'!L3)*'1.IS'!M3),"")</f>
        <v>-6084.6942803929305</v>
      </c>
      <c r="N11" s="15"/>
    </row>
    <row r="12" spans="1:14" s="6" customFormat="1" ht="24.95" customHeight="1" thickTop="1">
      <c r="A12" s="140" t="s">
        <v>36</v>
      </c>
      <c r="B12" s="132" t="str">
        <f>'1.IS'!B17</f>
        <v>0</v>
      </c>
      <c r="C12" s="85" t="str">
        <f>'1.IS'!C17</f>
        <v>0</v>
      </c>
      <c r="D12" s="85" t="str">
        <f>'1.IS'!D17</f>
        <v>0</v>
      </c>
      <c r="E12" s="85" t="str">
        <f>'1.IS'!E17</f>
        <v>0</v>
      </c>
      <c r="F12" s="85" t="str">
        <f>'1.IS'!F17</f>
        <v>0</v>
      </c>
      <c r="G12" s="85" t="str">
        <f>'1.IS'!G17</f>
        <v>0</v>
      </c>
      <c r="H12" s="85" t="str">
        <f>'1.IS'!H17</f>
        <v>0</v>
      </c>
      <c r="I12" s="132">
        <f>'1.IS'!I17</f>
        <v>0</v>
      </c>
      <c r="J12" s="85">
        <f>'1.IS'!J17</f>
        <v>0</v>
      </c>
      <c r="K12" s="85">
        <f>'1.IS'!K17</f>
        <v>0</v>
      </c>
      <c r="L12" s="85">
        <f>'1.IS'!L17</f>
        <v>0</v>
      </c>
      <c r="M12" s="138">
        <f>'1.IS'!M17</f>
        <v>0</v>
      </c>
      <c r="N12" s="17"/>
    </row>
    <row r="13" spans="1:14" s="6" customFormat="1" ht="24.95" customHeight="1">
      <c r="A13" s="141" t="s">
        <v>37</v>
      </c>
      <c r="B13" s="133">
        <f>B3+B4+B5+B6-B11+B12</f>
        <v>3406.8000000000006</v>
      </c>
      <c r="C13" s="86">
        <f t="shared" ref="C13:H13" si="2">C3+C4+C5+C6-C11+C12</f>
        <v>2788.0999999999995</v>
      </c>
      <c r="D13" s="86">
        <f t="shared" si="2"/>
        <v>5714.0000000000009</v>
      </c>
      <c r="E13" s="86">
        <f t="shared" si="2"/>
        <v>9855</v>
      </c>
      <c r="F13" s="86">
        <f t="shared" si="2"/>
        <v>8374.1999999999989</v>
      </c>
      <c r="G13" s="86">
        <f t="shared" si="2"/>
        <v>3926.199999999998</v>
      </c>
      <c r="H13" s="86">
        <f t="shared" si="2"/>
        <v>15076.100000000006</v>
      </c>
      <c r="I13" s="133">
        <f>IFERROR(I3+I4+I5+I6-I11+I12,"")</f>
        <v>11342.166846734122</v>
      </c>
      <c r="J13" s="86">
        <f t="shared" ref="J13:M13" si="3">IFERROR(J3+J4+J5+J6-J11+J12,"")</f>
        <v>13351.357626482917</v>
      </c>
      <c r="K13" s="86">
        <f t="shared" si="3"/>
        <v>15715.125169177296</v>
      </c>
      <c r="L13" s="86">
        <f t="shared" si="3"/>
        <v>18496.044259694925</v>
      </c>
      <c r="M13" s="142">
        <f t="shared" si="3"/>
        <v>21767.732718192929</v>
      </c>
      <c r="N13" s="15"/>
    </row>
    <row r="14" spans="1:14" s="6" customFormat="1" ht="24.95" customHeight="1">
      <c r="A14" s="143" t="s">
        <v>38</v>
      </c>
      <c r="B14" s="134">
        <f>IFERROR(B13/'1.IS'!B3,"")</f>
        <v>0.31129385964912287</v>
      </c>
      <c r="C14" s="24">
        <f>IFERROR(C13/'1.IS'!C3,"")</f>
        <v>0.23587986463620977</v>
      </c>
      <c r="D14" s="24">
        <f>IFERROR(D13/'1.IS'!D3,"")</f>
        <v>0.40877061201130316</v>
      </c>
      <c r="E14" s="24">
        <f>IFERROR(E13/'1.IS'!E3,"")</f>
        <v>0.52952554940626506</v>
      </c>
      <c r="F14" s="24">
        <f>IFERROR(F13/'1.IS'!F3,"")</f>
        <v>0.39550568165717354</v>
      </c>
      <c r="G14" s="24">
        <f>IFERROR(G13/'1.IS'!G3,"")</f>
        <v>0.14246784113794284</v>
      </c>
      <c r="H14" s="48">
        <f>IFERROR(H13/'1.IS'!H3,"")</f>
        <v>0.53342367556054071</v>
      </c>
      <c r="I14" s="39">
        <f>IFERROR(I13/'1.IS'!I3,"")</f>
        <v>0.34111099737116679</v>
      </c>
      <c r="J14" s="24">
        <f>IFERROR(J13/'1.IS'!J3,"")</f>
        <v>0.34130411944170508</v>
      </c>
      <c r="K14" s="24">
        <f>IFERROR(K13/'1.IS'!K3,"")</f>
        <v>0.34146827225135451</v>
      </c>
      <c r="L14" s="24">
        <f>IFERROR(L13/'1.IS'!L3,"")</f>
        <v>0.34160780133179941</v>
      </c>
      <c r="M14" s="144">
        <f>IFERROR(M13/'1.IS'!M3,"")</f>
        <v>0.34172640036358792</v>
      </c>
      <c r="N14" s="15"/>
    </row>
    <row r="15" spans="1:14" s="6" customFormat="1" ht="24.95" customHeight="1">
      <c r="A15" s="102" t="s">
        <v>5</v>
      </c>
      <c r="B15" s="135"/>
      <c r="C15" s="24">
        <f t="shared" ref="C15:M15" si="4">IFERROR((C13-B13)/B13,"")</f>
        <v>-0.18160737348831779</v>
      </c>
      <c r="D15" s="24">
        <f t="shared" si="4"/>
        <v>1.0494243391556981</v>
      </c>
      <c r="E15" s="24">
        <f t="shared" si="4"/>
        <v>0.72471123556177786</v>
      </c>
      <c r="F15" s="24">
        <f t="shared" si="4"/>
        <v>-0.15025875190258764</v>
      </c>
      <c r="G15" s="24">
        <f t="shared" si="4"/>
        <v>-0.53115521482649108</v>
      </c>
      <c r="H15" s="48">
        <f t="shared" si="4"/>
        <v>2.8398706128062794</v>
      </c>
      <c r="I15" s="39">
        <f t="shared" si="4"/>
        <v>-0.24767235248279609</v>
      </c>
      <c r="J15" s="24">
        <f t="shared" si="4"/>
        <v>0.17714346887141091</v>
      </c>
      <c r="K15" s="24">
        <f t="shared" si="4"/>
        <v>0.17704323476481204</v>
      </c>
      <c r="L15" s="24">
        <f t="shared" si="4"/>
        <v>0.17695812540977765</v>
      </c>
      <c r="M15" s="144">
        <f t="shared" si="4"/>
        <v>0.17688584718773628</v>
      </c>
      <c r="N15" s="15"/>
    </row>
    <row r="16" spans="1:14" s="6" customFormat="1" ht="24.95" customHeight="1" thickBot="1">
      <c r="A16" s="102" t="s">
        <v>39</v>
      </c>
      <c r="B16" s="90">
        <f>IFERROR(B13/'1.IS'!B22,"")</f>
        <v>7.989681050656662</v>
      </c>
      <c r="C16" s="88">
        <f>IFERROR(C13/'1.IS'!C22,"")</f>
        <v>6.6131404174573039</v>
      </c>
      <c r="D16" s="88">
        <f>IFERROR(D13/'1.IS'!D22,"")</f>
        <v>13.633977570985447</v>
      </c>
      <c r="E16" s="88">
        <f>IFERROR(E13/'1.IS'!E22,"")</f>
        <v>24.013157894736842</v>
      </c>
      <c r="F16" s="88">
        <f>IFERROR(F13/'1.IS'!F22,"")</f>
        <v>21.040703517587936</v>
      </c>
      <c r="G16" s="88">
        <f>IFERROR(G13/'1.IS'!G22,"")</f>
        <v>9.9624460796752032</v>
      </c>
      <c r="H16" s="88">
        <f>IFERROR(H13/'1.IS'!H22,"")</f>
        <v>38.303099593495951</v>
      </c>
      <c r="I16" s="90">
        <f>IFERROR(I13/'1.IS'!I22,"")</f>
        <v>29.202083267122191</v>
      </c>
      <c r="J16" s="88">
        <f>IFERROR(J13/'1.IS'!J22,"")</f>
        <v>34.835024915206517</v>
      </c>
      <c r="K16" s="88">
        <f>IFERROR(K13/'1.IS'!K22,"")</f>
        <v>41.550995579994193</v>
      </c>
      <c r="L16" s="88">
        <f>IFERROR(L13/'1.IS'!L22,"")</f>
        <v>49.558178862161647</v>
      </c>
      <c r="M16" s="89">
        <f>IFERROR(M13/'1.IS'!M22,"")</f>
        <v>59.10477550625037</v>
      </c>
      <c r="N16" s="16"/>
    </row>
    <row r="17" spans="1:14" s="6" customFormat="1" ht="24.95" customHeight="1" thickTop="1" thickBot="1">
      <c r="A17" s="188" t="s">
        <v>40</v>
      </c>
      <c r="B17" s="145">
        <f>IFERROR(VALUE(VLOOKUP("Net Change in Cash*",'8.TIKR_CF'!$A:$H,COLUMN(B17),FALSE)),"0")</f>
        <v>862.1</v>
      </c>
      <c r="C17" s="145">
        <f>IFERROR(VALUE(VLOOKUP("Net Change in Cash*",'8.TIKR_CF'!$A:$H,COLUMN(C17),FALSE)),"0")</f>
        <v>411.2</v>
      </c>
      <c r="D17" s="145">
        <f>IFERROR(VALUE(VLOOKUP("Net Change in Cash*",'8.TIKR_CF'!$A:$H,COLUMN(D17),FALSE)),"0")</f>
        <v>2517.1</v>
      </c>
      <c r="E17" s="145">
        <f>IFERROR(VALUE(VLOOKUP("Net Change in Cash*",'8.TIKR_CF'!$A:$H,COLUMN(E17),FALSE)),"0")</f>
        <v>902.4</v>
      </c>
      <c r="F17" s="145">
        <f>IFERROR(VALUE(VLOOKUP("Net Change in Cash*",'8.TIKR_CF'!$A:$H,COLUMN(F17),FALSE)),"0")</f>
        <v>316.5</v>
      </c>
      <c r="G17" s="145">
        <f>IFERROR(VALUE(VLOOKUP("Net Change in Cash*",'8.TIKR_CF'!$A:$H,COLUMN(G17),FALSE)),"0")</f>
        <v>-263.60000000000002</v>
      </c>
      <c r="H17" s="145">
        <f>IFERROR(VALUE(VLOOKUP("Net Change in Cash*",'8.TIKR_CF'!$A:$H,COLUMN(H17),FALSE)),"0")</f>
        <v>0</v>
      </c>
      <c r="I17" s="229">
        <f>IFERROR((SUM($B17:$H17)/SUM('1.IS'!$B3:$H3))*'1.IS'!I3,"")</f>
        <v>1192.2908853563715</v>
      </c>
      <c r="J17" s="230">
        <f>IFERROR((SUM($B17:$H17)/SUM('1.IS'!$B3:$H3))*'1.IS'!J3,"")</f>
        <v>1402.7032796796432</v>
      </c>
      <c r="K17" s="230">
        <f>IFERROR((SUM($B17:$H17)/SUM('1.IS'!$B3:$H3))*'1.IS'!K3,"")</f>
        <v>1650.2487060747144</v>
      </c>
      <c r="L17" s="230">
        <f>IFERROR((SUM($B17:$H17)/SUM('1.IS'!$B3:$H3))*'1.IS'!L3,"")</f>
        <v>1941.4803054593524</v>
      </c>
      <c r="M17" s="231">
        <f>IFERROR((SUM($B17:$H17)/SUM('1.IS'!$B3:$H3))*'1.IS'!M3,"")</f>
        <v>2284.1077000159057</v>
      </c>
      <c r="N17" s="16"/>
    </row>
    <row r="18" spans="1:14" s="6" customFormat="1" ht="24.75" customHeight="1" thickTop="1">
      <c r="A18" s="20"/>
      <c r="B18" s="14"/>
      <c r="C18" s="14"/>
      <c r="D18" s="14"/>
      <c r="E18" s="14"/>
      <c r="F18" s="14"/>
      <c r="G18" s="14"/>
      <c r="H18" s="14"/>
      <c r="I18" s="14"/>
      <c r="J18" s="14"/>
      <c r="K18" s="14"/>
      <c r="L18" s="14"/>
      <c r="M18" s="14"/>
      <c r="N18" s="7"/>
    </row>
    <row r="19" spans="1:14" s="105" customFormat="1" ht="39.950000000000003" customHeight="1">
      <c r="A19" s="108" t="s">
        <v>41</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42</v>
      </c>
      <c r="B20" s="134">
        <f>IFERROR(ABS(B4)/'1.IS'!B$3,"")</f>
        <v>1.7891081871345024E-2</v>
      </c>
      <c r="C20" s="24">
        <f>IFERROR(ABS(C4)/'1.IS'!C$3,"")</f>
        <v>1.4593908629441625E-2</v>
      </c>
      <c r="D20" s="24">
        <f>IFERROR(ABS(D4)/'1.IS'!D$3,"")</f>
        <v>2.5632220910684261E-2</v>
      </c>
      <c r="E20" s="24">
        <f>IFERROR(ABS(E4)/'1.IS'!E$3,"")</f>
        <v>2.5307613776798667E-2</v>
      </c>
      <c r="F20" s="24">
        <f>IFERROR(ABS(F4)/'1.IS'!F$3,"")</f>
        <v>4.136794279614988E-2</v>
      </c>
      <c r="G20" s="24">
        <f>IFERROR(ABS(G4)/'1.IS'!G$3,"")</f>
        <v>2.8528403214979046E-2</v>
      </c>
      <c r="H20" s="24">
        <f>IFERROR(ABS(H4)/'1.IS'!H$3,"")</f>
        <v>3.2501972550587517E-2</v>
      </c>
      <c r="I20" s="134">
        <f>IFERROR(ABS(I4)/'1.IS'!I$3,"")</f>
        <v>3.2501972550587517E-2</v>
      </c>
      <c r="J20" s="24">
        <f>IFERROR(ABS(J4)/'1.IS'!J$3,"")</f>
        <v>3.2501972550587517E-2</v>
      </c>
      <c r="K20" s="24">
        <f>IFERROR(ABS(K4)/'1.IS'!K$3,"")</f>
        <v>3.2501972550587517E-2</v>
      </c>
      <c r="L20" s="24">
        <f>IFERROR(ABS(L4)/'1.IS'!L$3,"")</f>
        <v>3.2501972550587517E-2</v>
      </c>
      <c r="M20" s="24">
        <f>IFERROR(ABS(M4)/'1.IS'!M$3,"")</f>
        <v>3.2501972550587517E-2</v>
      </c>
      <c r="N20" s="148">
        <f>IFERROR(AVERAGE(B20:H20),"")</f>
        <v>2.6546163392855145E-2</v>
      </c>
    </row>
    <row r="21" spans="1:14" s="6" customFormat="1" ht="24.75" customHeight="1">
      <c r="A21" s="101" t="s">
        <v>43</v>
      </c>
      <c r="B21" s="134">
        <f>IFERROR((B7+B8-B9)/'1.IS'!B$3,"")</f>
        <v>0.18053728070175437</v>
      </c>
      <c r="C21" s="24">
        <f>IFERROR((C7+C8-C9)/'1.IS'!C$3,"")</f>
        <v>0.20049069373942471</v>
      </c>
      <c r="D21" s="24">
        <f>IFERROR((D7+D8-D9)/'1.IS'!D$3,"")</f>
        <v>6.6287512966341125E-2</v>
      </c>
      <c r="E21" s="24">
        <f>IFERROR((E7+E8-E9)/'1.IS'!E$3,"")</f>
        <v>-0.17725538659932297</v>
      </c>
      <c r="F21" s="24">
        <f>IFERROR((F7+F8-F9)/'1.IS'!F$3,"")</f>
        <v>-0.25863111262244126</v>
      </c>
      <c r="G21" s="24">
        <f>IFERROR((G7+G8-G9)/'1.IS'!G$3,"")</f>
        <v>-6.9187365059781819E-2</v>
      </c>
      <c r="H21" s="24">
        <f>IFERROR((H7+H8-H9)/'1.IS'!H$3,"")</f>
        <v>-0.34041092739952389</v>
      </c>
      <c r="I21" s="134">
        <f>IFERROR(I10/'1.IS'!I$3,"")</f>
        <v>-0.38486976522390642</v>
      </c>
      <c r="J21" s="24">
        <f>IFERROR(J10/'1.IS'!J$3,"")</f>
        <v>-0.42265955860319809</v>
      </c>
      <c r="K21" s="24">
        <f>IFERROR(K10/'1.IS'!K$3,"")</f>
        <v>-0.45478069702095392</v>
      </c>
      <c r="L21" s="24">
        <f>IFERROR(L10/'1.IS'!L$3,"")</f>
        <v>-0.4820835066155158</v>
      </c>
      <c r="M21" s="24">
        <f>IFERROR(M10/'1.IS'!M$3,"")</f>
        <v>-0.50529076042022014</v>
      </c>
      <c r="N21" s="148">
        <f>IFERROR(AVERAGE(B21:H21),"")</f>
        <v>-5.6881329181935683E-2</v>
      </c>
    </row>
    <row r="22" spans="1:14" s="6" customFormat="1" ht="24.95" customHeight="1">
      <c r="A22" s="101" t="s">
        <v>44</v>
      </c>
      <c r="B22" s="134">
        <f>IFERROR(B13/'1.IS'!B$3,"")</f>
        <v>0.31129385964912287</v>
      </c>
      <c r="C22" s="24">
        <f>IFERROR(C13/'1.IS'!C$3,"")</f>
        <v>0.23587986463620977</v>
      </c>
      <c r="D22" s="24">
        <f>IFERROR(D13/'1.IS'!D$3,"")</f>
        <v>0.40877061201130316</v>
      </c>
      <c r="E22" s="24">
        <f>IFERROR(E13/'1.IS'!E$3,"")</f>
        <v>0.52952554940626506</v>
      </c>
      <c r="F22" s="24">
        <f>IFERROR(F13/'1.IS'!F$3,"")</f>
        <v>0.39550568165717354</v>
      </c>
      <c r="G22" s="24">
        <f>IFERROR(G13/'1.IS'!G$3,"")</f>
        <v>0.14246784113794284</v>
      </c>
      <c r="H22" s="24">
        <f>IFERROR(H13/'1.IS'!H$3,"")</f>
        <v>0.53342367556054071</v>
      </c>
      <c r="I22" s="134">
        <f>IFERROR(I13/'1.IS'!I$3,"")</f>
        <v>0.34111099737116679</v>
      </c>
      <c r="J22" s="24">
        <f>IFERROR(J13/'1.IS'!J$3,"")</f>
        <v>0.34130411944170508</v>
      </c>
      <c r="K22" s="24">
        <f>IFERROR(K13/'1.IS'!K$3,"")</f>
        <v>0.34146827225135451</v>
      </c>
      <c r="L22" s="24">
        <f>IFERROR(L13/'1.IS'!L$3,"")</f>
        <v>0.34160780133179941</v>
      </c>
      <c r="M22" s="24">
        <f>IFERROR(M13/'1.IS'!M$3,"")</f>
        <v>0.34172640036358792</v>
      </c>
      <c r="N22" s="148">
        <f>IFERROR(AVERAGE(B22:H22),"")</f>
        <v>0.36526672629407975</v>
      </c>
    </row>
    <row r="23" spans="1:14" ht="24.95" customHeight="1">
      <c r="A23" s="28" t="s">
        <v>45</v>
      </c>
      <c r="B23" s="147">
        <f t="shared" ref="B23:M23" si="5">IFERROR(B13/B3,"")</f>
        <v>0.94193762441937634</v>
      </c>
      <c r="C23" s="146">
        <f t="shared" si="5"/>
        <v>0.78648801128349777</v>
      </c>
      <c r="D23" s="146">
        <f t="shared" si="5"/>
        <v>1.2579530193954607</v>
      </c>
      <c r="E23" s="146">
        <f t="shared" si="5"/>
        <v>1.3647505227735386</v>
      </c>
      <c r="F23" s="146">
        <f t="shared" si="5"/>
        <v>1.0216301284631994</v>
      </c>
      <c r="G23" s="146">
        <f t="shared" si="5"/>
        <v>0.39947092638754622</v>
      </c>
      <c r="H23" s="146">
        <f t="shared" si="5"/>
        <v>1.5165271798173263</v>
      </c>
      <c r="I23" s="147">
        <f t="shared" si="5"/>
        <v>1.0090080441922937</v>
      </c>
      <c r="J23" s="146">
        <f t="shared" si="5"/>
        <v>1.0095793002473195</v>
      </c>
      <c r="K23" s="146">
        <f t="shared" si="5"/>
        <v>1.0100648650830752</v>
      </c>
      <c r="L23" s="146">
        <f t="shared" si="5"/>
        <v>1.0104775928041181</v>
      </c>
      <c r="M23" s="146">
        <f t="shared" si="5"/>
        <v>1.0108284093360689</v>
      </c>
      <c r="N23" s="149">
        <f>IFERROR(AVERAGE(B23:H23),"")</f>
        <v>1.0412510589342781</v>
      </c>
    </row>
    <row r="24" spans="1:14" ht="24.95" customHeight="1">
      <c r="A24" s="102"/>
      <c r="B24" s="103"/>
      <c r="C24" s="103"/>
      <c r="D24" s="103"/>
      <c r="E24" s="103"/>
      <c r="F24" s="103"/>
      <c r="G24" s="103"/>
      <c r="H24" s="103"/>
      <c r="I24" s="103"/>
      <c r="J24" s="103"/>
      <c r="K24" s="103"/>
      <c r="L24" s="103"/>
      <c r="M24" s="103"/>
      <c r="N24" s="104"/>
    </row>
    <row r="25" spans="1:14" ht="39.950000000000003" customHeight="1">
      <c r="A25" s="108" t="s">
        <v>46</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3"/>
      <c r="L25" s="103"/>
      <c r="M25" s="103"/>
      <c r="N25" s="104"/>
    </row>
    <row r="26" spans="1:14" ht="24.95" customHeight="1">
      <c r="A26" s="101" t="s">
        <v>47</v>
      </c>
      <c r="B26" s="134">
        <f>IFERROR(TIKR_Cálculos!B11/B13,"")</f>
        <v>1.0420335798990253E-2</v>
      </c>
      <c r="C26" s="24">
        <f>IFERROR(TIKR_Cálculos!C11/C13,"")</f>
        <v>0.15239769018327895</v>
      </c>
      <c r="D26" s="24">
        <f>IFERROR(TIKR_Cálculos!D11/D13,"")</f>
        <v>3.8991949597479869E-2</v>
      </c>
      <c r="E26" s="24">
        <f>IFERROR(TIKR_Cálculos!E11/E13,"")</f>
        <v>0.17109081684424152</v>
      </c>
      <c r="F26" s="24">
        <f>IFERROR(TIKR_Cálculos!F11/F13,"")</f>
        <v>5.6339710061856674E-2</v>
      </c>
      <c r="G26" s="24">
        <f>IFERROR(TIKR_Cálculos!G11/G13,"")</f>
        <v>0.33569354592226591</v>
      </c>
      <c r="H26" s="24">
        <f>IFERROR(TIKR_Cálculos!H11/H13,"")</f>
        <v>5.6997499353280988E-2</v>
      </c>
      <c r="I26" s="194">
        <f>IFERROR(AVERAGE(B26:H26),"")</f>
        <v>0.11741879253734203</v>
      </c>
      <c r="J26" s="214">
        <f>IFERROR(TIKR_Cálculos!I29/SUM('2.FCF'!$B$13:$H$13),"")</f>
        <v>0.10212371083670463</v>
      </c>
      <c r="K26" s="6"/>
      <c r="L26" s="103"/>
      <c r="M26" s="103"/>
      <c r="N26" s="104"/>
    </row>
    <row r="27" spans="1:14" ht="24.95" customHeight="1">
      <c r="A27" s="101" t="s">
        <v>48</v>
      </c>
      <c r="B27" s="134">
        <f>IFERROR(ABS(VALUE(VLOOKUP("Dividends Paid*",'8.TIKR_CF'!$A:$H,COLUMN(B18),FALSE)))/B13,"0")</f>
        <v>0.17526711283315718</v>
      </c>
      <c r="C27" s="134">
        <f>IFERROR(ABS(VALUE(VLOOKUP("Dividends Paid*",'8.TIKR_CF'!$A:$H,COLUMN(C18),FALSE)))/C13,"0")</f>
        <v>0.47548509737814293</v>
      </c>
      <c r="D27" s="134">
        <f>IFERROR(ABS(VALUE(VLOOKUP("Dividends Paid*",'8.TIKR_CF'!$A:$H,COLUMN(D18),FALSE)))/D13,"0")</f>
        <v>0.18662933146657332</v>
      </c>
      <c r="E27" s="134">
        <f>IFERROR(ABS(VALUE(VLOOKUP("Dividends Paid*",'8.TIKR_CF'!$A:$H,COLUMN(E18),FALSE)))/E13,"0")</f>
        <v>0.13884322678843225</v>
      </c>
      <c r="F27" s="134">
        <f>IFERROR(ABS(VALUE(VLOOKUP("Dividends Paid*",'8.TIKR_CF'!$A:$H,COLUMN(F18),FALSE)))/F13,"0")</f>
        <v>0.30567696018724183</v>
      </c>
      <c r="G27" s="134">
        <f>IFERROR(ABS(VALUE(VLOOKUP("Dividends Paid*",'8.TIKR_CF'!$A:$H,COLUMN(G18),FALSE)))/G13,"0")</f>
        <v>0.59811013193418605</v>
      </c>
      <c r="H27" s="134">
        <f>IFERROR(ABS(VALUE(VLOOKUP("Dividends Paid*",'8.TIKR_CF'!$A:$H,COLUMN(H18),FALSE)))/H13,"0")</f>
        <v>0.1627012290977109</v>
      </c>
      <c r="I27" s="194">
        <f t="shared" ref="I27:I29" si="6">IFERROR(AVERAGE(B27:H27),"")</f>
        <v>0.29181615566934921</v>
      </c>
      <c r="J27" s="214">
        <f>IFERROR(TIKR_Cálculos!I30/SUM('2.FCF'!$B$13:$H$13),"")</f>
        <v>0.23846977232582559</v>
      </c>
      <c r="K27" s="6"/>
    </row>
    <row r="28" spans="1:14" ht="24.95" customHeight="1">
      <c r="A28" s="101" t="s">
        <v>49</v>
      </c>
      <c r="B28" s="134">
        <f>IFERROR(ABS(VALUE(VLOOKUP("Common Stock Repurchased*",'8.TIKR_CF'!$A:$H,COLUMN(B19),FALSE))/B13),"0")</f>
        <v>0.33644475754373598</v>
      </c>
      <c r="C28" s="134">
        <f>IFERROR(ABS(VALUE(VLOOKUP("Common Stock Repurchased*",'8.TIKR_CF'!$A:$H,COLUMN(C19),FALSE))/C13),"0")</f>
        <v>0.14705354901187193</v>
      </c>
      <c r="D28" s="134">
        <f>IFERROR(ABS(VALUE(VLOOKUP("Common Stock Repurchased*",'8.TIKR_CF'!$A:$H,COLUMN(D19),FALSE))/D13),"0")</f>
        <v>0.21132306615330762</v>
      </c>
      <c r="E28" s="134">
        <f>IFERROR(ABS(VALUE(VLOOKUP("Common Stock Repurchased*",'8.TIKR_CF'!$A:$H,COLUMN(E19),FALSE))/E13),"0")</f>
        <v>0.8686250634195839</v>
      </c>
      <c r="F28" s="134">
        <f>IFERROR(ABS(VALUE(VLOOKUP("Common Stock Repurchased*",'8.TIKR_CF'!$A:$H,COLUMN(F19),FALSE))/F13),"0")</f>
        <v>0.5540469537388647</v>
      </c>
      <c r="G28" s="134">
        <f>IFERROR(ABS(VALUE(VLOOKUP("Common Stock Repurchased*",'8.TIKR_CF'!$A:$H,COLUMN(G19),FALSE))/G13),"0")</f>
        <v>0.25469920024451137</v>
      </c>
      <c r="H28" s="134">
        <f>IFERROR(ABS(VALUE(VLOOKUP("Common Stock Repurchased*",'8.TIKR_CF'!$A:$H,COLUMN(H19),FALSE))/H13),"0")</f>
        <v>3.3165075848528451E-2</v>
      </c>
      <c r="I28" s="194">
        <f t="shared" si="6"/>
        <v>0.34362252370862911</v>
      </c>
      <c r="J28" s="214">
        <f>IFERROR(TIKR_Cálculos!I31/SUM('2.FCF'!$B$13:$H$13),"")</f>
        <v>0.35538375755997104</v>
      </c>
      <c r="K28" s="6"/>
    </row>
    <row r="29" spans="1:14" ht="24.95" customHeight="1">
      <c r="A29" s="217" t="s">
        <v>50</v>
      </c>
      <c r="B29" s="158">
        <f>IFERROR((ABS(VLOOKUP("Cash Acquisitions*",'8.TIKR_CF'!$A:$H,COLUMN(B20),FALSE))-IFERROR(VLOOKUP("Sales / Maturities Of Investments*",'8.TIKR_CF'!$A:$H,COLUMN(B20),FALSE),"0"))/B13,"0")</f>
        <v>-0.29311964306680749</v>
      </c>
      <c r="C29" s="158">
        <f>IFERROR((ABS(VLOOKUP("Cash Acquisitions*",'8.TIKR_CF'!$A:$H,COLUMN(C20),FALSE))-IFERROR(VLOOKUP("Sales / Maturities Of Investments*",'8.TIKR_CF'!$A:$H,COLUMN(C20),FALSE),"0"))/C13,"0")</f>
        <v>-0.21308417919012954</v>
      </c>
      <c r="D29" s="158">
        <f>IFERROR((ABS(VLOOKUP("Cash Acquisitions*",'8.TIKR_CF'!$A:$H,COLUMN(D20),FALSE))-IFERROR(VLOOKUP("Sales / Maturities Of Investments*",'8.TIKR_CF'!$A:$H,COLUMN(D20),FALSE),"0"))/D13,"0")</f>
        <v>-0.19886244312215606</v>
      </c>
      <c r="E29" s="158">
        <f>IFERROR((ABS(VLOOKUP("Cash Acquisitions*",'8.TIKR_CF'!$A:$H,COLUMN(E20),FALSE))-IFERROR(VLOOKUP("Sales / Maturities Of Investments*",'8.TIKR_CF'!$A:$H,COLUMN(E20),FALSE),"0"))/E13,"0")</f>
        <v>-0.15194317605276511</v>
      </c>
      <c r="F29" s="158">
        <f>IFERROR((ABS(VLOOKUP("Cash Acquisitions*",'8.TIKR_CF'!$A:$H,COLUMN(F20),FALSE))-IFERROR(VLOOKUP("Sales / Maturities Of Investments*",'8.TIKR_CF'!$A:$H,COLUMN(F20),FALSE),"0"))/F13,"0")</f>
        <v>-0.10325762460891788</v>
      </c>
      <c r="G29" s="158">
        <f>IFERROR((ABS(VLOOKUP("Cash Acquisitions*",'8.TIKR_CF'!$A:$H,COLUMN(G20),FALSE))-IFERROR(VLOOKUP("Sales / Maturities Of Investments*",'8.TIKR_CF'!$A:$H,COLUMN(G20),FALSE),"0"))/G13,"0")</f>
        <v>-2.3432326422495046E-2</v>
      </c>
      <c r="H29" s="158">
        <f>IFERROR((ABS(VLOOKUP("Cash Acquisitions*",'8.TIKR_CF'!$A:$H,COLUMN(H20),FALSE))-IFERROR(VLOOKUP("Sales / Maturities Of Investments*",'8.TIKR_CF'!$A:$H,COLUMN(H20),FALSE),"0"))/H13,"0")</f>
        <v>-2.0243962297941766E-2</v>
      </c>
      <c r="I29" s="218">
        <f t="shared" si="6"/>
        <v>-0.14342047925160184</v>
      </c>
      <c r="J29" s="215">
        <f>IFERROR(TIKR_Cálculos!I32/SUM('2.FCF'!$B$13:$H$13),"")</f>
        <v>-0.11168610756119199</v>
      </c>
      <c r="K29" s="4"/>
    </row>
    <row r="30" spans="1:14" ht="24.95" customHeight="1">
      <c r="A30" s="216" t="s">
        <v>51</v>
      </c>
      <c r="B30" s="104">
        <f>SUM(B26:B29)</f>
        <v>0.22901256310907592</v>
      </c>
      <c r="C30" s="104">
        <f t="shared" ref="C30:J30" si="7">SUM(C26:C29)</f>
        <v>0.5618521573831643</v>
      </c>
      <c r="D30" s="104">
        <f t="shared" si="7"/>
        <v>0.23808190409520474</v>
      </c>
      <c r="E30" s="104">
        <f t="shared" si="7"/>
        <v>1.0266159309994924</v>
      </c>
      <c r="F30" s="104">
        <f t="shared" si="7"/>
        <v>0.8128059993790453</v>
      </c>
      <c r="G30" s="104">
        <f t="shared" si="7"/>
        <v>1.1650705516784683</v>
      </c>
      <c r="H30" s="104">
        <f t="shared" si="7"/>
        <v>0.23261984200157856</v>
      </c>
      <c r="I30" s="104">
        <f t="shared" si="7"/>
        <v>0.60943699266371854</v>
      </c>
      <c r="J30" s="104">
        <f t="shared" si="7"/>
        <v>0.58429113316130932</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G16" sqref="G16"/>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52</v>
      </c>
      <c r="S1" s="25"/>
    </row>
    <row r="2" spans="1:19" s="6" customFormat="1" ht="39.950000000000003" customHeight="1">
      <c r="A2" s="108" t="s">
        <v>53</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54</v>
      </c>
      <c r="B3" s="131">
        <f>IFERROR(('1.IS'!B8)*PRODUCT(1-'1.IS'!$Q$5),"")</f>
        <v>2347.4163872423251</v>
      </c>
      <c r="C3" s="84">
        <f>IFERROR(('1.IS'!C8)*PRODUCT(1-'1.IS'!$Q$5),"")</f>
        <v>2211.7802862072017</v>
      </c>
      <c r="D3" s="84">
        <f>IFERROR(('1.IS'!D8)*PRODUCT(1-'1.IS'!$Q$5),"")</f>
        <v>3298.4973790144209</v>
      </c>
      <c r="E3" s="84">
        <f>IFERROR(('1.IS'!E8)*PRODUCT(1-'1.IS'!$Q$5),"")</f>
        <v>5495.5416902592233</v>
      </c>
      <c r="F3" s="84">
        <f>IFERROR(('1.IS'!F8)*PRODUCT(1-'1.IS'!$Q$5),"")</f>
        <v>5960.33550827214</v>
      </c>
      <c r="G3" s="84">
        <f>IFERROR(('1.IS'!G8)*PRODUCT(1-'1.IS'!$Q$5),"")</f>
        <v>7361.7185857736877</v>
      </c>
      <c r="H3" s="85">
        <f>IFERROR('1.IS'!H8*PRODUCT(1-'1.IS'!$Q$5),"")</f>
        <v>7345.6799831903036</v>
      </c>
      <c r="I3" s="115">
        <f>IFERROR('1.IS'!I8*PRODUCT(1-'1.IS'!$Q$5),"")</f>
        <v>8271.8450544781208</v>
      </c>
      <c r="J3" s="80">
        <f>IFERROR('1.IS'!J8*PRODUCT(1-'1.IS'!$Q$5),"")</f>
        <v>9731.6387547911345</v>
      </c>
      <c r="K3" s="80">
        <f>IFERROR('1.IS'!K8*PRODUCT(1-'1.IS'!$Q$5),"")</f>
        <v>11449.053050441571</v>
      </c>
      <c r="L3" s="80">
        <f>IFERROR('1.IS'!L8*PRODUCT(1-'1.IS'!$Q$5),"")</f>
        <v>13469.552154028632</v>
      </c>
      <c r="M3" s="124">
        <f>IFERROR('1.IS'!M8*PRODUCT(1-'1.IS'!$Q$5),"")</f>
        <v>15846.623684139531</v>
      </c>
      <c r="N3" s="80"/>
      <c r="O3" s="80"/>
      <c r="S3" s="13"/>
    </row>
    <row r="4" spans="1:19" s="6" customFormat="1" ht="24.95" customHeight="1">
      <c r="A4" s="109" t="s">
        <v>55</v>
      </c>
      <c r="B4" s="113">
        <f>IFERROR(VALUE(VLOOKUP("Cash And Cash Equivalents*",'7.TIKR_BS'!$A:$H,COLUMN(B4),FALSE)),"0")</f>
        <v>3121.1</v>
      </c>
      <c r="C4" s="113">
        <f>IFERROR(VALUE(VLOOKUP("Cash And Cash Equivalents*",'7.TIKR_BS'!$A:$H,COLUMN(C4),FALSE)),"0")</f>
        <v>3532.3</v>
      </c>
      <c r="D4" s="113">
        <f>IFERROR(VALUE(VLOOKUP("Cash And Cash Equivalents*",'7.TIKR_BS'!$A:$H,COLUMN(D4),FALSE)),"0")</f>
        <v>6049.4</v>
      </c>
      <c r="E4" s="113">
        <f>IFERROR(VALUE(VLOOKUP("Cash And Cash Equivalents*",'7.TIKR_BS'!$A:$H,COLUMN(E4),FALSE)),"0")</f>
        <v>6951.8</v>
      </c>
      <c r="F4" s="113">
        <f>IFERROR(VALUE(VLOOKUP("Cash And Cash Equivalents*",'7.TIKR_BS'!$A:$H,COLUMN(F4),FALSE)),"0")</f>
        <v>7268.3</v>
      </c>
      <c r="G4" s="113">
        <f>IFERROR(VALUE(VLOOKUP("Cash And Cash Equivalents*",'7.TIKR_BS'!$A:$H,COLUMN(G4),FALSE)),"0")</f>
        <v>7004.7</v>
      </c>
      <c r="H4" s="113">
        <f>IFERROR(VALUE(VLOOKUP("Cash And Cash Equivalents*",'7.TIKR_BS'!$A:$H,COLUMN(H4),FALSE)),"0")</f>
        <v>12735.9</v>
      </c>
      <c r="I4" s="115">
        <f>IFERROR(((H4+H5)+'2.FCF'!I17)*(1-(SUM($B$5:$H$5)/SUM($B$4:$H$5))),0)</f>
        <v>12793.527940348964</v>
      </c>
      <c r="J4" s="80">
        <f>IFERROR(((I4+I5)+'2.FCF'!J17)*(1-(SUM($B$5:$H$5)/SUM($B$4:$H$5))),0)</f>
        <v>14081.460372717182</v>
      </c>
      <c r="K4" s="80">
        <f>IFERROR(((J4+J5)+'2.FCF'!K17)*(1-(SUM($B$5:$H$5)/SUM($B$4:$H$5))),0)</f>
        <v>15596.683770863598</v>
      </c>
      <c r="L4" s="80">
        <f>IFERROR(((K4+K5)+'2.FCF'!L17)*(1-(SUM($B$5:$H$5)/SUM($B$4:$H$5))),0)</f>
        <v>17379.309853249553</v>
      </c>
      <c r="M4" s="124">
        <f>IFERROR(((L4+L5)+'2.FCF'!M17)*(1-(SUM($B$5:$H$5)/SUM($B$4:$H$5))),0)</f>
        <v>19476.529150080682</v>
      </c>
      <c r="N4" s="80"/>
      <c r="O4" s="80"/>
      <c r="S4" s="13"/>
    </row>
    <row r="5" spans="1:19" s="6" customFormat="1" ht="24.95" customHeight="1">
      <c r="A5" s="109" t="s">
        <v>56</v>
      </c>
      <c r="B5" s="113">
        <f>IFERROR(VALUE(VLOOKUP("Total Cash And Short Term Investments*",'7.TIKR_BS'!$A:$H,COLUMN(B5),FALSE))-B4,"0")</f>
        <v>913.30000000000018</v>
      </c>
      <c r="C5" s="113">
        <f>IFERROR(VALUE(VLOOKUP("Total Cash And Short Term Investments*",'7.TIKR_BS'!$A:$H,COLUMN(C5),FALSE))-C4,"0")</f>
        <v>1185.8000000000002</v>
      </c>
      <c r="D5" s="113">
        <f>IFERROR(VALUE(VLOOKUP("Total Cash And Short Term Investments*",'7.TIKR_BS'!$A:$H,COLUMN(D5),FALSE))-D4,"0")</f>
        <v>1302.2000000000007</v>
      </c>
      <c r="E5" s="113">
        <f>IFERROR(VALUE(VLOOKUP("Total Cash And Short Term Investments*",'7.TIKR_BS'!$A:$H,COLUMN(E5),FALSE))-E4,"0")</f>
        <v>638.5</v>
      </c>
      <c r="F5" s="113">
        <f>IFERROR(VALUE(VLOOKUP("Total Cash And Short Term Investments*",'7.TIKR_BS'!$A:$H,COLUMN(F5),FALSE))-F4,"0")</f>
        <v>107.69999999999982</v>
      </c>
      <c r="G5" s="113">
        <f>IFERROR(VALUE(VLOOKUP("Total Cash And Short Term Investments*",'7.TIKR_BS'!$A:$H,COLUMN(G5),FALSE))-G4,"0")</f>
        <v>5.4000000000005457</v>
      </c>
      <c r="H5" s="113">
        <f>IFERROR(VALUE(VLOOKUP("Total Cash And Short Term Investments*",'7.TIKR_BS'!$A:$H,COLUMN(H5),FALSE))-H4,"0")</f>
        <v>5.3999999999996362</v>
      </c>
      <c r="I5" s="115">
        <f>IFERROR(((H4+H5)+'2.FCF'!I17)*(SUM($B$5:$H$5)/SUM($B$4:$H$5)),0)</f>
        <v>1140.0629450074064</v>
      </c>
      <c r="J5" s="80">
        <f>IFERROR(((I4+I5)+'2.FCF'!J17)*(SUM($B$5:$H$5)/SUM($B$4:$H$5)),0)</f>
        <v>1254.833792318833</v>
      </c>
      <c r="K5" s="80">
        <f>IFERROR(((J4+J5)+'2.FCF'!K17)*(SUM($B$5:$H$5)/SUM($B$4:$H$5)),0)</f>
        <v>1389.8591002471333</v>
      </c>
      <c r="L5" s="80">
        <f>IFERROR(((K4+K5)+'2.FCF'!L17)*(SUM($B$5:$H$5)/SUM($B$4:$H$5)),0)</f>
        <v>1548.7133233205316</v>
      </c>
      <c r="M5" s="124">
        <f>IFERROR(((L4+L5)+'2.FCF'!M17)*(SUM($B$5:$H$5)/SUM($B$4:$H$5)),0)</f>
        <v>1735.6017265053094</v>
      </c>
      <c r="N5" s="80"/>
      <c r="O5" s="80"/>
      <c r="S5" s="13"/>
    </row>
    <row r="6" spans="1:19" s="6" customFormat="1" ht="24.75" customHeight="1">
      <c r="A6" s="109" t="s">
        <v>57</v>
      </c>
      <c r="B6" s="253">
        <f>IFERROR(VALUE(VLOOKUP("Short Term Debt*",'7.TIKR_BS'!$A:$H,COLUMN(B6),FALSE)),"0")+IFERROR(VALUE(VLOOKUP("Other Current Liabilities*",'7.TIKR_BS'!$A:$H,COLUMN(B6),FALSE)),"0")</f>
        <v>1099.3</v>
      </c>
      <c r="C6" s="253">
        <f>IFERROR(VALUE(VLOOKUP("Short Term Debt*",'7.TIKR_BS'!$A:$H,COLUMN(C6),FALSE)),"0")+IFERROR(VALUE(VLOOKUP("Other Current Liabilities*",'7.TIKR_BS'!$A:$H,COLUMN(C6),FALSE)),"0")</f>
        <v>1105.5</v>
      </c>
      <c r="D6" s="253">
        <f>IFERROR(VALUE(VLOOKUP("Short Term Debt*",'7.TIKR_BS'!$A:$H,COLUMN(D6),FALSE)),"0")+IFERROR(VALUE(VLOOKUP("Other Current Liabilities*",'7.TIKR_BS'!$A:$H,COLUMN(D6),FALSE)),"0")</f>
        <v>1271.4000000000001</v>
      </c>
      <c r="E6" s="253">
        <f>IFERROR(VALUE(VLOOKUP("Short Term Debt*",'7.TIKR_BS'!$A:$H,COLUMN(E6),FALSE)),"0")+IFERROR(VALUE(VLOOKUP("Other Current Liabilities*",'7.TIKR_BS'!$A:$H,COLUMN(E6),FALSE)),"0")</f>
        <v>2246.5</v>
      </c>
      <c r="F6" s="253">
        <f>IFERROR(VALUE(VLOOKUP("Short Term Debt*",'7.TIKR_BS'!$A:$H,COLUMN(F6),FALSE)),"0")+IFERROR(VALUE(VLOOKUP("Other Current Liabilities*",'7.TIKR_BS'!$A:$H,COLUMN(F6),FALSE)),"0")</f>
        <v>2718.1000000000004</v>
      </c>
      <c r="G6" s="253">
        <f>IFERROR(VALUE(VLOOKUP("Short Term Debt*",'7.TIKR_BS'!$A:$H,COLUMN(G6),FALSE)),"0")+IFERROR(VALUE(VLOOKUP("Other Current Liabilities*",'7.TIKR_BS'!$A:$H,COLUMN(G6),FALSE)),"0")</f>
        <v>2486.4</v>
      </c>
      <c r="H6" s="253">
        <f>IFERROR(VALUE(VLOOKUP("Short Term Debt*",'7.TIKR_BS'!$A:$H,COLUMN(H6),FALSE)),"0")+IFERROR(VALUE(VLOOKUP("Other Current Liabilities*",'7.TIKR_BS'!$A:$H,COLUMN(H6),FALSE)),"0")</f>
        <v>20051.400000000001</v>
      </c>
      <c r="I6" s="115">
        <f>IFERROR(IF((I4+I5+'4.Valoración'!I4)*TIKR_Cálculos!$B$17&gt;0,(I4+I5+'4.Valoración'!I4)*TIKR_Cálculos!$B$17,0),"0")</f>
        <v>7806.7235433229462</v>
      </c>
      <c r="J6" s="80">
        <f>IFERROR(IF((J4+J5+'4.Valoración'!J4)*TIKR_Cálculos!$B$17&gt;0,(J4+J5+'4.Valoración'!J4)*TIKR_Cálculos!$B$17,0),"0")</f>
        <v>8638.5409243353952</v>
      </c>
      <c r="K6" s="80">
        <f>IFERROR(IF((K4+K5+'4.Valoración'!K4)*TIKR_Cálculos!$B$17&gt;0,(K4+K5+'4.Valoración'!K4)*TIKR_Cálculos!$B$17,0),"0")</f>
        <v>9617.1552732087766</v>
      </c>
      <c r="L6" s="80">
        <f>IFERROR(IF((L4+L5+'4.Valoración'!L4)*TIKR_Cálculos!$B$17&gt;0,(L4+L5+'4.Valoración'!L4)*TIKR_Cálculos!$B$17,0),"0")</f>
        <v>10768.472937015251</v>
      </c>
      <c r="M6" s="124">
        <f>IFERROR(IF((M4+M5+'4.Valoración'!M4)*TIKR_Cálculos!$B$17&gt;0,(M4+M5+'4.Valoración'!M4)*TIKR_Cálculos!$B$17,0),"0")</f>
        <v>12122.972147576389</v>
      </c>
      <c r="N6" s="80"/>
      <c r="O6" s="80"/>
      <c r="S6" s="13"/>
    </row>
    <row r="7" spans="1:19" s="6" customFormat="1" ht="24.95" customHeight="1">
      <c r="A7" s="109" t="s">
        <v>58</v>
      </c>
      <c r="B7" s="113">
        <f>IFERROR(VALUE(VLOOKUP("Long Term Debt*",'7.TIKR_BS'!$A:$H,COLUMN(B7),FALSE)),"0")+IFERROR(VALUE(VLOOKUP("Other Non Current Liabilities*",'7.TIKR_BS'!$A:$H,COLUMN(B7),FALSE)),"0")</f>
        <v>3228.3</v>
      </c>
      <c r="C7" s="113">
        <f>IFERROR(VALUE(VLOOKUP("Long Term Debt*",'7.TIKR_BS'!$A:$H,COLUMN(C7),FALSE)),"0")+IFERROR(VALUE(VLOOKUP("Other Non Current Liabilities*",'7.TIKR_BS'!$A:$H,COLUMN(C7),FALSE)),"0")</f>
        <v>3349.3</v>
      </c>
      <c r="D7" s="113">
        <f>IFERROR(VALUE(VLOOKUP("Long Term Debt*",'7.TIKR_BS'!$A:$H,COLUMN(D7),FALSE)),"0")+IFERROR(VALUE(VLOOKUP("Other Non Current Liabilities*",'7.TIKR_BS'!$A:$H,COLUMN(D7),FALSE)),"0")</f>
        <v>4920.3</v>
      </c>
      <c r="E7" s="113">
        <f>IFERROR(VALUE(VLOOKUP("Long Term Debt*",'7.TIKR_BS'!$A:$H,COLUMN(E7),FALSE)),"0")+IFERROR(VALUE(VLOOKUP("Other Non Current Liabilities*",'7.TIKR_BS'!$A:$H,COLUMN(E7),FALSE)),"0")</f>
        <v>4326.1000000000004</v>
      </c>
      <c r="F7" s="113">
        <f>IFERROR(VALUE(VLOOKUP("Long Term Debt*",'7.TIKR_BS'!$A:$H,COLUMN(F7),FALSE)),"0")+IFERROR(VALUE(VLOOKUP("Other Non Current Liabilities*",'7.TIKR_BS'!$A:$H,COLUMN(F7),FALSE)),"0")</f>
        <v>3969.1</v>
      </c>
      <c r="G7" s="113">
        <f>IFERROR(VALUE(VLOOKUP("Long Term Debt*",'7.TIKR_BS'!$A:$H,COLUMN(G7),FALSE)),"0")+IFERROR(VALUE(VLOOKUP("Other Non Current Liabilities*",'7.TIKR_BS'!$A:$H,COLUMN(G7),FALSE)),"0")</f>
        <v>5032.7</v>
      </c>
      <c r="H7" s="113">
        <f>IFERROR(VALUE(VLOOKUP("Long Term Debt*",'7.TIKR_BS'!$A:$H,COLUMN(H7),FALSE)),"0")+IFERROR(VALUE(VLOOKUP("Other Non Current Liabilities*",'7.TIKR_BS'!$A:$H,COLUMN(H7),FALSE)),"0")</f>
        <v>4136.8</v>
      </c>
      <c r="I7" s="115">
        <f>IFERROR(IF((I4+I5+'4.Valoración'!I4)*TIKR_Cálculos!$B$18&gt;0,(I4+I5+'4.Valoración'!I4)*TIKR_Cálculos!$B$18,0),"0")</f>
        <v>7298.6839720273101</v>
      </c>
      <c r="J7" s="80">
        <f>IFERROR(IF((J4+J5+'4.Valoración'!J4)*TIKR_Cálculos!$B$18&gt;0,(J4+J5+'4.Valoración'!J4)*TIKR_Cálculos!$B$18,0),"0")</f>
        <v>8076.3690216845298</v>
      </c>
      <c r="K7" s="80">
        <f>IFERROR(IF((K4+K5+'4.Valoración'!K4)*TIKR_Cálculos!$B$18&gt;0,(K4+K5+'4.Valoración'!K4)*TIKR_Cálculos!$B$18,0),"0")</f>
        <v>8991.2979061622063</v>
      </c>
      <c r="L7" s="80">
        <f>IFERROR(IF((L4+L5+'4.Valoración'!L4)*TIKR_Cálculos!$B$18&gt;0,(L4+L5+'4.Valoración'!L4)*TIKR_Cálculos!$B$18,0),"0")</f>
        <v>10067.691060461026</v>
      </c>
      <c r="M7" s="124">
        <f>IFERROR(IF((M4+M5+'4.Valoración'!M4)*TIKR_Cálculos!$B$18&gt;0,(M4+M5+'4.Valoración'!M4)*TIKR_Cálculos!$B$18,0),"0")</f>
        <v>11334.043278953728</v>
      </c>
      <c r="N7" s="80"/>
      <c r="O7" s="80"/>
      <c r="P7" s="80"/>
      <c r="Q7" s="80"/>
      <c r="R7" s="80"/>
      <c r="S7" s="12"/>
    </row>
    <row r="8" spans="1:19" s="6" customFormat="1" ht="24.95" customHeight="1">
      <c r="A8" s="109" t="s">
        <v>59</v>
      </c>
      <c r="B8" s="113">
        <f>IFERROR(VALUE(VLOOKUP("Other Current Liabilities*",'7.TIKR_BS'!$A:$H,COLUMN(B8),FALSE)),"0")</f>
        <v>911.4</v>
      </c>
      <c r="C8" s="113">
        <f>IFERROR(VALUE(VLOOKUP("Other Current Liabilities*",'7.TIKR_BS'!$A:$H,COLUMN(C8),FALSE)),"0")</f>
        <v>3.9</v>
      </c>
      <c r="D8" s="113">
        <f>IFERROR(VALUE(VLOOKUP("Other Current Liabilities*",'7.TIKR_BS'!$A:$H,COLUMN(D8),FALSE)),"0")</f>
        <v>1256</v>
      </c>
      <c r="E8" s="113">
        <f>IFERROR(VALUE(VLOOKUP("Other Current Liabilities*",'7.TIKR_BS'!$A:$H,COLUMN(E8),FALSE)),"0")</f>
        <v>1737.4</v>
      </c>
      <c r="F8" s="113">
        <f>IFERROR(VALUE(VLOOKUP("Other Current Liabilities*",'7.TIKR_BS'!$A:$H,COLUMN(F8),FALSE)),"0")</f>
        <v>1971.9</v>
      </c>
      <c r="G8" s="113">
        <f>IFERROR(VALUE(VLOOKUP("Other Current Liabilities*",'7.TIKR_BS'!$A:$H,COLUMN(G8),FALSE)),"0")</f>
        <v>2439.6</v>
      </c>
      <c r="H8" s="113">
        <f>IFERROR(VALUE(VLOOKUP("Other Current Liabilities*",'7.TIKR_BS'!$A:$H,COLUMN(H8),FALSE)),"0")</f>
        <v>20051.400000000001</v>
      </c>
      <c r="I8" s="115">
        <f>IFERROR(H8*'1.IS'!$Q$3+H8,"")</f>
        <v>23590.018918715119</v>
      </c>
      <c r="J8" s="80">
        <f>IFERROR(I8*'1.IS'!$Q$3+I8,"")</f>
        <v>27753.124100329016</v>
      </c>
      <c r="K8" s="80">
        <f>IFERROR(J8*'1.IS'!$Q$3+J8,"")</f>
        <v>32650.923256241957</v>
      </c>
      <c r="L8" s="80">
        <f>IFERROR(K8*'1.IS'!$Q$3+K8,"")</f>
        <v>38413.073268114109</v>
      </c>
      <c r="M8" s="124">
        <f>IFERROR(L8*'1.IS'!$Q$3+L8,"")</f>
        <v>45192.112526846096</v>
      </c>
      <c r="N8" s="80"/>
      <c r="O8" s="80"/>
      <c r="P8" s="80"/>
      <c r="Q8" s="80"/>
      <c r="R8" s="80"/>
      <c r="S8" s="12"/>
    </row>
    <row r="9" spans="1:19" s="6" customFormat="1" ht="24.95" customHeight="1">
      <c r="A9" s="109" t="s">
        <v>60</v>
      </c>
      <c r="B9" s="113">
        <f>IFERROR(VALUE(VLOOKUP("Other Non Current Liabilities*",'7.TIKR_BS'!$A:$H,COLUMN(B9),FALSE)),"0")</f>
        <v>201.8</v>
      </c>
      <c r="C9" s="113">
        <f>IFERROR(VALUE(VLOOKUP("Other Non Current Liabilities*",'7.TIKR_BS'!$A:$H,COLUMN(C9),FALSE)),"0")</f>
        <v>241</v>
      </c>
      <c r="D9" s="113">
        <f>IFERROR(VALUE(VLOOKUP("Other Non Current Liabilities*",'7.TIKR_BS'!$A:$H,COLUMN(D9),FALSE)),"0")</f>
        <v>257.5</v>
      </c>
      <c r="E9" s="113">
        <f>IFERROR(VALUE(VLOOKUP("Other Non Current Liabilities*",'7.TIKR_BS'!$A:$H,COLUMN(E9),FALSE)),"0")</f>
        <v>251.1</v>
      </c>
      <c r="F9" s="113">
        <f>IFERROR(VALUE(VLOOKUP("Other Non Current Liabilities*",'7.TIKR_BS'!$A:$H,COLUMN(F9),FALSE)),"0")</f>
        <v>454.9</v>
      </c>
      <c r="G9" s="113">
        <f>IFERROR(VALUE(VLOOKUP("Other Non Current Liabilities*",'7.TIKR_BS'!$A:$H,COLUMN(G9),FALSE)),"0")</f>
        <v>401.2</v>
      </c>
      <c r="H9" s="113">
        <f>IFERROR(VALUE(VLOOKUP("Other Non Current Liabilities*",'7.TIKR_BS'!$A:$H,COLUMN(H9),FALSE)),"0")</f>
        <v>459.5</v>
      </c>
      <c r="I9" s="115">
        <f>IFERROR(H9*'1.IS'!$Q$3+H9,"")</f>
        <v>540.59136484981582</v>
      </c>
      <c r="J9" s="80">
        <f>IFERROR(I9*'1.IS'!$Q$3+I9,"")</f>
        <v>635.99352285133114</v>
      </c>
      <c r="K9" s="80">
        <f>IFERROR(J9*'1.IS'!$Q$3+J9,"")</f>
        <v>748.23200555787514</v>
      </c>
      <c r="L9" s="80">
        <f>IFERROR(K9*'1.IS'!$Q$3+K9,"")</f>
        <v>880.27804376245194</v>
      </c>
      <c r="M9" s="124">
        <f>IFERROR(L9*'1.IS'!$Q$3+L9,"")</f>
        <v>1035.6272233403042</v>
      </c>
      <c r="N9" s="80"/>
      <c r="O9" s="80"/>
      <c r="P9" s="80"/>
      <c r="Q9" s="80"/>
      <c r="R9" s="80"/>
      <c r="S9" s="12"/>
    </row>
    <row r="10" spans="1:19" s="6" customFormat="1" ht="24.95" customHeight="1">
      <c r="A10" s="109" t="s">
        <v>61</v>
      </c>
      <c r="B10" s="113">
        <f>IFERROR(VALUE(VLOOKUP("Total Stockholders Equity*",'7.TIKR_BS'!$A:$H,COLUMN(B10),FALSE)),"0")</f>
        <v>12942.4</v>
      </c>
      <c r="C10" s="113">
        <f>IFERROR(VALUE(VLOOKUP("Total Stockholders Equity*",'7.TIKR_BS'!$A:$H,COLUMN(C10),FALSE)),"0")</f>
        <v>13876.9</v>
      </c>
      <c r="D10" s="113">
        <f>IFERROR(VALUE(VLOOKUP("Total Stockholders Equity*",'7.TIKR_BS'!$A:$H,COLUMN(D10),FALSE)),"0")</f>
        <v>13865.4</v>
      </c>
      <c r="E10" s="113">
        <f>IFERROR(VALUE(VLOOKUP("Total Stockholders Equity*",'7.TIKR_BS'!$A:$H,COLUMN(E10),FALSE)),"0")</f>
        <v>10140.6</v>
      </c>
      <c r="F10" s="113">
        <f>IFERROR(VALUE(VLOOKUP("Total Stockholders Equity*",'7.TIKR_BS'!$A:$H,COLUMN(F10),FALSE)),"0")</f>
        <v>11286</v>
      </c>
      <c r="G10" s="113">
        <f>IFERROR(VALUE(VLOOKUP("Total Stockholders Equity*",'7.TIKR_BS'!$A:$H,COLUMN(G10),FALSE)),"0")</f>
        <v>13452.4</v>
      </c>
      <c r="H10" s="113">
        <f>IFERROR(VALUE(VLOOKUP("Total Stockholders Equity*",'7.TIKR_BS'!$A:$H,COLUMN(H10),FALSE)),"0")</f>
        <v>18476.8</v>
      </c>
      <c r="I10" s="115">
        <f>IFERROR(H10*'1.IS'!$Q$3+H10,"")</f>
        <v>21737.537606217793</v>
      </c>
      <c r="J10" s="80">
        <f>IFERROR(I10*'1.IS'!$Q$3+I10,"")</f>
        <v>25573.721704068499</v>
      </c>
      <c r="K10" s="80">
        <f>IFERROR(J10*'1.IS'!$Q$3+J10,"")</f>
        <v>30086.905593670832</v>
      </c>
      <c r="L10" s="80">
        <f>IFERROR(K10*'1.IS'!$Q$3+K10,"")</f>
        <v>35396.564437410387</v>
      </c>
      <c r="M10" s="124">
        <f>IFERROR(L10*'1.IS'!$Q$3+L10,"")</f>
        <v>41643.258063578091</v>
      </c>
      <c r="N10" s="80"/>
      <c r="O10" s="80"/>
      <c r="P10" s="80"/>
      <c r="Q10" s="80"/>
      <c r="R10" s="80"/>
      <c r="S10" s="12"/>
    </row>
    <row r="11" spans="1:19" s="6" customFormat="1" ht="24.95" customHeight="1">
      <c r="A11" s="150" t="s">
        <v>62</v>
      </c>
      <c r="B11" s="157">
        <f t="shared" ref="B11:H11" si="0">B10+B6+B7+B8+B9-B5</f>
        <v>17469.900000000001</v>
      </c>
      <c r="C11" s="151">
        <f t="shared" si="0"/>
        <v>17390.800000000003</v>
      </c>
      <c r="D11" s="151">
        <f t="shared" si="0"/>
        <v>20268.399999999998</v>
      </c>
      <c r="E11" s="151">
        <f t="shared" si="0"/>
        <v>18063.2</v>
      </c>
      <c r="F11" s="151">
        <f t="shared" si="0"/>
        <v>20292.300000000003</v>
      </c>
      <c r="G11" s="151">
        <f t="shared" si="0"/>
        <v>23806.899999999998</v>
      </c>
      <c r="H11" s="155">
        <f t="shared" si="0"/>
        <v>63170.5</v>
      </c>
      <c r="I11" s="156">
        <f>IFERROR(I10+I6+I7+I8+I9-I5,"")</f>
        <v>59833.492460125584</v>
      </c>
      <c r="J11" s="152">
        <f>IFERROR(J10+J6+J7+J8+J9-J5,"")</f>
        <v>69422.91548094993</v>
      </c>
      <c r="K11" s="152">
        <f>IFERROR(K10+K6+K7+K8+K9-K5,"")</f>
        <v>80704.654934594495</v>
      </c>
      <c r="L11" s="152">
        <f>IFERROR(L10+L6+L7+L8+L9-L5,"")</f>
        <v>93977.366423442669</v>
      </c>
      <c r="M11" s="153">
        <f>IFERROR(M10+M6+M7+M8+M9-M5,"")</f>
        <v>109592.41151378929</v>
      </c>
      <c r="N11" s="80"/>
      <c r="O11" s="80"/>
      <c r="P11" s="80"/>
      <c r="Q11" s="80"/>
      <c r="R11" s="80"/>
      <c r="S11" s="12"/>
    </row>
    <row r="12" spans="1:19" s="160" customFormat="1" ht="30" customHeight="1">
      <c r="A12" s="4"/>
      <c r="B12" s="5"/>
      <c r="C12" s="5"/>
      <c r="D12" s="5"/>
      <c r="E12" s="5"/>
      <c r="F12" s="5"/>
      <c r="G12" s="5"/>
      <c r="H12" s="5"/>
      <c r="I12" s="5"/>
      <c r="J12" s="5"/>
      <c r="K12" s="5"/>
      <c r="L12" s="5"/>
      <c r="M12" s="5"/>
      <c r="N12" s="5"/>
      <c r="O12" s="5"/>
      <c r="P12" s="5"/>
      <c r="Q12" s="5"/>
      <c r="R12" s="5"/>
      <c r="S12" s="23"/>
    </row>
    <row r="13" spans="1:19" s="161" customFormat="1" ht="39.950000000000003" customHeight="1">
      <c r="A13" s="44" t="s">
        <v>63</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4" t="s">
        <v>64</v>
      </c>
      <c r="B14" s="134">
        <f>IFERROR('1.IS'!B18/B10,"")</f>
        <v>0.19142508344665599</v>
      </c>
      <c r="C14" s="24">
        <f>IFERROR('1.IS'!C18/C10,"")</f>
        <v>0.1820507462041234</v>
      </c>
      <c r="D14" s="24">
        <f>IFERROR('1.IS'!D18/D10,"")</f>
        <v>0.2467797539198292</v>
      </c>
      <c r="E14" s="24">
        <f>IFERROR('1.IS'!E18/E10,"")</f>
        <v>0.55514466599609502</v>
      </c>
      <c r="F14" s="24">
        <f>IFERROR('1.IS'!F18/F10,"")</f>
        <v>0.54908736487683851</v>
      </c>
      <c r="G14" s="24">
        <f>IFERROR('1.IS'!G18/G10,"")</f>
        <v>0.55719425530016942</v>
      </c>
      <c r="H14" s="48">
        <f>IFERROR('1.IS'!H18/H10,"")</f>
        <v>0.39843479390370623</v>
      </c>
      <c r="I14" s="111">
        <f>IFERROR('1.IS'!I18/I10,"")</f>
        <v>0.37566315473391654</v>
      </c>
      <c r="J14" s="24">
        <f>IFERROR('1.IS'!J18/J10,"")</f>
        <v>0.37595856247591819</v>
      </c>
      <c r="K14" s="24">
        <f>IFERROR('1.IS'!K18/K10,"")</f>
        <v>0.37620965760298786</v>
      </c>
      <c r="L14" s="24">
        <f>IFERROR('1.IS'!L18/L10,"")</f>
        <v>0.37642308722541734</v>
      </c>
      <c r="M14" s="24">
        <f>IFERROR('1.IS'!M18/M10,"")</f>
        <v>0.37660450135424567</v>
      </c>
      <c r="N14" s="148">
        <f>IFERROR(AVERAGE(B14:H14),"")</f>
        <v>0.38287380909248825</v>
      </c>
      <c r="O14" s="189"/>
      <c r="P14" s="189"/>
      <c r="Q14" s="189"/>
      <c r="R14" s="189"/>
    </row>
    <row r="15" spans="1:19" s="50" customFormat="1" ht="24.95" customHeight="1">
      <c r="A15" s="141" t="s">
        <v>65</v>
      </c>
      <c r="B15" s="134">
        <f t="shared" ref="B15:M15" si="1">IFERROR(B3/B11,"")</f>
        <v>0.13436919428516048</v>
      </c>
      <c r="C15" s="24">
        <f t="shared" si="1"/>
        <v>0.1271810547075006</v>
      </c>
      <c r="D15" s="24">
        <f t="shared" si="1"/>
        <v>0.16274088625715011</v>
      </c>
      <c r="E15" s="24">
        <f t="shared" si="1"/>
        <v>0.304239652456886</v>
      </c>
      <c r="F15" s="24">
        <f t="shared" si="1"/>
        <v>0.29372399916579883</v>
      </c>
      <c r="G15" s="24">
        <f t="shared" si="1"/>
        <v>0.30922625733605336</v>
      </c>
      <c r="H15" s="48">
        <f t="shared" si="1"/>
        <v>0.11628339150695821</v>
      </c>
      <c r="I15" s="111">
        <f t="shared" si="1"/>
        <v>0.13824773909012028</v>
      </c>
      <c r="J15" s="24">
        <f t="shared" si="1"/>
        <v>0.14017905596980518</v>
      </c>
      <c r="K15" s="24">
        <f t="shared" si="1"/>
        <v>0.14186360204030649</v>
      </c>
      <c r="L15" s="24">
        <f t="shared" si="1"/>
        <v>0.14332761883683356</v>
      </c>
      <c r="M15" s="24">
        <f t="shared" si="1"/>
        <v>0.14459599405881907</v>
      </c>
      <c r="N15" s="148">
        <f>IFERROR(AVERAGE(B15:H15),"")</f>
        <v>0.20682349081650106</v>
      </c>
      <c r="O15" s="189"/>
      <c r="P15" s="189"/>
      <c r="Q15" s="189"/>
      <c r="R15" s="189"/>
    </row>
    <row r="16" spans="1:19" s="50" customFormat="1" ht="24.95" customHeight="1">
      <c r="A16" s="190" t="s">
        <v>66</v>
      </c>
      <c r="B16" s="158">
        <f>IFERROR(TIKR_Cálculos!B11/'2.FCF'!B13,"")</f>
        <v>1.0420335798990253E-2</v>
      </c>
      <c r="C16" s="154">
        <f>IFERROR(TIKR_Cálculos!C11/'2.FCF'!C13,"")</f>
        <v>0.15239769018327895</v>
      </c>
      <c r="D16" s="154">
        <f>IFERROR(TIKR_Cálculos!D11/'2.FCF'!D13,"")</f>
        <v>3.8991949597479869E-2</v>
      </c>
      <c r="E16" s="154">
        <f>IFERROR(TIKR_Cálculos!E11/'2.FCF'!E13,"")</f>
        <v>0.17109081684424152</v>
      </c>
      <c r="F16" s="154">
        <f>IFERROR(TIKR_Cálculos!F11/'2.FCF'!F13,"")</f>
        <v>5.6339710061856674E-2</v>
      </c>
      <c r="G16" s="154">
        <f>IFERROR(TIKR_Cálculos!G11/'2.FCF'!G13,"")</f>
        <v>0.33569354592226591</v>
      </c>
      <c r="H16" s="154">
        <f>IFERROR(TIKR_Cálculos!H11/'2.FCF'!H13,"")</f>
        <v>5.6997499353280988E-2</v>
      </c>
      <c r="I16" s="127"/>
      <c r="J16" s="154"/>
      <c r="K16" s="154"/>
      <c r="L16" s="154"/>
      <c r="M16" s="154"/>
      <c r="N16" s="159">
        <f>IFERROR(AVERAGE(B16:H16),"")</f>
        <v>0.11741879253734203</v>
      </c>
      <c r="O16" s="189"/>
      <c r="P16" s="189"/>
      <c r="Q16" s="189"/>
      <c r="R16" s="189"/>
    </row>
    <row r="17" spans="1:13" ht="37.5" customHeight="1">
      <c r="A17" s="160"/>
      <c r="B17" s="192"/>
      <c r="C17" s="192"/>
      <c r="D17" s="192"/>
      <c r="E17" s="192"/>
      <c r="F17" s="193"/>
      <c r="G17" s="193"/>
      <c r="H17" s="192"/>
    </row>
    <row r="18" spans="1:13">
      <c r="I18" s="191"/>
      <c r="M18" s="191"/>
    </row>
    <row r="19" spans="1:13">
      <c r="I19" s="191"/>
      <c r="J19" s="191"/>
      <c r="K19" s="191"/>
      <c r="L19" s="191"/>
      <c r="M19" s="191"/>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B15" zoomScale="90" zoomScaleNormal="90" workbookViewId="0">
      <selection activeCell="D19" sqref="D19"/>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67</v>
      </c>
      <c r="N1" s="26"/>
    </row>
    <row r="2" spans="1:14" s="6" customFormat="1" ht="39.950000000000003" customHeight="1">
      <c r="A2" s="108" t="s">
        <v>68</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69</v>
      </c>
      <c r="B3" s="131"/>
      <c r="C3" s="84"/>
      <c r="D3" s="84"/>
      <c r="E3" s="84"/>
      <c r="F3" s="84"/>
      <c r="G3" s="84"/>
      <c r="H3" s="80">
        <f>$D$12*'1.IS'!H22</f>
        <v>264499.20000000001</v>
      </c>
      <c r="I3" s="115">
        <f>IFERROR($D$12*'1.IS'!I22,"")</f>
        <v>261006.58816991508</v>
      </c>
      <c r="J3" s="84">
        <f>IFERROR($D$12*'1.IS'!J22,"")</f>
        <v>257560.09495718571</v>
      </c>
      <c r="K3" s="84">
        <f>IFERROR($D$12*'1.IS'!K22,"")</f>
        <v>254159.1113829244</v>
      </c>
      <c r="L3" s="84">
        <f>IFERROR($D$12*'1.IS'!L22,"")</f>
        <v>250803.03650957934</v>
      </c>
      <c r="M3" s="136">
        <f>IFERROR($D$12*'1.IS'!M22,"")</f>
        <v>247491.27733475168</v>
      </c>
      <c r="N3" s="105"/>
    </row>
    <row r="4" spans="1:14" s="6" customFormat="1" ht="24.95" customHeight="1" thickBot="1">
      <c r="A4" s="47" t="s">
        <v>70</v>
      </c>
      <c r="B4" s="131">
        <f>('3.ROIC'!B7+'3.ROIC'!B6)-('3.ROIC'!B4+'3.ROIC'!B5)</f>
        <v>293.20000000000027</v>
      </c>
      <c r="C4" s="84">
        <f>('3.ROIC'!C7+'3.ROIC'!C6)-('3.ROIC'!C4+'3.ROIC'!C5)</f>
        <v>-263.30000000000018</v>
      </c>
      <c r="D4" s="84">
        <f>('3.ROIC'!D7+'3.ROIC'!D6)-('3.ROIC'!D4+'3.ROIC'!D5)</f>
        <v>-1159.8999999999996</v>
      </c>
      <c r="E4" s="84">
        <f>('3.ROIC'!E7+'3.ROIC'!E6)-('3.ROIC'!E4+'3.ROIC'!E5)</f>
        <v>-1017.6999999999998</v>
      </c>
      <c r="F4" s="84">
        <f>('3.ROIC'!F7+'3.ROIC'!F6)-('3.ROIC'!F4+'3.ROIC'!F5)</f>
        <v>-688.79999999999927</v>
      </c>
      <c r="G4" s="84">
        <f>('3.ROIC'!G7+'3.ROIC'!G6)-('3.ROIC'!G4+'3.ROIC'!G5)</f>
        <v>509</v>
      </c>
      <c r="H4" s="80">
        <f>('3.ROIC'!H7+'3.ROIC'!H6)-('3.ROIC'!H4+'3.ROIC'!H5)</f>
        <v>11446.900000000001</v>
      </c>
      <c r="I4" s="115">
        <f>IFERROR(I5*'1.IS'!I5,"")</f>
        <v>1171.8166299938848</v>
      </c>
      <c r="J4" s="80">
        <f>IFERROR(J5*'1.IS'!J5,"")</f>
        <v>1378.6157809839083</v>
      </c>
      <c r="K4" s="80">
        <f>IFERROR(K5*'1.IS'!K5,"")</f>
        <v>1621.9103082602519</v>
      </c>
      <c r="L4" s="80">
        <f>IFERROR(L5*'1.IS'!L5,"")</f>
        <v>1908.1408209061915</v>
      </c>
      <c r="M4" s="124">
        <f>IFERROR(M5*'1.IS'!M5,"")</f>
        <v>2244.8845499441263</v>
      </c>
      <c r="N4" s="105"/>
    </row>
    <row r="5" spans="1:14" s="6" customFormat="1" ht="24.95" customHeight="1" thickTop="1" thickBot="1">
      <c r="A5" s="101" t="s">
        <v>71</v>
      </c>
      <c r="B5" s="165">
        <f>IFERROR('4.Valoración'!B4/'1.IS'!B5,"")</f>
        <v>8.1066135810661424E-2</v>
      </c>
      <c r="C5" s="100">
        <f>IFERROR('4.Valoración'!C4/'1.IS'!C5,"")</f>
        <v>-7.42736248236954E-2</v>
      </c>
      <c r="D5" s="100">
        <f>IFERROR('4.Valoración'!D4/'1.IS'!D5,"")</f>
        <v>-0.25535521652026499</v>
      </c>
      <c r="E5" s="100">
        <f>IFERROR('4.Valoración'!E4/'1.IS'!E5,"")</f>
        <v>-0.14093420669981024</v>
      </c>
      <c r="F5" s="100">
        <f>IFERROR('4.Valoración'!F4/'1.IS'!F5,"")</f>
        <v>-8.4031768107455176E-2</v>
      </c>
      <c r="G5" s="100">
        <f>IFERROR('4.Valoración'!G4/'1.IS'!G5,"")</f>
        <v>5.1788167065167624E-2</v>
      </c>
      <c r="H5" s="106">
        <f>IFERROR('4.Valoración'!H4/'1.IS'!H5,"")</f>
        <v>1.1514605882589628</v>
      </c>
      <c r="I5" s="236">
        <f>IFERROR(AVERAGE('4.Valoración'!B5:H5),"")</f>
        <v>0.10424572499765229</v>
      </c>
      <c r="J5" s="237">
        <f>I5</f>
        <v>0.10424572499765229</v>
      </c>
      <c r="K5" s="237">
        <f t="shared" ref="K5:M5" si="0">J5</f>
        <v>0.10424572499765229</v>
      </c>
      <c r="L5" s="237">
        <f t="shared" si="0"/>
        <v>0.10424572499765229</v>
      </c>
      <c r="M5" s="238">
        <f t="shared" si="0"/>
        <v>0.10424572499765229</v>
      </c>
      <c r="N5" s="107"/>
    </row>
    <row r="6" spans="1:14" s="6" customFormat="1" ht="24.95" customHeight="1" thickTop="1">
      <c r="A6" s="164" t="s">
        <v>72</v>
      </c>
      <c r="B6" s="157"/>
      <c r="C6" s="151"/>
      <c r="D6" s="151"/>
      <c r="E6" s="151"/>
      <c r="F6" s="151"/>
      <c r="G6" s="151"/>
      <c r="H6" s="151">
        <f>H3+H4</f>
        <v>275946.10000000003</v>
      </c>
      <c r="I6" s="157">
        <f>IFERROR((I3+I4),"")</f>
        <v>262178.40479990898</v>
      </c>
      <c r="J6" s="151">
        <f>IFERROR((J3+J4),"")</f>
        <v>258938.71073816961</v>
      </c>
      <c r="K6" s="151">
        <f>IFERROR((K3+K4),"")</f>
        <v>255781.02169118464</v>
      </c>
      <c r="L6" s="151">
        <f>IFERROR((L3+L4),"")</f>
        <v>252711.17733048552</v>
      </c>
      <c r="M6" s="166">
        <f>IFERROR((M3+M4),"")</f>
        <v>249736.16188469582</v>
      </c>
    </row>
    <row r="7" spans="1:14" s="6" customFormat="1" ht="24.95" customHeight="1">
      <c r="A7" s="20" t="s">
        <v>7</v>
      </c>
      <c r="B7" s="91">
        <f>'1.IS'!B5</f>
        <v>3616.8</v>
      </c>
      <c r="C7" s="91">
        <f>'1.IS'!C5</f>
        <v>3545</v>
      </c>
      <c r="D7" s="91">
        <f>'1.IS'!D5</f>
        <v>4542.3</v>
      </c>
      <c r="E7" s="91">
        <f>'1.IS'!E5</f>
        <v>7221.1</v>
      </c>
      <c r="F7" s="91">
        <f>'1.IS'!F5</f>
        <v>8196.9</v>
      </c>
      <c r="G7" s="91">
        <f>'1.IS'!G5</f>
        <v>9828.5</v>
      </c>
      <c r="H7" s="92">
        <f>'1.IS'!H5</f>
        <v>9941.2000000000007</v>
      </c>
      <c r="I7" s="93">
        <f>'1.IS'!I5</f>
        <v>11240.908248470383</v>
      </c>
      <c r="J7" s="91">
        <f>'1.IS'!J5</f>
        <v>13224.674498785978</v>
      </c>
      <c r="K7" s="91">
        <f>'1.IS'!K5</f>
        <v>15558.530657221472</v>
      </c>
      <c r="L7" s="91">
        <f>'1.IS'!L5</f>
        <v>18304.259680185107</v>
      </c>
      <c r="M7" s="91">
        <f>'1.IS'!M5</f>
        <v>21534.547819535845</v>
      </c>
      <c r="N7" s="29"/>
    </row>
    <row r="8" spans="1:14" s="6" customFormat="1" ht="24.95" customHeight="1">
      <c r="A8" s="20" t="s">
        <v>73</v>
      </c>
      <c r="B8" s="91">
        <f>'1.IS'!B8</f>
        <v>2883.3</v>
      </c>
      <c r="C8" s="91">
        <f>'1.IS'!C8</f>
        <v>2716.7</v>
      </c>
      <c r="D8" s="91">
        <f>'1.IS'!D8</f>
        <v>4051.5</v>
      </c>
      <c r="E8" s="91">
        <f>'1.IS'!E8</f>
        <v>6750.1</v>
      </c>
      <c r="F8" s="91">
        <f>'1.IS'!F8</f>
        <v>7321</v>
      </c>
      <c r="G8" s="91">
        <f>'1.IS'!G8</f>
        <v>9042.2999999999993</v>
      </c>
      <c r="H8" s="92">
        <f>'1.IS'!H8</f>
        <v>9022.6</v>
      </c>
      <c r="I8" s="93">
        <f>'1.IS'!I8</f>
        <v>10160.196109730359</v>
      </c>
      <c r="J8" s="91">
        <f>'1.IS'!J8</f>
        <v>11953.241092711478</v>
      </c>
      <c r="K8" s="91">
        <f>'1.IS'!K8</f>
        <v>14062.717990615456</v>
      </c>
      <c r="L8" s="91">
        <f>'1.IS'!L8</f>
        <v>16544.469884754883</v>
      </c>
      <c r="M8" s="91">
        <f>'1.IS'!M8</f>
        <v>19464.194898185673</v>
      </c>
      <c r="N8" s="29"/>
    </row>
    <row r="9" spans="1:14" s="6" customFormat="1" ht="24.95" customHeight="1">
      <c r="A9" s="20" t="s">
        <v>74</v>
      </c>
      <c r="B9" s="91">
        <f>'1.IS'!B18</f>
        <v>2477.5000000000005</v>
      </c>
      <c r="C9" s="91">
        <f>'1.IS'!C18</f>
        <v>2526.2999999999997</v>
      </c>
      <c r="D9" s="91">
        <f>'1.IS'!D18</f>
        <v>3421.7</v>
      </c>
      <c r="E9" s="91">
        <f>'1.IS'!E18</f>
        <v>5629.5000000000009</v>
      </c>
      <c r="F9" s="91">
        <f>'1.IS'!F18</f>
        <v>6197</v>
      </c>
      <c r="G9" s="91">
        <f>'1.IS'!G18</f>
        <v>7495.5999999999995</v>
      </c>
      <c r="H9" s="92">
        <f>'1.IS'!H18</f>
        <v>7361.7999999999993</v>
      </c>
      <c r="I9" s="93">
        <f>'1.IS'!I18</f>
        <v>8165.9919532989243</v>
      </c>
      <c r="J9" s="91">
        <f>'1.IS'!J18</f>
        <v>9614.6596490207812</v>
      </c>
      <c r="K9" s="91">
        <f>'1.IS'!K18</f>
        <v>11318.984451728324</v>
      </c>
      <c r="L9" s="91">
        <f>'1.IS'!L18</f>
        <v>13324.084062703436</v>
      </c>
      <c r="M9" s="91">
        <f>'1.IS'!M18</f>
        <v>15683.038437799996</v>
      </c>
      <c r="N9" s="29"/>
    </row>
    <row r="10" spans="1:14" s="6" customFormat="1" ht="24.95" customHeight="1">
      <c r="A10" s="28" t="s">
        <v>75</v>
      </c>
      <c r="B10" s="94">
        <f>'2.FCF'!B13</f>
        <v>3406.8000000000006</v>
      </c>
      <c r="C10" s="94">
        <f>'2.FCF'!C13</f>
        <v>2788.0999999999995</v>
      </c>
      <c r="D10" s="94">
        <f>'2.FCF'!D13</f>
        <v>5714.0000000000009</v>
      </c>
      <c r="E10" s="94">
        <f>'2.FCF'!E13</f>
        <v>9855</v>
      </c>
      <c r="F10" s="94">
        <f>'2.FCF'!F13</f>
        <v>8374.1999999999989</v>
      </c>
      <c r="G10" s="94">
        <f>'2.FCF'!G13</f>
        <v>3926.199999999998</v>
      </c>
      <c r="H10" s="94">
        <f>'2.FCF'!H13</f>
        <v>15076.100000000006</v>
      </c>
      <c r="I10" s="95">
        <f>'2.FCF'!I13</f>
        <v>11342.166846734122</v>
      </c>
      <c r="J10" s="94">
        <f>'2.FCF'!J13</f>
        <v>13351.357626482917</v>
      </c>
      <c r="K10" s="94">
        <f>'2.FCF'!K13</f>
        <v>15715.125169177296</v>
      </c>
      <c r="L10" s="94">
        <f>'2.FCF'!L13</f>
        <v>18496.044259694925</v>
      </c>
      <c r="M10" s="94">
        <f>'2.FCF'!M13</f>
        <v>21767.732718192929</v>
      </c>
      <c r="N10" s="29"/>
    </row>
    <row r="11" spans="1:14" s="6" customFormat="1" ht="20.100000000000001" customHeight="1" thickBot="1">
      <c r="A11" s="102"/>
      <c r="B11" s="87"/>
      <c r="C11" s="87"/>
      <c r="D11" s="87"/>
      <c r="E11" s="87"/>
      <c r="F11" s="87"/>
      <c r="G11" s="87"/>
      <c r="H11" s="87"/>
      <c r="I11" s="87"/>
      <c r="J11" s="87"/>
      <c r="K11" s="87"/>
      <c r="L11" s="87"/>
      <c r="M11" s="87"/>
      <c r="N11" s="29"/>
    </row>
    <row r="12" spans="1:14" s="6" customFormat="1" ht="24.95" customHeight="1" thickTop="1" thickBot="1">
      <c r="A12" s="263" t="s">
        <v>76</v>
      </c>
      <c r="B12" s="264"/>
      <c r="C12" s="265"/>
      <c r="D12" s="225">
        <v>672</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08" t="s">
        <v>77</v>
      </c>
      <c r="B14" s="162" t="s">
        <v>78</v>
      </c>
      <c r="C14" s="162" t="s">
        <v>79</v>
      </c>
      <c r="D14" s="232" t="s">
        <v>80</v>
      </c>
      <c r="E14" s="59"/>
      <c r="G14" s="7"/>
      <c r="H14" s="7"/>
      <c r="I14" s="7"/>
      <c r="J14" s="7"/>
      <c r="K14" s="7"/>
      <c r="L14" s="7"/>
      <c r="M14" s="7"/>
    </row>
    <row r="15" spans="1:14" s="6" customFormat="1" ht="24.95" customHeight="1" thickBot="1">
      <c r="A15" s="169" t="s">
        <v>81</v>
      </c>
      <c r="B15" s="170">
        <f>IF(D12&lt;&gt;"",IFERROR(D12/'1.IS'!H20,""),"")</f>
        <v>35.928604417397928</v>
      </c>
      <c r="C15" s="170">
        <f>IF(D12&lt;&gt;"",IFERROR(D12/'1.IS'!I20,""),"")</f>
        <v>31.962631075637148</v>
      </c>
      <c r="D15" s="233">
        <v>26</v>
      </c>
      <c r="E15" s="60"/>
      <c r="G15" s="7"/>
      <c r="H15" s="7"/>
      <c r="I15" s="7"/>
      <c r="J15" s="7"/>
      <c r="K15" s="7"/>
      <c r="L15" s="7"/>
      <c r="M15" s="7"/>
    </row>
    <row r="16" spans="1:14" s="6" customFormat="1" ht="24.95" customHeight="1" thickBot="1">
      <c r="A16" s="172" t="s">
        <v>82</v>
      </c>
      <c r="B16" s="177">
        <f>IF(D12&lt;&gt;"",IFERROR(H6/H10,""),"")</f>
        <v>18.303546673211237</v>
      </c>
      <c r="C16" s="177">
        <f>IF(D12&lt;&gt;"",IFERROR(I6/I10,""),"")</f>
        <v>23.115371898747984</v>
      </c>
      <c r="D16" s="234">
        <v>28</v>
      </c>
      <c r="E16" s="61"/>
      <c r="G16" s="7"/>
      <c r="H16" s="7"/>
      <c r="I16" s="7"/>
      <c r="J16" s="7"/>
      <c r="K16" s="7"/>
      <c r="L16" s="7"/>
      <c r="M16" s="7"/>
    </row>
    <row r="17" spans="1:14" s="6" customFormat="1" ht="24.95" customHeight="1">
      <c r="A17" s="47" t="s">
        <v>83</v>
      </c>
      <c r="B17" s="171">
        <f>IF(D12&lt;&gt;"",IFERROR(H6/H7,""),"")</f>
        <v>27.757826016979841</v>
      </c>
      <c r="C17" s="62">
        <f>IF(D12&lt;&gt;"",IFERROR(I6/I7,""),"")</f>
        <v>23.323596190333209</v>
      </c>
      <c r="D17" s="233">
        <v>21</v>
      </c>
      <c r="E17" s="60"/>
      <c r="G17" s="7"/>
      <c r="H17" s="7"/>
      <c r="I17" s="7"/>
      <c r="J17" s="7"/>
      <c r="K17" s="7"/>
      <c r="L17" s="7"/>
      <c r="M17" s="7"/>
    </row>
    <row r="18" spans="1:14" s="6" customFormat="1" ht="24.95" customHeight="1" thickBot="1">
      <c r="A18" s="28" t="s">
        <v>84</v>
      </c>
      <c r="B18" s="179">
        <f>IF(D12&lt;&gt;"",IFERROR(H6/H8,""),"")</f>
        <v>30.583878261255073</v>
      </c>
      <c r="C18" s="180">
        <f>IF(D12&lt;&gt;"",IFERROR(I6/I8,""),"")</f>
        <v>25.80446302102597</v>
      </c>
      <c r="D18" s="235">
        <v>24</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3" t="s">
        <v>85</v>
      </c>
      <c r="B20" s="162" t="str">
        <f>I2</f>
        <v>2025e</v>
      </c>
      <c r="C20" s="162" t="str">
        <f>J2</f>
        <v>2026e</v>
      </c>
      <c r="D20" s="162" t="str">
        <f>K2</f>
        <v>2027e</v>
      </c>
      <c r="E20" s="162" t="str">
        <f>L2</f>
        <v>2028e</v>
      </c>
      <c r="F20" s="99" t="str">
        <f>M2</f>
        <v>2029e</v>
      </c>
      <c r="H20" s="266" t="str">
        <f>"Retorno Anualizado"&amp;CHAR(10)&amp;"valorando por..."</f>
        <v>Retorno Anualizado
valorando por...</v>
      </c>
      <c r="I20" s="266"/>
      <c r="J20" s="162" t="str">
        <f>"CAGR"&amp;CHAR(10)&amp;"5 años"</f>
        <v>CAGR
5 años</v>
      </c>
      <c r="L20" s="7"/>
      <c r="M20" s="7"/>
    </row>
    <row r="21" spans="1:14" s="6" customFormat="1" ht="24.95" customHeight="1" thickBot="1">
      <c r="A21" s="57" t="s">
        <v>86</v>
      </c>
      <c r="B21" s="16">
        <f>IF(D12&lt;&gt;"",IFERROR(IF(--I4&lt;0,(I9*$D$15-I4),IF(--I4&gt;0,I9*$D$15))/'1.IS'!I22,""),"")</f>
        <v>546.6383527267775</v>
      </c>
      <c r="C21" s="16">
        <f>IF(D12&lt;&gt;"",IFERROR(IF(--J4&lt;0,(J9*$D$15-J4),IF(--J4&gt;0,J9*$D$15))/'1.IS'!J22,""),"")</f>
        <v>652.22577828143631</v>
      </c>
      <c r="D21" s="16">
        <f>IF(D12&lt;&gt;"",IFERROR(IF(--K4&lt;0,(K9*$D$15-K4),IF(--K4&gt;0,K9*$D$15))/'1.IS'!K22,""),"")</f>
        <v>778.11609925971788</v>
      </c>
      <c r="E21" s="16">
        <f>IF(D12&lt;&gt;"",IFERROR(IF(--L4&lt;0,(L9*$D$15-L4),IF(--L4&gt;0,L9*$D$15))/'1.IS'!L22,""),"")</f>
        <v>928.21203436531266</v>
      </c>
      <c r="F21" s="167">
        <f>IF(D12&lt;&gt;"",IFERROR(IF(--M4&lt;0,(M9*$D$15-M4),IF(--M4&gt;0,M9*$D$15))/'1.IS'!M22,""),"")</f>
        <v>1107.1664849610668</v>
      </c>
      <c r="H21" s="57" t="s">
        <v>86</v>
      </c>
      <c r="I21" s="57"/>
      <c r="J21" s="168">
        <f>IFERROR((F21/$D$12)^(1/5)-1,"")</f>
        <v>0.10501642018946034</v>
      </c>
      <c r="L21" s="7"/>
      <c r="M21" s="7"/>
    </row>
    <row r="22" spans="1:14" s="6" customFormat="1" ht="24.95" customHeight="1" thickBot="1">
      <c r="A22" s="172" t="s">
        <v>87</v>
      </c>
      <c r="B22" s="173">
        <f>IF(D12&lt;&gt;"",IFERROR(((I10*$D$16)-I4)/'1.IS'!I22,""),"")</f>
        <v>814.64131654168625</v>
      </c>
      <c r="C22" s="173">
        <f>IF(D12&lt;&gt;"",IFERROR(((J10*$D$16)-J4)/'1.IS'!J22,""),"")</f>
        <v>971.78375142580842</v>
      </c>
      <c r="D22" s="173">
        <f>IF(D12&lt;&gt;"",IFERROR(((K10*$D$16)-K4)/'1.IS'!K22,""),"")</f>
        <v>1159.1395242652793</v>
      </c>
      <c r="E22" s="173">
        <f>IF(D12&lt;&gt;"",IFERROR(((L10*$D$16)-L4)/'1.IS'!L22,""),"")</f>
        <v>1382.5163482242256</v>
      </c>
      <c r="F22" s="174">
        <f>IF(D12&lt;&gt;"",IFERROR(((M10*$D$16)-M4)/'1.IS'!M22,""),"")</f>
        <v>1648.8382976665655</v>
      </c>
      <c r="H22" s="172" t="s">
        <v>82</v>
      </c>
      <c r="I22" s="175"/>
      <c r="J22" s="176">
        <f>IFERROR((F22/$D$12)^(1/5)-1,"")</f>
        <v>0.19663515818346777</v>
      </c>
      <c r="L22" s="7"/>
      <c r="M22" s="7"/>
    </row>
    <row r="23" spans="1:14" s="6" customFormat="1" ht="24.95" customHeight="1">
      <c r="A23" s="20" t="s">
        <v>83</v>
      </c>
      <c r="B23" s="16">
        <f>IF(D12&lt;&gt;"",IFERROR(((I7*$D$17)-I4)/'1.IS'!I22,""),"")</f>
        <v>604.75192420929125</v>
      </c>
      <c r="C23" s="16">
        <f>IF(D12&lt;&gt;"",IFERROR(((J7*$D$17)-J4)/'1.IS'!J22,""),"")</f>
        <v>720.9974695533308</v>
      </c>
      <c r="D23" s="16">
        <f>IF(D12&lt;&gt;"",IFERROR(((K7*$D$17)-K4)/'1.IS'!K22,""),"")</f>
        <v>859.58775870286001</v>
      </c>
      <c r="E23" s="16">
        <f>IF(D12&lt;&gt;"",IFERROR(((L7*$D$17)-L4)/'1.IS'!L22,""),"")</f>
        <v>1024.8179031329478</v>
      </c>
      <c r="F23" s="167">
        <f>IF(D12&lt;&gt;"",IFERROR(((M7*$D$17)-M4)/'1.IS'!M22,""),"")</f>
        <v>1221.8086215730541</v>
      </c>
      <c r="H23" s="20" t="s">
        <v>83</v>
      </c>
      <c r="I23" s="20"/>
      <c r="J23" s="168">
        <f>IFERROR((F23/$D$12)^(1/5)-1,"")</f>
        <v>0.12700743841195039</v>
      </c>
      <c r="L23" s="7"/>
      <c r="M23" s="7"/>
    </row>
    <row r="24" spans="1:14" s="6" customFormat="1" ht="24.95" customHeight="1">
      <c r="A24" s="57" t="s">
        <v>84</v>
      </c>
      <c r="B24" s="58">
        <f>IF(D12&lt;&gt;"",IFERROR(((I8*$D$18)-I4)/'1.IS'!I22,""),"")</f>
        <v>624.79718702047819</v>
      </c>
      <c r="C24" s="58">
        <f>IF(D12&lt;&gt;"",IFERROR(((J8*$D$18)-J4)/'1.IS'!J22,""),"")</f>
        <v>744.89583710676027</v>
      </c>
      <c r="D24" s="58">
        <f>IF(D12&lt;&gt;"",IFERROR(((K8*$D$18)-K4)/'1.IS'!K22,""),"")</f>
        <v>888.07987562337576</v>
      </c>
      <c r="E24" s="58">
        <f>IF(D12&lt;&gt;"",IFERROR(((L8*$D$18)-L4)/'1.IS'!L22,""),"")</f>
        <v>1058.7867809149723</v>
      </c>
      <c r="F24" s="167">
        <f>IF(D12&lt;&gt;"",IFERROR(((M8*$D$18)-M4)/'1.IS'!M22,""),"")</f>
        <v>1262.3070043709731</v>
      </c>
      <c r="H24" s="57" t="s">
        <v>84</v>
      </c>
      <c r="I24" s="57"/>
      <c r="J24" s="168">
        <f>IFERROR((F24/$D$12)^(1/5)-1,"")</f>
        <v>0.13438152239379497</v>
      </c>
      <c r="L24" s="7"/>
      <c r="M24" s="7"/>
    </row>
    <row r="25" spans="1:14" s="6" customFormat="1" ht="24.95" customHeight="1">
      <c r="A25" s="219" t="s">
        <v>88</v>
      </c>
      <c r="B25" s="220">
        <f>IFERROR(AVERAGE(B21:B24),"")</f>
        <v>647.70719512455833</v>
      </c>
      <c r="C25" s="220">
        <f>IFERROR(AVERAGE(C21:C24),"")</f>
        <v>772.47570909183401</v>
      </c>
      <c r="D25" s="220">
        <f>IFERROR(AVERAGE(D21:D24),"")</f>
        <v>921.23081446280821</v>
      </c>
      <c r="E25" s="220">
        <f>IFERROR(AVERAGE(E21:E24),"")</f>
        <v>1098.5832666593647</v>
      </c>
      <c r="F25" s="221">
        <f>IFERROR(AVERAGE(F21:F24),"")</f>
        <v>1310.030102142915</v>
      </c>
      <c r="H25" s="181" t="s">
        <v>88</v>
      </c>
      <c r="I25" s="182"/>
      <c r="J25" s="183">
        <f>IFERROR(AVERAGE(J21:J24),"")</f>
        <v>0.14076013479466837</v>
      </c>
      <c r="L25" s="7"/>
      <c r="M25" s="7"/>
    </row>
    <row r="26" spans="1:14" s="6" customFormat="1" ht="24.95" customHeight="1">
      <c r="A26" s="181" t="s">
        <v>89</v>
      </c>
      <c r="B26" s="222">
        <f>IFERROR((B25/$D$12)-1,"")</f>
        <v>-3.6150007255121519E-2</v>
      </c>
      <c r="C26" s="222">
        <f t="shared" ref="C26:F26" si="1">IFERROR((C25/$D$12)-1,"")</f>
        <v>0.14951742424380066</v>
      </c>
      <c r="D26" s="222">
        <f t="shared" si="1"/>
        <v>0.3708791881887028</v>
      </c>
      <c r="E26" s="222">
        <f t="shared" si="1"/>
        <v>0.63479652776691164</v>
      </c>
      <c r="F26" s="223">
        <f t="shared" si="1"/>
        <v>0.94944955676029008</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78"/>
      <c r="C42" s="178"/>
      <c r="D42" s="178"/>
      <c r="E42" s="178"/>
      <c r="F42" s="178"/>
      <c r="G42" s="178"/>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workbookViewId="0"/>
  </sheetViews>
  <sheetFormatPr defaultColWidth="0" defaultRowHeight="15"/>
  <cols>
    <col min="1" max="1" width="48.42578125" bestFit="1" customWidth="1"/>
    <col min="2" max="8" width="11.42578125" style="3" customWidth="1"/>
    <col min="9" max="16384" width="11.42578125" hidden="1"/>
  </cols>
  <sheetData>
    <row r="1" spans="1:10">
      <c r="A1" s="66" t="s">
        <v>90</v>
      </c>
      <c r="B1" s="67">
        <v>43465</v>
      </c>
      <c r="C1" s="67">
        <v>43830</v>
      </c>
      <c r="D1" s="67">
        <v>44196</v>
      </c>
      <c r="E1" s="67">
        <v>44561</v>
      </c>
      <c r="F1" s="67">
        <v>44926</v>
      </c>
      <c r="G1" s="67">
        <v>45291</v>
      </c>
      <c r="H1" s="67">
        <v>45657</v>
      </c>
      <c r="I1" t="s">
        <v>91</v>
      </c>
      <c r="J1" t="s">
        <v>92</v>
      </c>
    </row>
    <row r="2" spans="1:10" s="66" customFormat="1">
      <c r="A2" s="66" t="s">
        <v>93</v>
      </c>
      <c r="B2" s="67"/>
      <c r="C2" s="67"/>
      <c r="D2" s="67"/>
      <c r="E2" s="67"/>
      <c r="F2" s="67"/>
      <c r="G2" s="67"/>
      <c r="H2" s="67"/>
      <c r="I2" s="96"/>
    </row>
    <row r="3" spans="1:10">
      <c r="A3" t="s">
        <v>94</v>
      </c>
      <c r="B3" s="65">
        <v>10944</v>
      </c>
      <c r="C3" s="65">
        <v>11820</v>
      </c>
      <c r="D3" s="65">
        <v>13978.5</v>
      </c>
      <c r="E3" s="65">
        <v>18611</v>
      </c>
      <c r="F3" s="65">
        <v>21173.4</v>
      </c>
      <c r="G3" s="65">
        <v>27558.5</v>
      </c>
      <c r="H3" s="65">
        <v>28262.9</v>
      </c>
      <c r="I3" t="s">
        <v>95</v>
      </c>
      <c r="J3" t="s">
        <v>96</v>
      </c>
    </row>
    <row r="4" spans="1:10">
      <c r="A4" t="s">
        <v>97</v>
      </c>
      <c r="B4" s="65">
        <v>0.20899999999999999</v>
      </c>
      <c r="C4" s="65">
        <v>0.08</v>
      </c>
      <c r="D4" s="65">
        <v>0.183</v>
      </c>
      <c r="E4" s="65">
        <v>0.33100000000000002</v>
      </c>
      <c r="F4" s="65">
        <v>0.13800000000000001</v>
      </c>
      <c r="G4" s="65">
        <v>0.30199999999999999</v>
      </c>
      <c r="H4" s="65">
        <v>2.5999999999999999E-2</v>
      </c>
      <c r="I4" s="97" t="s">
        <v>98</v>
      </c>
      <c r="J4" t="s">
        <v>99</v>
      </c>
    </row>
    <row r="5" spans="1:10">
      <c r="A5" t="s">
        <v>100</v>
      </c>
      <c r="B5" s="65">
        <v>-6225.7</v>
      </c>
      <c r="C5" s="65">
        <v>-6919.9</v>
      </c>
      <c r="D5" s="65">
        <v>-7181.3</v>
      </c>
      <c r="E5" s="65">
        <v>-8802</v>
      </c>
      <c r="F5" s="65">
        <v>-10660.7</v>
      </c>
      <c r="G5" s="65">
        <v>-13722.5</v>
      </c>
      <c r="H5" s="65">
        <v>-13770.9</v>
      </c>
      <c r="I5" s="97" t="s">
        <v>101</v>
      </c>
      <c r="J5" t="s">
        <v>102</v>
      </c>
    </row>
    <row r="6" spans="1:10">
      <c r="A6" t="s">
        <v>103</v>
      </c>
      <c r="B6" s="65">
        <v>4718.3</v>
      </c>
      <c r="C6" s="65">
        <v>4900.1000000000004</v>
      </c>
      <c r="D6" s="65">
        <v>6797.2</v>
      </c>
      <c r="E6" s="65">
        <v>9809</v>
      </c>
      <c r="F6" s="65">
        <v>10512.7</v>
      </c>
      <c r="G6" s="65">
        <v>13836</v>
      </c>
      <c r="H6" s="65">
        <v>14492</v>
      </c>
      <c r="I6" s="97" t="s">
        <v>104</v>
      </c>
      <c r="J6" t="s">
        <v>105</v>
      </c>
    </row>
    <row r="7" spans="1:10">
      <c r="A7" t="s">
        <v>97</v>
      </c>
      <c r="B7" s="65">
        <v>0.157</v>
      </c>
      <c r="C7" s="65">
        <v>3.9E-2</v>
      </c>
      <c r="D7" s="65">
        <v>0.38700000000000001</v>
      </c>
      <c r="E7" s="65">
        <v>0.443</v>
      </c>
      <c r="F7" s="65">
        <v>7.1999999999999995E-2</v>
      </c>
      <c r="G7" s="65">
        <v>0.316</v>
      </c>
      <c r="H7" s="65">
        <v>4.7E-2</v>
      </c>
      <c r="I7" s="97" t="s">
        <v>106</v>
      </c>
      <c r="J7" t="s">
        <v>107</v>
      </c>
    </row>
    <row r="8" spans="1:10">
      <c r="A8" t="s">
        <v>108</v>
      </c>
      <c r="B8" s="65">
        <v>0.43099999999999999</v>
      </c>
      <c r="C8" s="65">
        <v>0.41499999999999998</v>
      </c>
      <c r="D8" s="65">
        <v>0.48599999999999999</v>
      </c>
      <c r="E8" s="65">
        <v>0.52700000000000002</v>
      </c>
      <c r="F8" s="65">
        <v>0.497</v>
      </c>
      <c r="G8" s="65">
        <v>0.502</v>
      </c>
      <c r="H8" s="65">
        <v>0.51300000000000001</v>
      </c>
      <c r="I8" s="97" t="s">
        <v>109</v>
      </c>
      <c r="J8" t="s">
        <v>110</v>
      </c>
    </row>
    <row r="9" spans="1:10">
      <c r="A9" t="s">
        <v>111</v>
      </c>
      <c r="B9" s="65">
        <v>-488</v>
      </c>
      <c r="C9" s="65">
        <v>-520.5</v>
      </c>
      <c r="D9" s="65">
        <v>-544.9</v>
      </c>
      <c r="E9" s="65">
        <v>-725.6</v>
      </c>
      <c r="F9" s="65">
        <v>-909.6</v>
      </c>
      <c r="G9" s="65">
        <v>-1068.8</v>
      </c>
      <c r="H9" s="65">
        <v>-1165.7</v>
      </c>
      <c r="I9" s="97" t="s">
        <v>112</v>
      </c>
      <c r="J9" t="s">
        <v>113</v>
      </c>
    </row>
    <row r="10" spans="1:10">
      <c r="A10" t="s">
        <v>114</v>
      </c>
      <c r="B10" s="65">
        <v>-1347</v>
      </c>
      <c r="C10" s="65">
        <v>-1662.9</v>
      </c>
      <c r="D10" s="65">
        <v>-2200.8000000000002</v>
      </c>
      <c r="E10" s="65">
        <v>-2547</v>
      </c>
      <c r="F10" s="65">
        <v>-2282.1</v>
      </c>
      <c r="G10" s="65">
        <v>-3724.9</v>
      </c>
      <c r="H10" s="65">
        <v>-4303.7</v>
      </c>
      <c r="I10" s="97" t="s">
        <v>115</v>
      </c>
      <c r="J10" t="s">
        <v>116</v>
      </c>
    </row>
    <row r="11" spans="1:10">
      <c r="A11" t="s">
        <v>117</v>
      </c>
      <c r="B11" s="65"/>
      <c r="C11" s="65"/>
      <c r="D11" s="65"/>
      <c r="E11" s="65">
        <v>-213.7</v>
      </c>
      <c r="F11" s="65"/>
      <c r="G11" s="65"/>
      <c r="H11" s="65"/>
      <c r="I11" s="97" t="s">
        <v>118</v>
      </c>
      <c r="J11" t="s">
        <v>119</v>
      </c>
    </row>
    <row r="12" spans="1:10">
      <c r="A12" t="s">
        <v>120</v>
      </c>
      <c r="B12" s="65">
        <v>-1835</v>
      </c>
      <c r="C12" s="65">
        <v>-2183.4</v>
      </c>
      <c r="D12" s="65">
        <v>-2745.7</v>
      </c>
      <c r="E12" s="65">
        <v>-3272.6</v>
      </c>
      <c r="F12" s="65">
        <v>-3191.7</v>
      </c>
      <c r="G12" s="65">
        <v>-4793.7</v>
      </c>
      <c r="H12" s="65">
        <v>-5469.4</v>
      </c>
      <c r="I12" s="97" t="s">
        <v>121</v>
      </c>
      <c r="J12" t="s">
        <v>122</v>
      </c>
    </row>
    <row r="13" spans="1:10">
      <c r="A13" t="s">
        <v>123</v>
      </c>
      <c r="B13" s="65">
        <v>2883.3</v>
      </c>
      <c r="C13" s="65">
        <v>2716.7</v>
      </c>
      <c r="D13" s="65">
        <v>4051.5</v>
      </c>
      <c r="E13" s="65">
        <v>6750.1</v>
      </c>
      <c r="F13" s="65">
        <v>7321</v>
      </c>
      <c r="G13" s="65">
        <v>9042.2999999999993</v>
      </c>
      <c r="H13" s="65">
        <v>9022.6</v>
      </c>
      <c r="I13" s="97" t="s">
        <v>124</v>
      </c>
      <c r="J13" t="s">
        <v>125</v>
      </c>
    </row>
    <row r="14" spans="1:10">
      <c r="A14" t="s">
        <v>97</v>
      </c>
      <c r="B14" s="65">
        <v>0.155</v>
      </c>
      <c r="C14" s="65">
        <v>-5.8000000000000003E-2</v>
      </c>
      <c r="D14" s="65">
        <v>0.49099999999999999</v>
      </c>
      <c r="E14" s="65">
        <v>0.66600000000000004</v>
      </c>
      <c r="F14" s="65">
        <v>8.5000000000000006E-2</v>
      </c>
      <c r="G14" s="65">
        <v>0.23499999999999999</v>
      </c>
      <c r="H14" s="65">
        <v>-2E-3</v>
      </c>
      <c r="I14" s="97" t="s">
        <v>126</v>
      </c>
      <c r="J14" t="s">
        <v>127</v>
      </c>
    </row>
    <row r="15" spans="1:10">
      <c r="A15" t="s">
        <v>128</v>
      </c>
      <c r="B15" s="65">
        <v>0.26300000000000001</v>
      </c>
      <c r="C15" s="65">
        <v>0.23</v>
      </c>
      <c r="D15" s="65">
        <v>0.28999999999999998</v>
      </c>
      <c r="E15" s="65">
        <v>0.36299999999999999</v>
      </c>
      <c r="F15" s="65">
        <v>0.34599999999999997</v>
      </c>
      <c r="G15" s="65">
        <v>0.32800000000000001</v>
      </c>
      <c r="H15" s="65">
        <v>0.31900000000000001</v>
      </c>
      <c r="I15" s="97" t="s">
        <v>129</v>
      </c>
      <c r="J15" t="s">
        <v>130</v>
      </c>
    </row>
    <row r="16" spans="1:10">
      <c r="A16" t="s">
        <v>131</v>
      </c>
      <c r="B16" s="65">
        <v>-41.8</v>
      </c>
      <c r="C16" s="65">
        <v>-36.6</v>
      </c>
      <c r="D16" s="65">
        <v>-43.4</v>
      </c>
      <c r="E16" s="65">
        <v>-54.6</v>
      </c>
      <c r="F16" s="65">
        <v>-60.8</v>
      </c>
      <c r="G16" s="65">
        <v>-152.1</v>
      </c>
      <c r="H16" s="65"/>
      <c r="I16" t="s">
        <v>132</v>
      </c>
      <c r="J16" t="s">
        <v>133</v>
      </c>
    </row>
    <row r="17" spans="1:10">
      <c r="A17" t="s">
        <v>134</v>
      </c>
      <c r="B17" s="65">
        <v>-28.3</v>
      </c>
      <c r="C17" s="65">
        <v>-25</v>
      </c>
      <c r="D17" s="65">
        <v>-34.9</v>
      </c>
      <c r="E17" s="65">
        <v>-44.6</v>
      </c>
      <c r="F17" s="65">
        <v>-44.6</v>
      </c>
      <c r="G17" s="65">
        <v>41.2</v>
      </c>
      <c r="H17" s="65">
        <v>19.8</v>
      </c>
      <c r="I17" t="s">
        <v>135</v>
      </c>
      <c r="J17" t="s">
        <v>136</v>
      </c>
    </row>
    <row r="18" spans="1:10">
      <c r="A18" t="s">
        <v>137</v>
      </c>
      <c r="B18" s="65">
        <v>2855</v>
      </c>
      <c r="C18" s="65">
        <v>2691.7</v>
      </c>
      <c r="D18" s="65">
        <v>4016.6</v>
      </c>
      <c r="E18" s="65">
        <v>6705.5</v>
      </c>
      <c r="F18" s="65">
        <v>7276.4</v>
      </c>
      <c r="G18" s="65">
        <v>9083.5</v>
      </c>
      <c r="H18" s="65">
        <v>9042.4</v>
      </c>
      <c r="I18" s="97" t="s">
        <v>138</v>
      </c>
      <c r="J18" t="s">
        <v>139</v>
      </c>
    </row>
    <row r="19" spans="1:10">
      <c r="A19" t="s">
        <v>97</v>
      </c>
      <c r="B19" s="65">
        <v>0.16700000000000001</v>
      </c>
      <c r="C19" s="65">
        <v>-5.7000000000000002E-2</v>
      </c>
      <c r="D19" s="65">
        <v>0.49199999999999999</v>
      </c>
      <c r="E19" s="65">
        <v>0.66900000000000004</v>
      </c>
      <c r="F19" s="65">
        <v>8.5000000000000006E-2</v>
      </c>
      <c r="G19" s="65">
        <v>0.248</v>
      </c>
      <c r="H19" s="65">
        <v>-5.0000000000000001E-3</v>
      </c>
      <c r="I19" s="97" t="s">
        <v>140</v>
      </c>
      <c r="J19" t="s">
        <v>141</v>
      </c>
    </row>
    <row r="20" spans="1:10">
      <c r="A20" t="s">
        <v>142</v>
      </c>
      <c r="B20" s="65">
        <v>0.26100000000000001</v>
      </c>
      <c r="C20" s="65">
        <v>0.22800000000000001</v>
      </c>
      <c r="D20" s="65">
        <v>0.28699999999999998</v>
      </c>
      <c r="E20" s="65">
        <v>0.36</v>
      </c>
      <c r="F20" s="65">
        <v>0.34399999999999997</v>
      </c>
      <c r="G20" s="65">
        <v>0.33</v>
      </c>
      <c r="H20" s="65">
        <v>0.32</v>
      </c>
      <c r="I20" t="s">
        <v>143</v>
      </c>
      <c r="J20" t="s">
        <v>144</v>
      </c>
    </row>
    <row r="21" spans="1:10">
      <c r="A21" t="s">
        <v>145</v>
      </c>
      <c r="B21" s="65">
        <v>-335.7</v>
      </c>
      <c r="C21" s="65">
        <v>-128.80000000000001</v>
      </c>
      <c r="D21" s="65">
        <v>-551.5</v>
      </c>
      <c r="E21" s="65">
        <v>-1021.4</v>
      </c>
      <c r="F21" s="65">
        <v>-1018.6</v>
      </c>
      <c r="G21" s="65">
        <v>-1435.8</v>
      </c>
      <c r="H21" s="65">
        <v>-1680.6</v>
      </c>
      <c r="I21" s="97" t="s">
        <v>146</v>
      </c>
      <c r="J21" t="s">
        <v>147</v>
      </c>
    </row>
    <row r="22" spans="1:10">
      <c r="A22" t="s">
        <v>148</v>
      </c>
      <c r="B22" s="65">
        <v>0.11799999999999999</v>
      </c>
      <c r="C22" s="65">
        <v>4.8000000000000001E-2</v>
      </c>
      <c r="D22" s="65">
        <v>0.13700000000000001</v>
      </c>
      <c r="E22" s="65">
        <v>0.152</v>
      </c>
      <c r="F22" s="65">
        <v>0.14000000000000001</v>
      </c>
      <c r="G22" s="65">
        <v>0.158</v>
      </c>
      <c r="H22" s="65">
        <v>0.186</v>
      </c>
      <c r="I22" s="97" t="s">
        <v>149</v>
      </c>
      <c r="J22" t="s">
        <v>150</v>
      </c>
    </row>
    <row r="23" spans="1:10">
      <c r="A23" t="s">
        <v>22</v>
      </c>
      <c r="B23" s="65">
        <v>2519.3000000000002</v>
      </c>
      <c r="C23" s="65">
        <v>2581.1</v>
      </c>
      <c r="D23" s="65">
        <v>3553.7</v>
      </c>
      <c r="E23" s="65">
        <v>5883.2</v>
      </c>
      <c r="F23" s="65">
        <v>5624.2</v>
      </c>
      <c r="G23" s="65">
        <v>7839</v>
      </c>
      <c r="H23" s="65">
        <v>7571.6</v>
      </c>
      <c r="I23" s="97" t="s">
        <v>151</v>
      </c>
      <c r="J23" t="s">
        <v>152</v>
      </c>
    </row>
    <row r="24" spans="1:10">
      <c r="A24" t="s">
        <v>97</v>
      </c>
      <c r="B24" s="65">
        <v>0.18</v>
      </c>
      <c r="C24" s="65">
        <v>2.5000000000000001E-2</v>
      </c>
      <c r="D24" s="65">
        <v>0.377</v>
      </c>
      <c r="E24" s="65">
        <v>0.65600000000000003</v>
      </c>
      <c r="F24" s="65">
        <v>-4.3999999999999997E-2</v>
      </c>
      <c r="G24" s="65">
        <v>0.39400000000000002</v>
      </c>
      <c r="H24" s="65">
        <v>-3.4000000000000002E-2</v>
      </c>
      <c r="I24" s="97" t="s">
        <v>153</v>
      </c>
      <c r="J24" t="s">
        <v>154</v>
      </c>
    </row>
    <row r="25" spans="1:10">
      <c r="A25" t="s">
        <v>155</v>
      </c>
      <c r="B25" s="65">
        <v>0.23</v>
      </c>
      <c r="C25" s="65">
        <v>0.218</v>
      </c>
      <c r="D25" s="65">
        <v>0.254</v>
      </c>
      <c r="E25" s="65">
        <v>0.316</v>
      </c>
      <c r="F25" s="65">
        <v>0.26600000000000001</v>
      </c>
      <c r="G25" s="65">
        <v>0.28399999999999997</v>
      </c>
      <c r="H25" s="65">
        <v>0.26800000000000002</v>
      </c>
      <c r="I25" s="97" t="s">
        <v>156</v>
      </c>
      <c r="J25" t="s">
        <v>157</v>
      </c>
    </row>
    <row r="26" spans="1:10">
      <c r="A26" t="s">
        <v>158</v>
      </c>
      <c r="B26" s="65">
        <v>426.4</v>
      </c>
      <c r="C26" s="65">
        <v>421.6</v>
      </c>
      <c r="D26" s="65">
        <v>419.1</v>
      </c>
      <c r="E26" s="65">
        <v>410.4</v>
      </c>
      <c r="F26" s="65">
        <v>398</v>
      </c>
      <c r="G26" s="65">
        <v>394.1</v>
      </c>
      <c r="H26" s="65">
        <v>393.6</v>
      </c>
      <c r="I26" s="97" t="s">
        <v>159</v>
      </c>
      <c r="J26" t="s">
        <v>160</v>
      </c>
    </row>
    <row r="27" spans="1:10">
      <c r="A27" t="s">
        <v>97</v>
      </c>
      <c r="B27" s="65">
        <v>-1.2E-2</v>
      </c>
      <c r="C27" s="65">
        <v>-1.0999999999999999E-2</v>
      </c>
      <c r="D27" s="65">
        <v>-6.0000000000000001E-3</v>
      </c>
      <c r="E27" s="65">
        <v>-2.1000000000000001E-2</v>
      </c>
      <c r="F27" s="65">
        <v>-0.03</v>
      </c>
      <c r="G27" s="65">
        <v>-0.01</v>
      </c>
      <c r="H27" s="65">
        <v>-1E-3</v>
      </c>
      <c r="I27" s="97" t="s">
        <v>161</v>
      </c>
      <c r="J27" t="s">
        <v>162</v>
      </c>
    </row>
    <row r="28" spans="1:10">
      <c r="A28" t="s">
        <v>163</v>
      </c>
      <c r="B28" s="65">
        <v>5.91</v>
      </c>
      <c r="C28" s="65">
        <v>6.15</v>
      </c>
      <c r="D28" s="65">
        <v>8.48</v>
      </c>
      <c r="E28" s="65">
        <v>14.34</v>
      </c>
      <c r="F28" s="65">
        <v>14.13</v>
      </c>
      <c r="G28" s="65">
        <v>19.89</v>
      </c>
      <c r="H28" s="65">
        <v>38.47</v>
      </c>
      <c r="I28" s="97" t="s">
        <v>164</v>
      </c>
      <c r="J28" t="s">
        <v>165</v>
      </c>
    </row>
    <row r="29" spans="1:10">
      <c r="A29" t="s">
        <v>97</v>
      </c>
      <c r="B29" s="65">
        <v>0.23400000000000001</v>
      </c>
      <c r="C29" s="65">
        <v>4.1000000000000002E-2</v>
      </c>
      <c r="D29" s="65">
        <v>0.379</v>
      </c>
      <c r="E29" s="65">
        <v>0.69099999999999995</v>
      </c>
      <c r="F29" s="65">
        <v>-1.4999999999999999E-2</v>
      </c>
      <c r="G29" s="65">
        <v>0.40799999999999997</v>
      </c>
      <c r="H29" s="65">
        <v>0.93400000000000005</v>
      </c>
      <c r="I29" s="97" t="s">
        <v>166</v>
      </c>
      <c r="J29" t="s">
        <v>167</v>
      </c>
    </row>
    <row r="30" spans="1:10">
      <c r="A30" t="s">
        <v>168</v>
      </c>
      <c r="B30" s="65"/>
      <c r="C30" s="65"/>
      <c r="D30" s="65"/>
      <c r="E30" s="65"/>
      <c r="F30" s="65"/>
      <c r="G30" s="65"/>
      <c r="H30" s="65"/>
      <c r="I30" s="97"/>
    </row>
    <row r="31" spans="1:10">
      <c r="A31" t="s">
        <v>169</v>
      </c>
      <c r="B31" s="65">
        <v>5.93</v>
      </c>
      <c r="C31" s="65">
        <v>6.16</v>
      </c>
      <c r="D31" s="65">
        <v>8.5</v>
      </c>
      <c r="E31" s="65">
        <v>14.36</v>
      </c>
      <c r="F31" s="65">
        <v>14.14</v>
      </c>
      <c r="G31" s="65">
        <v>19.91</v>
      </c>
      <c r="H31" s="65">
        <v>38.5</v>
      </c>
      <c r="I31" s="97" t="s">
        <v>164</v>
      </c>
      <c r="J31">
        <v>45658</v>
      </c>
    </row>
    <row r="32" spans="1:10">
      <c r="A32" t="s">
        <v>97</v>
      </c>
      <c r="B32" s="65">
        <v>0.23300000000000001</v>
      </c>
      <c r="C32" s="65">
        <v>3.9E-2</v>
      </c>
      <c r="D32" s="65">
        <v>0.38</v>
      </c>
      <c r="E32" s="65">
        <v>0.68899999999999995</v>
      </c>
      <c r="F32" s="65">
        <v>-1.4999999999999999E-2</v>
      </c>
      <c r="G32" s="65">
        <v>0.40799999999999997</v>
      </c>
      <c r="H32" s="65">
        <v>0.93400000000000005</v>
      </c>
      <c r="I32" s="97" t="s">
        <v>170</v>
      </c>
      <c r="J32" t="s">
        <v>171</v>
      </c>
    </row>
    <row r="33" spans="1:10">
      <c r="A33" t="s">
        <v>172</v>
      </c>
      <c r="B33" s="65">
        <v>424.9</v>
      </c>
      <c r="C33" s="65">
        <v>420.8</v>
      </c>
      <c r="D33" s="65">
        <v>418.3</v>
      </c>
      <c r="E33" s="65">
        <v>409.8</v>
      </c>
      <c r="F33" s="65">
        <v>397.7</v>
      </c>
      <c r="G33" s="65">
        <v>393.8</v>
      </c>
      <c r="H33" s="65">
        <v>393.3</v>
      </c>
      <c r="I33" t="s">
        <v>173</v>
      </c>
      <c r="J33" t="s">
        <v>174</v>
      </c>
    </row>
    <row r="34" spans="1:10">
      <c r="A34" t="s">
        <v>97</v>
      </c>
      <c r="B34" s="65">
        <v>-1.0999999999999999E-2</v>
      </c>
      <c r="C34" s="65">
        <v>-0.01</v>
      </c>
      <c r="D34" s="65">
        <v>-6.0000000000000001E-3</v>
      </c>
      <c r="E34" s="65">
        <v>-0.02</v>
      </c>
      <c r="F34" s="65">
        <v>-0.03</v>
      </c>
      <c r="G34" s="65">
        <v>-0.01</v>
      </c>
      <c r="H34" s="65">
        <v>-1E-3</v>
      </c>
      <c r="I34" s="97" t="s">
        <v>161</v>
      </c>
      <c r="J34" t="s">
        <v>175</v>
      </c>
    </row>
    <row r="35" spans="1:10">
      <c r="A35" t="s">
        <v>7</v>
      </c>
      <c r="B35" s="65">
        <v>3630.3</v>
      </c>
      <c r="C35" s="65">
        <v>3556.6</v>
      </c>
      <c r="D35" s="65">
        <v>4542.3</v>
      </c>
      <c r="E35" s="65">
        <v>7007.4</v>
      </c>
      <c r="F35" s="65">
        <v>8213.1</v>
      </c>
      <c r="G35" s="65">
        <v>9828.5</v>
      </c>
      <c r="H35" s="65">
        <v>9961</v>
      </c>
      <c r="I35" t="s">
        <v>176</v>
      </c>
      <c r="J35" t="s">
        <v>125</v>
      </c>
    </row>
    <row r="36" spans="1:10">
      <c r="A36" t="s">
        <v>97</v>
      </c>
      <c r="B36" s="254">
        <v>0.28799999999999998</v>
      </c>
      <c r="C36" s="254">
        <v>-0.02</v>
      </c>
      <c r="D36" s="65">
        <v>0.27700000000000002</v>
      </c>
      <c r="E36" s="65">
        <v>0.54300000000000004</v>
      </c>
      <c r="F36" s="65">
        <v>0.17199999999999999</v>
      </c>
      <c r="G36" s="65">
        <v>0.19700000000000001</v>
      </c>
      <c r="H36" s="65">
        <v>1.2999999999999999E-2</v>
      </c>
      <c r="I36" s="97" t="s">
        <v>177</v>
      </c>
      <c r="J36" t="s">
        <v>178</v>
      </c>
    </row>
    <row r="37" spans="1:10">
      <c r="A37" t="s">
        <v>179</v>
      </c>
      <c r="B37" s="254">
        <v>0.33200000000000002</v>
      </c>
      <c r="C37" s="65">
        <v>0.30099999999999999</v>
      </c>
      <c r="D37" s="65">
        <v>0.32500000000000001</v>
      </c>
      <c r="E37" s="65">
        <v>0.377</v>
      </c>
      <c r="F37" s="65">
        <v>0.38800000000000001</v>
      </c>
      <c r="G37" s="65">
        <v>0.35699999999999998</v>
      </c>
      <c r="H37" s="65">
        <v>0.35199999999999998</v>
      </c>
      <c r="I37" t="s">
        <v>180</v>
      </c>
      <c r="J37" t="s">
        <v>130</v>
      </c>
    </row>
    <row r="38" spans="1:10">
      <c r="A38" t="s">
        <v>181</v>
      </c>
      <c r="B38" s="65">
        <v>733.5</v>
      </c>
      <c r="C38" s="65">
        <v>839.9</v>
      </c>
      <c r="D38" s="65">
        <v>490.8</v>
      </c>
      <c r="E38" s="65">
        <v>257.3</v>
      </c>
      <c r="F38" s="65">
        <v>892.1</v>
      </c>
      <c r="G38" s="65">
        <v>786.2</v>
      </c>
      <c r="H38" s="65">
        <v>918.6</v>
      </c>
      <c r="I38" t="s">
        <v>182</v>
      </c>
    </row>
    <row r="39" spans="1:10">
      <c r="A39" t="s">
        <v>183</v>
      </c>
      <c r="B39" s="65"/>
      <c r="C39" s="65"/>
      <c r="D39" s="65"/>
      <c r="E39" s="65">
        <v>0.21</v>
      </c>
      <c r="F39" s="65"/>
      <c r="G39" s="65"/>
      <c r="H39" s="65">
        <v>2.08</v>
      </c>
      <c r="I39" s="97"/>
    </row>
    <row r="40" spans="1:10">
      <c r="A40" t="s">
        <v>183</v>
      </c>
      <c r="B40" s="65">
        <v>13594</v>
      </c>
      <c r="C40" s="65">
        <v>14768</v>
      </c>
      <c r="D40" s="65">
        <v>14743</v>
      </c>
      <c r="E40" s="65">
        <v>14374</v>
      </c>
      <c r="F40" s="65">
        <v>17833</v>
      </c>
      <c r="G40" s="65">
        <v>21397</v>
      </c>
      <c r="H40" s="65"/>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9"/>
    </sheetView>
  </sheetViews>
  <sheetFormatPr defaultColWidth="0" defaultRowHeight="15"/>
  <cols>
    <col min="1" max="1" width="40.28515625" bestFit="1" customWidth="1"/>
    <col min="2" max="8" width="11.42578125" style="3" customWidth="1"/>
    <col min="9" max="16384" width="11.42578125" hidden="1"/>
  </cols>
  <sheetData>
    <row r="1" spans="1:10">
      <c r="A1" s="255" t="s">
        <v>184</v>
      </c>
      <c r="B1" s="67">
        <v>43465</v>
      </c>
      <c r="C1" s="67">
        <v>43830</v>
      </c>
      <c r="D1" s="67">
        <v>44196</v>
      </c>
      <c r="E1" s="67">
        <v>44561</v>
      </c>
      <c r="F1" s="67">
        <v>44926</v>
      </c>
      <c r="G1" s="67">
        <v>45291</v>
      </c>
      <c r="H1" s="67">
        <v>45657</v>
      </c>
      <c r="I1" t="s">
        <v>91</v>
      </c>
      <c r="J1" t="s">
        <v>92</v>
      </c>
    </row>
    <row r="2" spans="1:10">
      <c r="A2" s="255" t="s">
        <v>93</v>
      </c>
      <c r="B2" s="67"/>
      <c r="C2" s="67"/>
      <c r="D2" s="67"/>
      <c r="E2" s="67"/>
      <c r="F2" s="67"/>
      <c r="G2" s="67"/>
      <c r="H2" s="67"/>
      <c r="I2" s="98"/>
    </row>
    <row r="3" spans="1:10">
      <c r="A3" s="256" t="s">
        <v>185</v>
      </c>
      <c r="B3" s="65">
        <v>3121.1</v>
      </c>
      <c r="C3" s="65">
        <v>3532.3</v>
      </c>
      <c r="D3" s="65">
        <v>6049.4</v>
      </c>
      <c r="E3" s="65">
        <v>6951.8</v>
      </c>
      <c r="F3" s="65">
        <v>7268.3</v>
      </c>
      <c r="G3" s="65">
        <v>7004.7</v>
      </c>
      <c r="H3" s="65">
        <v>12735.9</v>
      </c>
      <c r="I3" t="s">
        <v>186</v>
      </c>
      <c r="J3" t="s">
        <v>187</v>
      </c>
    </row>
    <row r="4" spans="1:10">
      <c r="A4" s="256" t="s">
        <v>188</v>
      </c>
      <c r="B4" s="65">
        <v>913.3</v>
      </c>
      <c r="C4" s="65">
        <v>1185.8</v>
      </c>
      <c r="D4" s="65">
        <v>1302.2</v>
      </c>
      <c r="E4" s="65">
        <v>638.5</v>
      </c>
      <c r="F4" s="65">
        <v>107.7</v>
      </c>
      <c r="G4" s="65">
        <v>5.4</v>
      </c>
      <c r="H4" s="65">
        <v>5.4</v>
      </c>
      <c r="I4" s="97" t="s">
        <v>189</v>
      </c>
      <c r="J4" t="s">
        <v>190</v>
      </c>
    </row>
    <row r="5" spans="1:10">
      <c r="A5" s="256" t="s">
        <v>191</v>
      </c>
      <c r="B5" s="65">
        <v>4034.4</v>
      </c>
      <c r="C5" s="65">
        <v>4718.1000000000004</v>
      </c>
      <c r="D5" s="65">
        <v>7351.6</v>
      </c>
      <c r="E5" s="65">
        <v>7590.3</v>
      </c>
      <c r="F5" s="65">
        <v>7376</v>
      </c>
      <c r="G5" s="65">
        <v>7010.1</v>
      </c>
      <c r="H5" s="65">
        <v>12741.3</v>
      </c>
      <c r="I5" s="97" t="s">
        <v>192</v>
      </c>
      <c r="J5" t="s">
        <v>193</v>
      </c>
    </row>
    <row r="6" spans="1:10">
      <c r="A6" s="256" t="s">
        <v>194</v>
      </c>
      <c r="B6" s="65">
        <v>2400.9</v>
      </c>
      <c r="C6" s="65">
        <v>2850.5</v>
      </c>
      <c r="D6" s="65">
        <v>3207.3</v>
      </c>
      <c r="E6" s="65">
        <v>4420.2</v>
      </c>
      <c r="F6" s="65">
        <v>7047</v>
      </c>
      <c r="G6" s="65">
        <v>7256.8</v>
      </c>
      <c r="H6" s="65">
        <v>5164.3</v>
      </c>
      <c r="I6" s="97" t="s">
        <v>195</v>
      </c>
      <c r="J6" t="s">
        <v>196</v>
      </c>
    </row>
    <row r="7" spans="1:10">
      <c r="A7" s="256" t="s">
        <v>197</v>
      </c>
      <c r="B7" s="65">
        <v>3439.5</v>
      </c>
      <c r="C7" s="65">
        <v>3809.2</v>
      </c>
      <c r="D7" s="65">
        <v>4569.3999999999996</v>
      </c>
      <c r="E7" s="65">
        <v>5179.2</v>
      </c>
      <c r="F7" s="65">
        <v>7199.7</v>
      </c>
      <c r="G7" s="65">
        <v>9542.6</v>
      </c>
      <c r="H7" s="65">
        <v>10891.5</v>
      </c>
      <c r="I7" s="97" t="s">
        <v>198</v>
      </c>
      <c r="J7" t="s">
        <v>199</v>
      </c>
    </row>
    <row r="8" spans="1:10">
      <c r="A8" s="256" t="s">
        <v>200</v>
      </c>
      <c r="B8" s="65">
        <v>83.7</v>
      </c>
      <c r="C8" s="65">
        <v>131.1</v>
      </c>
      <c r="D8" s="65">
        <v>801.7</v>
      </c>
      <c r="E8" s="65">
        <v>1000.5</v>
      </c>
      <c r="F8" s="65">
        <v>266.39999999999998</v>
      </c>
      <c r="G8" s="65">
        <v>584.4</v>
      </c>
      <c r="H8" s="65">
        <v>1940.3</v>
      </c>
      <c r="I8" s="97" t="s">
        <v>201</v>
      </c>
      <c r="J8" t="s">
        <v>202</v>
      </c>
    </row>
    <row r="9" spans="1:10">
      <c r="A9" s="256" t="s">
        <v>203</v>
      </c>
      <c r="B9" s="65">
        <v>10430.5</v>
      </c>
      <c r="C9" s="65">
        <v>11971.9</v>
      </c>
      <c r="D9" s="65">
        <v>15930</v>
      </c>
      <c r="E9" s="65">
        <v>18190.2</v>
      </c>
      <c r="F9" s="65">
        <v>22549.599999999999</v>
      </c>
      <c r="G9" s="65">
        <v>24393.9</v>
      </c>
      <c r="H9" s="65">
        <v>30737.4</v>
      </c>
      <c r="I9" s="97" t="s">
        <v>204</v>
      </c>
      <c r="J9" t="s">
        <v>205</v>
      </c>
    </row>
    <row r="10" spans="1:10">
      <c r="A10" s="256" t="s">
        <v>206</v>
      </c>
      <c r="B10" s="65">
        <v>1727.1</v>
      </c>
      <c r="C10" s="65">
        <v>2323.1999999999998</v>
      </c>
      <c r="D10" s="65">
        <v>2815.2</v>
      </c>
      <c r="E10" s="65">
        <v>3147.5</v>
      </c>
      <c r="F10" s="65">
        <v>4136.8999999999996</v>
      </c>
      <c r="G10" s="65">
        <v>5799.8</v>
      </c>
      <c r="H10" s="65">
        <v>7234</v>
      </c>
      <c r="I10" s="97" t="s">
        <v>207</v>
      </c>
      <c r="J10" t="s">
        <v>208</v>
      </c>
    </row>
    <row r="11" spans="1:10">
      <c r="A11" s="256" t="s">
        <v>209</v>
      </c>
      <c r="B11" s="65">
        <v>4562.7</v>
      </c>
      <c r="C11" s="65">
        <v>4562.7</v>
      </c>
      <c r="D11" s="65">
        <v>4629.1000000000004</v>
      </c>
      <c r="E11" s="65">
        <v>4555.6000000000004</v>
      </c>
      <c r="F11" s="65">
        <v>4577.1000000000004</v>
      </c>
      <c r="G11" s="65">
        <v>4588.6000000000004</v>
      </c>
      <c r="H11" s="65">
        <v>4588.6000000000004</v>
      </c>
      <c r="I11" t="s">
        <v>210</v>
      </c>
      <c r="J11" t="s">
        <v>211</v>
      </c>
    </row>
    <row r="12" spans="1:10">
      <c r="A12" s="256" t="s">
        <v>212</v>
      </c>
      <c r="B12" s="65">
        <v>2592.6999999999998</v>
      </c>
      <c r="C12" s="65">
        <v>2519.4</v>
      </c>
      <c r="D12" s="65">
        <v>1049</v>
      </c>
      <c r="E12" s="65">
        <v>952.1</v>
      </c>
      <c r="F12" s="65">
        <v>3345.7</v>
      </c>
      <c r="G12" s="65">
        <v>741.7</v>
      </c>
      <c r="H12" s="65">
        <v>621.29999999999995</v>
      </c>
      <c r="I12" t="s">
        <v>213</v>
      </c>
      <c r="J12" t="s">
        <v>214</v>
      </c>
    </row>
    <row r="13" spans="1:10">
      <c r="A13" s="256" t="s">
        <v>215</v>
      </c>
      <c r="B13" s="65">
        <v>915.8</v>
      </c>
      <c r="C13" s="65">
        <v>833</v>
      </c>
      <c r="D13" s="65">
        <v>820.7</v>
      </c>
      <c r="E13" s="65">
        <v>892.5</v>
      </c>
      <c r="F13" s="65">
        <v>923.6</v>
      </c>
      <c r="G13" s="65">
        <v>1920.7</v>
      </c>
      <c r="H13" s="65">
        <v>2676.8</v>
      </c>
      <c r="I13" s="97" t="s">
        <v>216</v>
      </c>
    </row>
    <row r="14" spans="1:10">
      <c r="A14" s="256" t="s">
        <v>217</v>
      </c>
      <c r="B14" s="65">
        <v>365.9</v>
      </c>
      <c r="C14" s="65">
        <v>573.4</v>
      </c>
      <c r="D14" s="65">
        <v>671.5</v>
      </c>
      <c r="E14" s="65">
        <v>1098.7</v>
      </c>
      <c r="F14" s="65">
        <v>2188.9</v>
      </c>
      <c r="G14" s="65">
        <v>1872.3</v>
      </c>
      <c r="H14" s="65">
        <v>1940.7</v>
      </c>
      <c r="I14" s="97" t="s">
        <v>218</v>
      </c>
      <c r="J14" t="s">
        <v>219</v>
      </c>
    </row>
    <row r="15" spans="1:10">
      <c r="A15" s="256" t="s">
        <v>220</v>
      </c>
      <c r="B15" s="65">
        <v>1081.2</v>
      </c>
      <c r="C15" s="65">
        <v>1251.5</v>
      </c>
      <c r="D15" s="65">
        <v>1351.9</v>
      </c>
      <c r="E15" s="65">
        <v>1394.4</v>
      </c>
      <c r="F15" s="65">
        <v>1104.2</v>
      </c>
      <c r="G15" s="65">
        <v>640.5</v>
      </c>
      <c r="H15" s="65">
        <v>790.8</v>
      </c>
      <c r="I15" s="97" t="s">
        <v>221</v>
      </c>
      <c r="J15" t="s">
        <v>222</v>
      </c>
    </row>
    <row r="16" spans="1:10">
      <c r="A16" s="256" t="s">
        <v>223</v>
      </c>
      <c r="B16" s="65">
        <v>11245.4</v>
      </c>
      <c r="C16" s="65">
        <v>12063.2</v>
      </c>
      <c r="D16" s="65">
        <v>11337.4</v>
      </c>
      <c r="E16" s="65">
        <v>12040.8</v>
      </c>
      <c r="F16" s="65">
        <v>16276.4</v>
      </c>
      <c r="G16" s="65">
        <v>15563.6</v>
      </c>
      <c r="H16" s="65">
        <v>17852.2</v>
      </c>
      <c r="I16" s="97" t="s">
        <v>224</v>
      </c>
      <c r="J16" t="s">
        <v>225</v>
      </c>
    </row>
    <row r="17" spans="1:10">
      <c r="A17" s="256" t="s">
        <v>226</v>
      </c>
      <c r="B17" s="65"/>
      <c r="C17" s="65"/>
      <c r="D17" s="65"/>
      <c r="E17" s="65"/>
      <c r="F17" s="65"/>
      <c r="G17" s="65">
        <v>0</v>
      </c>
      <c r="H17" s="65">
        <v>0</v>
      </c>
      <c r="I17" s="97" t="s">
        <v>227</v>
      </c>
      <c r="J17" t="s">
        <v>228</v>
      </c>
    </row>
    <row r="18" spans="1:10">
      <c r="A18" s="256" t="s">
        <v>229</v>
      </c>
      <c r="B18" s="65">
        <v>21675.9</v>
      </c>
      <c r="C18" s="65">
        <v>24035.1</v>
      </c>
      <c r="D18" s="65">
        <v>27267.4</v>
      </c>
      <c r="E18" s="65">
        <v>30231</v>
      </c>
      <c r="F18" s="65">
        <v>38826</v>
      </c>
      <c r="G18" s="65">
        <v>39957.5</v>
      </c>
      <c r="H18" s="65">
        <v>48589.599999999999</v>
      </c>
      <c r="I18" s="97" t="s">
        <v>230</v>
      </c>
    </row>
    <row r="19" spans="1:10">
      <c r="A19" s="256" t="s">
        <v>231</v>
      </c>
      <c r="B19" s="65">
        <v>187.9</v>
      </c>
      <c r="C19" s="65">
        <v>1101.5999999999999</v>
      </c>
      <c r="D19" s="65">
        <v>15.4</v>
      </c>
      <c r="E19" s="65">
        <v>509.1</v>
      </c>
      <c r="F19" s="65">
        <v>746.2</v>
      </c>
      <c r="G19" s="65">
        <v>46.8</v>
      </c>
      <c r="H19" s="65"/>
      <c r="I19" s="97"/>
    </row>
    <row r="20" spans="1:10">
      <c r="A20" s="256" t="s">
        <v>232</v>
      </c>
      <c r="B20" s="65">
        <v>187.9</v>
      </c>
      <c r="C20" s="65">
        <v>65.599999999999994</v>
      </c>
      <c r="D20" s="65">
        <v>110</v>
      </c>
      <c r="E20" s="65">
        <v>301.89999999999998</v>
      </c>
      <c r="F20" s="65">
        <v>315.3</v>
      </c>
      <c r="G20" s="65">
        <v>308.89999999999998</v>
      </c>
      <c r="H20" s="65"/>
      <c r="I20" s="97" t="s">
        <v>233</v>
      </c>
    </row>
    <row r="21" spans="1:10">
      <c r="A21" s="256" t="s">
        <v>234</v>
      </c>
      <c r="B21" s="65">
        <v>1728.6</v>
      </c>
      <c r="C21" s="65">
        <v>2526.4</v>
      </c>
      <c r="D21" s="65">
        <v>3954.2</v>
      </c>
      <c r="E21" s="65">
        <v>7935.2</v>
      </c>
      <c r="F21" s="65">
        <v>12481</v>
      </c>
      <c r="G21" s="65">
        <v>11441</v>
      </c>
      <c r="H21" s="65"/>
      <c r="I21" s="97" t="s">
        <v>235</v>
      </c>
      <c r="J21" t="s">
        <v>236</v>
      </c>
    </row>
    <row r="22" spans="1:10">
      <c r="A22" s="256" t="s">
        <v>237</v>
      </c>
      <c r="B22" s="65">
        <v>911.4</v>
      </c>
      <c r="C22" s="65">
        <v>3.9</v>
      </c>
      <c r="D22" s="65">
        <v>1256</v>
      </c>
      <c r="E22" s="65">
        <v>1737.4</v>
      </c>
      <c r="F22" s="65">
        <v>1971.9</v>
      </c>
      <c r="G22" s="65">
        <v>2439.6</v>
      </c>
      <c r="H22" s="65">
        <v>20051.400000000001</v>
      </c>
      <c r="I22" s="97" t="s">
        <v>238</v>
      </c>
      <c r="J22" t="s">
        <v>239</v>
      </c>
    </row>
    <row r="23" spans="1:10">
      <c r="A23" s="256" t="s">
        <v>240</v>
      </c>
      <c r="B23" s="65">
        <v>3791.9</v>
      </c>
      <c r="C23" s="65">
        <v>4694.1000000000004</v>
      </c>
      <c r="D23" s="65">
        <v>6603.5</v>
      </c>
      <c r="E23" s="65">
        <v>12298</v>
      </c>
      <c r="F23" s="65">
        <v>17762.599999999999</v>
      </c>
      <c r="G23" s="65">
        <v>16274.7</v>
      </c>
      <c r="H23" s="65">
        <v>20051.400000000001</v>
      </c>
      <c r="I23" s="97" t="s">
        <v>241</v>
      </c>
      <c r="J23" t="s">
        <v>242</v>
      </c>
    </row>
    <row r="24" spans="1:10">
      <c r="A24" s="257" t="s">
        <v>243</v>
      </c>
      <c r="B24" s="65">
        <v>3026.5</v>
      </c>
      <c r="C24" s="65">
        <v>3108.3</v>
      </c>
      <c r="D24" s="65">
        <v>4662.8</v>
      </c>
      <c r="E24" s="65">
        <v>4075</v>
      </c>
      <c r="F24" s="65">
        <v>3514.2</v>
      </c>
      <c r="G24" s="65">
        <v>4631.5</v>
      </c>
      <c r="H24" s="65">
        <v>3677.3</v>
      </c>
      <c r="I24" s="97"/>
    </row>
    <row r="25" spans="1:10">
      <c r="A25" s="256" t="s">
        <v>244</v>
      </c>
      <c r="B25" s="65">
        <v>1224.5999999999999</v>
      </c>
      <c r="C25" s="65">
        <v>1759.6</v>
      </c>
      <c r="D25" s="65">
        <v>1639.9</v>
      </c>
      <c r="E25" s="65">
        <v>3225.7</v>
      </c>
      <c r="F25" s="65">
        <v>5269.9</v>
      </c>
      <c r="G25" s="65">
        <v>4825.5</v>
      </c>
      <c r="H25" s="65">
        <v>5625.4</v>
      </c>
      <c r="I25" s="97" t="s">
        <v>245</v>
      </c>
      <c r="J25" t="s">
        <v>246</v>
      </c>
    </row>
    <row r="26" spans="1:10">
      <c r="A26" s="256" t="s">
        <v>247</v>
      </c>
      <c r="B26" s="65">
        <v>201.8</v>
      </c>
      <c r="C26" s="65">
        <v>241</v>
      </c>
      <c r="D26" s="65">
        <v>257.5</v>
      </c>
      <c r="E26" s="65">
        <v>251.1</v>
      </c>
      <c r="F26" s="65">
        <v>454.9</v>
      </c>
      <c r="G26" s="65">
        <v>401.2</v>
      </c>
      <c r="H26" s="65">
        <v>459.5</v>
      </c>
      <c r="I26" s="97" t="s">
        <v>248</v>
      </c>
      <c r="J26" t="s">
        <v>249</v>
      </c>
    </row>
    <row r="27" spans="1:10">
      <c r="A27" s="256" t="s">
        <v>250</v>
      </c>
      <c r="B27" s="65">
        <v>4941.6000000000004</v>
      </c>
      <c r="C27" s="65">
        <v>5464.1</v>
      </c>
      <c r="D27" s="65">
        <v>6798.5</v>
      </c>
      <c r="E27" s="65">
        <v>7792.4</v>
      </c>
      <c r="F27" s="65">
        <v>9777.4</v>
      </c>
      <c r="G27" s="65">
        <v>10230.4</v>
      </c>
      <c r="H27" s="65">
        <v>10061.4</v>
      </c>
      <c r="I27" s="97" t="s">
        <v>251</v>
      </c>
      <c r="J27" t="s">
        <v>252</v>
      </c>
    </row>
    <row r="28" spans="1:10">
      <c r="A28" s="256" t="s">
        <v>253</v>
      </c>
      <c r="B28" s="65"/>
      <c r="C28" s="65"/>
      <c r="D28" s="65"/>
      <c r="E28" s="65"/>
      <c r="F28" s="65"/>
      <c r="G28" s="65">
        <v>0</v>
      </c>
      <c r="H28" s="65">
        <v>0</v>
      </c>
      <c r="I28" s="97"/>
    </row>
    <row r="29" spans="1:10">
      <c r="A29" s="256" t="s">
        <v>254</v>
      </c>
      <c r="B29" s="65">
        <v>8733.5</v>
      </c>
      <c r="C29" s="65">
        <v>10158.200000000001</v>
      </c>
      <c r="D29" s="65">
        <v>13402</v>
      </c>
      <c r="E29" s="65">
        <v>20090.400000000001</v>
      </c>
      <c r="F29" s="65">
        <v>27540</v>
      </c>
      <c r="G29" s="65">
        <v>26505.1</v>
      </c>
      <c r="H29" s="65">
        <v>30112.799999999999</v>
      </c>
      <c r="I29" s="97" t="s">
        <v>255</v>
      </c>
      <c r="J29" t="s">
        <v>255</v>
      </c>
    </row>
    <row r="30" spans="1:10">
      <c r="A30" s="256" t="s">
        <v>256</v>
      </c>
      <c r="B30" s="65">
        <v>1301.4000000000001</v>
      </c>
      <c r="C30" s="65"/>
      <c r="D30" s="65"/>
      <c r="E30" s="65"/>
      <c r="F30" s="65"/>
      <c r="G30" s="65"/>
      <c r="H30" s="65"/>
      <c r="I30" s="97" t="s">
        <v>257</v>
      </c>
      <c r="J30" t="s">
        <v>258</v>
      </c>
    </row>
    <row r="31" spans="1:10">
      <c r="A31" s="256" t="s">
        <v>259</v>
      </c>
      <c r="B31" s="65">
        <v>38.6</v>
      </c>
      <c r="C31" s="65">
        <v>38.200000000000003</v>
      </c>
      <c r="D31" s="65">
        <v>37.6</v>
      </c>
      <c r="E31" s="65">
        <v>36.5</v>
      </c>
      <c r="F31" s="65">
        <v>36.299999999999997</v>
      </c>
      <c r="G31" s="65">
        <v>36</v>
      </c>
      <c r="H31" s="65"/>
      <c r="I31" s="97" t="s">
        <v>260</v>
      </c>
      <c r="J31" t="s">
        <v>261</v>
      </c>
    </row>
    <row r="32" spans="1:10">
      <c r="A32" s="256" t="s">
        <v>262</v>
      </c>
      <c r="B32" s="65">
        <v>9197.9</v>
      </c>
      <c r="C32" s="65">
        <v>9523.7999999999993</v>
      </c>
      <c r="D32" s="65">
        <v>10731.5</v>
      </c>
      <c r="E32" s="65">
        <v>8317.2999999999993</v>
      </c>
      <c r="F32" s="65">
        <v>8697.7000000000007</v>
      </c>
      <c r="G32" s="65">
        <v>12379.5</v>
      </c>
      <c r="H32" s="65"/>
      <c r="I32" s="97" t="s">
        <v>263</v>
      </c>
      <c r="J32" t="s">
        <v>264</v>
      </c>
    </row>
    <row r="33" spans="1:10" ht="30.75">
      <c r="A33" s="256" t="s">
        <v>265</v>
      </c>
      <c r="B33" s="65">
        <v>285</v>
      </c>
      <c r="C33" s="65">
        <v>277.8</v>
      </c>
      <c r="D33" s="65">
        <v>179.4</v>
      </c>
      <c r="E33" s="65">
        <v>333.5</v>
      </c>
      <c r="F33" s="65">
        <v>2761.7</v>
      </c>
      <c r="G33" s="65">
        <v>345</v>
      </c>
      <c r="H33" s="65"/>
      <c r="I33" s="97" t="s">
        <v>266</v>
      </c>
      <c r="J33" t="s">
        <v>267</v>
      </c>
    </row>
    <row r="34" spans="1:10">
      <c r="A34" s="256" t="s">
        <v>268</v>
      </c>
      <c r="B34" s="65">
        <v>2119.5</v>
      </c>
      <c r="C34" s="65">
        <v>4037.1</v>
      </c>
      <c r="D34" s="65">
        <v>2916.9</v>
      </c>
      <c r="E34" s="65">
        <v>1453.3</v>
      </c>
      <c r="F34" s="65">
        <v>-209.7</v>
      </c>
      <c r="G34" s="65">
        <v>691.9</v>
      </c>
      <c r="H34" s="65">
        <v>18476.8</v>
      </c>
      <c r="I34" s="97" t="s">
        <v>227</v>
      </c>
      <c r="J34" t="s">
        <v>267</v>
      </c>
    </row>
    <row r="35" spans="1:10">
      <c r="A35" s="256" t="s">
        <v>269</v>
      </c>
      <c r="B35" s="65">
        <v>12942.4</v>
      </c>
      <c r="C35" s="65">
        <v>13876.9</v>
      </c>
      <c r="D35" s="65">
        <v>13865.4</v>
      </c>
      <c r="E35" s="65">
        <v>10140.6</v>
      </c>
      <c r="F35" s="65">
        <v>11286</v>
      </c>
      <c r="G35" s="65">
        <v>13452.4</v>
      </c>
      <c r="H35" s="65">
        <v>18476.8</v>
      </c>
      <c r="I35" s="97"/>
    </row>
    <row r="36" spans="1:10">
      <c r="A36" s="256" t="s">
        <v>270</v>
      </c>
      <c r="B36" s="65">
        <v>21675.9</v>
      </c>
      <c r="C36" s="65">
        <v>24035.1</v>
      </c>
      <c r="D36" s="65">
        <v>27267.4</v>
      </c>
      <c r="E36" s="65">
        <v>30231</v>
      </c>
      <c r="F36" s="65">
        <v>38826</v>
      </c>
      <c r="G36" s="65">
        <v>39957.5</v>
      </c>
      <c r="H36" s="65">
        <v>48589.599999999999</v>
      </c>
      <c r="I36" s="97" t="s">
        <v>271</v>
      </c>
      <c r="J36" t="s">
        <v>242</v>
      </c>
    </row>
    <row r="37" spans="1:10">
      <c r="A37" s="256" t="s">
        <v>168</v>
      </c>
      <c r="B37" s="65"/>
      <c r="C37" s="65"/>
      <c r="D37" s="65"/>
      <c r="E37" s="65"/>
      <c r="F37" s="65"/>
      <c r="G37" s="65"/>
      <c r="H37" s="65"/>
      <c r="I37" s="97" t="s">
        <v>272</v>
      </c>
      <c r="J37" t="s">
        <v>273</v>
      </c>
    </row>
    <row r="38" spans="1:10">
      <c r="A38" t="s">
        <v>274</v>
      </c>
      <c r="B38" s="65">
        <v>3026.5</v>
      </c>
      <c r="C38" s="65">
        <v>3108.3</v>
      </c>
      <c r="D38" s="65">
        <v>4662.8</v>
      </c>
      <c r="E38" s="65">
        <v>4075</v>
      </c>
      <c r="F38" s="65">
        <v>4260.3999999999996</v>
      </c>
      <c r="G38" s="65">
        <v>4859.5</v>
      </c>
      <c r="H38" s="65">
        <v>3677.3</v>
      </c>
      <c r="I38" s="97"/>
    </row>
    <row r="39" spans="1:10">
      <c r="A39" t="s">
        <v>275</v>
      </c>
      <c r="B39" s="65">
        <v>-94.6</v>
      </c>
      <c r="C39" s="65">
        <v>-424</v>
      </c>
      <c r="D39" s="65">
        <v>-1386.6</v>
      </c>
      <c r="E39" s="65">
        <v>-2876.8</v>
      </c>
      <c r="F39" s="65">
        <v>-3007.9</v>
      </c>
      <c r="G39" s="65">
        <v>-2145.1999999999998</v>
      </c>
      <c r="H39" s="65">
        <v>-9058.6</v>
      </c>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workbookViewId="0">
      <selection activeCell="A13" sqref="A13"/>
    </sheetView>
  </sheetViews>
  <sheetFormatPr defaultColWidth="0" defaultRowHeight="15"/>
  <cols>
    <col min="1" max="1" width="43.5703125" bestFit="1" customWidth="1"/>
    <col min="2" max="8" width="11.42578125" style="3" customWidth="1"/>
    <col min="9" max="16384" width="11.42578125" hidden="1"/>
  </cols>
  <sheetData>
    <row r="1" spans="1:10">
      <c r="A1" s="70" t="s">
        <v>276</v>
      </c>
      <c r="B1" s="258">
        <v>43465</v>
      </c>
      <c r="C1" s="258">
        <v>43830</v>
      </c>
      <c r="D1" s="258">
        <v>44196</v>
      </c>
      <c r="E1" s="258">
        <v>44561</v>
      </c>
      <c r="F1" s="240">
        <v>44926</v>
      </c>
      <c r="G1" s="240">
        <v>45291</v>
      </c>
      <c r="H1" s="240">
        <v>45657</v>
      </c>
      <c r="I1" t="s">
        <v>91</v>
      </c>
      <c r="J1" t="s">
        <v>92</v>
      </c>
    </row>
    <row r="2" spans="1:10">
      <c r="A2" s="70" t="s">
        <v>93</v>
      </c>
      <c r="B2" s="259"/>
      <c r="C2" s="259"/>
      <c r="D2" s="259"/>
      <c r="E2" s="259"/>
      <c r="F2" s="71"/>
      <c r="G2" s="71"/>
      <c r="H2" s="71"/>
    </row>
    <row r="3" spans="1:10">
      <c r="A3" s="72" t="s">
        <v>22</v>
      </c>
      <c r="B3" s="262">
        <v>2525.5</v>
      </c>
      <c r="C3" s="260">
        <v>2581.1</v>
      </c>
      <c r="D3" s="260">
        <v>3553.7</v>
      </c>
      <c r="E3" s="260">
        <v>5883.2</v>
      </c>
      <c r="F3" s="245">
        <v>6395.8</v>
      </c>
      <c r="G3" s="245">
        <v>7839</v>
      </c>
      <c r="H3" s="245">
        <v>7571.6</v>
      </c>
      <c r="I3" t="s">
        <v>151</v>
      </c>
      <c r="J3" t="s">
        <v>152</v>
      </c>
    </row>
    <row r="4" spans="1:10">
      <c r="A4" s="72" t="s">
        <v>277</v>
      </c>
      <c r="B4" s="260">
        <v>733.5</v>
      </c>
      <c r="C4" s="260">
        <v>828.3</v>
      </c>
      <c r="D4" s="260">
        <v>490.8</v>
      </c>
      <c r="E4" s="260">
        <v>471</v>
      </c>
      <c r="F4" s="245">
        <v>875.9</v>
      </c>
      <c r="G4" s="245">
        <v>786.2</v>
      </c>
      <c r="H4" s="245">
        <v>918.6</v>
      </c>
      <c r="I4" s="97" t="s">
        <v>182</v>
      </c>
      <c r="J4" t="s">
        <v>278</v>
      </c>
    </row>
    <row r="5" spans="1:10">
      <c r="A5" s="72" t="s">
        <v>279</v>
      </c>
      <c r="B5" s="260">
        <v>-262.7</v>
      </c>
      <c r="C5" s="260">
        <v>-348.8</v>
      </c>
      <c r="D5" s="260">
        <v>-211.3</v>
      </c>
      <c r="E5" s="260">
        <v>-419.6</v>
      </c>
      <c r="F5" s="245">
        <v>-774.7</v>
      </c>
      <c r="G5" s="245">
        <v>-133.6</v>
      </c>
      <c r="H5" s="245">
        <v>-144.80000000000001</v>
      </c>
      <c r="I5" s="97" t="s">
        <v>280</v>
      </c>
      <c r="J5" t="s">
        <v>281</v>
      </c>
    </row>
    <row r="6" spans="1:10">
      <c r="A6" s="72" t="s">
        <v>282</v>
      </c>
      <c r="B6" s="260">
        <v>48.3</v>
      </c>
      <c r="C6" s="260">
        <v>74.599999999999994</v>
      </c>
      <c r="D6" s="260">
        <v>53.9</v>
      </c>
      <c r="E6" s="260">
        <v>117.5</v>
      </c>
      <c r="F6" s="245">
        <v>68.900000000000006</v>
      </c>
      <c r="G6" s="245">
        <v>134.80000000000001</v>
      </c>
      <c r="H6" s="245"/>
      <c r="I6" t="s">
        <v>283</v>
      </c>
      <c r="J6" t="s">
        <v>284</v>
      </c>
    </row>
    <row r="7" spans="1:10">
      <c r="A7" s="72" t="s">
        <v>285</v>
      </c>
      <c r="B7" s="260">
        <v>-53.1</v>
      </c>
      <c r="C7" s="260">
        <v>233.7</v>
      </c>
      <c r="D7" s="260">
        <v>531.6</v>
      </c>
      <c r="E7" s="260">
        <v>4892.3999999999996</v>
      </c>
      <c r="F7" s="245">
        <v>2538.4</v>
      </c>
      <c r="G7" s="245">
        <v>-3663.6</v>
      </c>
      <c r="H7" s="245">
        <v>2053.3000000000002</v>
      </c>
      <c r="I7" s="97" t="s">
        <v>286</v>
      </c>
      <c r="J7" t="s">
        <v>287</v>
      </c>
    </row>
    <row r="8" spans="1:10">
      <c r="A8" s="72" t="s">
        <v>288</v>
      </c>
      <c r="B8" s="260">
        <v>310</v>
      </c>
      <c r="C8" s="260">
        <v>286.2</v>
      </c>
      <c r="D8" s="260">
        <v>208.9</v>
      </c>
      <c r="E8" s="260">
        <v>-98.7</v>
      </c>
      <c r="F8" s="245">
        <v>333.1</v>
      </c>
      <c r="G8" s="245">
        <v>480.6</v>
      </c>
      <c r="H8" s="245">
        <v>767.5</v>
      </c>
      <c r="I8" s="97" t="s">
        <v>289</v>
      </c>
      <c r="J8" t="s">
        <v>290</v>
      </c>
    </row>
    <row r="9" spans="1:10">
      <c r="A9" s="72" t="s">
        <v>291</v>
      </c>
      <c r="B9" s="260">
        <v>3301.5</v>
      </c>
      <c r="C9" s="260">
        <v>3655.1</v>
      </c>
      <c r="D9" s="260">
        <v>4627.6000000000004</v>
      </c>
      <c r="E9" s="260">
        <v>10845.8</v>
      </c>
      <c r="F9" s="245">
        <v>9434.9</v>
      </c>
      <c r="G9" s="245">
        <v>5443.4</v>
      </c>
      <c r="H9" s="245">
        <v>11166.2</v>
      </c>
      <c r="I9" t="s">
        <v>292</v>
      </c>
      <c r="J9" t="s">
        <v>293</v>
      </c>
    </row>
    <row r="10" spans="1:10">
      <c r="A10" s="72" t="s">
        <v>294</v>
      </c>
      <c r="B10" s="260">
        <v>-838.3</v>
      </c>
      <c r="C10" s="260">
        <v>-1191.5</v>
      </c>
      <c r="D10" s="260">
        <v>-1000.8</v>
      </c>
      <c r="E10" s="260">
        <v>-940.3</v>
      </c>
      <c r="F10" s="245">
        <v>-2212.4</v>
      </c>
      <c r="G10" s="245">
        <v>-2196.1999999999998</v>
      </c>
      <c r="H10" s="245">
        <v>-2083.1</v>
      </c>
      <c r="I10" s="97" t="s">
        <v>295</v>
      </c>
      <c r="J10" t="s">
        <v>296</v>
      </c>
    </row>
    <row r="11" spans="1:10">
      <c r="A11" s="72" t="s">
        <v>297</v>
      </c>
      <c r="B11" s="260">
        <v>35.5</v>
      </c>
      <c r="C11" s="260">
        <v>-424.9</v>
      </c>
      <c r="D11" s="260">
        <v>-222.8</v>
      </c>
      <c r="E11" s="260">
        <v>329</v>
      </c>
      <c r="F11" s="245"/>
      <c r="G11" s="245">
        <v>-33.6</v>
      </c>
      <c r="H11" s="245"/>
      <c r="I11" s="97" t="s">
        <v>298</v>
      </c>
      <c r="J11" t="s">
        <v>299</v>
      </c>
    </row>
    <row r="12" spans="1:10">
      <c r="A12" s="72" t="s">
        <v>300</v>
      </c>
      <c r="B12" s="260">
        <v>-920.5</v>
      </c>
      <c r="C12" s="260">
        <v>-1291.5</v>
      </c>
      <c r="D12" s="260">
        <v>-1475.5</v>
      </c>
      <c r="E12" s="260">
        <v>-1162.7</v>
      </c>
      <c r="F12" s="245">
        <v>-334.3</v>
      </c>
      <c r="G12" s="245">
        <v>-23.6</v>
      </c>
      <c r="H12" s="245">
        <v>-305.2</v>
      </c>
      <c r="I12" t="s">
        <v>301</v>
      </c>
      <c r="J12" t="s">
        <v>302</v>
      </c>
    </row>
    <row r="13" spans="1:10">
      <c r="A13" s="72" t="s">
        <v>303</v>
      </c>
      <c r="B13" s="260">
        <v>1034.0999999999999</v>
      </c>
      <c r="C13" s="260">
        <v>1019</v>
      </c>
      <c r="D13" s="260">
        <v>1359.1</v>
      </c>
      <c r="E13" s="260">
        <v>1826.4</v>
      </c>
      <c r="F13" s="245">
        <v>864.7</v>
      </c>
      <c r="G13" s="245">
        <v>125.6</v>
      </c>
      <c r="H13" s="245">
        <v>305.2</v>
      </c>
      <c r="I13" s="97" t="s">
        <v>304</v>
      </c>
      <c r="J13" t="s">
        <v>305</v>
      </c>
    </row>
    <row r="14" spans="1:10">
      <c r="A14" s="72" t="s">
        <v>306</v>
      </c>
      <c r="B14" s="260">
        <v>-31.1</v>
      </c>
      <c r="C14" s="260">
        <v>425.8</v>
      </c>
      <c r="D14" s="260">
        <v>-12.2</v>
      </c>
      <c r="E14" s="260">
        <v>-124.4</v>
      </c>
      <c r="F14" s="245">
        <v>-240</v>
      </c>
      <c r="G14" s="245">
        <v>-561.5</v>
      </c>
      <c r="H14" s="245">
        <v>-526.20000000000005</v>
      </c>
      <c r="I14" s="97" t="s">
        <v>307</v>
      </c>
      <c r="J14" t="s">
        <v>308</v>
      </c>
    </row>
    <row r="15" spans="1:10">
      <c r="A15" s="72" t="s">
        <v>309</v>
      </c>
      <c r="B15" s="260">
        <v>-720.3</v>
      </c>
      <c r="C15" s="260">
        <v>-1463.1</v>
      </c>
      <c r="D15" s="260">
        <v>-1352.2</v>
      </c>
      <c r="E15" s="260">
        <v>-72</v>
      </c>
      <c r="F15" s="245">
        <v>-1922</v>
      </c>
      <c r="G15" s="245">
        <v>-2689.3</v>
      </c>
      <c r="H15" s="245">
        <v>-2609.3000000000002</v>
      </c>
      <c r="I15" s="97" t="s">
        <v>310</v>
      </c>
      <c r="J15" t="s">
        <v>311</v>
      </c>
    </row>
    <row r="16" spans="1:10" s="187" customFormat="1">
      <c r="A16" s="185" t="s">
        <v>312</v>
      </c>
      <c r="B16" s="261">
        <v>-2.8</v>
      </c>
      <c r="C16" s="261">
        <v>-76.900000000000006</v>
      </c>
      <c r="D16" s="261">
        <v>-3.3</v>
      </c>
      <c r="E16" s="261">
        <v>-12</v>
      </c>
      <c r="F16" s="246">
        <v>-571.20000000000005</v>
      </c>
      <c r="G16" s="246">
        <v>-997.8</v>
      </c>
      <c r="H16" s="246">
        <v>-3.2</v>
      </c>
      <c r="J16" s="187" t="s">
        <v>313</v>
      </c>
    </row>
    <row r="17" spans="1:10">
      <c r="A17" s="72" t="s">
        <v>314</v>
      </c>
      <c r="B17" s="260">
        <v>21.8</v>
      </c>
      <c r="C17" s="260">
        <v>27.2</v>
      </c>
      <c r="D17" s="260">
        <v>37.9</v>
      </c>
      <c r="E17" s="260">
        <v>48.9</v>
      </c>
      <c r="F17" s="245">
        <v>81.8</v>
      </c>
      <c r="G17" s="245">
        <v>99.4</v>
      </c>
      <c r="H17" s="245">
        <v>124</v>
      </c>
      <c r="I17" s="97" t="s">
        <v>315</v>
      </c>
    </row>
    <row r="18" spans="1:10">
      <c r="A18" s="72" t="s">
        <v>316</v>
      </c>
      <c r="B18" s="260">
        <v>-1146.2</v>
      </c>
      <c r="C18" s="260">
        <v>-410</v>
      </c>
      <c r="D18" s="260">
        <v>-1207.5</v>
      </c>
      <c r="E18" s="260">
        <v>-8560.2999999999993</v>
      </c>
      <c r="F18" s="245">
        <v>-4639.7</v>
      </c>
      <c r="G18" s="245">
        <v>-1000</v>
      </c>
      <c r="H18" s="245">
        <v>-500</v>
      </c>
      <c r="I18" s="97" t="s">
        <v>317</v>
      </c>
      <c r="J18" t="s">
        <v>318</v>
      </c>
    </row>
    <row r="19" spans="1:10">
      <c r="A19" s="72" t="s">
        <v>319</v>
      </c>
      <c r="B19" s="260">
        <v>-597.1</v>
      </c>
      <c r="C19" s="260">
        <v>-1325.7</v>
      </c>
      <c r="D19" s="260">
        <v>-1066.4000000000001</v>
      </c>
      <c r="E19" s="260">
        <v>-1368.3</v>
      </c>
      <c r="F19" s="245">
        <v>-2559.8000000000002</v>
      </c>
      <c r="G19" s="245">
        <v>-2348.3000000000002</v>
      </c>
      <c r="H19" s="245">
        <v>-2452.9</v>
      </c>
      <c r="I19" s="97"/>
    </row>
    <row r="20" spans="1:10">
      <c r="A20" s="72" t="s">
        <v>320</v>
      </c>
      <c r="B20" s="260">
        <v>21.8</v>
      </c>
      <c r="C20" s="260">
        <v>-386.6</v>
      </c>
      <c r="D20" s="260">
        <v>1486.3</v>
      </c>
      <c r="E20" s="260">
        <v>-8523.4</v>
      </c>
      <c r="F20" s="245">
        <v>495.6</v>
      </c>
      <c r="G20" s="245">
        <v>1242.8</v>
      </c>
      <c r="H20" s="245"/>
      <c r="I20" s="97" t="s">
        <v>321</v>
      </c>
      <c r="J20" t="s">
        <v>322</v>
      </c>
    </row>
    <row r="21" spans="1:10">
      <c r="A21" s="72" t="s">
        <v>323</v>
      </c>
      <c r="B21" s="260">
        <v>-1724.3</v>
      </c>
      <c r="C21" s="260">
        <v>-1785.4</v>
      </c>
      <c r="D21" s="260">
        <v>-753</v>
      </c>
      <c r="E21" s="260">
        <v>-9891.7000000000007</v>
      </c>
      <c r="F21" s="245">
        <v>-7193.3</v>
      </c>
      <c r="G21" s="245">
        <v>-3003.9</v>
      </c>
      <c r="H21" s="245">
        <v>-2832.1</v>
      </c>
      <c r="I21" s="97" t="s">
        <v>324</v>
      </c>
      <c r="J21" t="s">
        <v>325</v>
      </c>
    </row>
    <row r="22" spans="1:10">
      <c r="A22" s="72" t="s">
        <v>326</v>
      </c>
      <c r="B22" s="260">
        <v>5.2</v>
      </c>
      <c r="C22" s="260">
        <v>4.5999999999999996</v>
      </c>
      <c r="D22" s="260">
        <v>-5.3</v>
      </c>
      <c r="E22" s="260">
        <v>20.3</v>
      </c>
      <c r="F22" s="245">
        <v>-3.1</v>
      </c>
      <c r="G22" s="245">
        <v>-13.8</v>
      </c>
      <c r="H22" s="245"/>
      <c r="I22" s="97"/>
    </row>
    <row r="23" spans="1:10">
      <c r="A23" s="72" t="s">
        <v>327</v>
      </c>
      <c r="B23" s="260">
        <v>862.1</v>
      </c>
      <c r="C23" s="260">
        <v>411.2</v>
      </c>
      <c r="D23" s="260">
        <v>2517.1</v>
      </c>
      <c r="E23" s="260">
        <v>902.4</v>
      </c>
      <c r="F23" s="245">
        <v>316.5</v>
      </c>
      <c r="G23" s="245">
        <v>-263.60000000000002</v>
      </c>
      <c r="H23" s="245"/>
      <c r="I23" s="97" t="s">
        <v>328</v>
      </c>
      <c r="J23" t="s">
        <v>329</v>
      </c>
    </row>
    <row r="24" spans="1:10" s="187" customFormat="1">
      <c r="A24" s="185" t="s">
        <v>168</v>
      </c>
      <c r="B24" s="261"/>
      <c r="C24" s="261"/>
      <c r="D24" s="261"/>
      <c r="E24" s="261"/>
      <c r="F24" s="246"/>
      <c r="G24" s="246"/>
      <c r="H24" s="246"/>
      <c r="I24" s="239"/>
    </row>
    <row r="25" spans="1:10">
      <c r="A25" s="72" t="s">
        <v>330</v>
      </c>
      <c r="B25" s="260">
        <v>2463.1999999999998</v>
      </c>
      <c r="C25" s="260">
        <v>2463.6</v>
      </c>
      <c r="D25" s="260">
        <v>3626.8</v>
      </c>
      <c r="E25" s="260">
        <v>9905.5</v>
      </c>
      <c r="F25" s="245">
        <v>7222.5</v>
      </c>
      <c r="G25" s="245">
        <v>3247.2</v>
      </c>
      <c r="H25" s="245">
        <v>9099</v>
      </c>
      <c r="I25" s="97" t="s">
        <v>331</v>
      </c>
      <c r="J25" t="s">
        <v>332</v>
      </c>
    </row>
    <row r="26" spans="1:10">
      <c r="A26" s="72" t="s">
        <v>97</v>
      </c>
      <c r="B26" s="260">
        <v>0.71</v>
      </c>
      <c r="C26" s="260">
        <v>0</v>
      </c>
      <c r="D26" s="260">
        <v>0.47199999999999998</v>
      </c>
      <c r="E26" s="260">
        <v>1.7310000000000001</v>
      </c>
      <c r="F26" s="245">
        <v>-0.27100000000000002</v>
      </c>
      <c r="G26" s="245">
        <v>-0.55000000000000004</v>
      </c>
      <c r="H26" s="245">
        <v>1.802</v>
      </c>
      <c r="I26" s="97" t="s">
        <v>333</v>
      </c>
      <c r="J26" t="s">
        <v>334</v>
      </c>
    </row>
    <row r="27" spans="1:10">
      <c r="A27" s="72" t="s">
        <v>335</v>
      </c>
      <c r="B27" s="260">
        <v>0.22500000000000001</v>
      </c>
      <c r="C27" s="260">
        <v>0.20799999999999999</v>
      </c>
      <c r="D27" s="260">
        <v>0.25900000000000001</v>
      </c>
      <c r="E27" s="260">
        <v>0.53200000000000003</v>
      </c>
      <c r="F27" s="245">
        <v>0.34100000000000003</v>
      </c>
      <c r="G27" s="245">
        <v>0.11799999999999999</v>
      </c>
      <c r="H27" s="245">
        <v>0.32200000000000001</v>
      </c>
      <c r="I27" s="97" t="s">
        <v>336</v>
      </c>
      <c r="J27" t="s">
        <v>337</v>
      </c>
    </row>
    <row r="28" spans="1:10">
      <c r="A28" s="72" t="s">
        <v>338</v>
      </c>
      <c r="B28" s="260">
        <v>2259</v>
      </c>
      <c r="C28" s="260">
        <v>3121.1</v>
      </c>
      <c r="D28" s="260">
        <v>3532.3</v>
      </c>
      <c r="E28" s="260">
        <v>6049.4</v>
      </c>
      <c r="F28" s="245">
        <v>6951.8</v>
      </c>
      <c r="G28" s="245">
        <v>7268.3</v>
      </c>
      <c r="H28" s="245">
        <v>7004.7</v>
      </c>
      <c r="I28" s="97" t="s">
        <v>339</v>
      </c>
      <c r="J28" t="s">
        <v>186</v>
      </c>
    </row>
    <row r="29" spans="1:10">
      <c r="A29" s="72" t="s">
        <v>340</v>
      </c>
      <c r="B29" s="260">
        <v>3121.1</v>
      </c>
      <c r="C29" s="260">
        <v>3532.3</v>
      </c>
      <c r="D29" s="260">
        <v>6049.4</v>
      </c>
      <c r="E29" s="260">
        <v>6951.8</v>
      </c>
      <c r="F29" s="245">
        <v>7268.3</v>
      </c>
      <c r="G29" s="245">
        <v>7004.7</v>
      </c>
      <c r="H29" s="245">
        <v>12735.9</v>
      </c>
      <c r="I29" s="97" t="s">
        <v>186</v>
      </c>
      <c r="J29" t="s">
        <v>341</v>
      </c>
    </row>
    <row r="30" spans="1:10">
      <c r="A30" s="72"/>
      <c r="B30" s="74"/>
      <c r="C30" s="74"/>
      <c r="D30" s="74"/>
      <c r="E30" s="74"/>
      <c r="F30" s="74"/>
      <c r="G30" s="74"/>
      <c r="H30" s="74"/>
      <c r="I30" s="97"/>
    </row>
    <row r="31" spans="1:10" s="187" customFormat="1">
      <c r="A31" s="185"/>
      <c r="B31" s="186"/>
      <c r="C31" s="186"/>
      <c r="D31" s="186"/>
      <c r="E31" s="186"/>
      <c r="F31" s="186"/>
      <c r="G31" s="186"/>
      <c r="H31" s="186"/>
      <c r="I31" s="239"/>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17" workbookViewId="0">
      <selection activeCell="B32" sqref="B32:H32"/>
    </sheetView>
  </sheetViews>
  <sheetFormatPr defaultColWidth="11.42578125" defaultRowHeight="15"/>
  <cols>
    <col min="1" max="1" width="38.42578125" style="187" bestFit="1" customWidth="1"/>
    <col min="2" max="8" width="11.42578125" style="200"/>
    <col min="9" max="16384" width="11.42578125" style="187"/>
  </cols>
  <sheetData>
    <row r="1" spans="1:11">
      <c r="A1" s="68" t="s">
        <v>342</v>
      </c>
      <c r="B1" s="75">
        <f>'1.IS'!B2</f>
        <v>2018</v>
      </c>
      <c r="C1" s="75">
        <f>'1.IS'!C2</f>
        <v>2019</v>
      </c>
      <c r="D1" s="75">
        <f>'1.IS'!D2</f>
        <v>2020</v>
      </c>
      <c r="E1" s="75">
        <f>'1.IS'!E2</f>
        <v>2021</v>
      </c>
      <c r="F1" s="75">
        <f>'1.IS'!F2</f>
        <v>2022</v>
      </c>
      <c r="G1" s="75">
        <f>'1.IS'!G2</f>
        <v>2023</v>
      </c>
      <c r="H1" s="75">
        <f>'1.IS'!H2</f>
        <v>2024</v>
      </c>
    </row>
    <row r="2" spans="1:11">
      <c r="A2" s="196" t="s">
        <v>343</v>
      </c>
      <c r="B2" s="244">
        <f>IFERROR(VALUE(VLOOKUP($A2, '8.TIKR_CF'!$A:$H, COLUMN(B2), FALSE)), 0)</f>
        <v>-838.3</v>
      </c>
      <c r="C2" s="244">
        <f>IFERROR(VALUE(VLOOKUP($A2, '8.TIKR_CF'!$A:$H, COLUMN(C2), FALSE)), 0)</f>
        <v>-1191.5</v>
      </c>
      <c r="D2" s="244">
        <f>IFERROR(VALUE(VLOOKUP($A2, '8.TIKR_CF'!$A:$H, COLUMN(D2), FALSE)), 0)</f>
        <v>-1000.8</v>
      </c>
      <c r="E2" s="244">
        <f>IFERROR(VALUE(VLOOKUP($A2, '8.TIKR_CF'!$A:$H, COLUMN(E2), FALSE)), 0)</f>
        <v>-940.3</v>
      </c>
      <c r="F2" s="244">
        <f>IFERROR(VALUE(VLOOKUP($A2, '8.TIKR_CF'!$A:$H, COLUMN(F2), FALSE)), 0)</f>
        <v>-2212.4</v>
      </c>
      <c r="G2" s="244">
        <f>IFERROR(VALUE(VLOOKUP($A2, '8.TIKR_CF'!$A:$H, COLUMN(G2), FALSE)), 0)</f>
        <v>-2196.1999999999998</v>
      </c>
      <c r="H2" s="244">
        <f>IFERROR(VALUE(VLOOKUP($A2, '8.TIKR_CF'!$A:$H, COLUMN(H2), FALSE)), 0)</f>
        <v>-2083.1</v>
      </c>
      <c r="J2" s="241"/>
      <c r="K2" s="242"/>
    </row>
    <row r="3" spans="1:11">
      <c r="A3" s="197" t="s">
        <v>344</v>
      </c>
      <c r="B3" s="247">
        <f>IFERROR(VALUE(VLOOKUP($A3,'8.TIKR_CF'!$A:$H,COLUMN(B3),FALSE)),0)</f>
        <v>1034.0999999999999</v>
      </c>
      <c r="C3" s="247">
        <f>IFERROR(VALUE(VLOOKUP($A3,'8.TIKR_CF'!$A:$H,COLUMN(C3),FALSE)),0)</f>
        <v>1019</v>
      </c>
      <c r="D3" s="247">
        <f>IFERROR(VALUE(VLOOKUP($A3,'8.TIKR_CF'!$A:$H,COLUMN(D3),FALSE)),0)</f>
        <v>1359.1</v>
      </c>
      <c r="E3" s="247">
        <f>IFERROR(VALUE(VLOOKUP($A3,'8.TIKR_CF'!$A:$H,COLUMN(E3),FALSE)),0)</f>
        <v>1826.4</v>
      </c>
      <c r="F3" s="247">
        <f>IFERROR(VALUE(VLOOKUP($A3,'8.TIKR_CF'!$A:$H,COLUMN(F3),FALSE)),0)</f>
        <v>864.7</v>
      </c>
      <c r="G3" s="247">
        <f>IFERROR(VALUE(VLOOKUP($A3,'8.TIKR_CF'!$A:$H,COLUMN(G3),FALSE)),0)</f>
        <v>125.6</v>
      </c>
      <c r="H3" s="247">
        <f>IFERROR(VALUE(VLOOKUP($A3,'8.TIKR_CF'!$A:$H,COLUMN(H3),FALSE)),0)</f>
        <v>305.2</v>
      </c>
      <c r="J3" s="241"/>
      <c r="K3" s="243"/>
    </row>
    <row r="4" spans="1:11">
      <c r="A4" s="196" t="s">
        <v>345</v>
      </c>
      <c r="B4" s="248">
        <f>B2+B3</f>
        <v>195.79999999999995</v>
      </c>
      <c r="C4" s="248">
        <f t="shared" ref="C4:H4" si="0">SUM(C2:C3)</f>
        <v>-172.5</v>
      </c>
      <c r="D4" s="248">
        <f t="shared" si="0"/>
        <v>358.29999999999995</v>
      </c>
      <c r="E4" s="248">
        <f t="shared" si="0"/>
        <v>886.10000000000014</v>
      </c>
      <c r="F4" s="248">
        <f t="shared" si="0"/>
        <v>-1347.7</v>
      </c>
      <c r="G4" s="248">
        <f t="shared" si="0"/>
        <v>-2070.6</v>
      </c>
      <c r="H4" s="248">
        <f t="shared" si="0"/>
        <v>-1777.8999999999999</v>
      </c>
      <c r="K4" s="242"/>
    </row>
    <row r="5" spans="1:11">
      <c r="A5" s="197" t="s">
        <v>346</v>
      </c>
      <c r="B5" s="247">
        <f>IFERROR(VALUE(VLOOKUP($A5,'8.TIKR_CF'!$A:$H,COLUMN(B5),FALSE)),"0")</f>
        <v>733.5</v>
      </c>
      <c r="C5" s="247">
        <f>IFERROR(VALUE(VLOOKUP($A5,'8.TIKR_CF'!$A:$H,COLUMN(C5),FALSE)),"0")</f>
        <v>828.3</v>
      </c>
      <c r="D5" s="247">
        <f>IFERROR(VALUE(VLOOKUP($A5,'8.TIKR_CF'!$A:$H,COLUMN(D5),FALSE)),"0")</f>
        <v>490.8</v>
      </c>
      <c r="E5" s="247">
        <f>IFERROR(VALUE(VLOOKUP($A5,'8.TIKR_CF'!$A:$H,COLUMN(E5),FALSE)),"0")</f>
        <v>471</v>
      </c>
      <c r="F5" s="247">
        <f>IFERROR(VALUE(VLOOKUP($A5,'8.TIKR_CF'!$A:$H,COLUMN(F5),FALSE)),"0")</f>
        <v>875.9</v>
      </c>
      <c r="G5" s="247">
        <f>IFERROR(VALUE(VLOOKUP($A5,'8.TIKR_CF'!$A:$H,COLUMN(G5),FALSE)),"0")</f>
        <v>786.2</v>
      </c>
      <c r="H5" s="247">
        <f>IFERROR(VALUE(VLOOKUP($A5,'8.TIKR_CF'!$A:$H,COLUMN(H5),FALSE)),"0")</f>
        <v>918.6</v>
      </c>
    </row>
    <row r="6" spans="1:11">
      <c r="A6" s="76" t="s">
        <v>347</v>
      </c>
      <c r="B6" s="249">
        <f t="shared" ref="B6:H6" si="1">IF(ABS(B4)&lt;B5,B4,-B5)</f>
        <v>195.79999999999995</v>
      </c>
      <c r="C6" s="249">
        <f t="shared" si="1"/>
        <v>-172.5</v>
      </c>
      <c r="D6" s="249">
        <f t="shared" si="1"/>
        <v>358.29999999999995</v>
      </c>
      <c r="E6" s="249">
        <f t="shared" si="1"/>
        <v>-471</v>
      </c>
      <c r="F6" s="249">
        <f t="shared" si="1"/>
        <v>-875.9</v>
      </c>
      <c r="G6" s="249">
        <f t="shared" si="1"/>
        <v>-786.2</v>
      </c>
      <c r="H6" s="249">
        <f t="shared" si="1"/>
        <v>-918.6</v>
      </c>
    </row>
    <row r="8" spans="1:11">
      <c r="A8" s="68" t="s">
        <v>348</v>
      </c>
      <c r="B8" s="75">
        <f>'1.IS'!B2</f>
        <v>2018</v>
      </c>
      <c r="C8" s="75">
        <f>'1.IS'!C2</f>
        <v>2019</v>
      </c>
      <c r="D8" s="75">
        <f>'1.IS'!D2</f>
        <v>2020</v>
      </c>
      <c r="E8" s="75">
        <f>'1.IS'!E2</f>
        <v>2021</v>
      </c>
      <c r="F8" s="75">
        <f>'1.IS'!F2</f>
        <v>2022</v>
      </c>
      <c r="G8" s="75">
        <f>'1.IS'!G2</f>
        <v>2023</v>
      </c>
      <c r="H8" s="75">
        <f>'1.IS'!H2</f>
        <v>2024</v>
      </c>
      <c r="I8" s="77"/>
      <c r="J8" s="77"/>
    </row>
    <row r="9" spans="1:11">
      <c r="A9" s="187" t="s">
        <v>47</v>
      </c>
      <c r="B9" s="250">
        <f>B4-B6</f>
        <v>0</v>
      </c>
      <c r="C9" s="250">
        <f t="shared" ref="C9:H9" si="2">C4-C6</f>
        <v>0</v>
      </c>
      <c r="D9" s="250">
        <f t="shared" si="2"/>
        <v>0</v>
      </c>
      <c r="E9" s="250">
        <f t="shared" si="2"/>
        <v>1357.1000000000001</v>
      </c>
      <c r="F9" s="250">
        <f t="shared" si="2"/>
        <v>-471.80000000000007</v>
      </c>
      <c r="G9" s="250">
        <f t="shared" si="2"/>
        <v>-1284.3999999999999</v>
      </c>
      <c r="H9" s="250">
        <f t="shared" si="2"/>
        <v>-859.29999999999984</v>
      </c>
      <c r="I9" s="199"/>
      <c r="J9" s="199"/>
    </row>
    <row r="10" spans="1:11">
      <c r="A10" s="195" t="s">
        <v>349</v>
      </c>
      <c r="B10" s="251">
        <f>IFERROR(VALUE(VLOOKUP("Cash Acquisitions*",'8.TIKR_CF'!$A:$H,COLUMN(B10),FALSE)),"0")</f>
        <v>35.5</v>
      </c>
      <c r="C10" s="251">
        <f>IFERROR(VALUE(VLOOKUP("Cash Acquisitions*",'8.TIKR_CF'!$A:$H,COLUMN(C10),FALSE)),"0")</f>
        <v>-424.9</v>
      </c>
      <c r="D10" s="251">
        <f>IFERROR(VALUE(VLOOKUP("Cash Acquisitions*",'8.TIKR_CF'!$A:$H,COLUMN(D10),FALSE)),"0")</f>
        <v>-222.8</v>
      </c>
      <c r="E10" s="251">
        <f>IFERROR(VALUE(VLOOKUP("Cash Acquisitions*",'8.TIKR_CF'!$A:$H,COLUMN(E10),FALSE)),"0")</f>
        <v>329</v>
      </c>
      <c r="F10" s="251">
        <f>IFERROR(VALUE(VLOOKUP("Cash Acquisitions*",'8.TIKR_CF'!$A:$H,COLUMN(F10),FALSE)),"0")</f>
        <v>0</v>
      </c>
      <c r="G10" s="251">
        <f>IFERROR(VALUE(VLOOKUP("Cash Acquisitions*",'8.TIKR_CF'!$A:$H,COLUMN(G10),FALSE)),"0")</f>
        <v>-33.6</v>
      </c>
      <c r="H10" s="251">
        <f>IFERROR(VALUE(VLOOKUP("Cash Acquisitions*",'8.TIKR_CF'!$A:$H,COLUMN(H10),FALSE)),"0")</f>
        <v>0</v>
      </c>
    </row>
    <row r="11" spans="1:11">
      <c r="A11" s="66" t="s">
        <v>350</v>
      </c>
      <c r="B11" s="252">
        <f>ABS(SUM(B9:B10))</f>
        <v>35.5</v>
      </c>
      <c r="C11" s="252">
        <f t="shared" ref="C11:H11" si="3">ABS(SUM(C9:C10))</f>
        <v>424.9</v>
      </c>
      <c r="D11" s="252">
        <f t="shared" si="3"/>
        <v>222.8</v>
      </c>
      <c r="E11" s="252">
        <f t="shared" si="3"/>
        <v>1686.1000000000001</v>
      </c>
      <c r="F11" s="252">
        <f t="shared" si="3"/>
        <v>471.80000000000007</v>
      </c>
      <c r="G11" s="252">
        <f t="shared" si="3"/>
        <v>1317.9999999999998</v>
      </c>
      <c r="H11" s="252">
        <f t="shared" si="3"/>
        <v>859.29999999999984</v>
      </c>
    </row>
    <row r="13" spans="1:11">
      <c r="A13" s="68" t="s">
        <v>67</v>
      </c>
      <c r="B13" s="75" t="str">
        <f>'1.IS'!I2</f>
        <v>2025e</v>
      </c>
      <c r="C13" s="75" t="str">
        <f>'1.IS'!J2</f>
        <v>2026e</v>
      </c>
      <c r="D13" s="75" t="str">
        <f>'1.IS'!K2</f>
        <v>2027e</v>
      </c>
      <c r="E13" s="75" t="str">
        <f>'1.IS'!L2</f>
        <v>2028e</v>
      </c>
      <c r="F13" s="75" t="str">
        <f>'1.IS'!M2</f>
        <v>2029e</v>
      </c>
      <c r="H13" s="184"/>
    </row>
    <row r="14" spans="1:11">
      <c r="A14" s="201" t="s">
        <v>351</v>
      </c>
      <c r="B14" s="202">
        <f>'4.Valoración'!$D$12</f>
        <v>672</v>
      </c>
      <c r="C14" s="202">
        <f>'4.Valoración'!$D$12</f>
        <v>672</v>
      </c>
      <c r="D14" s="202">
        <f>'4.Valoración'!$D$12</f>
        <v>672</v>
      </c>
      <c r="E14" s="202">
        <f>'4.Valoración'!$D$12</f>
        <v>672</v>
      </c>
      <c r="F14" s="202">
        <f>'4.Valoración'!$D$12</f>
        <v>672</v>
      </c>
    </row>
    <row r="16" spans="1:11">
      <c r="A16" s="68" t="s">
        <v>352</v>
      </c>
      <c r="B16" s="75">
        <f>'1.IS'!H2</f>
        <v>2024</v>
      </c>
    </row>
    <row r="17" spans="1:9">
      <c r="A17" s="187" t="s">
        <v>353</v>
      </c>
      <c r="B17" s="178">
        <f>SUM('3.ROIC'!$B$6:$H$6)/SUM('3.ROIC'!$B$6:$H$7)</f>
        <v>0.51681648015054749</v>
      </c>
    </row>
    <row r="18" spans="1:9">
      <c r="A18" s="187" t="s">
        <v>354</v>
      </c>
      <c r="B18" s="203">
        <f>1-B17</f>
        <v>0.48318351984945251</v>
      </c>
    </row>
    <row r="19" spans="1:9">
      <c r="A19" s="187" t="s">
        <v>355</v>
      </c>
      <c r="B19" s="198">
        <f>SUM('3.ROIC'!B4:H5)</f>
        <v>50821.8</v>
      </c>
    </row>
    <row r="20" spans="1:9">
      <c r="A20" s="187" t="s">
        <v>356</v>
      </c>
      <c r="B20" s="198">
        <f>SUM('3.ROIC'!B5:H5)</f>
        <v>4158.3000000000011</v>
      </c>
    </row>
    <row r="21" spans="1:9">
      <c r="A21" s="187" t="s">
        <v>357</v>
      </c>
      <c r="B21" s="198">
        <f>SUM('3.ROIC'!B6:H7)</f>
        <v>59941.200000000004</v>
      </c>
    </row>
    <row r="22" spans="1:9">
      <c r="A22" s="187" t="s">
        <v>358</v>
      </c>
      <c r="B22" s="198">
        <f>B21-B19</f>
        <v>9119.4000000000015</v>
      </c>
    </row>
    <row r="23" spans="1:9">
      <c r="A23" s="187" t="s">
        <v>359</v>
      </c>
      <c r="B23" s="198">
        <f>SUM('1.IS'!B11:H11)</f>
        <v>-116.39999999999999</v>
      </c>
    </row>
    <row r="24" spans="1:9">
      <c r="A24" s="187" t="s">
        <v>360</v>
      </c>
      <c r="B24" s="198">
        <f>SUM('1.IS'!B10:H10)</f>
        <v>-389.29999999999995</v>
      </c>
    </row>
    <row r="25" spans="1:9">
      <c r="A25" s="187" t="s">
        <v>361</v>
      </c>
      <c r="B25" s="203">
        <f>B23/B20</f>
        <v>-2.7992208354375575E-2</v>
      </c>
    </row>
    <row r="26" spans="1:9">
      <c r="A26" s="187" t="s">
        <v>362</v>
      </c>
      <c r="B26" s="203">
        <f>ABS(SUM('1.IS'!B10:H10))/B21</f>
        <v>6.4946981375080901E-3</v>
      </c>
    </row>
    <row r="27" spans="1:9">
      <c r="B27" s="203"/>
    </row>
    <row r="28" spans="1:9">
      <c r="A28" s="68" t="s">
        <v>363</v>
      </c>
      <c r="B28" s="75">
        <f>'1.IS'!B2</f>
        <v>2018</v>
      </c>
      <c r="C28" s="75">
        <f>'1.IS'!C2</f>
        <v>2019</v>
      </c>
      <c r="D28" s="75">
        <f>'1.IS'!D2</f>
        <v>2020</v>
      </c>
      <c r="E28" s="75">
        <f>'1.IS'!E2</f>
        <v>2021</v>
      </c>
      <c r="F28" s="75">
        <f>'1.IS'!F2</f>
        <v>2022</v>
      </c>
      <c r="G28" s="75">
        <f>'1.IS'!G2</f>
        <v>2023</v>
      </c>
      <c r="H28" s="75">
        <f>'1.IS'!H2</f>
        <v>2024</v>
      </c>
      <c r="I28" s="75" t="s">
        <v>364</v>
      </c>
    </row>
    <row r="29" spans="1:9">
      <c r="A29" s="187" t="s">
        <v>365</v>
      </c>
      <c r="B29" s="198">
        <f>B11</f>
        <v>35.5</v>
      </c>
      <c r="C29" s="198">
        <f t="shared" ref="C29:H29" si="4">C11</f>
        <v>424.9</v>
      </c>
      <c r="D29" s="198">
        <f t="shared" si="4"/>
        <v>222.8</v>
      </c>
      <c r="E29" s="198">
        <f t="shared" si="4"/>
        <v>1686.1000000000001</v>
      </c>
      <c r="F29" s="198">
        <f t="shared" si="4"/>
        <v>471.80000000000007</v>
      </c>
      <c r="G29" s="198">
        <f t="shared" si="4"/>
        <v>1317.9999999999998</v>
      </c>
      <c r="H29" s="198">
        <f t="shared" si="4"/>
        <v>859.29999999999984</v>
      </c>
      <c r="I29" s="198">
        <f>SUM(B29:H29)</f>
        <v>5018.4000000000005</v>
      </c>
    </row>
    <row r="30" spans="1:9">
      <c r="A30" s="187" t="s">
        <v>48</v>
      </c>
      <c r="B30" s="200">
        <f>IFERROR(ABS(VLOOKUP("Dividends Paid*",'8.TIKR_CF'!$A:$H,COLUMN(B13),FALSE)),"0")</f>
        <v>597.1</v>
      </c>
      <c r="C30" s="200">
        <f>IFERROR(ABS(VLOOKUP("Dividends Paid*",'8.TIKR_CF'!$A:$H,COLUMN(C13),FALSE)),"0")</f>
        <v>1325.7</v>
      </c>
      <c r="D30" s="200">
        <f>IFERROR(ABS(VLOOKUP("Dividends Paid*",'8.TIKR_CF'!$A:$H,COLUMN(D13),FALSE)),"0")</f>
        <v>1066.4000000000001</v>
      </c>
      <c r="E30" s="200">
        <f>IFERROR(ABS(VLOOKUP("Dividends Paid*",'8.TIKR_CF'!$A:$H,COLUMN(E13),FALSE)),"0")</f>
        <v>1368.3</v>
      </c>
      <c r="F30" s="200">
        <f>IFERROR(ABS(VLOOKUP("Dividends Paid*",'8.TIKR_CF'!$A:$H,COLUMN(F13),FALSE)),"0")</f>
        <v>2559.8000000000002</v>
      </c>
      <c r="G30" s="200">
        <f>IFERROR(ABS(VLOOKUP("Dividends Paid*",'8.TIKR_CF'!$A:$H,COLUMN(G13),FALSE)),"0")</f>
        <v>2348.3000000000002</v>
      </c>
      <c r="H30" s="200">
        <f>IFERROR(ABS(VLOOKUP("Dividends Paid*",'8.TIKR_CF'!$A:$H,COLUMN(H13),FALSE)),"0")</f>
        <v>2452.9</v>
      </c>
      <c r="I30" s="198">
        <f>SUM(B30:H30)</f>
        <v>11718.5</v>
      </c>
    </row>
    <row r="31" spans="1:9">
      <c r="A31" s="187" t="s">
        <v>49</v>
      </c>
      <c r="B31" s="200">
        <f>IFERROR(ABS(VLOOKUP("Common Stock Repurchased*",'8.TIKR_CF'!$A:$H,COLUMN(B14),FALSE)),"0")</f>
        <v>1146.2</v>
      </c>
      <c r="C31" s="200">
        <f>IFERROR(ABS(VLOOKUP("Common Stock Repurchased*",'8.TIKR_CF'!$A:$H,COLUMN(C14),FALSE)),"0")</f>
        <v>410</v>
      </c>
      <c r="D31" s="200">
        <f>IFERROR(ABS(VLOOKUP("Common Stock Repurchased*",'8.TIKR_CF'!$A:$H,COLUMN(D14),FALSE)),"0")</f>
        <v>1207.5</v>
      </c>
      <c r="E31" s="200">
        <f>IFERROR(ABS(VLOOKUP("Common Stock Repurchased*",'8.TIKR_CF'!$A:$H,COLUMN(E14),FALSE)),"0")</f>
        <v>8560.2999999999993</v>
      </c>
      <c r="F31" s="200">
        <f>IFERROR(ABS(VLOOKUP("Common Stock Repurchased*",'8.TIKR_CF'!$A:$H,COLUMN(F14),FALSE)),"0")</f>
        <v>4639.7</v>
      </c>
      <c r="G31" s="200">
        <f>IFERROR(ABS(VLOOKUP("Common Stock Repurchased*",'8.TIKR_CF'!$A:$H,COLUMN(G14),FALSE)),"0")</f>
        <v>1000</v>
      </c>
      <c r="H31" s="200">
        <f>IFERROR(ABS(VLOOKUP("Common Stock Repurchased*",'8.TIKR_CF'!$A:$H,COLUMN(H14),FALSE)),"0")</f>
        <v>500</v>
      </c>
      <c r="I31" s="198">
        <f>SUM(B31:H31)</f>
        <v>17463.7</v>
      </c>
    </row>
    <row r="32" spans="1:9">
      <c r="A32" s="187" t="s">
        <v>366</v>
      </c>
      <c r="B32" s="200">
        <f>IFERROR((ABS(VLOOKUP("Cash Acquisitions*",'8.TIKR_CF'!$A:$H,COLUMN(B15),FALSE))-VLOOKUP("Sales / Maturities Of Investments*",'8.TIKR_CF'!$A:$H,COLUMN(B15),FALSE)),"0")</f>
        <v>-998.59999999999991</v>
      </c>
      <c r="C32" s="200">
        <f>IFERROR((ABS(VLOOKUP("Cash Acquisitions*",'8.TIKR_CF'!$A:$H,COLUMN(C15),FALSE))-VLOOKUP("Sales / Maturities Of Investments*",'8.TIKR_CF'!$A:$H,COLUMN(C15),FALSE)),"0")</f>
        <v>-594.1</v>
      </c>
      <c r="D32" s="200">
        <f>IFERROR((ABS(VLOOKUP("Cash Acquisitions*",'8.TIKR_CF'!$A:$H,COLUMN(D15),FALSE))-VLOOKUP("Sales / Maturities Of Investments*",'8.TIKR_CF'!$A:$H,COLUMN(D15),FALSE)),"0")</f>
        <v>-1136.3</v>
      </c>
      <c r="E32" s="200">
        <f>IFERROR((ABS(VLOOKUP("Cash Acquisitions*",'8.TIKR_CF'!$A:$H,COLUMN(E15),FALSE))-VLOOKUP("Sales / Maturities Of Investments*",'8.TIKR_CF'!$A:$H,COLUMN(E15),FALSE)),"0")</f>
        <v>-1497.4</v>
      </c>
      <c r="F32" s="200">
        <f>IFERROR((ABS(VLOOKUP("Cash Acquisitions*",'8.TIKR_CF'!$A:$H,COLUMN(F15),FALSE))-VLOOKUP("Sales / Maturities Of Investments*",'8.TIKR_CF'!$A:$H,COLUMN(F15),FALSE)),"0")</f>
        <v>-864.7</v>
      </c>
      <c r="G32" s="200">
        <f>IFERROR((ABS(VLOOKUP("Cash Acquisitions*",'8.TIKR_CF'!$A:$H,COLUMN(G15),FALSE))-VLOOKUP("Sales / Maturities Of Investments*",'8.TIKR_CF'!$A:$H,COLUMN(G15),FALSE)),"0")</f>
        <v>-92</v>
      </c>
      <c r="H32" s="200">
        <f>IFERROR((ABS(VLOOKUP("Cash Acquisitions*",'8.TIKR_CF'!$A:$H,COLUMN(H15),FALSE))-VLOOKUP("Sales / Maturities Of Investments*",'8.TIKR_CF'!$A:$H,COLUMN(H15),FALSE)),"0")</f>
        <v>-305.2</v>
      </c>
      <c r="I32" s="198">
        <f>SUM(B32:H32)</f>
        <v>-5488.2999999999993</v>
      </c>
    </row>
    <row r="34" spans="1:9">
      <c r="A34" s="68" t="s">
        <v>367</v>
      </c>
      <c r="B34" s="75">
        <f>'1.IS'!C$2</f>
        <v>2019</v>
      </c>
      <c r="C34" s="75">
        <f>'1.IS'!D$2</f>
        <v>2020</v>
      </c>
      <c r="D34" s="75">
        <f>'1.IS'!E$2</f>
        <v>2021</v>
      </c>
      <c r="E34" s="75">
        <f>'1.IS'!F$2</f>
        <v>2022</v>
      </c>
      <c r="F34" s="75">
        <f>'1.IS'!G$2</f>
        <v>2023</v>
      </c>
      <c r="G34" s="75">
        <f>'1.IS'!H$2</f>
        <v>2024</v>
      </c>
      <c r="H34" s="75" t="s">
        <v>88</v>
      </c>
      <c r="I34" s="75"/>
    </row>
    <row r="35" spans="1:9">
      <c r="A35" s="204" t="s">
        <v>368</v>
      </c>
      <c r="B35" s="205">
        <f>'1.IS'!C4</f>
        <v>8.0043859649122806E-2</v>
      </c>
      <c r="C35" s="205">
        <f>'1.IS'!D4</f>
        <v>0.18261421319796955</v>
      </c>
      <c r="D35" s="205">
        <f>'1.IS'!E4</f>
        <v>0.33140179561469402</v>
      </c>
      <c r="E35" s="205">
        <f>'1.IS'!F4</f>
        <v>0.13768201601203597</v>
      </c>
      <c r="F35" s="205">
        <f>'1.IS'!G4</f>
        <v>0.30156233765007029</v>
      </c>
      <c r="G35" s="205">
        <f>'1.IS'!H4</f>
        <v>2.5560171997750292E-2</v>
      </c>
      <c r="H35" s="206">
        <f>AVERAGE(B35:G35)</f>
        <v>0.17647739902027382</v>
      </c>
      <c r="I35" s="207"/>
    </row>
    <row r="36" spans="1:9">
      <c r="A36" s="204" t="s">
        <v>24</v>
      </c>
      <c r="B36" s="205">
        <f>'1.IS'!C21</f>
        <v>3.1306732126136695E-2</v>
      </c>
      <c r="C36" s="205">
        <f>'1.IS'!D21</f>
        <v>0.36251078643130002</v>
      </c>
      <c r="D36" s="205">
        <f>'1.IS'!E21</f>
        <v>0.68011187882908375</v>
      </c>
      <c r="E36" s="205">
        <f>'1.IS'!F21</f>
        <v>0.13510478049721009</v>
      </c>
      <c r="F36" s="205">
        <f>'1.IS'!G21</f>
        <v>0.22152270436247856</v>
      </c>
      <c r="G36" s="205">
        <f>'1.IS'!H21</f>
        <v>-1.6602822978640821E-2</v>
      </c>
      <c r="H36" s="206">
        <f>AVERAGE(B36:G36)</f>
        <v>0.23565900987792807</v>
      </c>
      <c r="I36" s="207"/>
    </row>
    <row r="37" spans="1:9">
      <c r="A37" s="204" t="s">
        <v>369</v>
      </c>
      <c r="B37" s="205">
        <f>'2.FCF'!C15</f>
        <v>-0.18160737348831779</v>
      </c>
      <c r="C37" s="205">
        <f>'2.FCF'!D15</f>
        <v>1.0494243391556981</v>
      </c>
      <c r="D37" s="205">
        <f>'2.FCF'!E15</f>
        <v>0.72471123556177786</v>
      </c>
      <c r="E37" s="205">
        <f>'2.FCF'!F15</f>
        <v>-0.15025875190258764</v>
      </c>
      <c r="F37" s="205">
        <f>'2.FCF'!G15</f>
        <v>-0.53115521482649108</v>
      </c>
      <c r="G37" s="205">
        <f>'2.FCF'!H15</f>
        <v>2.8398706128062794</v>
      </c>
      <c r="H37" s="206">
        <f>AVERAGE(B37:G37)</f>
        <v>0.62516414121772657</v>
      </c>
      <c r="I37" s="207"/>
    </row>
    <row r="38" spans="1:9">
      <c r="A38" s="208"/>
      <c r="B38" s="207"/>
      <c r="C38" s="207"/>
      <c r="D38" s="207"/>
      <c r="E38" s="207"/>
      <c r="F38" s="207"/>
      <c r="G38" s="207"/>
      <c r="H38" s="207"/>
      <c r="I38" s="207"/>
    </row>
    <row r="39" spans="1:9">
      <c r="A39" s="68" t="s">
        <v>370</v>
      </c>
      <c r="B39" s="75">
        <f>'1.IS'!B$2</f>
        <v>2018</v>
      </c>
      <c r="C39" s="75">
        <f>'1.IS'!C$2</f>
        <v>2019</v>
      </c>
      <c r="D39" s="75">
        <f>'1.IS'!D$2</f>
        <v>2020</v>
      </c>
      <c r="E39" s="75">
        <f>'1.IS'!E$2</f>
        <v>2021</v>
      </c>
      <c r="F39" s="75">
        <f>'1.IS'!F$2</f>
        <v>2022</v>
      </c>
      <c r="G39" s="75">
        <f>'1.IS'!G$2</f>
        <v>2023</v>
      </c>
      <c r="H39" s="75">
        <f>'1.IS'!H$2</f>
        <v>2024</v>
      </c>
      <c r="I39" s="75" t="s">
        <v>88</v>
      </c>
    </row>
    <row r="40" spans="1:9">
      <c r="A40" s="204" t="s">
        <v>7</v>
      </c>
      <c r="B40" s="209">
        <f>'1.IS'!B6</f>
        <v>0.33048245614035088</v>
      </c>
      <c r="C40" s="209">
        <f>'1.IS'!C6</f>
        <v>0.29991539763113367</v>
      </c>
      <c r="D40" s="209">
        <f>'1.IS'!D6</f>
        <v>0.32494902886575816</v>
      </c>
      <c r="E40" s="209">
        <f>'1.IS'!E6</f>
        <v>0.38800171941325023</v>
      </c>
      <c r="F40" s="209">
        <f>'1.IS'!F6</f>
        <v>0.38713196746861622</v>
      </c>
      <c r="G40" s="209">
        <f>'1.IS'!G6</f>
        <v>0.35664132663243647</v>
      </c>
      <c r="H40" s="209">
        <f>'1.IS'!H6</f>
        <v>0.35174026727618185</v>
      </c>
      <c r="I40" s="210">
        <f>AVERAGE(B40:H40)</f>
        <v>0.34840888048967539</v>
      </c>
    </row>
    <row r="41" spans="1:9">
      <c r="A41" s="204" t="s">
        <v>73</v>
      </c>
      <c r="B41" s="209">
        <f>'1.IS'!B9</f>
        <v>0.26345942982456144</v>
      </c>
      <c r="C41" s="209">
        <f>'1.IS'!C9</f>
        <v>0.22983925549915396</v>
      </c>
      <c r="D41" s="209">
        <f>'1.IS'!D9</f>
        <v>0.28983796544693635</v>
      </c>
      <c r="E41" s="209">
        <f>'1.IS'!E9</f>
        <v>0.3626941056364516</v>
      </c>
      <c r="F41" s="209">
        <f>'1.IS'!F9</f>
        <v>0.34576402467246636</v>
      </c>
      <c r="G41" s="209">
        <f>'1.IS'!G9</f>
        <v>0.3281129234174574</v>
      </c>
      <c r="H41" s="209">
        <f>'1.IS'!H9</f>
        <v>0.31923829472559434</v>
      </c>
      <c r="I41" s="210">
        <f>AVERAGE(B41:H41)</f>
        <v>0.30556371417466016</v>
      </c>
    </row>
    <row r="42" spans="1:9">
      <c r="A42" s="204" t="s">
        <v>75</v>
      </c>
      <c r="B42" s="209">
        <f>'2.FCF'!B14</f>
        <v>0.31129385964912287</v>
      </c>
      <c r="C42" s="209">
        <f>'2.FCF'!C14</f>
        <v>0.23587986463620977</v>
      </c>
      <c r="D42" s="209">
        <f>'2.FCF'!D14</f>
        <v>0.40877061201130316</v>
      </c>
      <c r="E42" s="209">
        <f>'2.FCF'!E14</f>
        <v>0.52952554940626506</v>
      </c>
      <c r="F42" s="209">
        <f>'2.FCF'!F14</f>
        <v>0.39550568165717354</v>
      </c>
      <c r="G42" s="209">
        <f>'2.FCF'!G14</f>
        <v>0.14246784113794284</v>
      </c>
      <c r="H42" s="209">
        <f>'2.FCF'!H14</f>
        <v>0.53342367556054071</v>
      </c>
      <c r="I42" s="210">
        <f>AVERAGE(B42:H42)</f>
        <v>0.36526672629407975</v>
      </c>
    </row>
    <row r="43" spans="1:9">
      <c r="A43" s="208"/>
      <c r="B43" s="207"/>
      <c r="C43" s="205"/>
      <c r="D43" s="205"/>
      <c r="E43" s="205"/>
      <c r="F43" s="205"/>
      <c r="G43" s="205"/>
      <c r="H43" s="205"/>
      <c r="I43" s="207"/>
    </row>
    <row r="44" spans="1:9">
      <c r="A44" s="68" t="s">
        <v>371</v>
      </c>
      <c r="B44" s="75">
        <f>'1.IS'!B$2</f>
        <v>2018</v>
      </c>
      <c r="C44" s="75">
        <f>'1.IS'!C$2</f>
        <v>2019</v>
      </c>
      <c r="D44" s="75">
        <f>'1.IS'!D$2</f>
        <v>2020</v>
      </c>
      <c r="E44" s="75">
        <f>'1.IS'!E$2</f>
        <v>2021</v>
      </c>
      <c r="F44" s="75">
        <f>'1.IS'!F$2</f>
        <v>2022</v>
      </c>
      <c r="G44" s="75">
        <f>'1.IS'!G$2</f>
        <v>2023</v>
      </c>
      <c r="H44" s="75">
        <f>'1.IS'!H$2</f>
        <v>2024</v>
      </c>
      <c r="I44" s="75" t="s">
        <v>88</v>
      </c>
    </row>
    <row r="45" spans="1:9">
      <c r="A45" s="204" t="s">
        <v>75</v>
      </c>
      <c r="B45" s="211">
        <f>'2.FCF'!B13</f>
        <v>3406.8000000000006</v>
      </c>
      <c r="C45" s="211">
        <f>'2.FCF'!C13</f>
        <v>2788.0999999999995</v>
      </c>
      <c r="D45" s="211">
        <f>'2.FCF'!D13</f>
        <v>5714.0000000000009</v>
      </c>
      <c r="E45" s="211">
        <f>'2.FCF'!E13</f>
        <v>9855</v>
      </c>
      <c r="F45" s="211">
        <f>'2.FCF'!F13</f>
        <v>8374.1999999999989</v>
      </c>
      <c r="G45" s="211">
        <f>'2.FCF'!G13</f>
        <v>3926.199999999998</v>
      </c>
      <c r="H45" s="211">
        <f>'2.FCF'!H13</f>
        <v>15076.100000000006</v>
      </c>
      <c r="I45" s="212"/>
    </row>
    <row r="46" spans="1:9">
      <c r="A46" s="204" t="s">
        <v>65</v>
      </c>
      <c r="B46" s="209">
        <f>'3.ROIC'!B15</f>
        <v>0.13436919428516048</v>
      </c>
      <c r="C46" s="209">
        <f>'3.ROIC'!C15</f>
        <v>0.1271810547075006</v>
      </c>
      <c r="D46" s="209">
        <f>'3.ROIC'!D15</f>
        <v>0.16274088625715011</v>
      </c>
      <c r="E46" s="209">
        <f>'3.ROIC'!E15</f>
        <v>0.304239652456886</v>
      </c>
      <c r="F46" s="209">
        <f>'3.ROIC'!F15</f>
        <v>0.29372399916579883</v>
      </c>
      <c r="G46" s="209">
        <f>'3.ROIC'!G15</f>
        <v>0.30922625733605336</v>
      </c>
      <c r="H46" s="209">
        <f>'3.ROIC'!H15</f>
        <v>0.11628339150695821</v>
      </c>
      <c r="I46" s="210">
        <f>AVERAGE(B46:H46)</f>
        <v>0.20682349081650106</v>
      </c>
    </row>
    <row r="47" spans="1:9">
      <c r="A47" s="208"/>
      <c r="B47" s="207"/>
      <c r="C47" s="207"/>
      <c r="D47" s="207"/>
      <c r="E47" s="207"/>
      <c r="F47" s="207"/>
      <c r="G47" s="207"/>
      <c r="H47" s="207"/>
      <c r="I47" s="207"/>
    </row>
    <row r="48" spans="1:9">
      <c r="A48" s="68"/>
      <c r="B48" s="75">
        <f>'1.IS'!B$2</f>
        <v>2018</v>
      </c>
      <c r="C48" s="75">
        <f>'1.IS'!C$2</f>
        <v>2019</v>
      </c>
      <c r="D48" s="75">
        <f>'1.IS'!D$2</f>
        <v>2020</v>
      </c>
      <c r="E48" s="75">
        <f>'1.IS'!E$2</f>
        <v>2021</v>
      </c>
      <c r="F48" s="75">
        <f>'1.IS'!F$2</f>
        <v>2022</v>
      </c>
      <c r="G48" s="75">
        <f>'1.IS'!G$2</f>
        <v>2023</v>
      </c>
      <c r="H48" s="75">
        <f>'1.IS'!H$2</f>
        <v>2024</v>
      </c>
      <c r="I48" s="75" t="s">
        <v>88</v>
      </c>
    </row>
    <row r="49" spans="1:9">
      <c r="A49" s="204" t="s">
        <v>372</v>
      </c>
      <c r="B49" s="213">
        <f>('1.IS'!B3-'1.IS'!B5)/'1.IS'!B3</f>
        <v>0.66951754385964912</v>
      </c>
      <c r="C49" s="213">
        <f>('1.IS'!C3-'1.IS'!C5)/'1.IS'!C3</f>
        <v>0.70008460236886638</v>
      </c>
      <c r="D49" s="213">
        <f>('1.IS'!D3-'1.IS'!D5)/'1.IS'!D3</f>
        <v>0.67505097113424195</v>
      </c>
      <c r="E49" s="213">
        <f>('1.IS'!E3-'1.IS'!E5)/'1.IS'!E3</f>
        <v>0.61199828058674977</v>
      </c>
      <c r="F49" s="213">
        <f>('1.IS'!F3-'1.IS'!F5)/'1.IS'!F3</f>
        <v>0.61286803253138378</v>
      </c>
      <c r="G49" s="213">
        <f>('1.IS'!G3-'1.IS'!G5)/'1.IS'!G3</f>
        <v>0.64335867336756358</v>
      </c>
      <c r="H49" s="213">
        <f>('1.IS'!H3-'1.IS'!H5)/'1.IS'!H3</f>
        <v>0.64825973272381809</v>
      </c>
      <c r="I49" s="206">
        <f>AVERAGE(B49:H49)</f>
        <v>0.65159111951032467</v>
      </c>
    </row>
    <row r="50" spans="1:9">
      <c r="A50" s="204" t="s">
        <v>373</v>
      </c>
      <c r="B50" s="213">
        <f>'2.FCF'!B20</f>
        <v>1.7891081871345024E-2</v>
      </c>
      <c r="C50" s="213">
        <f>'2.FCF'!C20</f>
        <v>1.4593908629441625E-2</v>
      </c>
      <c r="D50" s="213">
        <f>'2.FCF'!D20</f>
        <v>2.5632220910684261E-2</v>
      </c>
      <c r="E50" s="213">
        <f>'2.FCF'!E20</f>
        <v>2.5307613776798667E-2</v>
      </c>
      <c r="F50" s="213">
        <f>'2.FCF'!F20</f>
        <v>4.136794279614988E-2</v>
      </c>
      <c r="G50" s="213">
        <f>'2.FCF'!G20</f>
        <v>2.8528403214979046E-2</v>
      </c>
      <c r="H50" s="213">
        <f>'2.FCF'!H20</f>
        <v>3.2501972550587517E-2</v>
      </c>
      <c r="I50" s="206">
        <f>AVERAGE(B50:H50)</f>
        <v>2.6546163392855145E-2</v>
      </c>
    </row>
    <row r="51" spans="1:9">
      <c r="A51" s="204" t="s">
        <v>374</v>
      </c>
      <c r="B51" s="213">
        <f>('1.IS'!B12/'1.IS'!B3)</f>
        <v>-6.4053362573099409E-3</v>
      </c>
      <c r="C51" s="213">
        <f>('1.IS'!C12/'1.IS'!C3)</f>
        <v>-5.2115059221658211E-3</v>
      </c>
      <c r="D51" s="213">
        <f>('1.IS'!D12/'1.IS'!D3)</f>
        <v>-5.6014593840540833E-3</v>
      </c>
      <c r="E51" s="213">
        <f>('1.IS'!E12/'1.IS'!E3)</f>
        <v>-5.3301810757079146E-3</v>
      </c>
      <c r="F51" s="213">
        <f>('1.IS'!F12/'1.IS'!F3)</f>
        <v>-4.9779440241057172E-3</v>
      </c>
      <c r="G51" s="213">
        <f>('1.IS'!G12/'1.IS'!G3)</f>
        <v>-4.0241667725021317E-3</v>
      </c>
      <c r="H51" s="213">
        <f>('1.IS'!H12/'1.IS'!H3)</f>
        <v>7.005650517109001E-4</v>
      </c>
      <c r="I51" s="206">
        <f>AVERAGE(B51:H51)</f>
        <v>-4.4071469120192447E-3</v>
      </c>
    </row>
    <row r="52" spans="1:9">
      <c r="A52" s="204" t="s">
        <v>375</v>
      </c>
      <c r="B52" s="213">
        <f>('1.IS'!B14+'1.IS'!B17)/'1.IS'!B3</f>
        <v>-3.0674342105263156E-2</v>
      </c>
      <c r="C52" s="213">
        <f>('1.IS'!C14+'1.IS'!C17)/'1.IS'!C3</f>
        <v>-1.0896785109983081E-2</v>
      </c>
      <c r="D52" s="213">
        <f>('1.IS'!D14+'1.IS'!D17)/'1.IS'!D3</f>
        <v>-3.9453446364059092E-2</v>
      </c>
      <c r="E52" s="213">
        <f>('1.IS'!E14+'1.IS'!E17)/'1.IS'!E3</f>
        <v>-5.488152168072645E-2</v>
      </c>
      <c r="F52" s="213">
        <f>('1.IS'!F14+'1.IS'!F17)/'1.IS'!F3</f>
        <v>-4.810753114757195E-2</v>
      </c>
      <c r="G52" s="213">
        <f>('1.IS'!G14+'1.IS'!G17)/'1.IS'!G3</f>
        <v>-5.2100078015857178E-2</v>
      </c>
      <c r="H52" s="213">
        <f>('1.IS'!H14+'1.IS'!H17)/'1.IS'!H3</f>
        <v>-5.9463112419461547E-2</v>
      </c>
      <c r="I52" s="206">
        <f>AVERAGE(B52:H52)</f>
        <v>-4.2225259548988918E-2</v>
      </c>
    </row>
    <row r="53" spans="1:9">
      <c r="A53" s="204" t="s">
        <v>376</v>
      </c>
      <c r="B53" s="213"/>
      <c r="C53" s="213">
        <f>'2.FCF'!C11/'1.IS'!C3</f>
        <v>3.3333333333333375E-2</v>
      </c>
      <c r="D53" s="213">
        <f>'2.FCF'!D11/'1.IS'!D3</f>
        <v>-0.10324426798297391</v>
      </c>
      <c r="E53" s="213">
        <f>'2.FCF'!E11/'1.IS'!E3</f>
        <v>-0.22704314652624788</v>
      </c>
      <c r="F53" s="213">
        <f>'2.FCF'!F11/'1.IS'!F3</f>
        <v>-0.10282713215638484</v>
      </c>
      <c r="G53" s="213">
        <f>'2.FCF'!G11/'1.IS'!G3</f>
        <v>0.12952083749115523</v>
      </c>
      <c r="H53" s="213">
        <f>'2.FCF'!H11/'1.IS'!H3</f>
        <v>-0.27294792820269703</v>
      </c>
      <c r="I53" s="206">
        <f>AVERAGE(B53:H53)</f>
        <v>-9.053471734063584E-2</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2025-03-15T10:13:04Z</dcterms:modified>
  <cp:category/>
  <cp:contentStatus/>
</cp:coreProperties>
</file>