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24F4945F-42E5-4C70-BF16-ADA2AD9C8638}" xr6:coauthVersionLast="47" xr6:coauthVersionMax="47" xr10:uidLastSave="{00000000-0000-0000-0000-000000000000}"/>
  <bookViews>
    <workbookView xWindow="28680" yWindow="-90" windowWidth="29040" windowHeight="16440" xr2:uid="{00000000-000D-0000-FFFF-FFFF00000000}"/>
  </bookViews>
  <sheets>
    <sheet name="1.IS" sheetId="1" r:id="rId1"/>
    <sheet name="2.FCF" sheetId="2" r:id="rId2"/>
    <sheet name="3.ROIC" sheetId="3" r:id="rId3"/>
    <sheet name="4.Valoración" sheetId="5" r:id="rId4"/>
    <sheet name="6.TIKR_IS" sheetId="8" r:id="rId5"/>
    <sheet name="7.TIKR_BS" sheetId="10" r:id="rId6"/>
    <sheet name="8.TIKR_CF" sheetId="11" r:id="rId7"/>
    <sheet name="TIKR_Cálculos" sheetId="12" state="hidden" r:id="rId8"/>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2" l="1"/>
  <c r="D29" i="2"/>
  <c r="E29" i="2"/>
  <c r="F29" i="2"/>
  <c r="G29" i="2"/>
  <c r="H29" i="2"/>
  <c r="B29" i="2"/>
  <c r="C32" i="12"/>
  <c r="D32" i="12"/>
  <c r="E32" i="12"/>
  <c r="F32" i="12"/>
  <c r="G32" i="12"/>
  <c r="H32" i="12"/>
  <c r="B32" i="12"/>
  <c r="C31" i="12"/>
  <c r="D31" i="12"/>
  <c r="E31" i="12"/>
  <c r="F31" i="12"/>
  <c r="G31" i="12"/>
  <c r="H31" i="12"/>
  <c r="B31" i="12"/>
  <c r="C30" i="12"/>
  <c r="D30" i="12"/>
  <c r="E30" i="12"/>
  <c r="F30" i="12"/>
  <c r="G30" i="12"/>
  <c r="H30" i="12"/>
  <c r="B30" i="1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53" i="12"/>
  <c r="G13" i="2"/>
  <c r="G53" i="12"/>
  <c r="D13" i="2"/>
  <c r="C13" i="2"/>
  <c r="H13" i="2"/>
  <c r="E13" i="2"/>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<sst xmlns="http://schemas.openxmlformats.org/spreadsheetml/2006/main" count="436" uniqueCount="376">
  <si>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</si>
  <si>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</si>
  <si>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</si>
  <si>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</si>
  <si>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</si>
  <si>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</si>
  <si>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</si>
  <si>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</si>
  <si>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</si>
  <si>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</si>
  <si>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</si>
  <si>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</si>
  <si>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</si>
  <si>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</si>
  <si>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</si>
  <si>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</si>
  <si>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</si>
  <si>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</si>
  <si>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</si>
  <si>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</si>
  <si>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</si>
  <si>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</si>
  <si>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</si>
  <si>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</si>
  <si>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</si>
  <si>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</si>
  <si>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</si>
  <si>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</si>
  <si>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</si>
  <si>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</si>
  <si>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</si>
  <si>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</si>
  <si>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</si>
  <si>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</si>
  <si>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</si>
  <si>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</si>
  <si>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</si>
  <si>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</si>
  <si>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</si>
  <si>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</si>
  <si>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</si>
  <si>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</si>
  <si>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</si>
  <si>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</si>
  <si>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</si>
  <si>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</si>
  <si>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</si>
  <si>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</si>
  <si>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</si>
  <si>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</si>
  <si>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</si>
  <si>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</si>
  <si>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</si>
  <si>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</si>
  <si>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</si>
  <si>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</si>
  <si>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</si>
  <si>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</si>
  <si>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</si>
  <si>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</si>
  <si>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</si>
  <si>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</si>
  <si>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</si>
  <si>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</si>
  <si>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</si>
  <si>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</si>
  <si>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</si>
  <si>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</si>
  <si>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</si>
  <si>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</si>
  <si>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</si>
  <si>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</si>
  <si>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</si>
  <si>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</si>
  <si>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</si>
  <si>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</si>
  <si>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</si>
  <si>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</si>
  <si>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</si>
  <si>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</si>
  <si>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</si>
  <si>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</si>
  <si>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</si>
  <si>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</si>
  <si>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</si>
  <si>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</si>
  <si>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</si>
  <si>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</si>
  <si>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</si>
  <si>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</si>
  <si>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</si>
  <si>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</si>
  <si>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</si>
  <si>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</si>
  <si>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</si>
  <si>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</si>
  <si>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</si>
  <si>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</si>
  <si>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</si>
  <si>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</si>
  <si>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</si>
  <si>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</si>
  <si>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</si>
  <si>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</si>
  <si>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</si>
  <si>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</si>
  <si>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</si>
  <si>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</si>
  <si>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</si>
  <si>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</si>
  <si>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</si>
  <si>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</si>
  <si>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</si>
  <si>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</si>
  <si>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Research And Development Expenses</t>
  </si>
  <si>
    <t>(5,872.00)</t>
  </si>
  <si>
    <t>(6,456.00)</t>
  </si>
  <si>
    <t>Other Expenses</t>
  </si>
  <si>
    <t>8.00</t>
  </si>
  <si>
    <t>(1,586.00)</t>
  </si>
  <si>
    <t>Operating Expenses</t>
  </si>
  <si>
    <t>(10,059.00)</t>
  </si>
  <si>
    <t>(10,825.00)</t>
  </si>
  <si>
    <t>Operating Income</t>
  </si>
  <si>
    <t>401.00</t>
  </si>
  <si>
    <t>1,900.00</t>
  </si>
  <si>
    <t>(68.3%)</t>
  </si>
  <si>
    <t>373.8%</t>
  </si>
  <si>
    <t xml:space="preserve">   % Operating Margins</t>
  </si>
  <si>
    <t>1.8%</t>
  </si>
  <si>
    <t>7.4%</t>
  </si>
  <si>
    <t>Interest Expense</t>
  </si>
  <si>
    <t>(106.00)</t>
  </si>
  <si>
    <t>(92.00)</t>
  </si>
  <si>
    <t>Total Other Income/Expenses Net</t>
  </si>
  <si>
    <t>(9.00)</t>
  </si>
  <si>
    <t>89.00</t>
  </si>
  <si>
    <t>Earnings Before Tax</t>
  </si>
  <si>
    <t>492.00</t>
  </si>
  <si>
    <t>1,989.00</t>
  </si>
  <si>
    <t>(58.4%)</t>
  </si>
  <si>
    <t>304.3%</t>
  </si>
  <si>
    <t xml:space="preserve">   % EBT Margins</t>
  </si>
  <si>
    <t>2.2%</t>
  </si>
  <si>
    <t>7.7%</t>
  </si>
  <si>
    <t>Income Tax Expense</t>
  </si>
  <si>
    <t>346.00</t>
  </si>
  <si>
    <t>(381.00)</t>
  </si>
  <si>
    <t xml:space="preserve">   Effective Tax Rate %</t>
  </si>
  <si>
    <t>(70.3%)</t>
  </si>
  <si>
    <t>19.2%</t>
  </si>
  <si>
    <t>854.00</t>
  </si>
  <si>
    <t>1,641.00</t>
  </si>
  <si>
    <t>(35.3%)</t>
  </si>
  <si>
    <t>92.2%</t>
  </si>
  <si>
    <t xml:space="preserve">   % Net Income Margins</t>
  </si>
  <si>
    <t>3.8%</t>
  </si>
  <si>
    <t>6.4%</t>
  </si>
  <si>
    <t>Diluted Weighted Average Shares Outstanding</t>
  </si>
  <si>
    <t>1,625.00</t>
  </si>
  <si>
    <t>1,637.00</t>
  </si>
  <si>
    <t>3.4%</t>
  </si>
  <si>
    <t>0.7%</t>
  </si>
  <si>
    <t>EPS Diluted</t>
  </si>
  <si>
    <t>0.53</t>
  </si>
  <si>
    <t>1.00</t>
  </si>
  <si>
    <t>(36.9%)</t>
  </si>
  <si>
    <t>88.7%</t>
  </si>
  <si>
    <t>Supplementary Data:</t>
  </si>
  <si>
    <t>Basic EPS</t>
  </si>
  <si>
    <t>(37.6%)</t>
  </si>
  <si>
    <t>90.6%</t>
  </si>
  <si>
    <t>Basic Weighted Average Shares Out.</t>
  </si>
  <si>
    <t>1,614.00</t>
  </si>
  <si>
    <t>1,620.00</t>
  </si>
  <si>
    <t>0.4%</t>
  </si>
  <si>
    <t>4,149.00</t>
  </si>
  <si>
    <t>23.0%</t>
  </si>
  <si>
    <t>(54.2%)</t>
  </si>
  <si>
    <t xml:space="preserve">   % EBITDA Margins</t>
  </si>
  <si>
    <t>18.3%</t>
  </si>
  <si>
    <t>Depreciation and Amortization</t>
  </si>
  <si>
    <t>3,551.00</t>
  </si>
  <si>
    <t>General and Administrative Expenses</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</si>
  <si>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</si>
  <si>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</si>
  <si>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</si>
  <si>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</si>
  <si>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</si>
  <si>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</si>
  <si>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</si>
  <si>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</si>
  <si>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</si>
  <si>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</si>
  <si>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</si>
  <si>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</si>
  <si>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</si>
  <si>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</si>
  <si>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</si>
  <si>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</si>
  <si>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</si>
  <si>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</si>
  <si>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</si>
  <si>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</si>
  <si>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</si>
  <si>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</si>
  <si>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</si>
  <si>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</si>
  <si>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</si>
  <si>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</si>
  <si>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</si>
  <si>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</si>
  <si>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</si>
  <si>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</si>
  <si>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</si>
  <si>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</si>
  <si>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</si>
  <si>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</si>
  <si>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</si>
  <si>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</si>
  <si>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</si>
  <si>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</si>
  <si>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</si>
  <si>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</si>
  <si>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</si>
  <si>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</si>
  <si>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</si>
  <si>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Total Assets</t>
  </si>
  <si>
    <t>67,885.00</t>
  </si>
  <si>
    <t>69,226.00</t>
  </si>
  <si>
    <t>Short Term Debt</t>
  </si>
  <si>
    <t>751.00</t>
  </si>
  <si>
    <t>Tax Payables</t>
  </si>
  <si>
    <t>Deferred Revenue</t>
  </si>
  <si>
    <t>544.00</t>
  </si>
  <si>
    <t>Other Current Liabilities</t>
  </si>
  <si>
    <t>3,339.00</t>
  </si>
  <si>
    <t>5,291.00</t>
  </si>
  <si>
    <t>Total Current Liabilities</t>
  </si>
  <si>
    <t>6,689.00</t>
  </si>
  <si>
    <t>7,281.00</t>
  </si>
  <si>
    <t>Long Term Debt</t>
  </si>
  <si>
    <t>2,252.00</t>
  </si>
  <si>
    <t>491.00</t>
  </si>
  <si>
    <t>Deferred Revenue Non Current</t>
  </si>
  <si>
    <t>Other Non Current Liabilities</t>
  </si>
  <si>
    <t>1,850.00</t>
  </si>
  <si>
    <t>3,537.00</t>
  </si>
  <si>
    <t>Total Non Current Liabilities</t>
  </si>
  <si>
    <t>5,304.00</t>
  </si>
  <si>
    <t>4,377.00</t>
  </si>
  <si>
    <t>Total Liabilities</t>
  </si>
  <si>
    <t>11,993.00</t>
  </si>
  <si>
    <t>11,658.00</t>
  </si>
  <si>
    <t>Preferred Stock</t>
  </si>
  <si>
    <t>Common Stock</t>
  </si>
  <si>
    <t>17.00</t>
  </si>
  <si>
    <t>Retained Earnings</t>
  </si>
  <si>
    <t>723.00</t>
  </si>
  <si>
    <t>2,364.00</t>
  </si>
  <si>
    <t>Accumulated Other Comprehensive Income Loss</t>
  </si>
  <si>
    <t>(10.00)</t>
  </si>
  <si>
    <t>(69.00)</t>
  </si>
  <si>
    <t>Other Total Stockholders Equity</t>
  </si>
  <si>
    <t>55,162.00</t>
  </si>
  <si>
    <t>55,256.00</t>
  </si>
  <si>
    <t>Total Stockholders Equity</t>
  </si>
  <si>
    <t>55,892.00</t>
  </si>
  <si>
    <t>57,568.00</t>
  </si>
  <si>
    <t>Total Liabilities And Stockholders Equity</t>
  </si>
  <si>
    <t>Total Debt</t>
  </si>
  <si>
    <t>3,003.00</t>
  </si>
  <si>
    <t>Net Debt</t>
  </si>
  <si>
    <t>(930.00)</t>
  </si>
  <si>
    <t>(3,296.00)</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</si>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</sst>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
    <numFmt numFmtId="166" formatCode="#,##0;[Red]\(#,##0\)"/>
    <numFmt numFmtId="167" formatCode="#,##0.00;[Red]\(#,##0.00\)"/>
    <numFmt numFmtId="168" formatCode="0.0%"/>
    <numFmt numFmtId="169" formatCode="#,##0.0;\(#,##0.0\)"/>
    <numFmt numFmtId="170" formatCode="#,##0;\(#,##0\)"/>
    <numFmt numFmtId="171" formatCode="0.00_);\(0.00\)"/>
  </numFmts>
  <fonts count="22">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8">
    <border>
      <left/>
      <right/>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67">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1"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3"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4"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7" xfId="1" applyFont="1" applyFill="1" applyBorder="1" applyAlignment="1">
      <alignment horizontal="center" vertical="center"/>
    </xf>
    <xf numFmtId="0" fontId="8" fillId="4" borderId="10" xfId="0" applyFont="1" applyFill="1" applyBorder="1" applyAlignment="1">
      <alignment horizontal="left" vertical="center" indent="1"/>
    </xf>
    <xf numFmtId="0" fontId="8" fillId="4" borderId="11" xfId="0" applyFont="1" applyFill="1" applyBorder="1" applyAlignment="1">
      <alignment horizontal="center" vertical="center"/>
    </xf>
    <xf numFmtId="0" fontId="8" fillId="5" borderId="11" xfId="0" applyFont="1" applyFill="1" applyBorder="1" applyAlignment="1">
      <alignment horizontal="center" vertical="center"/>
    </xf>
    <xf numFmtId="0" fontId="10" fillId="0" borderId="6" xfId="0" applyFont="1" applyBorder="1" applyAlignment="1">
      <alignment horizontal="left" vertical="center" indent="1"/>
    </xf>
    <xf numFmtId="9" fontId="10" fillId="0" borderId="0" xfId="1" applyFont="1" applyFill="1" applyBorder="1" applyAlignment="1">
      <alignment horizontal="center" vertical="center"/>
    </xf>
    <xf numFmtId="0" fontId="8" fillId="4" borderId="15" xfId="0" applyFont="1" applyFill="1" applyBorder="1" applyAlignment="1">
      <alignment horizontal="center" vertical="center"/>
    </xf>
    <xf numFmtId="0" fontId="10" fillId="0" borderId="0" xfId="0" applyFont="1" applyBorder="1" applyAlignment="1">
      <alignment horizontal="center" vertical="center"/>
    </xf>
    <xf numFmtId="0" fontId="8" fillId="5" borderId="12"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14" fillId="6" borderId="13" xfId="0" applyFont="1" applyFill="1" applyBorder="1" applyAlignment="1">
      <alignment vertical="center"/>
    </xf>
    <xf numFmtId="0" fontId="14" fillId="3" borderId="13" xfId="0" applyFont="1" applyFill="1" applyBorder="1" applyAlignment="1">
      <alignment vertical="center"/>
    </xf>
    <xf numFmtId="0" fontId="14" fillId="3" borderId="14" xfId="0" applyFont="1" applyFill="1" applyBorder="1" applyAlignment="1">
      <alignment vertical="center"/>
    </xf>
    <xf numFmtId="0" fontId="8" fillId="4" borderId="9"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5"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19" fillId="0" borderId="0" xfId="0" applyFont="1"/>
    <xf numFmtId="14" fontId="19" fillId="0" borderId="0" xfId="0" applyNumberFormat="1" applyFont="1" applyAlignment="1">
      <alignment horizontal="center"/>
    </xf>
    <xf numFmtId="0" fontId="19" fillId="8" borderId="0" xfId="0" applyFont="1" applyFill="1" applyProtection="1"/>
    <xf numFmtId="0" fontId="0" fillId="0" borderId="0" xfId="0" applyProtection="1"/>
    <xf numFmtId="0" fontId="19" fillId="0" borderId="0" xfId="0" applyFont="1" applyProtection="1">
      <protection locked="0"/>
    </xf>
    <xf numFmtId="14" fontId="19"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19" fillId="8" borderId="0" xfId="0" applyFont="1" applyFill="1" applyAlignment="1" applyProtection="1">
      <alignment horizontal="center"/>
    </xf>
    <xf numFmtId="0" fontId="19" fillId="0" borderId="0" xfId="0" applyFont="1" applyProtection="1"/>
    <xf numFmtId="0" fontId="19" fillId="0" borderId="0" xfId="0" applyFont="1" applyFill="1" applyAlignment="1" applyProtection="1">
      <alignment horizontal="center"/>
    </xf>
    <xf numFmtId="166" fontId="9" fillId="2" borderId="0" xfId="0" applyNumberFormat="1" applyFont="1" applyFill="1" applyBorder="1" applyAlignment="1">
      <alignment horizontal="center" vertical="center"/>
    </xf>
    <xf numFmtId="166" fontId="9" fillId="2" borderId="1" xfId="0" applyNumberFormat="1" applyFont="1" applyFill="1" applyBorder="1" applyAlignment="1">
      <alignment horizontal="center" vertical="center"/>
    </xf>
    <xf numFmtId="166" fontId="10" fillId="2" borderId="0" xfId="0" applyNumberFormat="1" applyFont="1" applyFill="1" applyBorder="1" applyAlignment="1">
      <alignment horizontal="center" vertical="center"/>
    </xf>
    <xf numFmtId="166" fontId="10" fillId="2" borderId="1"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1" xfId="0" applyNumberFormat="1" applyFont="1" applyFill="1" applyBorder="1" applyAlignment="1">
      <alignment horizontal="center" vertical="center"/>
    </xf>
    <xf numFmtId="166" fontId="10" fillId="0" borderId="0" xfId="0" applyNumberFormat="1" applyFont="1" applyBorder="1" applyAlignment="1">
      <alignment horizontal="center" vertical="center"/>
    </xf>
    <xf numFmtId="166" fontId="10" fillId="0" borderId="0" xfId="0" applyNumberFormat="1" applyFont="1" applyFill="1" applyBorder="1" applyAlignment="1">
      <alignment horizontal="center" vertical="center"/>
    </xf>
    <xf numFmtId="166" fontId="9" fillId="0" borderId="0" xfId="0" applyNumberFormat="1" applyFont="1" applyBorder="1" applyAlignment="1">
      <alignment horizontal="center" vertical="center"/>
    </xf>
    <xf numFmtId="166" fontId="10" fillId="2" borderId="0" xfId="1" applyNumberFormat="1" applyFont="1" applyFill="1" applyBorder="1" applyAlignment="1">
      <alignment horizontal="center" vertical="center"/>
    </xf>
    <xf numFmtId="167" fontId="10" fillId="2" borderId="0" xfId="1" applyNumberFormat="1" applyFont="1" applyFill="1" applyBorder="1" applyAlignment="1">
      <alignment horizontal="center" vertical="center"/>
    </xf>
    <xf numFmtId="167" fontId="10" fillId="2" borderId="8" xfId="1"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6" fontId="10" fillId="0" borderId="0" xfId="0" applyNumberFormat="1" applyFont="1" applyAlignment="1">
      <alignment horizontal="center" vertical="center"/>
    </xf>
    <xf numFmtId="166" fontId="10" fillId="2" borderId="0" xfId="0" applyNumberFormat="1" applyFont="1" applyFill="1" applyAlignment="1">
      <alignment horizontal="center" vertical="center"/>
    </xf>
    <xf numFmtId="166" fontId="10" fillId="2" borderId="2" xfId="0" applyNumberFormat="1" applyFont="1" applyFill="1" applyBorder="1" applyAlignment="1">
      <alignment horizontal="center" vertical="center"/>
    </xf>
    <xf numFmtId="166" fontId="10" fillId="2" borderId="3" xfId="1" applyNumberFormat="1" applyFont="1" applyFill="1" applyBorder="1" applyAlignment="1">
      <alignment horizontal="center" vertical="center"/>
    </xf>
    <xf numFmtId="166" fontId="10" fillId="2" borderId="5" xfId="1" applyNumberFormat="1" applyFont="1" applyFill="1" applyBorder="1" applyAlignment="1">
      <alignment horizontal="center" vertical="center"/>
    </xf>
    <xf numFmtId="14" fontId="19"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5"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6" xfId="0" applyFont="1" applyFill="1" applyBorder="1" applyAlignment="1">
      <alignment horizontal="left" vertical="center" indent="3"/>
    </xf>
    <xf numFmtId="3" fontId="9" fillId="6" borderId="4" xfId="0" applyNumberFormat="1" applyFont="1" applyFill="1" applyBorder="1" applyAlignment="1">
      <alignment horizontal="center" vertical="center"/>
    </xf>
    <xf numFmtId="9" fontId="10" fillId="2" borderId="4" xfId="1" applyFont="1" applyFill="1" applyBorder="1" applyAlignment="1">
      <alignment horizontal="center" vertical="center"/>
    </xf>
    <xf numFmtId="166" fontId="9" fillId="2" borderId="4" xfId="0" applyNumberFormat="1" applyFont="1" applyFill="1" applyBorder="1" applyAlignment="1">
      <alignment horizontal="center" vertical="center"/>
    </xf>
    <xf numFmtId="166" fontId="10" fillId="6" borderId="4" xfId="0" applyNumberFormat="1" applyFont="1" applyFill="1" applyBorder="1" applyAlignment="1">
      <alignment horizontal="center" vertical="center"/>
    </xf>
    <xf numFmtId="166" fontId="9" fillId="6" borderId="4" xfId="0" applyNumberFormat="1" applyFont="1" applyFill="1" applyBorder="1" applyAlignment="1">
      <alignment horizontal="center" vertical="center"/>
    </xf>
    <xf numFmtId="166" fontId="10" fillId="2" borderId="4" xfId="0" applyNumberFormat="1" applyFont="1" applyFill="1" applyBorder="1" applyAlignment="1">
      <alignment horizontal="center" vertical="center"/>
    </xf>
    <xf numFmtId="167" fontId="10" fillId="2" borderId="4" xfId="0" applyNumberFormat="1" applyFont="1" applyFill="1" applyBorder="1" applyAlignment="1">
      <alignment horizontal="center" vertical="center"/>
    </xf>
    <xf numFmtId="3" fontId="10" fillId="6" borderId="4"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8" xfId="0" applyNumberFormat="1" applyFont="1" applyFill="1" applyBorder="1" applyAlignment="1">
      <alignment horizontal="center" vertical="center"/>
    </xf>
    <xf numFmtId="9" fontId="10" fillId="2" borderId="8" xfId="1" applyFont="1" applyFill="1" applyBorder="1" applyAlignment="1">
      <alignment horizontal="center" vertical="center"/>
    </xf>
    <xf numFmtId="0" fontId="9" fillId="2" borderId="0" xfId="0" applyFont="1" applyFill="1" applyBorder="1" applyAlignment="1">
      <alignment horizontal="left" vertical="center" indent="1"/>
    </xf>
    <xf numFmtId="166" fontId="9" fillId="2" borderId="8"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6" fontId="10" fillId="2" borderId="8" xfId="0" applyNumberFormat="1" applyFont="1" applyFill="1" applyBorder="1" applyAlignment="1">
      <alignment horizontal="center" vertical="center"/>
    </xf>
    <xf numFmtId="167" fontId="10" fillId="2" borderId="8" xfId="0" applyNumberFormat="1" applyFont="1" applyFill="1" applyBorder="1" applyAlignment="1">
      <alignment horizontal="center" vertical="center"/>
    </xf>
    <xf numFmtId="3" fontId="10" fillId="2" borderId="8" xfId="0" applyNumberFormat="1" applyFont="1" applyFill="1" applyBorder="1" applyAlignment="1">
      <alignment horizontal="center" vertical="center"/>
    </xf>
    <xf numFmtId="9" fontId="10" fillId="2" borderId="5" xfId="1" applyFont="1" applyFill="1" applyBorder="1" applyAlignment="1">
      <alignment horizontal="center" vertical="center"/>
    </xf>
    <xf numFmtId="9" fontId="10" fillId="2" borderId="3" xfId="1" applyFont="1" applyFill="1" applyBorder="1" applyAlignment="1">
      <alignment horizontal="center" vertical="center"/>
    </xf>
    <xf numFmtId="9" fontId="10" fillId="2" borderId="17" xfId="1" applyFont="1" applyFill="1" applyBorder="1" applyAlignment="1">
      <alignment horizontal="center" vertical="center"/>
    </xf>
    <xf numFmtId="9" fontId="10" fillId="2" borderId="20" xfId="1" applyFont="1" applyFill="1" applyBorder="1" applyAlignment="1">
      <alignment horizontal="center" vertical="center"/>
    </xf>
    <xf numFmtId="166" fontId="10" fillId="0" borderId="4" xfId="0" applyNumberFormat="1" applyFont="1" applyBorder="1" applyAlignment="1">
      <alignment horizontal="center" vertical="center"/>
    </xf>
    <xf numFmtId="166" fontId="10" fillId="0" borderId="4" xfId="0" applyNumberFormat="1" applyFont="1" applyFill="1" applyBorder="1" applyAlignment="1">
      <alignment horizontal="center" vertical="center"/>
    </xf>
    <xf numFmtId="166" fontId="9" fillId="0" borderId="4" xfId="0" applyNumberFormat="1" applyFont="1" applyBorder="1" applyAlignment="1">
      <alignment horizontal="center" vertical="center"/>
    </xf>
    <xf numFmtId="9" fontId="10" fillId="0" borderId="4" xfId="1" applyFont="1" applyBorder="1" applyAlignment="1">
      <alignment horizontal="center" vertical="center"/>
    </xf>
    <xf numFmtId="3" fontId="10" fillId="0" borderId="4" xfId="0" applyNumberFormat="1" applyFont="1" applyBorder="1" applyAlignment="1">
      <alignment horizontal="center" vertical="center"/>
    </xf>
    <xf numFmtId="166" fontId="10" fillId="0" borderId="8" xfId="0" applyNumberFormat="1" applyFont="1" applyBorder="1" applyAlignment="1">
      <alignment horizontal="center" vertical="center"/>
    </xf>
    <xf numFmtId="0" fontId="10" fillId="6" borderId="0" xfId="0" applyFont="1" applyFill="1" applyBorder="1" applyAlignment="1">
      <alignment horizontal="left" vertical="center" indent="4"/>
    </xf>
    <xf numFmtId="166" fontId="10" fillId="0" borderId="8"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6" fontId="9" fillId="0" borderId="8"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8" xfId="1" applyFont="1" applyBorder="1" applyAlignment="1">
      <alignment horizontal="center" vertical="center"/>
    </xf>
    <xf numFmtId="166" fontId="9" fillId="2" borderId="5" xfId="1" applyNumberFormat="1" applyFont="1" applyFill="1" applyBorder="1" applyAlignment="1">
      <alignment horizontal="center" vertical="center"/>
    </xf>
    <xf numFmtId="9" fontId="10" fillId="2" borderId="3" xfId="1" applyNumberFormat="1" applyFont="1" applyFill="1" applyBorder="1" applyAlignment="1">
      <alignment horizontal="center" vertical="center"/>
    </xf>
    <xf numFmtId="9" fontId="10" fillId="2" borderId="5" xfId="1" applyNumberFormat="1" applyFont="1" applyFill="1" applyBorder="1" applyAlignment="1">
      <alignment horizontal="center" vertical="center"/>
    </xf>
    <xf numFmtId="9" fontId="9" fillId="0" borderId="21" xfId="1" applyFont="1" applyBorder="1" applyAlignment="1">
      <alignment horizontal="center" vertical="center"/>
    </xf>
    <xf numFmtId="9" fontId="9" fillId="2" borderId="22" xfId="1" applyNumberFormat="1" applyFont="1" applyFill="1" applyBorder="1" applyAlignment="1">
      <alignment horizontal="center" vertical="center"/>
    </xf>
    <xf numFmtId="0" fontId="10" fillId="0" borderId="19" xfId="0" applyFont="1" applyBorder="1" applyAlignment="1">
      <alignment horizontal="left" vertical="center" indent="1"/>
    </xf>
    <xf numFmtId="166" fontId="10" fillId="0" borderId="3" xfId="0" applyNumberFormat="1" applyFont="1" applyBorder="1" applyAlignment="1">
      <alignment horizontal="center" vertical="center"/>
    </xf>
    <xf numFmtId="166" fontId="10" fillId="2" borderId="3" xfId="0" applyNumberFormat="1" applyFont="1" applyFill="1" applyBorder="1" applyAlignment="1">
      <alignment horizontal="center" vertical="center"/>
    </xf>
    <xf numFmtId="166" fontId="10" fillId="2" borderId="20" xfId="0" applyNumberFormat="1" applyFont="1" applyFill="1" applyBorder="1" applyAlignment="1">
      <alignment horizontal="center" vertical="center"/>
    </xf>
    <xf numFmtId="9" fontId="10" fillId="0" borderId="3" xfId="1" applyFont="1" applyBorder="1" applyAlignment="1">
      <alignment horizontal="center" vertical="center"/>
    </xf>
    <xf numFmtId="166" fontId="10" fillId="0" borderId="3" xfId="0" applyNumberFormat="1" applyFont="1" applyFill="1" applyBorder="1" applyAlignment="1">
      <alignment horizontal="center" vertical="center"/>
    </xf>
    <xf numFmtId="166" fontId="10" fillId="2" borderId="5" xfId="0" applyNumberFormat="1" applyFont="1" applyFill="1" applyBorder="1" applyAlignment="1">
      <alignment horizontal="center" vertical="center"/>
    </xf>
    <xf numFmtId="166" fontId="10" fillId="0" borderId="5" xfId="0" applyNumberFormat="1" applyFont="1" applyBorder="1" applyAlignment="1">
      <alignment horizontal="center" vertical="center"/>
    </xf>
    <xf numFmtId="9" fontId="10" fillId="0" borderId="5" xfId="1" applyFont="1" applyBorder="1" applyAlignment="1">
      <alignment horizontal="center" vertical="center"/>
    </xf>
    <xf numFmtId="9" fontId="9" fillId="0" borderId="22"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19" xfId="0" applyFont="1" applyFill="1" applyBorder="1" applyAlignment="1">
      <alignment horizontal="left" vertical="center" indent="1"/>
    </xf>
    <xf numFmtId="164" fontId="10" fillId="0" borderId="4" xfId="1" applyNumberFormat="1" applyFont="1" applyBorder="1" applyAlignment="1">
      <alignment horizontal="center" vertical="center"/>
    </xf>
    <xf numFmtId="166" fontId="10" fillId="0" borderId="20" xfId="0" applyNumberFormat="1" applyFont="1" applyBorder="1" applyAlignment="1">
      <alignment horizontal="center" vertical="center"/>
    </xf>
    <xf numFmtId="4" fontId="9" fillId="2" borderId="21" xfId="1" applyNumberFormat="1" applyFont="1" applyFill="1" applyBorder="1" applyAlignment="1">
      <alignment horizontal="center" vertical="center"/>
    </xf>
    <xf numFmtId="9" fontId="10" fillId="0" borderId="21" xfId="1" applyFont="1" applyBorder="1" applyAlignment="1">
      <alignment horizontal="center" vertical="center"/>
    </xf>
    <xf numFmtId="0" fontId="10" fillId="2" borderId="6" xfId="0" applyFont="1" applyFill="1" applyBorder="1" applyAlignment="1">
      <alignment horizontal="left" vertical="center" indent="1"/>
    </xf>
    <xf numFmtId="165"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6" xfId="0" applyFont="1" applyFill="1" applyBorder="1" applyAlignment="1">
      <alignment horizontal="left" vertical="center" indent="1"/>
    </xf>
    <xf numFmtId="4" fontId="9" fillId="0" borderId="27" xfId="0" applyNumberFormat="1" applyFont="1" applyBorder="1" applyAlignment="1">
      <alignment horizontal="center" vertical="center"/>
    </xf>
    <xf numFmtId="4" fontId="9" fillId="2" borderId="28" xfId="1" applyNumberFormat="1" applyFont="1" applyFill="1" applyBorder="1" applyAlignment="1">
      <alignment horizontal="center" vertical="center"/>
    </xf>
    <xf numFmtId="0" fontId="9" fillId="2" borderId="27" xfId="0" applyFont="1" applyFill="1" applyBorder="1" applyAlignment="1">
      <alignment horizontal="left" vertical="center" indent="1"/>
    </xf>
    <xf numFmtId="9" fontId="9" fillId="0" borderId="28" xfId="1" applyFont="1" applyBorder="1" applyAlignment="1">
      <alignment horizontal="center" vertical="center"/>
    </xf>
    <xf numFmtId="165" fontId="9" fillId="0" borderId="27" xfId="0" applyNumberFormat="1" applyFont="1" applyBorder="1" applyAlignment="1">
      <alignment horizontal="center" vertical="center"/>
    </xf>
    <xf numFmtId="9" fontId="0" fillId="0" borderId="0" xfId="1" applyFont="1" applyAlignment="1">
      <alignment horizontal="center"/>
    </xf>
    <xf numFmtId="164" fontId="10" fillId="0" borderId="3" xfId="0" applyNumberFormat="1" applyFont="1" applyBorder="1" applyAlignment="1">
      <alignment horizontal="center" vertical="center"/>
    </xf>
    <xf numFmtId="165" fontId="10" fillId="2" borderId="3" xfId="1" applyNumberFormat="1" applyFont="1" applyFill="1" applyBorder="1" applyAlignment="1">
      <alignment horizontal="center" vertical="center"/>
    </xf>
    <xf numFmtId="0" fontId="16" fillId="8" borderId="3" xfId="0" applyFont="1" applyFill="1" applyBorder="1" applyAlignment="1">
      <alignment horizontal="left" vertical="center" indent="2"/>
    </xf>
    <xf numFmtId="0" fontId="16" fillId="8" borderId="3" xfId="0" applyFont="1" applyFill="1" applyBorder="1" applyAlignment="1">
      <alignment horizontal="left" vertical="center" indent="1"/>
    </xf>
    <xf numFmtId="9" fontId="16" fillId="0" borderId="22" xfId="1" applyFont="1" applyBorder="1" applyAlignment="1">
      <alignment horizontal="center" vertical="center"/>
    </xf>
    <xf numFmtId="0" fontId="19"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3" xfId="0" applyFont="1" applyFill="1" applyBorder="1" applyAlignment="1">
      <alignment horizontal="left" vertical="center" indent="1"/>
    </xf>
    <xf numFmtId="9" fontId="9" fillId="0" borderId="0" xfId="1" applyFont="1" applyBorder="1" applyAlignment="1">
      <alignment horizontal="center" vertical="center"/>
    </xf>
    <xf numFmtId="0" fontId="9" fillId="0" borderId="19" xfId="0" applyFont="1" applyBorder="1" applyAlignment="1">
      <alignment horizontal="left" vertical="center" indent="1"/>
    </xf>
    <xf numFmtId="166" fontId="7" fillId="0" borderId="0" xfId="0" applyNumberFormat="1" applyFont="1" applyAlignment="1">
      <alignment horizontal="center"/>
    </xf>
    <xf numFmtId="9" fontId="7" fillId="0" borderId="0" xfId="0" applyNumberFormat="1" applyFont="1" applyBorder="1" applyAlignment="1">
      <alignment horizontal="center"/>
    </xf>
    <xf numFmtId="168" fontId="7" fillId="0" borderId="0" xfId="0" applyNumberFormat="1" applyFont="1" applyBorder="1" applyAlignment="1">
      <alignment horizontal="center"/>
    </xf>
    <xf numFmtId="9" fontId="9" fillId="0" borderId="4" xfId="1" applyFont="1" applyBorder="1" applyAlignment="1">
      <alignment horizontal="center" vertical="center"/>
    </xf>
    <xf numFmtId="0" fontId="0" fillId="0" borderId="18" xfId="0" applyFont="1" applyBorder="1"/>
    <xf numFmtId="0" fontId="0" fillId="0" borderId="0" xfId="0" applyFont="1" applyProtection="1"/>
    <xf numFmtId="0" fontId="0" fillId="0" borderId="18"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4"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8" fontId="0" fillId="0" borderId="0" xfId="0" applyNumberFormat="1" applyFont="1" applyAlignment="1">
      <alignment horizontal="center" vertical="center"/>
    </xf>
    <xf numFmtId="168" fontId="0" fillId="0" borderId="4"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4" xfId="0" applyFont="1" applyBorder="1" applyAlignment="1">
      <alignment horizontal="center" vertical="center"/>
    </xf>
    <xf numFmtId="9" fontId="0" fillId="0" borderId="0" xfId="1" applyFont="1" applyAlignment="1">
      <alignment horizontal="center" vertical="center"/>
    </xf>
    <xf numFmtId="9" fontId="9" fillId="2" borderId="8" xfId="1" applyNumberFormat="1" applyFont="1" applyFill="1" applyBorder="1" applyAlignment="1">
      <alignment horizontal="center" vertical="center"/>
    </xf>
    <xf numFmtId="9" fontId="9" fillId="2" borderId="20"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3" xfId="0" applyFont="1" applyBorder="1" applyAlignment="1">
      <alignment horizontal="left" vertical="center" indent="1"/>
    </xf>
    <xf numFmtId="9" fontId="9" fillId="0" borderId="5"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7" fillId="8" borderId="21" xfId="1" applyNumberFormat="1" applyFont="1" applyFill="1" applyBorder="1" applyAlignment="1">
      <alignment horizontal="center" vertical="center"/>
    </xf>
    <xf numFmtId="9" fontId="16" fillId="8" borderId="3" xfId="1" applyFont="1" applyFill="1" applyBorder="1" applyAlignment="1">
      <alignment horizontal="center" vertical="center"/>
    </xf>
    <xf numFmtId="9" fontId="17" fillId="8" borderId="22" xfId="1" applyFont="1" applyFill="1" applyBorder="1" applyAlignment="1">
      <alignment horizontal="center" vertical="center"/>
    </xf>
    <xf numFmtId="0" fontId="9" fillId="0" borderId="6" xfId="0" applyFont="1" applyBorder="1" applyAlignment="1">
      <alignment horizontal="left" vertical="center" indent="1"/>
    </xf>
    <xf numFmtId="4" fontId="13" fillId="6" borderId="29" xfId="1" applyNumberFormat="1" applyFont="1" applyFill="1" applyBorder="1" applyAlignment="1">
      <alignment horizontal="center" vertical="center"/>
    </xf>
    <xf numFmtId="0" fontId="8" fillId="5" borderId="30" xfId="0" applyFont="1" applyFill="1" applyBorder="1" applyAlignment="1">
      <alignment horizontal="center" vertical="center" wrapText="1"/>
    </xf>
    <xf numFmtId="9" fontId="13" fillId="6" borderId="31" xfId="1" applyFont="1" applyFill="1" applyBorder="1" applyAlignment="1">
      <alignment horizontal="center" vertical="center"/>
    </xf>
    <xf numFmtId="9" fontId="13" fillId="3" borderId="32" xfId="1" applyFont="1" applyFill="1" applyBorder="1" applyAlignment="1">
      <alignment horizontal="center" vertical="center"/>
    </xf>
    <xf numFmtId="170" fontId="13" fillId="6" borderId="33" xfId="1" applyNumberFormat="1" applyFont="1" applyFill="1" applyBorder="1" applyAlignment="1">
      <alignment horizontal="center" vertical="center"/>
    </xf>
    <xf numFmtId="170" fontId="13" fillId="6" borderId="34" xfId="0" applyNumberFormat="1" applyFont="1" applyFill="1" applyBorder="1" applyAlignment="1">
      <alignment horizontal="center" vertical="center"/>
    </xf>
    <xf numFmtId="170" fontId="13" fillId="6" borderId="35" xfId="0" applyNumberFormat="1" applyFont="1" applyFill="1" applyBorder="1" applyAlignment="1">
      <alignment horizontal="center" vertical="center"/>
    </xf>
    <xf numFmtId="0" fontId="8" fillId="5" borderId="36" xfId="0" applyFont="1" applyFill="1" applyBorder="1" applyAlignment="1">
      <alignment horizontal="center" vertical="center" wrapText="1"/>
    </xf>
    <xf numFmtId="165" fontId="18" fillId="6" borderId="31" xfId="1" applyNumberFormat="1" applyFont="1" applyFill="1" applyBorder="1" applyAlignment="1">
      <alignment horizontal="center" vertical="center"/>
    </xf>
    <xf numFmtId="165" fontId="18" fillId="6" borderId="37" xfId="0" applyNumberFormat="1" applyFont="1" applyFill="1" applyBorder="1" applyAlignment="1">
      <alignment horizontal="center" vertical="center"/>
    </xf>
    <xf numFmtId="165" fontId="18" fillId="6" borderId="32" xfId="1" applyNumberFormat="1" applyFont="1" applyFill="1" applyBorder="1" applyAlignment="1">
      <alignment horizontal="center" vertical="center"/>
    </xf>
    <xf numFmtId="169" fontId="13" fillId="9" borderId="33" xfId="0" applyNumberFormat="1" applyFont="1" applyFill="1" applyBorder="1" applyAlignment="1">
      <alignment horizontal="center" vertical="center"/>
    </xf>
    <xf numFmtId="169" fontId="13" fillId="9" borderId="34" xfId="0" applyNumberFormat="1" applyFont="1" applyFill="1" applyBorder="1" applyAlignment="1">
      <alignment horizontal="center" vertical="center"/>
    </xf>
    <xf numFmtId="169" fontId="13" fillId="9" borderId="35" xfId="0" applyNumberFormat="1" applyFont="1" applyFill="1" applyBorder="1" applyAlignment="1">
      <alignment horizontal="center" vertical="center"/>
    </xf>
    <xf numFmtId="4" fontId="0" fillId="0" borderId="0" xfId="0" applyNumberFormat="1" applyFont="1"/>
    <xf numFmtId="14" fontId="19" fillId="0" borderId="0" xfId="0" applyNumberFormat="1" applyFont="1" applyProtection="1">
      <protection locked="0"/>
    </xf>
    <xf numFmtId="3" fontId="0" fillId="0" borderId="0" xfId="0" applyNumberFormat="1" applyFont="1"/>
    <xf numFmtId="0" fontId="0" fillId="0" borderId="0" xfId="0" applyNumberFormat="1" applyFont="1"/>
    <xf numFmtId="171"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8" xfId="0" applyNumberFormat="1" applyFont="1" applyBorder="1" applyAlignment="1" applyProtection="1">
      <alignment horizontal="center"/>
    </xf>
    <xf numFmtId="39" fontId="0" fillId="0" borderId="0" xfId="0" applyNumberFormat="1" applyFont="1" applyAlignment="1" applyProtection="1">
      <alignment horizontal="center"/>
    </xf>
    <xf numFmtId="39" fontId="19" fillId="0" borderId="0" xfId="0" applyNumberFormat="1" applyFont="1" applyAlignment="1" applyProtection="1">
      <alignment horizontal="center"/>
    </xf>
    <xf numFmtId="39" fontId="0" fillId="0" borderId="0" xfId="0" applyNumberFormat="1" applyFont="1" applyAlignment="1">
      <alignment horizontal="center"/>
    </xf>
    <xf numFmtId="39" fontId="0" fillId="0" borderId="18" xfId="0" applyNumberFormat="1" applyFont="1" applyBorder="1" applyAlignment="1">
      <alignment horizontal="center"/>
    </xf>
    <xf numFmtId="39" fontId="19" fillId="0" borderId="0" xfId="0" applyNumberFormat="1" applyFont="1" applyAlignment="1">
      <alignment horizontal="center"/>
    </xf>
    <xf numFmtId="166" fontId="10" fillId="6" borderId="4" xfId="0" applyNumberFormat="1" applyFont="1" applyFill="1" applyBorder="1" applyAlignment="1">
      <alignment horizontal="center" vertical="center" wrapText="1"/>
    </xf>
    <xf numFmtId="2" fontId="0" fillId="0" borderId="0" xfId="0" applyNumberFormat="1" applyAlignment="1" applyProtection="1">
      <alignment horizontal="center"/>
      <protection locked="0"/>
    </xf>
    <xf numFmtId="10" fontId="0" fillId="0" borderId="0" xfId="0" applyNumberFormat="1" applyAlignment="1">
      <alignment horizontal="center"/>
    </xf>
    <xf numFmtId="0" fontId="19"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19" fillId="0" borderId="0" xfId="0" applyNumberFormat="1" applyFont="1" applyAlignment="1" applyProtection="1">
      <alignment wrapText="1"/>
      <protection locked="0"/>
    </xf>
    <xf numFmtId="14" fontId="19"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0" fontId="9" fillId="6" borderId="23" xfId="0" applyFont="1" applyFill="1" applyBorder="1" applyAlignment="1">
      <alignment horizontal="left" vertical="center" indent="1"/>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abSelected="1"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0</v>
      </c>
      <c r="C1" s="27"/>
      <c r="D1" s="27"/>
      <c r="E1" s="27"/>
      <c r="F1" s="27"/>
      <c r="G1" s="27"/>
      <c r="H1" s="27"/>
      <c r="I1" s="27"/>
      <c r="J1" s="27"/>
      <c r="K1" s="3"/>
      <c r="L1" s="3"/>
      <c r="M1" s="3"/>
      <c r="N1"/>
      <c r="O1" s="26"/>
      <c r="P1" s="27"/>
      <c r="Q1" s="27"/>
      <c r="R1" s="1"/>
      <c r="S1" s="1"/>
    </row>
    <row r="2" spans="1:20" ht="44.1" customHeight="1" thickTop="1">
      <c r="A2" s="108" t="s">
        <v>1</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2</v>
      </c>
      <c r="P2" s="52" t="str">
        <f>"Promedio "&amp;CHAR(10)&amp;B2&amp;" - "&amp;H2</f>
        <v>Promedio 
2018 - 2024</v>
      </c>
      <c r="Q2" s="226" t="str">
        <f>"Estimaciones "&amp;CHAR(10)&amp;I2&amp;" - "&amp;M2</f>
        <v>Estimaciones 
2025e - 2029e</v>
      </c>
      <c r="R2" s="33"/>
      <c r="S2" s="33"/>
      <c r="T2" s="33"/>
    </row>
    <row r="3" spans="1:20" ht="24.95" customHeight="1">
      <c r="A3" s="118" t="s">
        <v>3</v>
      </c>
      <c r="B3" s="110">
        <f>IFERROR(VALUE(VLOOKUP("Revenue*",'6.TIKR_IS'!$A:$H,COLUMN(B3),FALSE)),"0")</f>
        <v>136819</v>
      </c>
      <c r="C3" s="110">
        <f>IFERROR(VALUE(VLOOKUP("Revenue*",'6.TIKR_IS'!$A:$H,COLUMN(C3),FALSE)),"0")</f>
        <v>161857</v>
      </c>
      <c r="D3" s="110">
        <f>IFERROR(VALUE(VLOOKUP("Revenue*",'6.TIKR_IS'!$A:$H,COLUMN(D3),FALSE)),"0")</f>
        <v>182527</v>
      </c>
      <c r="E3" s="110">
        <f>IFERROR(VALUE(VLOOKUP("Revenue*",'6.TIKR_IS'!$A:$H,COLUMN(E3),FALSE)),"0")</f>
        <v>257637</v>
      </c>
      <c r="F3" s="110">
        <f>IFERROR(VALUE(VLOOKUP("Revenue*",'6.TIKR_IS'!$A:$H,COLUMN(F3),FALSE)),"0")</f>
        <v>282836</v>
      </c>
      <c r="G3" s="110">
        <f>IFERROR(VALUE(VLOOKUP("Revenue*",'6.TIKR_IS'!$A:$H,COLUMN(G3),FALSE)),"0")</f>
        <v>307394</v>
      </c>
      <c r="H3" s="110">
        <f>IFERROR(VALUE(VLOOKUP("Revenue*",'6.TIKR_IS'!$A:$H,COLUMN(H3),FALSE)),"0")</f>
        <v>350018</v>
      </c>
      <c r="I3" s="9">
        <f>IFERROR((H3*$Q$3)+H3,"")</f>
        <v>411008.94424373412</v>
      </c>
      <c r="J3" s="9">
        <f>IFERROR((I3*$Q$3)+I3,"")</f>
        <v>482627.61414655513</v>
      </c>
      <c r="K3" s="9">
        <f>IFERROR((J3*$Q$3)+J3,"")</f>
        <v>566725.90024869551</v>
      </c>
      <c r="L3" s="9">
        <f>IFERROR((K3*$Q$3)+K3,"")</f>
        <v>665478.38664524711</v>
      </c>
      <c r="M3" s="119">
        <f>IFERROR((L3*$Q$3)+L3,"")</f>
        <v>781438.58062181517</v>
      </c>
      <c r="N3" s="6"/>
      <c r="O3" s="53" t="s">
        <v>4</v>
      </c>
      <c r="P3" s="41">
        <f>IFERROR(AVERAGE(C4:H4),"")</f>
        <v>0.17425087922259455</v>
      </c>
      <c r="Q3" s="227">
        <f>P3</f>
        <v>0.17425087922259455</v>
      </c>
      <c r="R3" s="33"/>
      <c r="S3" s="33"/>
      <c r="T3" s="33"/>
    </row>
    <row r="4" spans="1:20" ht="24.95" customHeight="1">
      <c r="A4" s="102" t="s">
        <v>5</v>
      </c>
      <c r="B4" s="111"/>
      <c r="C4" s="11">
        <f t="shared" ref="C4:H4" si="0">IFERROR((C3-B3)/B3,"")</f>
        <v>0.18300089899794619</v>
      </c>
      <c r="D4" s="11">
        <f t="shared" si="0"/>
        <v>0.12770532012826136</v>
      </c>
      <c r="E4" s="11">
        <f t="shared" si="0"/>
        <v>0.41150076427049148</v>
      </c>
      <c r="F4" s="11">
        <f t="shared" si="0"/>
        <v>9.7808156437157706E-2</v>
      </c>
      <c r="G4" s="11">
        <f t="shared" si="0"/>
        <v>8.6827702272695137E-2</v>
      </c>
      <c r="H4" s="10">
        <f t="shared" si="0"/>
        <v>0.13866243322901553</v>
      </c>
      <c r="I4" s="11">
        <f>$Q$3</f>
        <v>0.17425087922259455</v>
      </c>
      <c r="J4" s="11">
        <f>$Q$3</f>
        <v>0.17425087922259455</v>
      </c>
      <c r="K4" s="11">
        <f>$Q$3</f>
        <v>0.17425087922259455</v>
      </c>
      <c r="L4" s="11">
        <f>$Q$3</f>
        <v>0.17425087922259455</v>
      </c>
      <c r="M4" s="120">
        <f>$Q$3</f>
        <v>0.17425087922259455</v>
      </c>
      <c r="N4" s="6"/>
      <c r="O4" s="54" t="s">
        <v>6</v>
      </c>
      <c r="P4" s="42">
        <f>IFERROR(AVERAGE(B9:H9),"")</f>
        <v>0.2564529136095029</v>
      </c>
      <c r="Q4" s="227">
        <f>P4</f>
        <v>0.2564529136095029</v>
      </c>
      <c r="R4" s="33"/>
      <c r="S4" s="33"/>
      <c r="T4" s="33"/>
    </row>
    <row r="5" spans="1:20" ht="24.95" customHeight="1">
      <c r="A5" s="121" t="s">
        <v>7</v>
      </c>
      <c r="B5" s="112">
        <f t="shared" ref="B5:H5" si="1">B8-B7</f>
        <v>35356</v>
      </c>
      <c r="C5" s="78">
        <f t="shared" si="1"/>
        <v>46012</v>
      </c>
      <c r="D5" s="78">
        <f t="shared" si="1"/>
        <v>54921</v>
      </c>
      <c r="E5" s="78">
        <f t="shared" si="1"/>
        <v>91155</v>
      </c>
      <c r="F5" s="78">
        <f t="shared" si="1"/>
        <v>90770</v>
      </c>
      <c r="G5" s="78">
        <f t="shared" si="1"/>
        <v>96239</v>
      </c>
      <c r="H5" s="79">
        <f t="shared" si="1"/>
        <v>127701</v>
      </c>
      <c r="I5" s="78">
        <f>IFERROR(I8-I7,"")</f>
        <v>123383.39648264847</v>
      </c>
      <c r="J5" s="78">
        <f t="shared" ref="J5:M5" si="2">IFERROR(J8-J7,"")</f>
        <v>144883.06180121997</v>
      </c>
      <c r="K5" s="78">
        <f t="shared" si="2"/>
        <v>170129.06270454405</v>
      </c>
      <c r="L5" s="78">
        <f t="shared" si="2"/>
        <v>199774.20146212677</v>
      </c>
      <c r="M5" s="122">
        <f t="shared" si="2"/>
        <v>234585.0317128941</v>
      </c>
      <c r="N5" s="6"/>
      <c r="O5" s="53" t="s">
        <v>8</v>
      </c>
      <c r="P5" s="41">
        <f>IFERROR(AVERAGE(B15:H15),"")</f>
        <v>0.15282792725959277</v>
      </c>
      <c r="Q5" s="227">
        <f>H15</f>
        <v>0.16439510912657013</v>
      </c>
      <c r="R5" s="33"/>
      <c r="S5" s="33"/>
      <c r="T5" s="33"/>
    </row>
    <row r="6" spans="1:20" ht="24.95" customHeight="1" thickBot="1">
      <c r="A6" s="102" t="s">
        <v>9</v>
      </c>
      <c r="B6" s="111">
        <f t="shared" ref="B6:H6" si="3">IFERROR((B5/B3),"")</f>
        <v>0.25841440150856243</v>
      </c>
      <c r="C6" s="11">
        <f t="shared" si="3"/>
        <v>0.28427562601555695</v>
      </c>
      <c r="D6" s="11">
        <f t="shared" si="3"/>
        <v>0.30089247070296449</v>
      </c>
      <c r="E6" s="11">
        <f t="shared" si="3"/>
        <v>0.35381175840426649</v>
      </c>
      <c r="F6" s="11">
        <f t="shared" si="3"/>
        <v>0.32092802896378114</v>
      </c>
      <c r="G6" s="11">
        <f t="shared" si="3"/>
        <v>0.31308028133275212</v>
      </c>
      <c r="H6" s="10">
        <f t="shared" si="3"/>
        <v>0.3648412367363964</v>
      </c>
      <c r="I6" s="11">
        <f>IFERROR(I5/I3,"")</f>
        <v>0.30019637823132234</v>
      </c>
      <c r="J6" s="11">
        <f>IFERROR(J5/J3,"")</f>
        <v>0.30019637823132234</v>
      </c>
      <c r="K6" s="11">
        <f>IFERROR(K5/K3,"")</f>
        <v>0.30019637823132234</v>
      </c>
      <c r="L6" s="11">
        <f>IFERROR(L5/L3,"")</f>
        <v>0.30019637823132234</v>
      </c>
      <c r="M6" s="120">
        <f>IFERROR(M5/M3,"")</f>
        <v>0.30019637823132234</v>
      </c>
      <c r="N6" s="6"/>
      <c r="O6" s="55" t="s">
        <v>10</v>
      </c>
      <c r="P6" s="43">
        <f>IFERROR(AVERAGE(C23:H23),"")</f>
        <v>-2.0141844249771154E-2</v>
      </c>
      <c r="Q6" s="228">
        <f>P6</f>
        <v>-2.0141844249771154E-2</v>
      </c>
      <c r="R6" s="33"/>
      <c r="S6" s="33"/>
      <c r="T6" s="33"/>
    </row>
    <row r="7" spans="1:20" ht="24.95" customHeight="1" thickTop="1">
      <c r="A7" s="123" t="s">
        <v>11</v>
      </c>
      <c r="B7" s="113">
        <f>IFERROR(-VALUE(VLOOKUP("Depreciation And Amortization*",'8.TIKR_CF'!$A:$H,COLUMN(B7),FALSE))-IFERROR(VALUE(VLOOKUP("Amortization of Goodwill and Intangible Assets*",'8.TIKR_CF'!$A:$H,COLUMN(B7),FALSE)),"0"),"0")</f>
        <v>-9035</v>
      </c>
      <c r="C7" s="113">
        <f>IFERROR(-VALUE(VLOOKUP("Depreciation And Amortization*",'8.TIKR_CF'!$A:$H,COLUMN(C7),FALSE))-IFERROR(VALUE(VLOOKUP("Amortization of Goodwill and Intangible Assets*",'8.TIKR_CF'!$A:$H,COLUMN(C7),FALSE)),"0"),"0")</f>
        <v>-11781</v>
      </c>
      <c r="D7" s="113">
        <f>IFERROR(-VALUE(VLOOKUP("Depreciation And Amortization*",'8.TIKR_CF'!$A:$H,COLUMN(D7),FALSE))-IFERROR(VALUE(VLOOKUP("Amortization of Goodwill and Intangible Assets*",'8.TIKR_CF'!$A:$H,COLUMN(D7),FALSE)),"0"),"0")</f>
        <v>-13697</v>
      </c>
      <c r="E7" s="113">
        <f>IFERROR(-VALUE(VLOOKUP("Depreciation And Amortization*",'8.TIKR_CF'!$A:$H,COLUMN(E7),FALSE))-IFERROR(VALUE(VLOOKUP("Amortization of Goodwill and Intangible Assets*",'8.TIKR_CF'!$A:$H,COLUMN(E7),FALSE)),"0"),"0")</f>
        <v>-12441</v>
      </c>
      <c r="F7" s="113">
        <f>IFERROR(-VALUE(VLOOKUP("Depreciation And Amortization*",'8.TIKR_CF'!$A:$H,COLUMN(F7),FALSE))-IFERROR(VALUE(VLOOKUP("Amortization of Goodwill and Intangible Assets*",'8.TIKR_CF'!$A:$H,COLUMN(F7),FALSE)),"0"),"0")</f>
        <v>-15928</v>
      </c>
      <c r="G7" s="113">
        <f>IFERROR(-VALUE(VLOOKUP("Depreciation And Amortization*",'8.TIKR_CF'!$A:$H,COLUMN(G7),FALSE))-IFERROR(VALUE(VLOOKUP("Amortization of Goodwill and Intangible Assets*",'8.TIKR_CF'!$A:$H,COLUMN(G7),FALSE)),"0"),"0")</f>
        <v>-11946</v>
      </c>
      <c r="H7" s="113">
        <f>IFERROR(-VALUE(VLOOKUP("Depreciation And Amortization*",'8.TIKR_CF'!$A:$H,COLUMN(H7),FALSE))-IFERROR(VALUE(VLOOKUP("Amortization of Goodwill and Intangible Assets*",'8.TIKR_CF'!$A:$H,COLUMN(H7),FALSE)),"0"),"0")</f>
        <v>-15311</v>
      </c>
      <c r="I7" s="80">
        <f>IFERROR((H7*$Q$3)+H7,"")</f>
        <v>-17978.955211777145</v>
      </c>
      <c r="J7" s="80">
        <f>IFERROR((I7*$Q$3)+I7,"")</f>
        <v>-21111.803964932962</v>
      </c>
      <c r="K7" s="80">
        <f>IFERROR((J7*$Q$3)+J7,"")</f>
        <v>-24790.554367797587</v>
      </c>
      <c r="L7" s="80">
        <f>IFERROR((K7*$Q$3)+K7,"")</f>
        <v>-29110.33026280185</v>
      </c>
      <c r="M7" s="124">
        <f>IFERROR((L7*$Q$3)+L7,"")</f>
        <v>-34182.830905555173</v>
      </c>
      <c r="N7" s="6"/>
      <c r="O7" s="6"/>
      <c r="P7" s="7"/>
      <c r="Q7" s="7"/>
      <c r="R7" s="33"/>
      <c r="S7" s="33"/>
      <c r="T7" s="33"/>
    </row>
    <row r="8" spans="1:20" ht="24.95" customHeight="1">
      <c r="A8" s="118" t="s">
        <v>12</v>
      </c>
      <c r="B8" s="114">
        <f>IFERROR(VALUE(VLOOKUP("Operating Income*",'6.TIKR_IS'!$A:$H,COLUMN(B2),FALSE)),"0")</f>
        <v>26321</v>
      </c>
      <c r="C8" s="114">
        <f>IFERROR(VALUE(VLOOKUP("Operating Income*",'6.TIKR_IS'!$A:$H,COLUMN(C2),FALSE)),"0")</f>
        <v>34231</v>
      </c>
      <c r="D8" s="114">
        <f>IFERROR(VALUE(VLOOKUP("Operating Income*",'6.TIKR_IS'!$A:$H,COLUMN(D2),FALSE)),"0")</f>
        <v>41224</v>
      </c>
      <c r="E8" s="114">
        <f>IFERROR(VALUE(VLOOKUP("Operating Income*",'6.TIKR_IS'!$A:$H,COLUMN(E2),FALSE)),"0")</f>
        <v>78714</v>
      </c>
      <c r="F8" s="114">
        <f>IFERROR(VALUE(VLOOKUP("Operating Income*",'6.TIKR_IS'!$A:$H,COLUMN(F2),FALSE)),"0")</f>
        <v>74842</v>
      </c>
      <c r="G8" s="114">
        <f>IFERROR(VALUE(VLOOKUP("Operating Income*",'6.TIKR_IS'!$A:$H,COLUMN(G2),FALSE)),"0")</f>
        <v>84293</v>
      </c>
      <c r="H8" s="114">
        <f>IFERROR(VALUE(VLOOKUP("Operating Income*",'6.TIKR_IS'!$A:$H,COLUMN(H2),FALSE)),"0")</f>
        <v>112390</v>
      </c>
      <c r="I8" s="78">
        <f>IFERROR(I3*$Q$4,"")</f>
        <v>105404.44127087134</v>
      </c>
      <c r="J8" s="78">
        <f>IFERROR(J3*$Q$4,"")</f>
        <v>123771.257836287</v>
      </c>
      <c r="K8" s="78">
        <f>IFERROR(K3*$Q$4,"")</f>
        <v>145338.50833674645</v>
      </c>
      <c r="L8" s="78">
        <f>IFERROR(L3*$Q$4,"")</f>
        <v>170663.87119932493</v>
      </c>
      <c r="M8" s="122">
        <f>IFERROR(M3*$Q$4,"")</f>
        <v>200402.20080733893</v>
      </c>
      <c r="N8" s="6"/>
      <c r="O8" s="6"/>
      <c r="P8" s="6"/>
      <c r="Q8" s="6"/>
      <c r="R8" s="33"/>
      <c r="S8" s="33"/>
      <c r="T8" s="33"/>
    </row>
    <row r="9" spans="1:20" ht="24.95" customHeight="1">
      <c r="A9" s="102" t="s">
        <v>13</v>
      </c>
      <c r="B9" s="111">
        <f t="shared" ref="B9:M9" si="4">IFERROR((B8/B3),"")</f>
        <v>0.19237825155862856</v>
      </c>
      <c r="C9" s="11">
        <f t="shared" si="4"/>
        <v>0.21148915400631421</v>
      </c>
      <c r="D9" s="11">
        <f t="shared" si="4"/>
        <v>0.22585151785763202</v>
      </c>
      <c r="E9" s="11">
        <f t="shared" si="4"/>
        <v>0.3055228868524319</v>
      </c>
      <c r="F9" s="11">
        <f t="shared" si="4"/>
        <v>0.26461270842467011</v>
      </c>
      <c r="G9" s="11">
        <f t="shared" si="4"/>
        <v>0.27421810445226646</v>
      </c>
      <c r="H9" s="10">
        <f t="shared" si="4"/>
        <v>0.32109777211457696</v>
      </c>
      <c r="I9" s="11">
        <f t="shared" si="4"/>
        <v>0.2564529136095029</v>
      </c>
      <c r="J9" s="11">
        <f t="shared" si="4"/>
        <v>0.2564529136095029</v>
      </c>
      <c r="K9" s="11">
        <f t="shared" si="4"/>
        <v>0.2564529136095029</v>
      </c>
      <c r="L9" s="11">
        <f t="shared" si="4"/>
        <v>0.2564529136095029</v>
      </c>
      <c r="M9" s="120">
        <f t="shared" si="4"/>
        <v>0.2564529136095029</v>
      </c>
      <c r="N9" s="6"/>
      <c r="O9" s="6"/>
      <c r="P9" s="6"/>
      <c r="Q9" s="6"/>
      <c r="R9" s="33"/>
      <c r="S9" s="33"/>
      <c r="T9" s="33"/>
    </row>
    <row r="10" spans="1:20" ht="24.95" customHeight="1">
      <c r="A10" s="123" t="s">
        <v>14</v>
      </c>
      <c r="B10" s="113">
        <f>IFERROR(VALUE(VLOOKUP("Interest Expense*",'6.TIKR_IS'!$A:$H,COLUMN(B10),FALSE)),"0")</f>
        <v>-114</v>
      </c>
      <c r="C10" s="113">
        <f>IFERROR(VALUE(VLOOKUP("Interest Expense*",'6.TIKR_IS'!$A:$H,COLUMN(C10),FALSE)),"0")</f>
        <v>-100</v>
      </c>
      <c r="D10" s="113">
        <f>IFERROR(VALUE(VLOOKUP("Interest Expense*",'6.TIKR_IS'!$A:$H,COLUMN(D10),FALSE)),"0")</f>
        <v>-135</v>
      </c>
      <c r="E10" s="113">
        <f>IFERROR(VALUE(VLOOKUP("Interest Expense*",'6.TIKR_IS'!$A:$H,COLUMN(E10),FALSE)),"0")</f>
        <v>-346</v>
      </c>
      <c r="F10" s="113">
        <f>IFERROR(VALUE(VLOOKUP("Interest Expense*",'6.TIKR_IS'!$A:$H,COLUMN(F10),FALSE)),"0")</f>
        <v>-357</v>
      </c>
      <c r="G10" s="113">
        <f>IFERROR(VALUE(VLOOKUP("Interest Expense*",'6.TIKR_IS'!$A:$H,COLUMN(G10),FALSE)),"0")</f>
        <v>-308</v>
      </c>
      <c r="H10" s="113">
        <f>IFERROR(VALUE(VLOOKUP("Interest Expense*",'6.TIKR_IS'!$A:$H,COLUMN(H10),FALSE)),"0")</f>
        <v>0</v>
      </c>
      <c r="I10" s="80">
        <f>IFERROR(-TIKR_Cálculos!$B$26*SUM('3.ROIC'!I6:I7),"")</f>
        <v>-42.194218495245181</v>
      </c>
      <c r="J10" s="80">
        <f>IFERROR(-TIKR_Cálculos!$B$26*SUM('3.ROIC'!J6:J7),"")</f>
        <v>-18.738140723959464</v>
      </c>
      <c r="K10" s="80">
        <f>IFERROR(-TIKR_Cálculos!$B$26*SUM('3.ROIC'!K6:K7),"")</f>
        <v>0</v>
      </c>
      <c r="L10" s="80">
        <f>IFERROR(-TIKR_Cálculos!$B$26*SUM('3.ROIC'!L6:L7),"")</f>
        <v>0</v>
      </c>
      <c r="M10" s="124">
        <f>IFERROR(-TIKR_Cálculos!$B$26*SUM('3.ROIC'!M6:M7),"")</f>
        <v>0</v>
      </c>
      <c r="N10" s="6"/>
      <c r="O10" s="6"/>
      <c r="P10" s="6"/>
      <c r="Q10" s="6"/>
      <c r="R10" s="33"/>
      <c r="S10" s="33"/>
      <c r="T10" s="33"/>
    </row>
    <row r="11" spans="1:20" ht="24.95" customHeight="1">
      <c r="A11" s="123" t="s">
        <v>15</v>
      </c>
      <c r="B11" s="113">
        <f>IFERROR(VALUE(VLOOKUP("Total Other Income/Expenses Net*",'6.TIKR_IS'!$A:$H,COLUMN(B11),FALSE)),"0")</f>
        <v>3521</v>
      </c>
      <c r="C11" s="113">
        <f>IFERROR(VALUE(VLOOKUP("Total Other Income/Expenses Net*",'6.TIKR_IS'!$A:$H,COLUMN(C11),FALSE)),"0")</f>
        <v>5394</v>
      </c>
      <c r="D11" s="113">
        <f>IFERROR(VALUE(VLOOKUP("Total Other Income/Expenses Net*",'6.TIKR_IS'!$A:$H,COLUMN(D11),FALSE)),"0")</f>
        <v>6858</v>
      </c>
      <c r="E11" s="113">
        <f>IFERROR(VALUE(VLOOKUP("Total Other Income/Expenses Net*",'6.TIKR_IS'!$A:$H,COLUMN(E11),FALSE)),"0")</f>
        <v>12020</v>
      </c>
      <c r="F11" s="113">
        <f>IFERROR(VALUE(VLOOKUP("Total Other Income/Expenses Net*",'6.TIKR_IS'!$A:$H,COLUMN(F11),FALSE)),"0")</f>
        <v>-3514</v>
      </c>
      <c r="G11" s="113">
        <f>IFERROR(VALUE(VLOOKUP("Total Other Income/Expenses Net*",'6.TIKR_IS'!$A:$H,COLUMN(G11),FALSE)),"0")</f>
        <v>-2133</v>
      </c>
      <c r="H11" s="113">
        <f>IFERROR(VALUE(VLOOKUP("Total Other Income/Expenses Net*",'6.TIKR_IS'!$A:$H,COLUMN(H11),FALSE)),"0")</f>
        <v>7425</v>
      </c>
      <c r="I11" s="80">
        <f>IFERROR(TIKR_Cálculos!$B$25*'3.ROIC'!I5,"")</f>
        <v>3538.4555053943427</v>
      </c>
      <c r="J11" s="80">
        <f>IFERROR(TIKR_Cálculos!$B$25*'3.ROIC'!J5,"")</f>
        <v>3669.7466913300095</v>
      </c>
      <c r="K11" s="80">
        <f>IFERROR(TIKR_Cálculos!$B$25*'3.ROIC'!K5,"")</f>
        <v>3823.9154818491425</v>
      </c>
      <c r="L11" s="80">
        <f>IFERROR(TIKR_Cálculos!$B$25*'3.ROIC'!L5,"")</f>
        <v>4004.9483196649185</v>
      </c>
      <c r="M11" s="124">
        <f>IFERROR(TIKR_Cálculos!$B$25*'3.ROIC'!M5,"")</f>
        <v>4217.5262886382561</v>
      </c>
      <c r="N11" s="6"/>
      <c r="O11" s="6"/>
      <c r="P11" s="6"/>
      <c r="Q11" s="6"/>
      <c r="R11" s="33"/>
      <c r="S11" s="33"/>
      <c r="T11" s="33"/>
    </row>
    <row r="12" spans="1:20" ht="24.95" customHeight="1">
      <c r="A12" s="102" t="s">
        <v>16</v>
      </c>
      <c r="B12" s="115">
        <f>B10+B11</f>
        <v>3407</v>
      </c>
      <c r="C12" s="80">
        <f t="shared" ref="C12:H12" si="5">C10+C11</f>
        <v>5294</v>
      </c>
      <c r="D12" s="80">
        <f t="shared" si="5"/>
        <v>6723</v>
      </c>
      <c r="E12" s="80">
        <f t="shared" si="5"/>
        <v>11674</v>
      </c>
      <c r="F12" s="80">
        <f t="shared" si="5"/>
        <v>-3871</v>
      </c>
      <c r="G12" s="80">
        <f t="shared" si="5"/>
        <v>-2441</v>
      </c>
      <c r="H12" s="81">
        <f t="shared" si="5"/>
        <v>7425</v>
      </c>
      <c r="I12" s="80">
        <f>IFERROR(SUM(I10:I11),"")</f>
        <v>3496.2612868990977</v>
      </c>
      <c r="J12" s="80">
        <f t="shared" ref="J12:M12" si="6">IFERROR(SUM(J10:J11),"")</f>
        <v>3651.00855060605</v>
      </c>
      <c r="K12" s="80">
        <f t="shared" si="6"/>
        <v>3823.9154818491425</v>
      </c>
      <c r="L12" s="80">
        <f t="shared" si="6"/>
        <v>4004.9483196649185</v>
      </c>
      <c r="M12" s="124">
        <f t="shared" si="6"/>
        <v>4217.5262886382561</v>
      </c>
      <c r="N12" s="6"/>
      <c r="O12" s="6"/>
      <c r="P12" s="7"/>
      <c r="Q12" s="7"/>
      <c r="R12" s="33"/>
      <c r="S12" s="33"/>
      <c r="T12" s="33"/>
    </row>
    <row r="13" spans="1:20" ht="24.95" customHeight="1" collapsed="1">
      <c r="A13" s="102" t="s">
        <v>17</v>
      </c>
      <c r="B13" s="115">
        <f t="shared" ref="B13:M13" si="7">IFERROR(B8+B12,"")</f>
        <v>29728</v>
      </c>
      <c r="C13" s="80">
        <f t="shared" si="7"/>
        <v>39525</v>
      </c>
      <c r="D13" s="80">
        <f t="shared" si="7"/>
        <v>47947</v>
      </c>
      <c r="E13" s="80">
        <f t="shared" si="7"/>
        <v>90388</v>
      </c>
      <c r="F13" s="80">
        <f t="shared" si="7"/>
        <v>70971</v>
      </c>
      <c r="G13" s="80">
        <f t="shared" si="7"/>
        <v>81852</v>
      </c>
      <c r="H13" s="81">
        <f t="shared" si="7"/>
        <v>119815</v>
      </c>
      <c r="I13" s="80">
        <f t="shared" si="7"/>
        <v>108900.70255777043</v>
      </c>
      <c r="J13" s="80">
        <f t="shared" si="7"/>
        <v>127422.26638689305</v>
      </c>
      <c r="K13" s="80">
        <f t="shared" si="7"/>
        <v>149162.42381859559</v>
      </c>
      <c r="L13" s="80">
        <f t="shared" si="7"/>
        <v>174668.81951898985</v>
      </c>
      <c r="M13" s="124">
        <f t="shared" si="7"/>
        <v>204619.7270959772</v>
      </c>
      <c r="N13" s="6"/>
      <c r="O13" s="6"/>
      <c r="P13" s="7"/>
      <c r="Q13" s="7"/>
      <c r="R13" s="33"/>
      <c r="S13" s="33"/>
      <c r="T13" s="33"/>
    </row>
    <row r="14" spans="1:20" ht="24.95" customHeight="1">
      <c r="A14" s="123" t="s">
        <v>18</v>
      </c>
      <c r="B14" s="113">
        <f>IFERROR(VALUE(VLOOKUP("Income Tax Expense*",'6.TIKR_IS'!$A:$H,COLUMN(B14),FALSE)),"0")</f>
        <v>-4177</v>
      </c>
      <c r="C14" s="113">
        <f>IFERROR(VALUE(VLOOKUP("Income Tax Expense*",'6.TIKR_IS'!$A:$H,COLUMN(C14),FALSE)),"0")</f>
        <v>-5282</v>
      </c>
      <c r="D14" s="113">
        <f>IFERROR(VALUE(VLOOKUP("Income Tax Expense*",'6.TIKR_IS'!$A:$H,COLUMN(D14),FALSE)),"0")</f>
        <v>-7813</v>
      </c>
      <c r="E14" s="113">
        <f>IFERROR(VALUE(VLOOKUP("Income Tax Expense*",'6.TIKR_IS'!$A:$H,COLUMN(E14),FALSE)),"0")</f>
        <v>-14701</v>
      </c>
      <c r="F14" s="113">
        <f>IFERROR(VALUE(VLOOKUP("Income Tax Expense*",'6.TIKR_IS'!$A:$H,COLUMN(F14),FALSE)),"0")</f>
        <v>-11356</v>
      </c>
      <c r="G14" s="113">
        <f>IFERROR(VALUE(VLOOKUP("Income Tax Expense*",'6.TIKR_IS'!$A:$H,COLUMN(G14),FALSE)),"0")</f>
        <v>-11922</v>
      </c>
      <c r="H14" s="113">
        <f>IFERROR(VALUE(VLOOKUP("Income Tax Expense*",'6.TIKR_IS'!$A:$H,COLUMN(H14),FALSE)),"0")</f>
        <v>-19697</v>
      </c>
      <c r="I14" s="80">
        <f>IFERROR(-I13*I15,"")</f>
        <v>-17902.742880944825</v>
      </c>
      <c r="J14" s="80">
        <f>IFERROR(-J13*J15,"")</f>
        <v>-20947.597387828173</v>
      </c>
      <c r="K14" s="80">
        <f>IFERROR(-K13*K15,"")</f>
        <v>-24521.572941241724</v>
      </c>
      <c r="L14" s="80">
        <f>IFERROR(-L13*L15,"")</f>
        <v>-28714.69964583352</v>
      </c>
      <c r="M14" s="124">
        <f>IFERROR(-M13*M15,"")</f>
        <v>-33638.48236539217</v>
      </c>
      <c r="N14" s="6"/>
      <c r="O14" s="6"/>
      <c r="P14" s="6"/>
      <c r="Q14" s="6"/>
      <c r="R14" s="33"/>
      <c r="S14" s="33"/>
      <c r="T14" s="33"/>
    </row>
    <row r="15" spans="1:20" ht="24.95" customHeight="1">
      <c r="A15" s="102" t="s">
        <v>19</v>
      </c>
      <c r="B15" s="111">
        <f t="shared" ref="B15:H15" si="8">IFERROR((ABS(B14)/B13),"")</f>
        <v>0.1405072658772874</v>
      </c>
      <c r="C15" s="11">
        <f t="shared" si="8"/>
        <v>0.13363693864642631</v>
      </c>
      <c r="D15" s="11">
        <f t="shared" si="8"/>
        <v>0.16295075812876719</v>
      </c>
      <c r="E15" s="11">
        <f t="shared" si="8"/>
        <v>0.16264327123069433</v>
      </c>
      <c r="F15" s="11">
        <f t="shared" si="8"/>
        <v>0.16000901776782067</v>
      </c>
      <c r="G15" s="11">
        <f t="shared" si="8"/>
        <v>0.14565313003958363</v>
      </c>
      <c r="H15" s="10">
        <f t="shared" si="8"/>
        <v>0.16439510912657013</v>
      </c>
      <c r="I15" s="11">
        <f>$Q$5</f>
        <v>0.16439510912657013</v>
      </c>
      <c r="J15" s="11">
        <f>$Q$5</f>
        <v>0.16439510912657013</v>
      </c>
      <c r="K15" s="11">
        <f>$Q$5</f>
        <v>0.16439510912657013</v>
      </c>
      <c r="L15" s="11">
        <f>$Q$5</f>
        <v>0.16439510912657013</v>
      </c>
      <c r="M15" s="120">
        <f>$Q$5</f>
        <v>0.16439510912657013</v>
      </c>
      <c r="N15" s="6"/>
      <c r="O15" s="6"/>
      <c r="P15" s="7"/>
      <c r="Q15" s="7"/>
      <c r="R15" s="33"/>
      <c r="S15" s="33"/>
      <c r="T15" s="33"/>
    </row>
    <row r="16" spans="1:20" ht="24.95" customHeight="1">
      <c r="A16" s="102" t="s">
        <v>20</v>
      </c>
      <c r="B16" s="115">
        <f t="shared" ref="B16:H16" si="9">B13+B14</f>
        <v>25551</v>
      </c>
      <c r="C16" s="80">
        <f t="shared" si="9"/>
        <v>34243</v>
      </c>
      <c r="D16" s="80">
        <f t="shared" si="9"/>
        <v>40134</v>
      </c>
      <c r="E16" s="80">
        <f t="shared" si="9"/>
        <v>75687</v>
      </c>
      <c r="F16" s="80">
        <f t="shared" si="9"/>
        <v>59615</v>
      </c>
      <c r="G16" s="80">
        <f t="shared" si="9"/>
        <v>69930</v>
      </c>
      <c r="H16" s="81">
        <f t="shared" si="9"/>
        <v>100118</v>
      </c>
      <c r="I16" s="80">
        <f>IFERROR(I13+I14,"")</f>
        <v>90997.959676825616</v>
      </c>
      <c r="J16" s="80">
        <f>IFERROR(J13+J14,"")</f>
        <v>106474.66899906489</v>
      </c>
      <c r="K16" s="80">
        <f>IFERROR(K13+K14,"")</f>
        <v>124640.85087735386</v>
      </c>
      <c r="L16" s="80">
        <f>IFERROR(L13+L14,"")</f>
        <v>145954.11987315633</v>
      </c>
      <c r="M16" s="124">
        <f>IFERROR(M13+M14,"")</f>
        <v>170981.24473058502</v>
      </c>
      <c r="N16" s="6"/>
      <c r="O16" s="6"/>
      <c r="P16" s="7"/>
      <c r="Q16" s="7"/>
      <c r="R16" s="33"/>
      <c r="S16" s="33"/>
      <c r="T16" s="33"/>
    </row>
    <row r="17" spans="1:20" ht="24.95" customHeight="1">
      <c r="A17" s="123" t="s">
        <v>21</v>
      </c>
      <c r="B17" s="113" t="str">
        <f>IFERROR(VALUE(VLOOKUP("Minority Interest*",'6.TIKR_IS'!$A:$H,COLUMN(B17),FALSE)),"0")</f>
        <v>0</v>
      </c>
      <c r="C17" s="113" t="str">
        <f>IFERROR(VALUE(VLOOKUP("Minority Interest*",'6.TIKR_IS'!$A:$H,COLUMN(C17),FALSE)),"0")</f>
        <v>0</v>
      </c>
      <c r="D17" s="113" t="str">
        <f>IFERROR(VALUE(VLOOKUP("Minority Interest*",'6.TIKR_IS'!$A:$H,COLUMN(D17),FALSE)),"0")</f>
        <v>0</v>
      </c>
      <c r="E17" s="113" t="str">
        <f>IFERROR(VALUE(VLOOKUP("Minority Interest*",'6.TIKR_IS'!$A:$H,COLUMN(E17),FALSE)),"0")</f>
        <v>0</v>
      </c>
      <c r="F17" s="113" t="str">
        <f>IFERROR(VALUE(VLOOKUP("Minority Interest*",'6.TIKR_IS'!$A:$H,COLUMN(F17),FALSE)),"0")</f>
        <v>0</v>
      </c>
      <c r="G17" s="113" t="str">
        <f>IFERROR(VALUE(VLOOKUP("Minority Interest*",'6.TIKR_IS'!$A:$H,COLUMN(G17),FALSE)),"0")</f>
        <v>0</v>
      </c>
      <c r="H17" s="113" t="str">
        <f>IFERROR(VALUE(VLOOKUP("Minority Interest*",'6.TIKR_IS'!$A:$H,COLUMN(H17),FALSE)),"0")</f>
        <v>0</v>
      </c>
      <c r="I17" s="80">
        <f>IFERROR(H17/H16*I16,"")</f>
        <v>0</v>
      </c>
      <c r="J17" s="80">
        <f>IFERROR(I17/I16*J16,"")</f>
        <v>0</v>
      </c>
      <c r="K17" s="80">
        <f>IFERROR(J17/J16*K16,"")</f>
        <v>0</v>
      </c>
      <c r="L17" s="80">
        <f>IFERROR(K17/K16*L16,"")</f>
        <v>0</v>
      </c>
      <c r="M17" s="124">
        <f>IFERROR(L17/L16*M16,"")</f>
        <v>0</v>
      </c>
      <c r="N17" s="6"/>
      <c r="O17" s="6"/>
      <c r="P17" s="7"/>
      <c r="Q17" s="7"/>
      <c r="R17" s="33"/>
      <c r="S17" s="33"/>
      <c r="T17" s="33"/>
    </row>
    <row r="18" spans="1:20" ht="24.95" customHeight="1">
      <c r="A18" s="121" t="s">
        <v>22</v>
      </c>
      <c r="B18" s="112">
        <f t="shared" ref="B18:H18" si="10">B16+B17</f>
        <v>25551</v>
      </c>
      <c r="C18" s="78">
        <f t="shared" si="10"/>
        <v>34243</v>
      </c>
      <c r="D18" s="78">
        <f t="shared" si="10"/>
        <v>40134</v>
      </c>
      <c r="E18" s="78">
        <f t="shared" si="10"/>
        <v>75687</v>
      </c>
      <c r="F18" s="78">
        <f t="shared" si="10"/>
        <v>59615</v>
      </c>
      <c r="G18" s="78">
        <f t="shared" si="10"/>
        <v>69930</v>
      </c>
      <c r="H18" s="79">
        <f t="shared" si="10"/>
        <v>100118</v>
      </c>
      <c r="I18" s="78">
        <f>IFERROR(I16+I17,"")</f>
        <v>90997.959676825616</v>
      </c>
      <c r="J18" s="78">
        <f>IFERROR(J16+J17,"")</f>
        <v>106474.66899906489</v>
      </c>
      <c r="K18" s="78">
        <f>IFERROR(K16+K17,"")</f>
        <v>124640.85087735386</v>
      </c>
      <c r="L18" s="78">
        <f>IFERROR(L16+L17,"")</f>
        <v>145954.11987315633</v>
      </c>
      <c r="M18" s="122">
        <f>IFERROR(M16+M17,"")</f>
        <v>170981.24473058502</v>
      </c>
      <c r="N18" s="6"/>
      <c r="O18" s="6"/>
      <c r="P18" s="7"/>
      <c r="Q18" s="7"/>
      <c r="R18" s="33"/>
      <c r="S18" s="33"/>
      <c r="T18" s="33"/>
    </row>
    <row r="19" spans="1:20" ht="24.95" customHeight="1">
      <c r="A19" s="102" t="s">
        <v>23</v>
      </c>
      <c r="B19" s="111">
        <f t="shared" ref="B19:M19" si="11">IFERROR(B18/B3,"")</f>
        <v>0.18675037823694077</v>
      </c>
      <c r="C19" s="11">
        <f t="shared" si="11"/>
        <v>0.2115632935245309</v>
      </c>
      <c r="D19" s="11">
        <f t="shared" si="11"/>
        <v>0.21987979860513787</v>
      </c>
      <c r="E19" s="11">
        <f t="shared" si="11"/>
        <v>0.2937737980181418</v>
      </c>
      <c r="F19" s="11">
        <f t="shared" si="11"/>
        <v>0.21077585597307275</v>
      </c>
      <c r="G19" s="11">
        <f t="shared" si="11"/>
        <v>0.2274930545163536</v>
      </c>
      <c r="H19" s="10">
        <f t="shared" si="11"/>
        <v>0.28603671811164</v>
      </c>
      <c r="I19" s="11">
        <f t="shared" si="11"/>
        <v>0.22140140975341532</v>
      </c>
      <c r="J19" s="11">
        <f t="shared" si="11"/>
        <v>0.22061453981937448</v>
      </c>
      <c r="K19" s="11">
        <f t="shared" si="11"/>
        <v>0.21993145332277544</v>
      </c>
      <c r="L19" s="11">
        <f t="shared" si="11"/>
        <v>0.21932210392125248</v>
      </c>
      <c r="M19" s="120">
        <f t="shared" si="11"/>
        <v>0.21880317784480244</v>
      </c>
      <c r="N19" s="6"/>
      <c r="O19" s="6"/>
      <c r="P19" s="7"/>
      <c r="Q19" s="7"/>
      <c r="R19" s="33"/>
      <c r="S19" s="33"/>
      <c r="T19" s="33"/>
    </row>
    <row r="20" spans="1:20" ht="24.95" customHeight="1">
      <c r="A20" s="102" t="s">
        <v>24</v>
      </c>
      <c r="B20" s="116">
        <f t="shared" ref="B20:M20" si="12">IFERROR(B18/B22,"")</f>
        <v>1.8164032925730853</v>
      </c>
      <c r="C20" s="82">
        <f t="shared" si="12"/>
        <v>2.4509846025229187</v>
      </c>
      <c r="D20" s="82">
        <f t="shared" si="12"/>
        <v>2.9208416541975</v>
      </c>
      <c r="E20" s="82">
        <f t="shared" si="12"/>
        <v>5.5843222552436718</v>
      </c>
      <c r="F20" s="82">
        <f t="shared" si="12"/>
        <v>4.5303594498062161</v>
      </c>
      <c r="G20" s="82">
        <f t="shared" si="12"/>
        <v>5.4967772362836032</v>
      </c>
      <c r="H20" s="83">
        <f t="shared" si="12"/>
        <v>8.0435446292279256</v>
      </c>
      <c r="I20" s="82">
        <f t="shared" si="12"/>
        <v>7.4611153363652178</v>
      </c>
      <c r="J20" s="82">
        <f t="shared" si="12"/>
        <v>8.9095380216194364</v>
      </c>
      <c r="K20" s="82">
        <f t="shared" si="12"/>
        <v>10.644029761893171</v>
      </c>
      <c r="L20" s="82">
        <f t="shared" si="12"/>
        <v>12.720342989778892</v>
      </c>
      <c r="M20" s="125">
        <f t="shared" si="12"/>
        <v>15.207846695955659</v>
      </c>
      <c r="N20" s="6"/>
      <c r="O20" s="6"/>
      <c r="P20" s="6"/>
      <c r="Q20" s="6"/>
      <c r="R20" s="33"/>
      <c r="S20" s="33"/>
      <c r="T20" s="33"/>
    </row>
    <row r="21" spans="1:20" ht="24.95" customHeight="1">
      <c r="A21" s="102" t="s">
        <v>5</v>
      </c>
      <c r="B21" s="111"/>
      <c r="C21" s="11">
        <f t="shared" ref="C21:M21" si="13">IFERROR((C20-B20)/B20,"")</f>
        <v>0.34936146204122798</v>
      </c>
      <c r="D21" s="11">
        <f t="shared" si="13"/>
        <v>0.19170134777302736</v>
      </c>
      <c r="E21" s="11">
        <f t="shared" si="13"/>
        <v>0.91188805021953923</v>
      </c>
      <c r="F21" s="11">
        <f t="shared" si="13"/>
        <v>-0.18873602870031111</v>
      </c>
      <c r="G21" s="11">
        <f t="shared" si="13"/>
        <v>0.2133203330077319</v>
      </c>
      <c r="H21" s="10">
        <f t="shared" si="13"/>
        <v>0.46332010257454126</v>
      </c>
      <c r="I21" s="11">
        <f t="shared" si="13"/>
        <v>-7.2409530836234484E-2</v>
      </c>
      <c r="J21" s="11">
        <f t="shared" si="13"/>
        <v>0.19412951280817983</v>
      </c>
      <c r="K21" s="11">
        <f t="shared" si="13"/>
        <v>0.1946780782645412</v>
      </c>
      <c r="L21" s="11">
        <f t="shared" si="13"/>
        <v>0.19506834106375368</v>
      </c>
      <c r="M21" s="120">
        <f t="shared" si="13"/>
        <v>0.19555319445203148</v>
      </c>
      <c r="N21" s="6"/>
      <c r="O21" s="6"/>
      <c r="P21" s="6"/>
      <c r="Q21" s="6"/>
      <c r="R21" s="33"/>
      <c r="S21" s="33"/>
      <c r="T21" s="33"/>
    </row>
    <row r="22" spans="1:20" ht="24.95" customHeight="1">
      <c r="A22" s="123" t="s">
        <v>25</v>
      </c>
      <c r="B22" s="117">
        <f>IFERROR(VALUE(VLOOKUP("*Diluted Weighted Average Shares Outstanding*",'6.TIKR_IS'!$A:$H,COLUMN(B22),FALSE)),"0")</f>
        <v>14066.81</v>
      </c>
      <c r="C22" s="117">
        <f>IFERROR(VALUE(VLOOKUP("*Diluted Weighted Average Shares Outstanding*",'6.TIKR_IS'!$A:$H,COLUMN(C22),FALSE)),"0")</f>
        <v>13971.12</v>
      </c>
      <c r="D22" s="117">
        <f>IFERROR(VALUE(VLOOKUP("*Diluted Weighted Average Shares Outstanding*",'6.TIKR_IS'!$A:$H,COLUMN(D22),FALSE)),"0")</f>
        <v>13740.56</v>
      </c>
      <c r="E22" s="117">
        <f>IFERROR(VALUE(VLOOKUP("*Diluted Weighted Average Shares Outstanding*",'6.TIKR_IS'!$A:$H,COLUMN(E22),FALSE)),"0")</f>
        <v>13553.48</v>
      </c>
      <c r="F22" s="117">
        <f>IFERROR(VALUE(VLOOKUP("*Diluted Weighted Average Shares Outstanding*",'6.TIKR_IS'!$A:$H,COLUMN(F22),FALSE)),"0")</f>
        <v>13159</v>
      </c>
      <c r="G22" s="117">
        <f>IFERROR(VALUE(VLOOKUP("*Diluted Weighted Average Shares Outstanding*",'6.TIKR_IS'!$A:$H,COLUMN(G22),FALSE)),"0")</f>
        <v>12722</v>
      </c>
      <c r="H22" s="117">
        <f>IFERROR(VALUE(VLOOKUP("*Diluted Weighted Average Shares Outstanding*",'6.TIKR_IS'!$A:$H,COLUMN(H22),FALSE)),"0")</f>
        <v>12447</v>
      </c>
      <c r="I22" s="12">
        <f>IFERROR(H22*(1+$Q$6),"")</f>
        <v>12196.294464623099</v>
      </c>
      <c r="J22" s="12">
        <f>IFERROR(I22*(1+$Q$6),"")</f>
        <v>11950.638601092314</v>
      </c>
      <c r="K22" s="12">
        <f>IFERROR(J22*(1+$Q$6),"")</f>
        <v>11709.930699703809</v>
      </c>
      <c r="L22" s="12">
        <f>IFERROR(K22*(1+$Q$6),"")</f>
        <v>11474.071099374762</v>
      </c>
      <c r="M22" s="126">
        <f>IFERROR(L22*(1+$Q$6),"")</f>
        <v>11242.962146380354</v>
      </c>
      <c r="N22" s="6"/>
      <c r="O22" s="6"/>
      <c r="P22" s="7"/>
      <c r="Q22" s="7"/>
      <c r="R22" s="33"/>
      <c r="S22" s="33"/>
      <c r="T22" s="33"/>
    </row>
    <row r="23" spans="1:20" ht="24.95" customHeight="1">
      <c r="A23" s="28" t="s">
        <v>5</v>
      </c>
      <c r="B23" s="127"/>
      <c r="C23" s="128">
        <f t="shared" ref="C23:M23" si="14">IFERROR((C22-B22)/B22,"")</f>
        <v>-6.8025373201172617E-3</v>
      </c>
      <c r="D23" s="128">
        <f t="shared" si="14"/>
        <v>-1.6502613963662274E-2</v>
      </c>
      <c r="E23" s="128">
        <f t="shared" si="14"/>
        <v>-1.3615165611881898E-2</v>
      </c>
      <c r="F23" s="128">
        <f t="shared" si="14"/>
        <v>-2.9105440078857944E-2</v>
      </c>
      <c r="G23" s="128">
        <f t="shared" si="14"/>
        <v>-3.3209210426324187E-2</v>
      </c>
      <c r="H23" s="129">
        <f t="shared" si="14"/>
        <v>-2.1616098097783368E-2</v>
      </c>
      <c r="I23" s="128">
        <f t="shared" si="14"/>
        <v>-2.0141844249771113E-2</v>
      </c>
      <c r="J23" s="128">
        <f t="shared" si="14"/>
        <v>-2.0141844249771168E-2</v>
      </c>
      <c r="K23" s="128">
        <f t="shared" si="14"/>
        <v>-2.0141844249771199E-2</v>
      </c>
      <c r="L23" s="128">
        <f t="shared" si="14"/>
        <v>-2.0141844249771137E-2</v>
      </c>
      <c r="M23" s="130">
        <f t="shared" si="14"/>
        <v>-2.0141844249771199E-2</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26</v>
      </c>
    </row>
    <row r="2" spans="1:14" s="6" customFormat="1" ht="39.950000000000003" customHeight="1">
      <c r="A2" s="108" t="s">
        <v>27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1" t="s">
        <v>7</v>
      </c>
      <c r="B3" s="112">
        <f>VALUE('1.IS'!B5)</f>
        <v>35356</v>
      </c>
      <c r="C3" s="112">
        <f>VALUE('1.IS'!C5)</f>
        <v>46012</v>
      </c>
      <c r="D3" s="112">
        <f>VALUE('1.IS'!D5)</f>
        <v>54921</v>
      </c>
      <c r="E3" s="112">
        <f>VALUE('1.IS'!E5)</f>
        <v>91155</v>
      </c>
      <c r="F3" s="112">
        <f>VALUE('1.IS'!F5)</f>
        <v>90770</v>
      </c>
      <c r="G3" s="112">
        <f>VALUE('1.IS'!G5)</f>
        <v>96239</v>
      </c>
      <c r="H3" s="112">
        <f>VALUE('1.IS'!H5)</f>
        <v>127701</v>
      </c>
      <c r="I3" s="112">
        <f>'1.IS'!I5</f>
        <v>123383.39648264847</v>
      </c>
      <c r="J3" s="78">
        <f>'1.IS'!J5</f>
        <v>144883.06180121997</v>
      </c>
      <c r="K3" s="78">
        <f>'1.IS'!K5</f>
        <v>170129.06270454405</v>
      </c>
      <c r="L3" s="78">
        <f>'1.IS'!L5</f>
        <v>199774.20146212677</v>
      </c>
      <c r="M3" s="122">
        <f>'1.IS'!M5</f>
        <v>234585.0317128941</v>
      </c>
      <c r="N3" s="9"/>
    </row>
    <row r="4" spans="1:14" s="6" customFormat="1" ht="24.95" customHeight="1">
      <c r="A4" s="123" t="s">
        <v>28</v>
      </c>
      <c r="B4" s="113">
        <f>IFERROR(VALUE(VLOOKUP("CapEx Mantenimiento",TIKR_Cálculos!$A:$H,COLUMN(B4),FALSE)),"0")</f>
        <v>-9035</v>
      </c>
      <c r="C4" s="113">
        <f>IFERROR(VALUE(VLOOKUP("CapEx Mantenimiento",TIKR_Cálculos!$A:$H,COLUMN(C4),FALSE)),"0")</f>
        <v>-11781</v>
      </c>
      <c r="D4" s="113">
        <f>IFERROR(VALUE(VLOOKUP("CapEx Mantenimiento",TIKR_Cálculos!$A:$H,COLUMN(D4),FALSE)),"0")</f>
        <v>-13697</v>
      </c>
      <c r="E4" s="113">
        <f>IFERROR(VALUE(VLOOKUP("CapEx Mantenimiento",TIKR_Cálculos!$A:$H,COLUMN(E4),FALSE)),"0")</f>
        <v>-12441</v>
      </c>
      <c r="F4" s="113">
        <f>IFERROR(VALUE(VLOOKUP("CapEx Mantenimiento",TIKR_Cálculos!$A:$H,COLUMN(F4),FALSE)),"0")</f>
        <v>-15928</v>
      </c>
      <c r="G4" s="113">
        <f>IFERROR(VALUE(VLOOKUP("CapEx Mantenimiento",TIKR_Cálculos!$A:$H,COLUMN(G4),FALSE)),"0")</f>
        <v>-11946</v>
      </c>
      <c r="H4" s="113">
        <f>IFERROR(VALUE(VLOOKUP("CapEx Mantenimiento",TIKR_Cálculos!$A:$H,COLUMN(H4),FALSE)),"0")</f>
        <v>-15311</v>
      </c>
      <c r="I4" s="131">
        <f>IFERROR((H4*'1.IS'!$Q$3)+'2.FCF'!H4,"")</f>
        <v>-17978.955211777145</v>
      </c>
      <c r="J4" s="84">
        <f>IFERROR((I4*'1.IS'!$Q$3)+'2.FCF'!I4,"")</f>
        <v>-21111.803964932962</v>
      </c>
      <c r="K4" s="84">
        <f>IFERROR((J4*'1.IS'!$Q$3)+'2.FCF'!J4,"")</f>
        <v>-24790.554367797587</v>
      </c>
      <c r="L4" s="84">
        <f>IFERROR((K4*'1.IS'!$Q$3)+'2.FCF'!K4,"")</f>
        <v>-29110.33026280185</v>
      </c>
      <c r="M4" s="136">
        <f>IFERROR((L4*'1.IS'!$Q$3)+'2.FCF'!L4,"")</f>
        <v>-34182.830905555173</v>
      </c>
      <c r="N4" s="15"/>
    </row>
    <row r="5" spans="1:14" s="6" customFormat="1" ht="24.95" customHeight="1">
      <c r="A5" s="101" t="s">
        <v>29</v>
      </c>
      <c r="B5" s="131">
        <f>VALUE('1.IS'!B12)</f>
        <v>3407</v>
      </c>
      <c r="C5" s="131">
        <f>VALUE('1.IS'!C12)</f>
        <v>5294</v>
      </c>
      <c r="D5" s="131">
        <f>VALUE('1.IS'!D12)</f>
        <v>6723</v>
      </c>
      <c r="E5" s="131">
        <f>VALUE('1.IS'!E12)</f>
        <v>11674</v>
      </c>
      <c r="F5" s="131">
        <f>VALUE('1.IS'!F12)</f>
        <v>-3871</v>
      </c>
      <c r="G5" s="131">
        <f>VALUE('1.IS'!G12)</f>
        <v>-2441</v>
      </c>
      <c r="H5" s="131">
        <f>VALUE('1.IS'!H12)</f>
        <v>7425</v>
      </c>
      <c r="I5" s="131">
        <f>'1.IS'!I12</f>
        <v>3496.2612868990977</v>
      </c>
      <c r="J5" s="84">
        <f>'1.IS'!J12</f>
        <v>3651.00855060605</v>
      </c>
      <c r="K5" s="84">
        <f>'1.IS'!K12</f>
        <v>3823.9154818491425</v>
      </c>
      <c r="L5" s="84">
        <f>'1.IS'!L12</f>
        <v>4004.9483196649185</v>
      </c>
      <c r="M5" s="136">
        <f>'1.IS'!M12</f>
        <v>4217.5262886382561</v>
      </c>
      <c r="N5" s="15"/>
    </row>
    <row r="6" spans="1:14" s="6" customFormat="1" ht="24.95" customHeight="1">
      <c r="A6" s="101" t="s">
        <v>30</v>
      </c>
      <c r="B6" s="131">
        <f>'1.IS'!B14</f>
        <v>-4177</v>
      </c>
      <c r="C6" s="84">
        <f>'1.IS'!C14</f>
        <v>-5282</v>
      </c>
      <c r="D6" s="84">
        <f>'1.IS'!D14</f>
        <v>-7813</v>
      </c>
      <c r="E6" s="84">
        <f>'1.IS'!E14</f>
        <v>-14701</v>
      </c>
      <c r="F6" s="84">
        <f>'1.IS'!F14</f>
        <v>-11356</v>
      </c>
      <c r="G6" s="84">
        <f>'1.IS'!G14</f>
        <v>-11922</v>
      </c>
      <c r="H6" s="84">
        <f>'1.IS'!H14</f>
        <v>-19697</v>
      </c>
      <c r="I6" s="131">
        <f>'1.IS'!I14</f>
        <v>-17902.742880944825</v>
      </c>
      <c r="J6" s="84">
        <f>'1.IS'!J14</f>
        <v>-20947.597387828173</v>
      </c>
      <c r="K6" s="84">
        <f>'1.IS'!K14</f>
        <v>-24521.572941241724</v>
      </c>
      <c r="L6" s="84">
        <f>'1.IS'!L14</f>
        <v>-28714.69964583352</v>
      </c>
      <c r="M6" s="136">
        <f>'1.IS'!M14</f>
        <v>-33638.48236539217</v>
      </c>
      <c r="N6" s="15"/>
    </row>
    <row r="7" spans="1:14" s="6" customFormat="1" ht="24.95" customHeight="1">
      <c r="A7" s="137" t="s">
        <v>31</v>
      </c>
      <c r="B7" s="113">
        <f>IFERROR(VALUE(VLOOKUP("Inventory*",'7.TIKR_BS'!$A:$H,COLUMN(B7),FALSE)),"0")</f>
        <v>1107</v>
      </c>
      <c r="C7" s="113">
        <f>IFERROR(VALUE(VLOOKUP("Inventory*",'7.TIKR_BS'!$A:$H,COLUMN(C7),FALSE)),"0")</f>
        <v>999</v>
      </c>
      <c r="D7" s="113">
        <f>IFERROR(VALUE(VLOOKUP("Inventory*",'7.TIKR_BS'!$A:$H,COLUMN(D7),FALSE)),"0")</f>
        <v>728</v>
      </c>
      <c r="E7" s="113">
        <f>IFERROR(VALUE(VLOOKUP("Inventory*",'7.TIKR_BS'!$A:$H,COLUMN(E7),FALSE)),"0")</f>
        <v>1170</v>
      </c>
      <c r="F7" s="113">
        <f>IFERROR(VALUE(VLOOKUP("Inventory*",'7.TIKR_BS'!$A:$H,COLUMN(F7),FALSE)),"0")</f>
        <v>2670</v>
      </c>
      <c r="G7" s="113">
        <f>IFERROR(VALUE(VLOOKUP("Inventory*",'7.TIKR_BS'!$A:$H,COLUMN(G7),FALSE)),"0")</f>
        <v>0</v>
      </c>
      <c r="H7" s="113">
        <f>IFERROR(VALUE(VLOOKUP("Inventory*",'7.TIKR_BS'!$A:$H,COLUMN(H7),FALSE)),"0")</f>
        <v>0</v>
      </c>
      <c r="I7" s="132"/>
      <c r="J7" s="85"/>
      <c r="K7" s="85"/>
      <c r="L7" s="85"/>
      <c r="M7" s="138"/>
      <c r="N7" s="15"/>
    </row>
    <row r="8" spans="1:14" s="6" customFormat="1" ht="24.95" customHeight="1">
      <c r="A8" s="137" t="s">
        <v>32</v>
      </c>
      <c r="B8" s="113">
        <f>IFERROR(VALUE(VLOOKUP("Net Receivables*",'7.TIKR_BS'!$A:$H,COLUMN(B8),FALSE)),"0")</f>
        <v>21193</v>
      </c>
      <c r="C8" s="113">
        <f>IFERROR(VALUE(VLOOKUP("Net Receivables*",'7.TIKR_BS'!$A:$H,COLUMN(C8),FALSE)),"0")</f>
        <v>27492</v>
      </c>
      <c r="D8" s="113">
        <f>IFERROR(VALUE(VLOOKUP("Net Receivables*",'7.TIKR_BS'!$A:$H,COLUMN(D8),FALSE)),"0")</f>
        <v>31384</v>
      </c>
      <c r="E8" s="113">
        <f>IFERROR(VALUE(VLOOKUP("Net Receivables*",'7.TIKR_BS'!$A:$H,COLUMN(E8),FALSE)),"0")</f>
        <v>40270</v>
      </c>
      <c r="F8" s="113">
        <f>IFERROR(VALUE(VLOOKUP("Net Receivables*",'7.TIKR_BS'!$A:$H,COLUMN(F8),FALSE)),"0")</f>
        <v>40258</v>
      </c>
      <c r="G8" s="113">
        <f>IFERROR(VALUE(VLOOKUP("Net Receivables*",'7.TIKR_BS'!$A:$H,COLUMN(G8),FALSE)),"0")</f>
        <v>47964</v>
      </c>
      <c r="H8" s="113">
        <f>IFERROR(VALUE(VLOOKUP("Net Receivables*",'7.TIKR_BS'!$A:$H,COLUMN(H8),FALSE)),"0")</f>
        <v>52340</v>
      </c>
      <c r="I8" s="132"/>
      <c r="J8" s="85"/>
      <c r="K8" s="85"/>
      <c r="L8" s="85"/>
      <c r="M8" s="138"/>
      <c r="N8" s="15"/>
    </row>
    <row r="9" spans="1:14" s="6" customFormat="1" ht="24.95" customHeight="1">
      <c r="A9" s="137" t="s">
        <v>33</v>
      </c>
      <c r="B9" s="113">
        <f>IFERROR(VALUE(VLOOKUP("Other Current Liabilities*",'7.TIKR_BS'!$A:$H,COLUMN(B9),FALSE)),"0")+IFERROR(VALUE(VLOOKUP("Deferred Revenue*",'7.TIKR_BS'!$A:$H,COLUMN(B9),FALSE)),"0")+IFERROR(VALUE(VLOOKUP("Deferred Revenue Non Current*",'7.TIKR_BS'!$A:$H,COLUMN(B9),FALSE)),"0")</f>
        <v>30569</v>
      </c>
      <c r="C9" s="113">
        <f>IFERROR(VALUE(VLOOKUP("Other Current Liabilities*",'7.TIKR_BS'!$A:$H,COLUMN(C9),FALSE)),"0")+IFERROR(VALUE(VLOOKUP("Deferred Revenue*",'7.TIKR_BS'!$A:$H,COLUMN(C9),FALSE)),"0")+IFERROR(VALUE(VLOOKUP("Deferred Revenue Non Current*",'7.TIKR_BS'!$A:$H,COLUMN(C9),FALSE)),"0")</f>
        <v>38819</v>
      </c>
      <c r="D9" s="113">
        <f>IFERROR(VALUE(VLOOKUP("Other Current Liabilities*",'7.TIKR_BS'!$A:$H,COLUMN(D9),FALSE)),"0")+IFERROR(VALUE(VLOOKUP("Deferred Revenue*",'7.TIKR_BS'!$A:$H,COLUMN(D9),FALSE)),"0")+IFERROR(VALUE(VLOOKUP("Deferred Revenue Non Current*",'7.TIKR_BS'!$A:$H,COLUMN(D9),FALSE)),"0")</f>
        <v>50032</v>
      </c>
      <c r="E9" s="113">
        <f>IFERROR(VALUE(VLOOKUP("Other Current Liabilities*",'7.TIKR_BS'!$A:$H,COLUMN(E9),FALSE)),"0")+IFERROR(VALUE(VLOOKUP("Deferred Revenue*",'7.TIKR_BS'!$A:$H,COLUMN(E9),FALSE)),"0")+IFERROR(VALUE(VLOOKUP("Deferred Revenue Non Current*",'7.TIKR_BS'!$A:$H,COLUMN(E9),FALSE)),"0")</f>
        <v>56563</v>
      </c>
      <c r="F9" s="113">
        <f>IFERROR(VALUE(VLOOKUP("Other Current Liabilities*",'7.TIKR_BS'!$A:$H,COLUMN(F9),FALSE)),"0")+IFERROR(VALUE(VLOOKUP("Deferred Revenue*",'7.TIKR_BS'!$A:$H,COLUMN(F9),FALSE)),"0")+IFERROR(VALUE(VLOOKUP("Deferred Revenue Non Current*",'7.TIKR_BS'!$A:$H,COLUMN(F9),FALSE)),"0")</f>
        <v>62294</v>
      </c>
      <c r="G9" s="113">
        <f>IFERROR(VALUE(VLOOKUP("Other Current Liabilities*",'7.TIKR_BS'!$A:$H,COLUMN(G9),FALSE)),"0")+IFERROR(VALUE(VLOOKUP("Deferred Revenue*",'7.TIKR_BS'!$A:$H,COLUMN(G9),FALSE)),"0")+IFERROR(VALUE(VLOOKUP("Deferred Revenue Non Current*",'7.TIKR_BS'!$A:$H,COLUMN(G9),FALSE)),"0")</f>
        <v>72441</v>
      </c>
      <c r="H9" s="113">
        <f>IFERROR(VALUE(VLOOKUP("Other Current Liabilities*",'7.TIKR_BS'!$A:$H,COLUMN(H9),FALSE)),"0")+IFERROR(VALUE(VLOOKUP("Deferred Revenue*",'7.TIKR_BS'!$A:$H,COLUMN(H9),FALSE)),"0")+IFERROR(VALUE(VLOOKUP("Deferred Revenue Non Current*",'7.TIKR_BS'!$A:$H,COLUMN(H9),FALSE)),"0")</f>
        <v>72353</v>
      </c>
      <c r="I9" s="132"/>
      <c r="J9" s="85"/>
      <c r="K9" s="85"/>
      <c r="L9" s="85"/>
      <c r="M9" s="138"/>
      <c r="N9" s="15"/>
    </row>
    <row r="10" spans="1:14" s="6" customFormat="1" ht="24.95" customHeight="1" thickBot="1">
      <c r="A10" s="139" t="s">
        <v>34</v>
      </c>
      <c r="B10" s="131">
        <f>B7+B8-B9</f>
        <v>-8269</v>
      </c>
      <c r="C10" s="84">
        <f t="shared" ref="C10:H10" si="0">C7+C8-C9</f>
        <v>-10328</v>
      </c>
      <c r="D10" s="84">
        <f t="shared" si="0"/>
        <v>-17920</v>
      </c>
      <c r="E10" s="84">
        <f t="shared" si="0"/>
        <v>-15123</v>
      </c>
      <c r="F10" s="84">
        <f t="shared" si="0"/>
        <v>-19366</v>
      </c>
      <c r="G10" s="84">
        <f t="shared" si="0"/>
        <v>-24477</v>
      </c>
      <c r="H10" s="84">
        <f t="shared" si="0"/>
        <v>-20013</v>
      </c>
      <c r="I10" s="131">
        <f>IFERROR(IF(AND(I7&lt;&gt;"",I8&lt;&gt;"",I9&lt;&gt;""),I7+I8-I9,H10+I11),"")</f>
        <v>-23142.732258898035</v>
      </c>
      <c r="J10" s="84">
        <f>IFERROR(IF(AND(J7&lt;&gt;"",J8&lt;&gt;"",J9&lt;&gt;""),J7+J8-J9,I10+J11),"")</f>
        <v>-26817.823115640371</v>
      </c>
      <c r="K10" s="84">
        <f>IFERROR(IF(AND(K7&lt;&gt;"",K8&lt;&gt;"",K9&lt;&gt;""),K7+K8-K9,J10+K11),"")</f>
        <v>-31133.301785392978</v>
      </c>
      <c r="L10" s="84">
        <f>IFERROR(IF(AND(L7&lt;&gt;"",L8&lt;&gt;"",L9&lt;&gt;""),L7+L8-L9,K10+L11),"")</f>
        <v>-36200.756407616325</v>
      </c>
      <c r="M10" s="136">
        <f>IFERROR(IF(AND(M7&lt;&gt;"",M8&lt;&gt;"",M9&lt;&gt;""),M7+M8-M9,L10+M11),"")</f>
        <v>-42151.219453182697</v>
      </c>
      <c r="N10" s="15"/>
    </row>
    <row r="11" spans="1:14" s="6" customFormat="1" ht="24.95" customHeight="1" thickTop="1" thickBot="1">
      <c r="A11" s="101" t="s">
        <v>35</v>
      </c>
      <c r="B11" s="131"/>
      <c r="C11" s="84">
        <f>(C7+C8-C9)-(B7+B8-B9)</f>
        <v>-2059</v>
      </c>
      <c r="D11" s="84">
        <f t="shared" ref="D11:H11" si="1">(D7+D8-D9)-(C7+C8-C9)</f>
        <v>-7592</v>
      </c>
      <c r="E11" s="84">
        <f t="shared" si="1"/>
        <v>2797</v>
      </c>
      <c r="F11" s="84">
        <f t="shared" si="1"/>
        <v>-4243</v>
      </c>
      <c r="G11" s="84">
        <f t="shared" si="1"/>
        <v>-5111</v>
      </c>
      <c r="H11" s="84">
        <f t="shared" si="1"/>
        <v>4464</v>
      </c>
      <c r="I11" s="229">
        <f>IFERROR((SUM(C11:H11)/SUM('1.IS'!C3:H3))*'1.IS'!I3,"")</f>
        <v>-3129.7322588980351</v>
      </c>
      <c r="J11" s="230">
        <f>IFERROR(IF(AND(J7&lt;&gt;"",J8&lt;&gt;"",J9&lt;&gt;""),(J7+J8-J9)-(I7+I8-I9),(I11/'1.IS'!I3)*'1.IS'!J3),"")</f>
        <v>-3675.0908567423344</v>
      </c>
      <c r="K11" s="230">
        <f>IFERROR(IF(AND(K7&lt;&gt;"",K8&lt;&gt;"",K9&lt;&gt;""),(K7+K8-K9)-(J7+J8-J9),(J11/'1.IS'!J3)*'1.IS'!K3),"")</f>
        <v>-4315.4786697526051</v>
      </c>
      <c r="L11" s="230">
        <f>IFERROR(IF(AND(L7&lt;&gt;"",L8&lt;&gt;"",L9&lt;&gt;""),(L7+L8-L9)-(K7+K8-K9),(K11/'1.IS'!K3)*'1.IS'!L3),"")</f>
        <v>-5067.4546222233494</v>
      </c>
      <c r="M11" s="231">
        <f>IFERROR(IF(AND(M7&lt;&gt;"",M8&lt;&gt;"",M9&lt;&gt;""),(M7+M8-M9)-(L7+L8-L9),(L11/'1.IS'!L3)*'1.IS'!M3),"")</f>
        <v>-5950.4630455663691</v>
      </c>
      <c r="N11" s="15"/>
    </row>
    <row r="12" spans="1:14" s="6" customFormat="1" ht="24.95" customHeight="1" thickTop="1">
      <c r="A12" s="140" t="s">
        <v>36</v>
      </c>
      <c r="B12" s="132" t="str">
        <f>'1.IS'!B17</f>
        <v>0</v>
      </c>
      <c r="C12" s="85" t="str">
        <f>'1.IS'!C17</f>
        <v>0</v>
      </c>
      <c r="D12" s="85" t="str">
        <f>'1.IS'!D17</f>
        <v>0</v>
      </c>
      <c r="E12" s="85" t="str">
        <f>'1.IS'!E17</f>
        <v>0</v>
      </c>
      <c r="F12" s="85" t="str">
        <f>'1.IS'!F17</f>
        <v>0</v>
      </c>
      <c r="G12" s="85" t="str">
        <f>'1.IS'!G17</f>
        <v>0</v>
      </c>
      <c r="H12" s="85" t="str">
        <f>'1.IS'!H17</f>
        <v>0</v>
      </c>
      <c r="I12" s="132">
        <f>'1.IS'!I17</f>
        <v>0</v>
      </c>
      <c r="J12" s="85">
        <f>'1.IS'!J17</f>
        <v>0</v>
      </c>
      <c r="K12" s="85">
        <f>'1.IS'!K17</f>
        <v>0</v>
      </c>
      <c r="L12" s="85">
        <f>'1.IS'!L17</f>
        <v>0</v>
      </c>
      <c r="M12" s="138">
        <f>'1.IS'!M17</f>
        <v>0</v>
      </c>
      <c r="N12" s="17"/>
    </row>
    <row r="13" spans="1:14" s="6" customFormat="1" ht="24.95" customHeight="1">
      <c r="A13" s="141" t="s">
        <v>37</v>
      </c>
      <c r="B13" s="133">
        <f>B3+B4+B5+B6-B11+B12</f>
        <v>25551</v>
      </c>
      <c r="C13" s="86">
        <f t="shared" ref="C13:H13" si="2">C3+C4+C5+C6-C11+C12</f>
        <v>36302</v>
      </c>
      <c r="D13" s="86">
        <f t="shared" si="2"/>
        <v>47726</v>
      </c>
      <c r="E13" s="86">
        <f t="shared" si="2"/>
        <v>72890</v>
      </c>
      <c r="F13" s="86">
        <f t="shared" si="2"/>
        <v>63858</v>
      </c>
      <c r="G13" s="86">
        <f t="shared" si="2"/>
        <v>75041</v>
      </c>
      <c r="H13" s="86">
        <f t="shared" si="2"/>
        <v>95654</v>
      </c>
      <c r="I13" s="133">
        <f>IFERROR(I3+I4+I5+I6-I11+I12,"")</f>
        <v>94127.691935723618</v>
      </c>
      <c r="J13" s="86">
        <f t="shared" ref="J13:M13" si="3">IFERROR(J3+J4+J5+J6-J11+J12,"")</f>
        <v>110149.75985580722</v>
      </c>
      <c r="K13" s="86">
        <f t="shared" si="3"/>
        <v>128956.32954710646</v>
      </c>
      <c r="L13" s="86">
        <f t="shared" si="3"/>
        <v>151021.5744953797</v>
      </c>
      <c r="M13" s="142">
        <f t="shared" si="3"/>
        <v>176931.70777615139</v>
      </c>
      <c r="N13" s="15"/>
    </row>
    <row r="14" spans="1:14" s="6" customFormat="1" ht="24.95" customHeight="1">
      <c r="A14" s="143" t="s">
        <v>38</v>
      </c>
      <c r="B14" s="134">
        <f>IFERROR(B13/'1.IS'!B3,"")</f>
        <v>0.18675037823694077</v>
      </c>
      <c r="C14" s="24">
        <f>IFERROR(C13/'1.IS'!C3,"")</f>
        <v>0.22428439919187926</v>
      </c>
      <c r="D14" s="24">
        <f>IFERROR(D13/'1.IS'!D3,"")</f>
        <v>0.26147364499498704</v>
      </c>
      <c r="E14" s="24">
        <f>IFERROR(E13/'1.IS'!E3,"")</f>
        <v>0.28291743810089387</v>
      </c>
      <c r="F14" s="24">
        <f>IFERROR(F13/'1.IS'!F3,"")</f>
        <v>0.22577748235726711</v>
      </c>
      <c r="G14" s="24">
        <f>IFERROR(G13/'1.IS'!G3,"")</f>
        <v>0.24411992426657644</v>
      </c>
      <c r="H14" s="48">
        <f>IFERROR(H13/'1.IS'!H3,"")</f>
        <v>0.2732830882983161</v>
      </c>
      <c r="I14" s="39">
        <f>IFERROR(I13/'1.IS'!I3,"")</f>
        <v>0.22901616437793276</v>
      </c>
      <c r="J14" s="24">
        <f>IFERROR(J13/'1.IS'!J3,"")</f>
        <v>0.22822929444389198</v>
      </c>
      <c r="K14" s="24">
        <f>IFERROR(K13/'1.IS'!K3,"")</f>
        <v>0.22754620794729294</v>
      </c>
      <c r="L14" s="24">
        <f>IFERROR(L13/'1.IS'!L3,"")</f>
        <v>0.22693685854577003</v>
      </c>
      <c r="M14" s="144">
        <f>IFERROR(M13/'1.IS'!M3,"")</f>
        <v>0.22641793246931996</v>
      </c>
      <c r="N14" s="15"/>
    </row>
    <row r="15" spans="1:14" s="6" customFormat="1" ht="24.95" customHeight="1">
      <c r="A15" s="102" t="s">
        <v>5</v>
      </c>
      <c r="B15" s="135"/>
      <c r="C15" s="24">
        <f t="shared" ref="C15:M15" si="4">IFERROR((C13-B13)/B13,"")</f>
        <v>0.42076631051622243</v>
      </c>
      <c r="D15" s="24">
        <f t="shared" si="4"/>
        <v>0.31469340532202084</v>
      </c>
      <c r="E15" s="24">
        <f t="shared" si="4"/>
        <v>0.52725977454636885</v>
      </c>
      <c r="F15" s="24">
        <f t="shared" si="4"/>
        <v>-0.12391274523254218</v>
      </c>
      <c r="G15" s="24">
        <f t="shared" si="4"/>
        <v>0.1751229289987159</v>
      </c>
      <c r="H15" s="48">
        <f t="shared" si="4"/>
        <v>0.27468983622286486</v>
      </c>
      <c r="I15" s="39">
        <f t="shared" si="4"/>
        <v>-1.5956552410525245E-2</v>
      </c>
      <c r="J15" s="24">
        <f t="shared" si="4"/>
        <v>0.17021630500644264</v>
      </c>
      <c r="K15" s="24">
        <f t="shared" si="4"/>
        <v>0.17073636579796628</v>
      </c>
      <c r="L15" s="24">
        <f t="shared" si="4"/>
        <v>0.1711063351893326</v>
      </c>
      <c r="M15" s="144">
        <f t="shared" si="4"/>
        <v>0.17156577374687867</v>
      </c>
      <c r="N15" s="15"/>
    </row>
    <row r="16" spans="1:14" s="6" customFormat="1" ht="24.95" customHeight="1" thickBot="1">
      <c r="A16" s="102" t="s">
        <v>39</v>
      </c>
      <c r="B16" s="90">
        <f>IFERROR(B13/'1.IS'!B22,"")</f>
        <v>1.8164032925730853</v>
      </c>
      <c r="C16" s="88">
        <f>IFERROR(C13/'1.IS'!C22,"")</f>
        <v>2.5983600455797387</v>
      </c>
      <c r="D16" s="88">
        <f>IFERROR(D13/'1.IS'!D22,"")</f>
        <v>3.4733664421246297</v>
      </c>
      <c r="E16" s="88">
        <f>IFERROR(E13/'1.IS'!E22,"")</f>
        <v>5.3779545917358496</v>
      </c>
      <c r="F16" s="88">
        <f>IFERROR(F13/'1.IS'!F22,"")</f>
        <v>4.8528003647693589</v>
      </c>
      <c r="G16" s="88">
        <f>IFERROR(G13/'1.IS'!G22,"")</f>
        <v>5.8985222449300423</v>
      </c>
      <c r="H16" s="88">
        <f>IFERROR(H13/'1.IS'!H22,"")</f>
        <v>7.6849039929300229</v>
      </c>
      <c r="I16" s="90">
        <f>IFERROR(I13/'1.IS'!I22,"")</f>
        <v>7.7177287092200784</v>
      </c>
      <c r="J16" s="88">
        <f>IFERROR(J13/'1.IS'!J22,"")</f>
        <v>9.2170605716199372</v>
      </c>
      <c r="K16" s="88">
        <f>IFERROR(K13/'1.IS'!K22,"")</f>
        <v>11.012561291278033</v>
      </c>
      <c r="L16" s="88">
        <f>IFERROR(L13/'1.IS'!L22,"")</f>
        <v>13.161986986781795</v>
      </c>
      <c r="M16" s="89">
        <f>IFERROR(M13/'1.IS'!M22,"")</f>
        <v>15.737107843337723</v>
      </c>
      <c r="N16" s="16"/>
    </row>
    <row r="17" spans="1:14" s="6" customFormat="1" ht="24.95" customHeight="1" thickTop="1" thickBot="1">
      <c r="A17" s="188" t="s">
        <v>40</v>
      </c>
      <c r="B17" s="145">
        <f>IFERROR(VALUE(VLOOKUP("Net Change in Cash*",'8.TIKR_CF'!$A:$H,COLUMN(B17),FALSE)),"0")</f>
        <v>5986</v>
      </c>
      <c r="C17" s="145">
        <f>IFERROR(VALUE(VLOOKUP("Net Change in Cash*",'8.TIKR_CF'!$A:$H,COLUMN(C17),FALSE)),"0")</f>
        <v>1797</v>
      </c>
      <c r="D17" s="145">
        <f>IFERROR(VALUE(VLOOKUP("Net Change in Cash*",'8.TIKR_CF'!$A:$H,COLUMN(D17),FALSE)),"0")</f>
        <v>7967</v>
      </c>
      <c r="E17" s="145">
        <f>IFERROR(VALUE(VLOOKUP("Net Change in Cash*",'8.TIKR_CF'!$A:$H,COLUMN(E17),FALSE)),"0")</f>
        <v>-5520</v>
      </c>
      <c r="F17" s="145">
        <f>IFERROR(VALUE(VLOOKUP("Net Change in Cash*",'8.TIKR_CF'!$A:$H,COLUMN(F17),FALSE)),"0")</f>
        <v>934</v>
      </c>
      <c r="G17" s="145">
        <f>IFERROR(VALUE(VLOOKUP("Net Change in Cash*",'8.TIKR_CF'!$A:$H,COLUMN(G17),FALSE)),"0")</f>
        <v>2169</v>
      </c>
      <c r="H17" s="145">
        <f>IFERROR(VALUE(VLOOKUP("Net Change in Cash*",'8.TIKR_CF'!$A:$H,COLUMN(H17),FALSE)),"0")</f>
        <v>-582</v>
      </c>
      <c r="I17" s="229">
        <f>IFERROR((SUM($B17:$H17)/SUM('1.IS'!$B3:$H3))*'1.IS'!I3,"")</f>
        <v>3121.2033246928413</v>
      </c>
      <c r="J17" s="230">
        <f>IFERROR((SUM($B17:$H17)/SUM('1.IS'!$B3:$H3))*'1.IS'!J3,"")</f>
        <v>3665.0757482530544</v>
      </c>
      <c r="K17" s="230">
        <f>IFERROR((SUM($B17:$H17)/SUM('1.IS'!$B3:$H3))*'1.IS'!K3,"")</f>
        <v>4303.7184198035584</v>
      </c>
      <c r="L17" s="230">
        <f>IFERROR((SUM($B17:$H17)/SUM('1.IS'!$B3:$H3))*'1.IS'!L3,"")</f>
        <v>5053.6451383808035</v>
      </c>
      <c r="M17" s="231">
        <f>IFERROR((SUM($B17:$H17)/SUM('1.IS'!$B3:$H3))*'1.IS'!M3,"")</f>
        <v>5934.2472470226485</v>
      </c>
      <c r="N17" s="16"/>
    </row>
    <row r="18" spans="1:14" s="6" customFormat="1" ht="24.75" customHeight="1" thickTop="1">
      <c r="A18" s="20"/>
      <c r="B18" s="14"/>
      <c r="C18" s="14"/>
      <c r="D18" s="14"/>
      <c r="E18" s="14"/>
      <c r="F18" s="14"/>
      <c r="G18" s="14"/>
      <c r="H18" s="14"/>
      <c r="I18" s="14"/>
      <c r="J18" s="14"/>
      <c r="K18" s="14"/>
      <c r="L18" s="14"/>
      <c r="M18" s="14"/>
      <c r="N18" s="7"/>
    </row>
    <row r="19" spans="1:14" s="105" customFormat="1" ht="39.950000000000003" customHeight="1">
      <c r="A19" s="108" t="s">
        <v>41</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42</v>
      </c>
      <c r="B20" s="134">
        <f>IFERROR(ABS(B4)/'1.IS'!B$3,"")</f>
        <v>6.6036149949933856E-2</v>
      </c>
      <c r="C20" s="24">
        <f>IFERROR(ABS(C4)/'1.IS'!C$3,"")</f>
        <v>7.2786472009242723E-2</v>
      </c>
      <c r="D20" s="24">
        <f>IFERROR(ABS(D4)/'1.IS'!D$3,"")</f>
        <v>7.5040952845332465E-2</v>
      </c>
      <c r="E20" s="24">
        <f>IFERROR(ABS(E4)/'1.IS'!E$3,"")</f>
        <v>4.8288871551834561E-2</v>
      </c>
      <c r="F20" s="24">
        <f>IFERROR(ABS(F4)/'1.IS'!F$3,"")</f>
        <v>5.6315320539111001E-2</v>
      </c>
      <c r="G20" s="24">
        <f>IFERROR(ABS(G4)/'1.IS'!G$3,"")</f>
        <v>3.8862176880485634E-2</v>
      </c>
      <c r="H20" s="24">
        <f>IFERROR(ABS(H4)/'1.IS'!H$3,"")</f>
        <v>4.3743464621819446E-2</v>
      </c>
      <c r="I20" s="134">
        <f>IFERROR(ABS(I4)/'1.IS'!I$3,"")</f>
        <v>4.3743464621819446E-2</v>
      </c>
      <c r="J20" s="24">
        <f>IFERROR(ABS(J4)/'1.IS'!J$3,"")</f>
        <v>4.3743464621819446E-2</v>
      </c>
      <c r="K20" s="24">
        <f>IFERROR(ABS(K4)/'1.IS'!K$3,"")</f>
        <v>4.3743464621819446E-2</v>
      </c>
      <c r="L20" s="24">
        <f>IFERROR(ABS(L4)/'1.IS'!L$3,"")</f>
        <v>4.3743464621819446E-2</v>
      </c>
      <c r="M20" s="24">
        <f>IFERROR(ABS(M4)/'1.IS'!M$3,"")</f>
        <v>4.3743464621819446E-2</v>
      </c>
      <c r="N20" s="148">
        <f>IFERROR(AVERAGE(B20:H20),"")</f>
        <v>5.7296201199679951E-2</v>
      </c>
    </row>
    <row r="21" spans="1:14" s="6" customFormat="1" ht="24.75" customHeight="1">
      <c r="A21" s="101" t="s">
        <v>43</v>
      </c>
      <c r="B21" s="134">
        <f>IFERROR((B7+B8-B9)/'1.IS'!B$3,"")</f>
        <v>-6.0437512333813288E-2</v>
      </c>
      <c r="C21" s="24">
        <f>IFERROR((C7+C8-C9)/'1.IS'!C$3,"")</f>
        <v>-6.380941201183761E-2</v>
      </c>
      <c r="D21" s="24">
        <f>IFERROR((D7+D8-D9)/'1.IS'!D$3,"")</f>
        <v>-9.8177255967610275E-2</v>
      </c>
      <c r="E21" s="24">
        <f>IFERROR((E7+E8-E9)/'1.IS'!E$3,"")</f>
        <v>-5.8698867010561373E-2</v>
      </c>
      <c r="F21" s="24">
        <f>IFERROR((F7+F8-F9)/'1.IS'!F$3,"")</f>
        <v>-6.8470774583150665E-2</v>
      </c>
      <c r="G21" s="24">
        <f>IFERROR((G7+G8-G9)/'1.IS'!G$3,"")</f>
        <v>-7.962744881162287E-2</v>
      </c>
      <c r="H21" s="24">
        <f>IFERROR((H7+H8-H9)/'1.IS'!H$3,"")</f>
        <v>-5.71770594655132E-2</v>
      </c>
      <c r="I21" s="134">
        <f>IFERROR(I10/'1.IS'!I$3,"")</f>
        <v>-5.6307125630760159E-2</v>
      </c>
      <c r="J21" s="24">
        <f>IFERROR(J10/'1.IS'!J$3,"")</f>
        <v>-5.5566284086465155E-2</v>
      </c>
      <c r="K21" s="24">
        <f>IFERROR(K10/'1.IS'!K$3,"")</f>
        <v>-5.493537841085222E-2</v>
      </c>
      <c r="L21" s="24">
        <f>IFERROR(L10/'1.IS'!L$3,"")</f>
        <v>-5.439809486542229E-2</v>
      </c>
      <c r="M21" s="24">
        <f>IFERROR(M10/'1.IS'!M$3,"")</f>
        <v>-5.3940540560003643E-2</v>
      </c>
      <c r="N21" s="148">
        <f>IFERROR(AVERAGE(B21:H21),"")</f>
        <v>-6.9485475740587041E-2</v>
      </c>
    </row>
    <row r="22" spans="1:14" s="6" customFormat="1" ht="24.95" customHeight="1">
      <c r="A22" s="101" t="s">
        <v>44</v>
      </c>
      <c r="B22" s="134">
        <f>IFERROR(B13/'1.IS'!B$3,"")</f>
        <v>0.18675037823694077</v>
      </c>
      <c r="C22" s="24">
        <f>IFERROR(C13/'1.IS'!C$3,"")</f>
        <v>0.22428439919187926</v>
      </c>
      <c r="D22" s="24">
        <f>IFERROR(D13/'1.IS'!D$3,"")</f>
        <v>0.26147364499498704</v>
      </c>
      <c r="E22" s="24">
        <f>IFERROR(E13/'1.IS'!E$3,"")</f>
        <v>0.28291743810089387</v>
      </c>
      <c r="F22" s="24">
        <f>IFERROR(F13/'1.IS'!F$3,"")</f>
        <v>0.22577748235726711</v>
      </c>
      <c r="G22" s="24">
        <f>IFERROR(G13/'1.IS'!G$3,"")</f>
        <v>0.24411992426657644</v>
      </c>
      <c r="H22" s="24">
        <f>IFERROR(H13/'1.IS'!H$3,"")</f>
        <v>0.2732830882983161</v>
      </c>
      <c r="I22" s="134">
        <f>IFERROR(I13/'1.IS'!I$3,"")</f>
        <v>0.22901616437793276</v>
      </c>
      <c r="J22" s="24">
        <f>IFERROR(J13/'1.IS'!J$3,"")</f>
        <v>0.22822929444389198</v>
      </c>
      <c r="K22" s="24">
        <f>IFERROR(K13/'1.IS'!K$3,"")</f>
        <v>0.22754620794729294</v>
      </c>
      <c r="L22" s="24">
        <f>IFERROR(L13/'1.IS'!L$3,"")</f>
        <v>0.22693685854577003</v>
      </c>
      <c r="M22" s="24">
        <f>IFERROR(M13/'1.IS'!M$3,"")</f>
        <v>0.22641793246931996</v>
      </c>
      <c r="N22" s="148">
        <f>IFERROR(AVERAGE(B22:H22),"")</f>
        <v>0.24265805077812291</v>
      </c>
    </row>
    <row r="23" spans="1:14" ht="24.95" customHeight="1">
      <c r="A23" s="28" t="s">
        <v>45</v>
      </c>
      <c r="B23" s="147">
        <f t="shared" ref="B23:M23" si="5">IFERROR(B13/B3,"")</f>
        <v>0.7226779047403552</v>
      </c>
      <c r="C23" s="146">
        <f t="shared" si="5"/>
        <v>0.7889680952794923</v>
      </c>
      <c r="D23" s="146">
        <f t="shared" si="5"/>
        <v>0.86899364541796398</v>
      </c>
      <c r="E23" s="146">
        <f t="shared" si="5"/>
        <v>0.79962700894081506</v>
      </c>
      <c r="F23" s="146">
        <f t="shared" si="5"/>
        <v>0.70351437699680508</v>
      </c>
      <c r="G23" s="146">
        <f t="shared" si="5"/>
        <v>0.77973586591714372</v>
      </c>
      <c r="H23" s="146">
        <f t="shared" si="5"/>
        <v>0.74904660104462772</v>
      </c>
      <c r="I23" s="147">
        <f t="shared" si="5"/>
        <v>0.76288783271548932</v>
      </c>
      <c r="J23" s="146">
        <f t="shared" si="5"/>
        <v>0.76026664874692562</v>
      </c>
      <c r="K23" s="146">
        <f t="shared" si="5"/>
        <v>0.75799118326455173</v>
      </c>
      <c r="L23" s="146">
        <f t="shared" si="5"/>
        <v>0.75596134731145648</v>
      </c>
      <c r="M23" s="146">
        <f t="shared" si="5"/>
        <v>0.75423272526908736</v>
      </c>
      <c r="N23" s="149">
        <f>IFERROR(AVERAGE(B23:H23),"")</f>
        <v>0.77322335690531474</v>
      </c>
    </row>
    <row r="24" spans="1:14" ht="24.95" customHeight="1">
      <c r="A24" s="102"/>
      <c r="B24" s="103"/>
      <c r="C24" s="103"/>
      <c r="D24" s="103"/>
      <c r="E24" s="103"/>
      <c r="F24" s="103"/>
      <c r="G24" s="103"/>
      <c r="H24" s="103"/>
      <c r="I24" s="103"/>
      <c r="J24" s="103"/>
      <c r="K24" s="103"/>
      <c r="L24" s="103"/>
      <c r="M24" s="103"/>
      <c r="N24" s="104"/>
    </row>
    <row r="25" spans="1:14" ht="39.950000000000003" customHeight="1">
      <c r="A25" s="108" t="s">
        <v>46</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3"/>
      <c r="L25" s="103"/>
      <c r="M25" s="103"/>
      <c r="N25" s="104"/>
    </row>
    <row r="26" spans="1:14" ht="24.95" customHeight="1">
      <c r="A26" s="101" t="s">
        <v>47</v>
      </c>
      <c r="B26" s="134">
        <f>IFERROR(TIKR_Cálculos!B11/B13,"")</f>
        <v>1.2783844076552777</v>
      </c>
      <c r="C26" s="24">
        <f>IFERROR(TIKR_Cálculos!C11/C13,"")</f>
        <v>2.3124896699906343</v>
      </c>
      <c r="D26" s="24">
        <f>IFERROR(TIKR_Cálculos!D11/D13,"")</f>
        <v>2.6108829568788501</v>
      </c>
      <c r="E26" s="24">
        <f>IFERROR(TIKR_Cálculos!E11/E13,"")</f>
        <v>1.5696391823295377</v>
      </c>
      <c r="F26" s="24">
        <f>IFERROR(TIKR_Cálculos!F11/F13,"")</f>
        <v>1.1814651257477529</v>
      </c>
      <c r="G26" s="24">
        <f>IFERROR(TIKR_Cálculos!G11/G13,"")</f>
        <v>0.89043322983435724</v>
      </c>
      <c r="H26" s="24">
        <f>IFERROR(TIKR_Cálculos!H11/H13,"")</f>
        <v>0.67069855939113887</v>
      </c>
      <c r="I26" s="194">
        <f>IFERROR(AVERAGE(B26:H26),"")</f>
        <v>1.501999018832507</v>
      </c>
      <c r="J26" s="214">
        <f>IFERROR(TIKR_Cálculos!I29/SUM('2.FCF'!$B$13:$H$13),"")</f>
        <v>1.3477706212142284</v>
      </c>
      <c r="K26" s="6"/>
      <c r="L26" s="103"/>
      <c r="M26" s="103"/>
      <c r="N26" s="104"/>
    </row>
    <row r="27" spans="1:14" ht="24.95" customHeight="1">
      <c r="A27" s="101" t="s">
        <v>48</v>
      </c>
      <c r="B27" s="134">
        <f>IFERROR(ABS(VALUE(VLOOKUP("Dividends Paid*",'8.TIKR_CF'!$A:$H,COLUMN(B18),FALSE)))/B13,"0")</f>
        <v>0</v>
      </c>
      <c r="C27" s="134">
        <f>IFERROR(ABS(VALUE(VLOOKUP("Dividends Paid*",'8.TIKR_CF'!$A:$H,COLUMN(C18),FALSE)))/C13,"0")</f>
        <v>0</v>
      </c>
      <c r="D27" s="134">
        <f>IFERROR(ABS(VALUE(VLOOKUP("Dividends Paid*",'8.TIKR_CF'!$A:$H,COLUMN(D18),FALSE)))/D13,"0")</f>
        <v>0</v>
      </c>
      <c r="E27" s="134">
        <f>IFERROR(ABS(VALUE(VLOOKUP("Dividends Paid*",'8.TIKR_CF'!$A:$H,COLUMN(E18),FALSE)))/E13,"0")</f>
        <v>0</v>
      </c>
      <c r="F27" s="134">
        <f>IFERROR(ABS(VALUE(VLOOKUP("Dividends Paid*",'8.TIKR_CF'!$A:$H,COLUMN(F18),FALSE)))/F13,"0")</f>
        <v>0</v>
      </c>
      <c r="G27" s="134">
        <f>IFERROR(ABS(VALUE(VLOOKUP("Dividends Paid*",'8.TIKR_CF'!$A:$H,COLUMN(G18),FALSE)))/G13,"0")</f>
        <v>0</v>
      </c>
      <c r="H27" s="134">
        <f>IFERROR(ABS(VALUE(VLOOKUP("Dividends Paid*",'8.TIKR_CF'!$A:$H,COLUMN(H18),FALSE)))/H13,"0")</f>
        <v>7.6975348652434814E-2</v>
      </c>
      <c r="I27" s="194">
        <f t="shared" ref="I27:I29" si="6">IFERROR(AVERAGE(B27:H27),"")</f>
        <v>1.0996478378919259E-2</v>
      </c>
      <c r="J27" s="214">
        <f>IFERROR(TIKR_Cálculos!I30/SUM('2.FCF'!$B$13:$H$13),"")</f>
        <v>1.7656142841384868E-2</v>
      </c>
      <c r="K27" s="6"/>
    </row>
    <row r="28" spans="1:14" ht="24.95" customHeight="1">
      <c r="A28" s="101" t="s">
        <v>49</v>
      </c>
      <c r="B28" s="134">
        <f>IFERROR(ABS(VALUE(VLOOKUP("Common Stock Repurchased*",'8.TIKR_CF'!$A:$H,COLUMN(B19),FALSE))/B13),"0")</f>
        <v>0.35517200892332979</v>
      </c>
      <c r="C28" s="134">
        <f>IFERROR(ABS(VALUE(VLOOKUP("Common Stock Repurchased*",'8.TIKR_CF'!$A:$H,COLUMN(C19),FALSE))/C13),"0")</f>
        <v>0.50674893945237176</v>
      </c>
      <c r="D28" s="134">
        <f>IFERROR(ABS(VALUE(VLOOKUP("Common Stock Repurchased*",'8.TIKR_CF'!$A:$H,COLUMN(D19),FALSE))/D13),"0")</f>
        <v>0.6526631186355446</v>
      </c>
      <c r="E28" s="134">
        <f>IFERROR(ABS(VALUE(VLOOKUP("Common Stock Repurchased*",'8.TIKR_CF'!$A:$H,COLUMN(E19),FALSE))/E13),"0")</f>
        <v>0.68972424200850602</v>
      </c>
      <c r="F28" s="134">
        <f>IFERROR(ABS(VALUE(VLOOKUP("Common Stock Repurchased*",'8.TIKR_CF'!$A:$H,COLUMN(F19),FALSE))/F13),"0")</f>
        <v>0.92856024303924334</v>
      </c>
      <c r="G28" s="134">
        <f>IFERROR(ABS(VALUE(VLOOKUP("Common Stock Repurchased*",'8.TIKR_CF'!$A:$H,COLUMN(G19),FALSE))/G13),"0")</f>
        <v>0.81960528244559638</v>
      </c>
      <c r="H28" s="134">
        <f>IFERROR(ABS(VALUE(VLOOKUP("Common Stock Repurchased*",'8.TIKR_CF'!$A:$H,COLUMN(H19),FALSE))/H13),"0")</f>
        <v>0.65049030882137704</v>
      </c>
      <c r="I28" s="194">
        <f t="shared" si="6"/>
        <v>0.65756630618942413</v>
      </c>
      <c r="J28" s="214">
        <f>IFERROR(TIKR_Cálculos!I31/SUM('2.FCF'!$B$13:$H$13),"")</f>
        <v>0.70000143877301435</v>
      </c>
      <c r="K28" s="6"/>
    </row>
    <row r="29" spans="1:14" ht="24.95" customHeight="1">
      <c r="A29" s="217" t="s">
        <v>50</v>
      </c>
      <c r="B29" s="158">
        <f>IFERROR((ABS(VLOOKUP("Cash Acquisitions*",'8.TIKR_CF'!$A:$H,COLUMN(B20),FALSE))-IFERROR(VLOOKUP("Sales / Maturities Of Investments*",'8.TIKR_CF'!$A:$H,COLUMN(B20),FALSE),"0"))/B13,"0")</f>
        <v>-1.9086532816719501</v>
      </c>
      <c r="C29" s="158">
        <f>IFERROR((ABS(VLOOKUP("Cash Acquisitions*",'8.TIKR_CF'!$A:$H,COLUMN(C20),FALSE))-IFERROR(VLOOKUP("Sales / Maturities Of Investments*",'8.TIKR_CF'!$A:$H,COLUMN(C20),FALSE),"0"))/C13,"0")</f>
        <v>-2.6366315905459756</v>
      </c>
      <c r="D29" s="158">
        <f>IFERROR((ABS(VLOOKUP("Cash Acquisitions*",'8.TIKR_CF'!$A:$H,COLUMN(D20),FALSE))-IFERROR(VLOOKUP("Sales / Maturities Of Investments*",'8.TIKR_CF'!$A:$H,COLUMN(D20),FALSE),"0"))/D13,"0")</f>
        <v>-2.7907429912416712</v>
      </c>
      <c r="E29" s="158">
        <f>IFERROR((ABS(VLOOKUP("Cash Acquisitions*",'8.TIKR_CF'!$A:$H,COLUMN(E20),FALSE))-IFERROR(VLOOKUP("Sales / Maturities Of Investments*",'8.TIKR_CF'!$A:$H,COLUMN(E20),FALSE),"0"))/E13,"0")</f>
        <v>-1.7370009603512142</v>
      </c>
      <c r="F29" s="158">
        <f>IFERROR((ABS(VLOOKUP("Cash Acquisitions*",'8.TIKR_CF'!$A:$H,COLUMN(F20),FALSE))-IFERROR(VLOOKUP("Sales / Maturities Of Investments*",'8.TIKR_CF'!$A:$H,COLUMN(F20),FALSE),"0"))/F13,"0")</f>
        <v>-1.4250837796360676</v>
      </c>
      <c r="G29" s="158">
        <f>IFERROR((ABS(VLOOKUP("Cash Acquisitions*",'8.TIKR_CF'!$A:$H,COLUMN(G20),FALSE))-IFERROR(VLOOKUP("Sales / Maturities Of Investments*",'8.TIKR_CF'!$A:$H,COLUMN(G20),FALSE),"0"))/G13,"0")</f>
        <v>-1.1610186431417491</v>
      </c>
      <c r="H29" s="158">
        <f>IFERROR((ABS(VLOOKUP("Cash Acquisitions*",'8.TIKR_CF'!$A:$H,COLUMN(H20),FALSE))-IFERROR(VLOOKUP("Sales / Maturities Of Investments*",'8.TIKR_CF'!$A:$H,COLUMN(H20),FALSE),"0"))/H13,"0")</f>
        <v>-1.0598511301147888</v>
      </c>
      <c r="I29" s="218">
        <f t="shared" si="6"/>
        <v>-1.8169974823862021</v>
      </c>
      <c r="J29" s="215">
        <f>IFERROR(TIKR_Cálculos!I32/SUM('2.FCF'!$B$13:$H$13),"")</f>
        <v>-1.6396976658305797</v>
      </c>
      <c r="K29" s="4"/>
    </row>
    <row r="30" spans="1:14" ht="24.95" customHeight="1">
      <c r="A30" s="216" t="s">
        <v>51</v>
      </c>
      <c r="B30" s="104">
        <f>SUM(B26:B29)</f>
        <v>-0.27509686509334252</v>
      </c>
      <c r="C30" s="104">
        <f t="shared" ref="C30:J30" si="7">SUM(C26:C29)</f>
        <v>0.18260701889703057</v>
      </c>
      <c r="D30" s="104">
        <f t="shared" si="7"/>
        <v>0.47280308427272333</v>
      </c>
      <c r="E30" s="104">
        <f t="shared" si="7"/>
        <v>0.52236246398682962</v>
      </c>
      <c r="F30" s="104">
        <f t="shared" si="7"/>
        <v>0.68494158915092873</v>
      </c>
      <c r="G30" s="104">
        <f t="shared" si="7"/>
        <v>0.54901986913820444</v>
      </c>
      <c r="H30" s="104">
        <f t="shared" si="7"/>
        <v>0.33831308675016203</v>
      </c>
      <c r="I30" s="104">
        <f t="shared" si="7"/>
        <v>0.35356432101464796</v>
      </c>
      <c r="J30" s="104">
        <f t="shared" si="7"/>
        <v>0.42573053699804775</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K16" sqref="K16"/>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52</v>
      </c>
      <c r="S1" s="25"/>
    </row>
    <row r="2" spans="1:19" s="6" customFormat="1" ht="39.950000000000003" customHeight="1">
      <c r="A2" s="108" t="s">
        <v>53</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54</v>
      </c>
      <c r="B3" s="131">
        <f>IFERROR(('1.IS'!B8)*PRODUCT(1-'1.IS'!$Q$5),"")</f>
        <v>21993.956332679551</v>
      </c>
      <c r="C3" s="84">
        <f>IFERROR(('1.IS'!C8)*PRODUCT(1-'1.IS'!$Q$5),"")</f>
        <v>28603.59101948838</v>
      </c>
      <c r="D3" s="84">
        <f>IFERROR(('1.IS'!D8)*PRODUCT(1-'1.IS'!$Q$5),"")</f>
        <v>34446.976021366274</v>
      </c>
      <c r="E3" s="84">
        <f>IFERROR(('1.IS'!E8)*PRODUCT(1-'1.IS'!$Q$5),"")</f>
        <v>65773.80338021116</v>
      </c>
      <c r="F3" s="84">
        <f>IFERROR(('1.IS'!F8)*PRODUCT(1-'1.IS'!$Q$5),"")</f>
        <v>62538.341242749244</v>
      </c>
      <c r="G3" s="84">
        <f>IFERROR(('1.IS'!G8)*PRODUCT(1-'1.IS'!$Q$5),"")</f>
        <v>70435.643066394026</v>
      </c>
      <c r="H3" s="85">
        <f>IFERROR('1.IS'!H8*PRODUCT(1-'1.IS'!$Q$5),"")</f>
        <v>93913.633685264795</v>
      </c>
      <c r="I3" s="115">
        <f>IFERROR('1.IS'!I8*PRODUCT(1-'1.IS'!$Q$5),"")</f>
        <v>88076.466645721302</v>
      </c>
      <c r="J3" s="80">
        <f>IFERROR('1.IS'!J8*PRODUCT(1-'1.IS'!$Q$5),"")</f>
        <v>103423.86839755776</v>
      </c>
      <c r="K3" s="80">
        <f>IFERROR('1.IS'!K8*PRODUCT(1-'1.IS'!$Q$5),"")</f>
        <v>121445.5683984341</v>
      </c>
      <c r="L3" s="80">
        <f>IFERROR('1.IS'!L8*PRODUCT(1-'1.IS'!$Q$5),"")</f>
        <v>142607.56546954901</v>
      </c>
      <c r="M3" s="124">
        <f>IFERROR('1.IS'!M8*PRODUCT(1-'1.IS'!$Q$5),"")</f>
        <v>167457.05913641164</v>
      </c>
      <c r="N3" s="80"/>
      <c r="O3" s="80"/>
      <c r="S3" s="13"/>
    </row>
    <row r="4" spans="1:19" s="6" customFormat="1" ht="24.95" customHeight="1">
      <c r="A4" s="109" t="s">
        <v>55</v>
      </c>
      <c r="B4" s="113">
        <f>IFERROR(VALUE(VLOOKUP("Cash And Cash Equivalents*",'7.TIKR_BS'!$A:$H,COLUMN(B4),FALSE)),"0")</f>
        <v>16701</v>
      </c>
      <c r="C4" s="113">
        <f>IFERROR(VALUE(VLOOKUP("Cash And Cash Equivalents*",'7.TIKR_BS'!$A:$H,COLUMN(C4),FALSE)),"0")</f>
        <v>18498</v>
      </c>
      <c r="D4" s="113">
        <f>IFERROR(VALUE(VLOOKUP("Cash And Cash Equivalents*",'7.TIKR_BS'!$A:$H,COLUMN(D4),FALSE)),"0")</f>
        <v>26465</v>
      </c>
      <c r="E4" s="113">
        <f>IFERROR(VALUE(VLOOKUP("Cash And Cash Equivalents*",'7.TIKR_BS'!$A:$H,COLUMN(E4),FALSE)),"0")</f>
        <v>20945</v>
      </c>
      <c r="F4" s="113">
        <f>IFERROR(VALUE(VLOOKUP("Cash And Cash Equivalents*",'7.TIKR_BS'!$A:$H,COLUMN(F4),FALSE)),"0")</f>
        <v>21879</v>
      </c>
      <c r="G4" s="113">
        <f>IFERROR(VALUE(VLOOKUP("Cash And Cash Equivalents*",'7.TIKR_BS'!$A:$H,COLUMN(G4),FALSE)),"0")</f>
        <v>24048</v>
      </c>
      <c r="H4" s="113">
        <f>IFERROR(VALUE(VLOOKUP("Cash And Cash Equivalents*",'7.TIKR_BS'!$A:$H,COLUMN(H4),FALSE)),"0")</f>
        <v>23466</v>
      </c>
      <c r="I4" s="115">
        <f>IFERROR(((H4+H5)+'2.FCF'!I17)*(1-(SUM($B$5:$H$5)/SUM($B$4:$H$5))),0)</f>
        <v>18188.506094854787</v>
      </c>
      <c r="J4" s="80">
        <f>IFERROR(((I4+I5)+'2.FCF'!J17)*(1-(SUM($B$5:$H$5)/SUM($B$4:$H$5))),0)</f>
        <v>18863.374135996215</v>
      </c>
      <c r="K4" s="80">
        <f>IFERROR(((J4+J5)+'2.FCF'!K17)*(1-(SUM($B$5:$H$5)/SUM($B$4:$H$5))),0)</f>
        <v>19655.838526665764</v>
      </c>
      <c r="L4" s="80">
        <f>IFERROR(((K4+K5)+'2.FCF'!L17)*(1-(SUM($B$5:$H$5)/SUM($B$4:$H$5))),0)</f>
        <v>20586.390534162081</v>
      </c>
      <c r="M4" s="124">
        <f>IFERROR(((L4+L5)+'2.FCF'!M17)*(1-(SUM($B$5:$H$5)/SUM($B$4:$H$5))),0)</f>
        <v>21679.092047126986</v>
      </c>
      <c r="N4" s="80"/>
      <c r="O4" s="80"/>
      <c r="S4" s="13"/>
    </row>
    <row r="5" spans="1:19" s="6" customFormat="1" ht="24.95" customHeight="1">
      <c r="A5" s="109" t="s">
        <v>56</v>
      </c>
      <c r="B5" s="113">
        <f>IFERROR(VALUE(VLOOKUP("Total Cash And Short Term Investments*",'7.TIKR_BS'!$A:$H,COLUMN(B5),FALSE))-B4,"0")</f>
        <v>92439</v>
      </c>
      <c r="C5" s="113">
        <f>IFERROR(VALUE(VLOOKUP("Total Cash And Short Term Investments*",'7.TIKR_BS'!$A:$H,COLUMN(C5),FALSE))-C4,"0")</f>
        <v>101177</v>
      </c>
      <c r="D5" s="113">
        <f>IFERROR(VALUE(VLOOKUP("Total Cash And Short Term Investments*",'7.TIKR_BS'!$A:$H,COLUMN(D5),FALSE))-D4,"0")</f>
        <v>110229</v>
      </c>
      <c r="E5" s="113">
        <f>IFERROR(VALUE(VLOOKUP("Total Cash And Short Term Investments*",'7.TIKR_BS'!$A:$H,COLUMN(E5),FALSE))-E4,"0")</f>
        <v>118704</v>
      </c>
      <c r="F5" s="113">
        <f>IFERROR(VALUE(VLOOKUP("Total Cash And Short Term Investments*",'7.TIKR_BS'!$A:$H,COLUMN(F5),FALSE))-F4,"0")</f>
        <v>91883</v>
      </c>
      <c r="G5" s="113">
        <f>IFERROR(VALUE(VLOOKUP("Total Cash And Short Term Investments*",'7.TIKR_BS'!$A:$H,COLUMN(G5),FALSE))-G4,"0")</f>
        <v>86868</v>
      </c>
      <c r="H5" s="113">
        <f>IFERROR(VALUE(VLOOKUP("Total Cash And Short Term Investments*",'7.TIKR_BS'!$A:$H,COLUMN(H5),FALSE))-H4,"0")</f>
        <v>72191</v>
      </c>
      <c r="I5" s="115">
        <f>IFERROR(((H4+H5)+'2.FCF'!I17)*(SUM($B$5:$H$5)/SUM($B$4:$H$5)),0)</f>
        <v>80589.697229838057</v>
      </c>
      <c r="J5" s="80">
        <f>IFERROR(((I4+I5)+'2.FCF'!J17)*(SUM($B$5:$H$5)/SUM($B$4:$H$5)),0)</f>
        <v>83579.904936949693</v>
      </c>
      <c r="K5" s="80">
        <f>IFERROR(((J4+J5)+'2.FCF'!K17)*(SUM($B$5:$H$5)/SUM($B$4:$H$5)),0)</f>
        <v>87091.158966083691</v>
      </c>
      <c r="L5" s="80">
        <f>IFERROR(((K4+K5)+'2.FCF'!L17)*(SUM($B$5:$H$5)/SUM($B$4:$H$5)),0)</f>
        <v>91214.252096968165</v>
      </c>
      <c r="M5" s="124">
        <f>IFERROR(((L4+L5)+'2.FCF'!M17)*(SUM($B$5:$H$5)/SUM($B$4:$H$5)),0)</f>
        <v>96055.79783102592</v>
      </c>
      <c r="N5" s="80"/>
      <c r="O5" s="80"/>
      <c r="S5" s="13"/>
    </row>
    <row r="6" spans="1:19" s="6" customFormat="1" ht="24.75" customHeight="1">
      <c r="A6" s="109" t="s">
        <v>57</v>
      </c>
      <c r="B6" s="253">
        <f>IFERROR(VALUE(VLOOKUP("Short Term Debt*",'7.TIKR_BS'!$A:$H,COLUMN(B6),FALSE)),"0")+IFERROR(VALUE(VLOOKUP("Other Current Liabilities*",'7.TIKR_BS'!$A:$H,COLUMN(B6),FALSE)),"0")</f>
        <v>28458</v>
      </c>
      <c r="C6" s="253">
        <f>IFERROR(VALUE(VLOOKUP("Short Term Debt*",'7.TIKR_BS'!$A:$H,COLUMN(C6),FALSE)),"0")+IFERROR(VALUE(VLOOKUP("Other Current Liabilities*",'7.TIKR_BS'!$A:$H,COLUMN(C6),FALSE)),"0")</f>
        <v>37752</v>
      </c>
      <c r="D6" s="253">
        <f>IFERROR(VALUE(VLOOKUP("Short Term Debt*",'7.TIKR_BS'!$A:$H,COLUMN(D6),FALSE)),"0")+IFERROR(VALUE(VLOOKUP("Other Current Liabilities*",'7.TIKR_BS'!$A:$H,COLUMN(D6),FALSE)),"0")</f>
        <v>48702</v>
      </c>
      <c r="E6" s="253">
        <f>IFERROR(VALUE(VLOOKUP("Short Term Debt*",'7.TIKR_BS'!$A:$H,COLUMN(E6),FALSE)),"0")+IFERROR(VALUE(VLOOKUP("Other Current Liabilities*",'7.TIKR_BS'!$A:$H,COLUMN(E6),FALSE)),"0")</f>
        <v>54929</v>
      </c>
      <c r="F6" s="253">
        <f>IFERROR(VALUE(VLOOKUP("Short Term Debt*",'7.TIKR_BS'!$A:$H,COLUMN(F6),FALSE)),"0")+IFERROR(VALUE(VLOOKUP("Other Current Liabilities*",'7.TIKR_BS'!$A:$H,COLUMN(F6),FALSE)),"0")</f>
        <v>60264</v>
      </c>
      <c r="G6" s="253">
        <f>IFERROR(VALUE(VLOOKUP("Short Term Debt*",'7.TIKR_BS'!$A:$H,COLUMN(G6),FALSE)),"0")+IFERROR(VALUE(VLOOKUP("Other Current Liabilities*",'7.TIKR_BS'!$A:$H,COLUMN(G6),FALSE)),"0")</f>
        <v>70184</v>
      </c>
      <c r="H6" s="253">
        <f>IFERROR(VALUE(VLOOKUP("Short Term Debt*",'7.TIKR_BS'!$A:$H,COLUMN(H6),FALSE)),"0")+IFERROR(VALUE(VLOOKUP("Other Current Liabilities*",'7.TIKR_BS'!$A:$H,COLUMN(H6),FALSE)),"0")</f>
        <v>67317</v>
      </c>
      <c r="I6" s="115">
        <f>IFERROR(IF((I4+I5+'4.Valoración'!I4)*TIKR_Cálculos!$B$17&gt;0,(I4+I5+'4.Valoración'!I4)*TIKR_Cálculos!$B$17,0),"0")</f>
        <v>11405.035208943456</v>
      </c>
      <c r="J6" s="80">
        <f>IFERROR(IF((J4+J5+'4.Valoración'!J4)*TIKR_Cálculos!$B$17&gt;0,(J4+J5+'4.Valoración'!J4)*TIKR_Cálculos!$B$17,0),"0")</f>
        <v>5064.8918815969428</v>
      </c>
      <c r="K6" s="80">
        <f>IFERROR(IF((K4+K5+'4.Valoración'!K4)*TIKR_Cálculos!$B$17&gt;0,(K4+K5+'4.Valoración'!K4)*TIKR_Cálculos!$B$17,0),"0")</f>
        <v>0</v>
      </c>
      <c r="L6" s="80">
        <f>IFERROR(IF((L4+L5+'4.Valoración'!L4)*TIKR_Cálculos!$B$17&gt;0,(L4+L5+'4.Valoración'!L4)*TIKR_Cálculos!$B$17,0),"0")</f>
        <v>0</v>
      </c>
      <c r="M6" s="124">
        <f>IFERROR(IF((M4+M5+'4.Valoración'!M4)*TIKR_Cálculos!$B$17&gt;0,(M4+M5+'4.Valoración'!M4)*TIKR_Cálculos!$B$17,0),"0")</f>
        <v>0</v>
      </c>
      <c r="N6" s="80"/>
      <c r="O6" s="80"/>
      <c r="S6" s="13"/>
    </row>
    <row r="7" spans="1:19" s="6" customFormat="1" ht="24.95" customHeight="1">
      <c r="A7" s="109" t="s">
        <v>58</v>
      </c>
      <c r="B7" s="113">
        <f>IFERROR(VALUE(VLOOKUP("Long Term Debt*",'7.TIKR_BS'!$A:$H,COLUMN(B7),FALSE)),"0")+IFERROR(VALUE(VLOOKUP("Other Non Current Liabilities*",'7.TIKR_BS'!$A:$H,COLUMN(B7),FALSE)),"0")</f>
        <v>18884</v>
      </c>
      <c r="C7" s="113">
        <f>IFERROR(VALUE(VLOOKUP("Long Term Debt*",'7.TIKR_BS'!$A:$H,COLUMN(C7),FALSE)),"0")+IFERROR(VALUE(VLOOKUP("Other Non Current Liabilities*",'7.TIKR_BS'!$A:$H,COLUMN(C7),FALSE)),"0")</f>
        <v>27187</v>
      </c>
      <c r="D7" s="113">
        <f>IFERROR(VALUE(VLOOKUP("Long Term Debt*",'7.TIKR_BS'!$A:$H,COLUMN(D7),FALSE)),"0")+IFERROR(VALUE(VLOOKUP("Other Non Current Liabilities*",'7.TIKR_BS'!$A:$H,COLUMN(D7),FALSE)),"0")</f>
        <v>36196</v>
      </c>
      <c r="E7" s="113">
        <f>IFERROR(VALUE(VLOOKUP("Long Term Debt*",'7.TIKR_BS'!$A:$H,COLUMN(E7),FALSE)),"0")+IFERROR(VALUE(VLOOKUP("Other Non Current Liabilities*",'7.TIKR_BS'!$A:$H,COLUMN(E7),FALSE)),"0")</f>
        <v>37587</v>
      </c>
      <c r="F7" s="113">
        <f>IFERROR(VALUE(VLOOKUP("Long Term Debt*",'7.TIKR_BS'!$A:$H,COLUMN(F7),FALSE)),"0")+IFERROR(VALUE(VLOOKUP("Other Non Current Liabilities*",'7.TIKR_BS'!$A:$H,COLUMN(F7),FALSE)),"0")</f>
        <v>38707</v>
      </c>
      <c r="G7" s="113">
        <f>IFERROR(VALUE(VLOOKUP("Long Term Debt*",'7.TIKR_BS'!$A:$H,COLUMN(G7),FALSE)),"0")+IFERROR(VALUE(VLOOKUP("Other Non Current Liabilities*",'7.TIKR_BS'!$A:$H,COLUMN(G7),FALSE)),"0")</f>
        <v>35803</v>
      </c>
      <c r="H7" s="113">
        <f>IFERROR(VALUE(VLOOKUP("Long Term Debt*",'7.TIKR_BS'!$A:$H,COLUMN(H7),FALSE)),"0")+IFERROR(VALUE(VLOOKUP("Other Non Current Liabilities*",'7.TIKR_BS'!$A:$H,COLUMN(H7),FALSE)),"0")</f>
        <v>36050</v>
      </c>
      <c r="I7" s="115">
        <f>IFERROR(IF((I4+I5+'4.Valoración'!I4)*TIKR_Cálculos!$B$18&gt;0,(I4+I5+'4.Valoración'!I4)*TIKR_Cálculos!$B$18,0),"0")</f>
        <v>7148.6313679142813</v>
      </c>
      <c r="J7" s="80">
        <f>IFERROR(IF((J4+J5+'4.Valoración'!J4)*TIKR_Cálculos!$B$18&gt;0,(J4+J5+'4.Valoración'!J4)*TIKR_Cálculos!$B$18,0),"0")</f>
        <v>3174.6543799782321</v>
      </c>
      <c r="K7" s="80">
        <f>IFERROR(IF((K4+K5+'4.Valoración'!K4)*TIKR_Cálculos!$B$18&gt;0,(K4+K5+'4.Valoración'!K4)*TIKR_Cálculos!$B$18,0),"0")</f>
        <v>0</v>
      </c>
      <c r="L7" s="80">
        <f>IFERROR(IF((L4+L5+'4.Valoración'!L4)*TIKR_Cálculos!$B$18&gt;0,(L4+L5+'4.Valoración'!L4)*TIKR_Cálculos!$B$18,0),"0")</f>
        <v>0</v>
      </c>
      <c r="M7" s="124">
        <f>IFERROR(IF((M4+M5+'4.Valoración'!M4)*TIKR_Cálculos!$B$18&gt;0,(M4+M5+'4.Valoración'!M4)*TIKR_Cálculos!$B$18,0),"0")</f>
        <v>0</v>
      </c>
      <c r="N7" s="80"/>
      <c r="O7" s="80"/>
      <c r="P7" s="80"/>
      <c r="Q7" s="80"/>
      <c r="R7" s="80"/>
      <c r="S7" s="12"/>
    </row>
    <row r="8" spans="1:19" s="6" customFormat="1" ht="24.95" customHeight="1">
      <c r="A8" s="109" t="s">
        <v>59</v>
      </c>
      <c r="B8" s="113">
        <f>IFERROR(VALUE(VLOOKUP("Other Current Liabilities*",'7.TIKR_BS'!$A:$H,COLUMN(B8),FALSE)),"0")</f>
        <v>28389</v>
      </c>
      <c r="C8" s="113">
        <f>IFERROR(VALUE(VLOOKUP("Other Current Liabilities*",'7.TIKR_BS'!$A:$H,COLUMN(C8),FALSE)),"0")</f>
        <v>36553</v>
      </c>
      <c r="D8" s="113">
        <f>IFERROR(VALUE(VLOOKUP("Other Current Liabilities*",'7.TIKR_BS'!$A:$H,COLUMN(D8),FALSE)),"0")</f>
        <v>47008</v>
      </c>
      <c r="E8" s="113">
        <f>IFERROR(VALUE(VLOOKUP("Other Current Liabilities*",'7.TIKR_BS'!$A:$H,COLUMN(E8),FALSE)),"0")</f>
        <v>52740</v>
      </c>
      <c r="F8" s="113">
        <f>IFERROR(VALUE(VLOOKUP("Other Current Liabilities*",'7.TIKR_BS'!$A:$H,COLUMN(F8),FALSE)),"0")</f>
        <v>57787</v>
      </c>
      <c r="G8" s="113">
        <f>IFERROR(VALUE(VLOOKUP("Other Current Liabilities*",'7.TIKR_BS'!$A:$H,COLUMN(G8),FALSE)),"0")</f>
        <v>67393</v>
      </c>
      <c r="H8" s="113">
        <f>IFERROR(VALUE(VLOOKUP("Other Current Liabilities*",'7.TIKR_BS'!$A:$H,COLUMN(H8),FALSE)),"0")</f>
        <v>67317</v>
      </c>
      <c r="I8" s="115">
        <f>IFERROR(H8*'1.IS'!$Q$3+H8,"")</f>
        <v>79047.046436627395</v>
      </c>
      <c r="J8" s="80">
        <f>IFERROR(I8*'1.IS'!$Q$3+I8,"")</f>
        <v>92821.063778158976</v>
      </c>
      <c r="K8" s="80">
        <f>IFERROR(J8*'1.IS'!$Q$3+J8,"")</f>
        <v>108995.2157518797</v>
      </c>
      <c r="L8" s="80">
        <f>IFERROR(K8*'1.IS'!$Q$3+K8,"")</f>
        <v>127987.72792770113</v>
      </c>
      <c r="M8" s="124">
        <f>IFERROR(L8*'1.IS'!$Q$3+L8,"")</f>
        <v>150289.70204880525</v>
      </c>
      <c r="N8" s="80"/>
      <c r="O8" s="80"/>
      <c r="P8" s="80"/>
      <c r="Q8" s="80"/>
      <c r="R8" s="80"/>
      <c r="S8" s="12"/>
    </row>
    <row r="9" spans="1:19" s="6" customFormat="1" ht="24.95" customHeight="1">
      <c r="A9" s="109" t="s">
        <v>60</v>
      </c>
      <c r="B9" s="113">
        <f>IFERROR(VALUE(VLOOKUP("Other Non Current Liabilities*",'7.TIKR_BS'!$A:$H,COLUMN(B9),FALSE)),"0")</f>
        <v>14872</v>
      </c>
      <c r="C9" s="113">
        <f>IFERROR(VALUE(VLOOKUP("Other Non Current Liabilities*",'7.TIKR_BS'!$A:$H,COLUMN(C9),FALSE)),"0")</f>
        <v>12419</v>
      </c>
      <c r="D9" s="113">
        <f>IFERROR(VALUE(VLOOKUP("Other Non Current Liabilities*",'7.TIKR_BS'!$A:$H,COLUMN(D9),FALSE)),"0")</f>
        <v>11118</v>
      </c>
      <c r="E9" s="113">
        <f>IFERROR(VALUE(VLOOKUP("Other Non Current Liabilities*",'7.TIKR_BS'!$A:$H,COLUMN(E9),FALSE)),"0")</f>
        <v>11381</v>
      </c>
      <c r="F9" s="113">
        <f>IFERROR(VALUE(VLOOKUP("Other Non Current Liabilities*",'7.TIKR_BS'!$A:$H,COLUMN(F9),FALSE)),"0")</f>
        <v>11505</v>
      </c>
      <c r="G9" s="113">
        <f>IFERROR(VALUE(VLOOKUP("Other Non Current Liabilities*",'7.TIKR_BS'!$A:$H,COLUMN(G9),FALSE)),"0")</f>
        <v>10090</v>
      </c>
      <c r="H9" s="113">
        <f>IFERROR(VALUE(VLOOKUP("Other Non Current Liabilities*",'7.TIKR_BS'!$A:$H,COLUMN(H9),FALSE)),"0")</f>
        <v>13476</v>
      </c>
      <c r="I9" s="115">
        <f>IFERROR(H9*'1.IS'!$Q$3+H9,"")</f>
        <v>15824.204848403684</v>
      </c>
      <c r="J9" s="80">
        <f>IFERROR(I9*'1.IS'!$Q$3+I9,"")</f>
        <v>18581.58645623647</v>
      </c>
      <c r="K9" s="80">
        <f>IFERROR(J9*'1.IS'!$Q$3+J9,"")</f>
        <v>21819.444233586328</v>
      </c>
      <c r="L9" s="80">
        <f>IFERROR(K9*'1.IS'!$Q$3+K9,"")</f>
        <v>25621.501575437116</v>
      </c>
      <c r="M9" s="124">
        <f>IFERROR(L9*'1.IS'!$Q$3+L9,"")</f>
        <v>30086.070751960124</v>
      </c>
      <c r="N9" s="80"/>
      <c r="O9" s="80"/>
      <c r="P9" s="80"/>
      <c r="Q9" s="80"/>
      <c r="R9" s="80"/>
      <c r="S9" s="12"/>
    </row>
    <row r="10" spans="1:19" s="6" customFormat="1" ht="24.95" customHeight="1">
      <c r="A10" s="109" t="s">
        <v>61</v>
      </c>
      <c r="B10" s="113">
        <f>IFERROR(VALUE(VLOOKUP("Total Stockholders Equity*",'7.TIKR_BS'!$A:$H,COLUMN(B10),FALSE)),"0")</f>
        <v>177628</v>
      </c>
      <c r="C10" s="113">
        <f>IFERROR(VALUE(VLOOKUP("Total Stockholders Equity*",'7.TIKR_BS'!$A:$H,COLUMN(C10),FALSE)),"0")</f>
        <v>201442</v>
      </c>
      <c r="D10" s="113">
        <f>IFERROR(VALUE(VLOOKUP("Total Stockholders Equity*",'7.TIKR_BS'!$A:$H,COLUMN(D10),FALSE)),"0")</f>
        <v>222544</v>
      </c>
      <c r="E10" s="113">
        <f>IFERROR(VALUE(VLOOKUP("Total Stockholders Equity*",'7.TIKR_BS'!$A:$H,COLUMN(E10),FALSE)),"0")</f>
        <v>251635</v>
      </c>
      <c r="F10" s="113">
        <f>IFERROR(VALUE(VLOOKUP("Total Stockholders Equity*",'7.TIKR_BS'!$A:$H,COLUMN(F10),FALSE)),"0")</f>
        <v>256144</v>
      </c>
      <c r="G10" s="113">
        <f>IFERROR(VALUE(VLOOKUP("Total Stockholders Equity*",'7.TIKR_BS'!$A:$H,COLUMN(G10),FALSE)),"0")</f>
        <v>283379</v>
      </c>
      <c r="H10" s="113">
        <f>IFERROR(VALUE(VLOOKUP("Total Stockholders Equity*",'7.TIKR_BS'!$A:$H,COLUMN(H10),FALSE)),"0")</f>
        <v>325084</v>
      </c>
      <c r="I10" s="115">
        <f>IFERROR(H10*'1.IS'!$Q$3+H10,"")</f>
        <v>381730.17282119795</v>
      </c>
      <c r="J10" s="80">
        <f>IFERROR(I10*'1.IS'!$Q$3+I10,"")</f>
        <v>448246.99106108467</v>
      </c>
      <c r="K10" s="80">
        <f>IFERROR(J10*'1.IS'!$Q$3+J10,"")</f>
        <v>526354.42336236115</v>
      </c>
      <c r="L10" s="80">
        <f>IFERROR(K10*'1.IS'!$Q$3+K10,"")</f>
        <v>618072.14441595436</v>
      </c>
      <c r="M10" s="124">
        <f>IFERROR(L10*'1.IS'!$Q$3+L10,"")</f>
        <v>725771.75900342886</v>
      </c>
      <c r="N10" s="80"/>
      <c r="O10" s="80"/>
      <c r="P10" s="80"/>
      <c r="Q10" s="80"/>
      <c r="R10" s="80"/>
      <c r="S10" s="12"/>
    </row>
    <row r="11" spans="1:19" s="6" customFormat="1" ht="24.95" customHeight="1">
      <c r="A11" s="150" t="s">
        <v>62</v>
      </c>
      <c r="B11" s="157">
        <f t="shared" ref="B11:H11" si="0">B10+B6+B7+B8+B9-B5</f>
        <v>175792</v>
      </c>
      <c r="C11" s="151">
        <f t="shared" si="0"/>
        <v>214176</v>
      </c>
      <c r="D11" s="151">
        <f t="shared" si="0"/>
        <v>255339</v>
      </c>
      <c r="E11" s="151">
        <f t="shared" si="0"/>
        <v>289568</v>
      </c>
      <c r="F11" s="151">
        <f t="shared" si="0"/>
        <v>332524</v>
      </c>
      <c r="G11" s="151">
        <f t="shared" si="0"/>
        <v>379981</v>
      </c>
      <c r="H11" s="155">
        <f t="shared" si="0"/>
        <v>437053</v>
      </c>
      <c r="I11" s="156">
        <f>IFERROR(I10+I6+I7+I8+I9-I5,"")</f>
        <v>414565.39345324872</v>
      </c>
      <c r="J11" s="152">
        <f>IFERROR(J10+J6+J7+J8+J9-J5,"")</f>
        <v>484309.28262010554</v>
      </c>
      <c r="K11" s="152">
        <f>IFERROR(K10+K6+K7+K8+K9-K5,"")</f>
        <v>570077.92438174353</v>
      </c>
      <c r="L11" s="152">
        <f>IFERROR(L10+L6+L7+L8+L9-L5,"")</f>
        <v>680467.12182212446</v>
      </c>
      <c r="M11" s="153">
        <f>IFERROR(M10+M6+M7+M8+M9-M5,"")</f>
        <v>810091.7339731683</v>
      </c>
      <c r="N11" s="80"/>
      <c r="O11" s="80"/>
      <c r="P11" s="80"/>
      <c r="Q11" s="80"/>
      <c r="R11" s="80"/>
      <c r="S11" s="12"/>
    </row>
    <row r="12" spans="1:19" s="160" customFormat="1" ht="30" customHeight="1">
      <c r="A12" s="4"/>
      <c r="B12" s="5"/>
      <c r="C12" s="5"/>
      <c r="D12" s="5"/>
      <c r="E12" s="5"/>
      <c r="F12" s="5"/>
      <c r="G12" s="5"/>
      <c r="H12" s="5"/>
      <c r="I12" s="5"/>
      <c r="J12" s="5"/>
      <c r="K12" s="5"/>
      <c r="L12" s="5"/>
      <c r="M12" s="5"/>
      <c r="N12" s="5"/>
      <c r="O12" s="5"/>
      <c r="P12" s="5"/>
      <c r="Q12" s="5"/>
      <c r="R12" s="5"/>
      <c r="S12" s="23"/>
    </row>
    <row r="13" spans="1:19" s="161" customFormat="1" ht="39.950000000000003" customHeight="1">
      <c r="A13" s="44" t="s">
        <v>63</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4" t="s">
        <v>64</v>
      </c>
      <c r="B14" s="134">
        <f>IFERROR('1.IS'!B18/B10,"")</f>
        <v>0.14384556488841849</v>
      </c>
      <c r="C14" s="24">
        <f>IFERROR('1.IS'!C18/C10,"")</f>
        <v>0.16998937659475183</v>
      </c>
      <c r="D14" s="24">
        <f>IFERROR('1.IS'!D18/D10,"")</f>
        <v>0.18034186497950966</v>
      </c>
      <c r="E14" s="24">
        <f>IFERROR('1.IS'!E18/E10,"")</f>
        <v>0.30078089296004135</v>
      </c>
      <c r="F14" s="24">
        <f>IFERROR('1.IS'!F18/F10,"")</f>
        <v>0.23274017740021238</v>
      </c>
      <c r="G14" s="24">
        <f>IFERROR('1.IS'!G18/G10,"")</f>
        <v>0.24677199086735432</v>
      </c>
      <c r="H14" s="48">
        <f>IFERROR('1.IS'!H18/H10,"")</f>
        <v>0.30797578472025694</v>
      </c>
      <c r="I14" s="111">
        <f>IFERROR('1.IS'!I18/I10,"")</f>
        <v>0.23838293683808162</v>
      </c>
      <c r="J14" s="24">
        <f>IFERROR('1.IS'!J18/J10,"")</f>
        <v>0.23753571384164651</v>
      </c>
      <c r="K14" s="24">
        <f>IFERROR('1.IS'!K18/K10,"")</f>
        <v>0.23680023449056617</v>
      </c>
      <c r="L14" s="24">
        <f>IFERROR('1.IS'!L18/L10,"")</f>
        <v>0.23614414788272864</v>
      </c>
      <c r="M14" s="24">
        <f>IFERROR('1.IS'!M18/M10,"")</f>
        <v>0.23558542008490749</v>
      </c>
      <c r="N14" s="148">
        <f>IFERROR(AVERAGE(B14:H14),"")</f>
        <v>0.22606366463007782</v>
      </c>
      <c r="O14" s="189"/>
      <c r="P14" s="189"/>
      <c r="Q14" s="189"/>
      <c r="R14" s="189"/>
    </row>
    <row r="15" spans="1:19" s="50" customFormat="1" ht="24.95" customHeight="1">
      <c r="A15" s="141" t="s">
        <v>65</v>
      </c>
      <c r="B15" s="134">
        <f t="shared" ref="B15:M15" si="1">IFERROR(B3/B11,"")</f>
        <v>0.12511352241671719</v>
      </c>
      <c r="C15" s="24">
        <f t="shared" si="1"/>
        <v>0.13355180328089225</v>
      </c>
      <c r="D15" s="24">
        <f t="shared" si="1"/>
        <v>0.13490683374402765</v>
      </c>
      <c r="E15" s="24">
        <f t="shared" si="1"/>
        <v>0.22714458565936554</v>
      </c>
      <c r="F15" s="24">
        <f t="shared" si="1"/>
        <v>0.18807166172291095</v>
      </c>
      <c r="G15" s="24">
        <f t="shared" si="1"/>
        <v>0.18536622374906647</v>
      </c>
      <c r="H15" s="48">
        <f t="shared" si="1"/>
        <v>0.21487927936718154</v>
      </c>
      <c r="I15" s="111">
        <f t="shared" si="1"/>
        <v>0.21245494205886686</v>
      </c>
      <c r="J15" s="24">
        <f t="shared" si="1"/>
        <v>0.21354921763637538</v>
      </c>
      <c r="K15" s="24">
        <f t="shared" si="1"/>
        <v>0.21303327703864924</v>
      </c>
      <c r="L15" s="24">
        <f t="shared" si="1"/>
        <v>0.20957304312907998</v>
      </c>
      <c r="M15" s="24">
        <f t="shared" si="1"/>
        <v>0.20671369934254646</v>
      </c>
      <c r="N15" s="148">
        <f>IFERROR(AVERAGE(B15:H15),"")</f>
        <v>0.17271912999145167</v>
      </c>
      <c r="O15" s="189"/>
      <c r="P15" s="189"/>
      <c r="Q15" s="189"/>
      <c r="R15" s="189"/>
    </row>
    <row r="16" spans="1:19" s="50" customFormat="1" ht="24.95" customHeight="1">
      <c r="A16" s="190" t="s">
        <v>66</v>
      </c>
      <c r="B16" s="158">
        <f>IFERROR(TIKR_Cálculos!B11/'2.FCF'!B13,"")</f>
        <v>1.2783844076552777</v>
      </c>
      <c r="C16" s="154">
        <f>IFERROR(TIKR_Cálculos!C11/'2.FCF'!C13,"")</f>
        <v>2.3124896699906343</v>
      </c>
      <c r="D16" s="154">
        <f>IFERROR(TIKR_Cálculos!D11/'2.FCF'!D13,"")</f>
        <v>2.6108829568788501</v>
      </c>
      <c r="E16" s="154">
        <f>IFERROR(TIKR_Cálculos!E11/'2.FCF'!E13,"")</f>
        <v>1.5696391823295377</v>
      </c>
      <c r="F16" s="154">
        <f>IFERROR(TIKR_Cálculos!F11/'2.FCF'!F13,"")</f>
        <v>1.1814651257477529</v>
      </c>
      <c r="G16" s="154">
        <f>IFERROR(TIKR_Cálculos!G11/'2.FCF'!G13,"")</f>
        <v>0.89043322983435724</v>
      </c>
      <c r="H16" s="154">
        <f>IFERROR(TIKR_Cálculos!H11/'2.FCF'!H13,"")</f>
        <v>0.67069855939113887</v>
      </c>
      <c r="I16" s="127"/>
      <c r="J16" s="154"/>
      <c r="K16" s="154"/>
      <c r="L16" s="154"/>
      <c r="M16" s="154"/>
      <c r="N16" s="159">
        <f>IFERROR(AVERAGE(B16:H16),"")</f>
        <v>1.501999018832507</v>
      </c>
      <c r="O16" s="189"/>
      <c r="P16" s="189"/>
      <c r="Q16" s="189"/>
      <c r="R16" s="189"/>
    </row>
    <row r="17" spans="1:13" ht="37.5" customHeight="1">
      <c r="A17" s="160"/>
      <c r="B17" s="192"/>
      <c r="C17" s="192"/>
      <c r="D17" s="192"/>
      <c r="E17" s="192"/>
      <c r="F17" s="193"/>
      <c r="G17" s="193"/>
      <c r="H17" s="192"/>
    </row>
    <row r="18" spans="1:13">
      <c r="I18" s="191"/>
      <c r="M18" s="191"/>
    </row>
    <row r="19" spans="1:13">
      <c r="I19" s="191"/>
      <c r="J19" s="191"/>
      <c r="K19" s="191"/>
      <c r="L19" s="191"/>
      <c r="M19" s="191"/>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A14" zoomScale="90" zoomScaleNormal="90" workbookViewId="0">
      <selection activeCell="D17" sqref="D17"/>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67</v>
      </c>
      <c r="N1" s="26"/>
    </row>
    <row r="2" spans="1:14" s="6" customFormat="1" ht="39.950000000000003" customHeight="1">
      <c r="A2" s="108" t="s">
        <v>68</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69</v>
      </c>
      <c r="B3" s="131"/>
      <c r="C3" s="84"/>
      <c r="D3" s="84"/>
      <c r="E3" s="84"/>
      <c r="F3" s="84"/>
      <c r="G3" s="84"/>
      <c r="H3" s="80">
        <f>$D$12*'1.IS'!H22</f>
        <v>2115990</v>
      </c>
      <c r="I3" s="115">
        <f>IFERROR($D$12*'1.IS'!I22,"")</f>
        <v>2073370.0589859269</v>
      </c>
      <c r="J3" s="84">
        <f>IFERROR($D$12*'1.IS'!J22,"")</f>
        <v>2031608.5621856935</v>
      </c>
      <c r="K3" s="84">
        <f>IFERROR($D$12*'1.IS'!K22,"")</f>
        <v>1990688.2189496476</v>
      </c>
      <c r="L3" s="84">
        <f>IFERROR($D$12*'1.IS'!L22,"")</f>
        <v>1950592.0868937094</v>
      </c>
      <c r="M3" s="136">
        <f>IFERROR($D$12*'1.IS'!M22,"")</f>
        <v>1911303.5648846603</v>
      </c>
      <c r="N3" s="105"/>
    </row>
    <row r="4" spans="1:14" s="6" customFormat="1" ht="24.95" customHeight="1" thickBot="1">
      <c r="A4" s="47" t="s">
        <v>70</v>
      </c>
      <c r="B4" s="131">
        <f>('3.ROIC'!B7+'3.ROIC'!B6)-('3.ROIC'!B4+'3.ROIC'!B5)</f>
        <v>-61798</v>
      </c>
      <c r="C4" s="84">
        <f>('3.ROIC'!C7+'3.ROIC'!C6)-('3.ROIC'!C4+'3.ROIC'!C5)</f>
        <v>-54736</v>
      </c>
      <c r="D4" s="84">
        <f>('3.ROIC'!D7+'3.ROIC'!D6)-('3.ROIC'!D4+'3.ROIC'!D5)</f>
        <v>-51796</v>
      </c>
      <c r="E4" s="84">
        <f>('3.ROIC'!E7+'3.ROIC'!E6)-('3.ROIC'!E4+'3.ROIC'!E5)</f>
        <v>-47133</v>
      </c>
      <c r="F4" s="84">
        <f>('3.ROIC'!F7+'3.ROIC'!F6)-('3.ROIC'!F4+'3.ROIC'!F5)</f>
        <v>-14791</v>
      </c>
      <c r="G4" s="84">
        <f>('3.ROIC'!G7+'3.ROIC'!G6)-('3.ROIC'!G4+'3.ROIC'!G5)</f>
        <v>-4929</v>
      </c>
      <c r="H4" s="80">
        <f>('3.ROIC'!H7+'3.ROIC'!H6)-('3.ROIC'!H4+'3.ROIC'!H5)</f>
        <v>7710</v>
      </c>
      <c r="I4" s="115">
        <f>IFERROR(I5*'1.IS'!I5,"")</f>
        <v>-80224.536747835111</v>
      </c>
      <c r="J4" s="80">
        <f>IFERROR(J5*'1.IS'!J5,"")</f>
        <v>-94203.732811370734</v>
      </c>
      <c r="K4" s="80">
        <f>IFERROR(K5*'1.IS'!K5,"")</f>
        <v>-110618.81607980246</v>
      </c>
      <c r="L4" s="80">
        <f>IFERROR(L5*'1.IS'!L5,"")</f>
        <v>-129894.24204027052</v>
      </c>
      <c r="M4" s="124">
        <f>IFERROR(M5*'1.IS'!M5,"")</f>
        <v>-152528.42792174016</v>
      </c>
      <c r="N4" s="105"/>
    </row>
    <row r="5" spans="1:14" s="6" customFormat="1" ht="24.95" customHeight="1" thickTop="1" thickBot="1">
      <c r="A5" s="101" t="s">
        <v>71</v>
      </c>
      <c r="B5" s="165">
        <f>IFERROR('4.Valoración'!B4/'1.IS'!B5,"")</f>
        <v>-1.7478787193121395</v>
      </c>
      <c r="C5" s="100">
        <f>IFERROR('4.Valoración'!C4/'1.IS'!C5,"")</f>
        <v>-1.1896027123359123</v>
      </c>
      <c r="D5" s="100">
        <f>IFERROR('4.Valoración'!D4/'1.IS'!D5,"")</f>
        <v>-0.94310008921906008</v>
      </c>
      <c r="E5" s="100">
        <f>IFERROR('4.Valoración'!E4/'1.IS'!E5,"")</f>
        <v>-0.51706434095770937</v>
      </c>
      <c r="F5" s="100">
        <f>IFERROR('4.Valoración'!F4/'1.IS'!F5,"")</f>
        <v>-0.16295031398039</v>
      </c>
      <c r="G5" s="100">
        <f>IFERROR('4.Valoración'!G4/'1.IS'!G5,"")</f>
        <v>-5.1216242895291926E-2</v>
      </c>
      <c r="H5" s="106">
        <f>IFERROR('4.Valoración'!H4/'1.IS'!H5,"")</f>
        <v>6.0375408180045574E-2</v>
      </c>
      <c r="I5" s="236">
        <f>IFERROR(AVERAGE('4.Valoración'!B5:H5),"")</f>
        <v>-0.65020528721720805</v>
      </c>
      <c r="J5" s="237">
        <f>I5</f>
        <v>-0.65020528721720805</v>
      </c>
      <c r="K5" s="237">
        <f t="shared" ref="K5:M5" si="0">J5</f>
        <v>-0.65020528721720805</v>
      </c>
      <c r="L5" s="237">
        <f t="shared" si="0"/>
        <v>-0.65020528721720805</v>
      </c>
      <c r="M5" s="238">
        <f t="shared" si="0"/>
        <v>-0.65020528721720805</v>
      </c>
      <c r="N5" s="107"/>
    </row>
    <row r="6" spans="1:14" s="6" customFormat="1" ht="24.95" customHeight="1" thickTop="1">
      <c r="A6" s="164" t="s">
        <v>72</v>
      </c>
      <c r="B6" s="157"/>
      <c r="C6" s="151"/>
      <c r="D6" s="151"/>
      <c r="E6" s="151"/>
      <c r="F6" s="151"/>
      <c r="G6" s="151"/>
      <c r="H6" s="151">
        <f>H3+H4</f>
        <v>2123700</v>
      </c>
      <c r="I6" s="157">
        <f>IFERROR((I3+I4),"")</f>
        <v>1993145.5222380918</v>
      </c>
      <c r="J6" s="151">
        <f>IFERROR((J3+J4),"")</f>
        <v>1937404.8293743229</v>
      </c>
      <c r="K6" s="151">
        <f>IFERROR((K3+K4),"")</f>
        <v>1880069.4028698453</v>
      </c>
      <c r="L6" s="151">
        <f>IFERROR((L3+L4),"")</f>
        <v>1820697.8448534389</v>
      </c>
      <c r="M6" s="166">
        <f>IFERROR((M3+M4),"")</f>
        <v>1758775.1369629202</v>
      </c>
    </row>
    <row r="7" spans="1:14" s="6" customFormat="1" ht="24.95" customHeight="1">
      <c r="A7" s="20" t="s">
        <v>7</v>
      </c>
      <c r="B7" s="91">
        <f>'1.IS'!B5</f>
        <v>35356</v>
      </c>
      <c r="C7" s="91">
        <f>'1.IS'!C5</f>
        <v>46012</v>
      </c>
      <c r="D7" s="91">
        <f>'1.IS'!D5</f>
        <v>54921</v>
      </c>
      <c r="E7" s="91">
        <f>'1.IS'!E5</f>
        <v>91155</v>
      </c>
      <c r="F7" s="91">
        <f>'1.IS'!F5</f>
        <v>90770</v>
      </c>
      <c r="G7" s="91">
        <f>'1.IS'!G5</f>
        <v>96239</v>
      </c>
      <c r="H7" s="92">
        <f>'1.IS'!H5</f>
        <v>127701</v>
      </c>
      <c r="I7" s="93">
        <f>'1.IS'!I5</f>
        <v>123383.39648264847</v>
      </c>
      <c r="J7" s="91">
        <f>'1.IS'!J5</f>
        <v>144883.06180121997</v>
      </c>
      <c r="K7" s="91">
        <f>'1.IS'!K5</f>
        <v>170129.06270454405</v>
      </c>
      <c r="L7" s="91">
        <f>'1.IS'!L5</f>
        <v>199774.20146212677</v>
      </c>
      <c r="M7" s="91">
        <f>'1.IS'!M5</f>
        <v>234585.0317128941</v>
      </c>
      <c r="N7" s="29"/>
    </row>
    <row r="8" spans="1:14" s="6" customFormat="1" ht="24.95" customHeight="1">
      <c r="A8" s="20" t="s">
        <v>73</v>
      </c>
      <c r="B8" s="91">
        <f>'1.IS'!B8</f>
        <v>26321</v>
      </c>
      <c r="C8" s="91">
        <f>'1.IS'!C8</f>
        <v>34231</v>
      </c>
      <c r="D8" s="91">
        <f>'1.IS'!D8</f>
        <v>41224</v>
      </c>
      <c r="E8" s="91">
        <f>'1.IS'!E8</f>
        <v>78714</v>
      </c>
      <c r="F8" s="91">
        <f>'1.IS'!F8</f>
        <v>74842</v>
      </c>
      <c r="G8" s="91">
        <f>'1.IS'!G8</f>
        <v>84293</v>
      </c>
      <c r="H8" s="92">
        <f>'1.IS'!H8</f>
        <v>112390</v>
      </c>
      <c r="I8" s="93">
        <f>'1.IS'!I8</f>
        <v>105404.44127087134</v>
      </c>
      <c r="J8" s="91">
        <f>'1.IS'!J8</f>
        <v>123771.257836287</v>
      </c>
      <c r="K8" s="91">
        <f>'1.IS'!K8</f>
        <v>145338.50833674645</v>
      </c>
      <c r="L8" s="91">
        <f>'1.IS'!L8</f>
        <v>170663.87119932493</v>
      </c>
      <c r="M8" s="91">
        <f>'1.IS'!M8</f>
        <v>200402.20080733893</v>
      </c>
      <c r="N8" s="29"/>
    </row>
    <row r="9" spans="1:14" s="6" customFormat="1" ht="24.95" customHeight="1">
      <c r="A9" s="20" t="s">
        <v>74</v>
      </c>
      <c r="B9" s="91">
        <f>'1.IS'!B18</f>
        <v>25551</v>
      </c>
      <c r="C9" s="91">
        <f>'1.IS'!C18</f>
        <v>34243</v>
      </c>
      <c r="D9" s="91">
        <f>'1.IS'!D18</f>
        <v>40134</v>
      </c>
      <c r="E9" s="91">
        <f>'1.IS'!E18</f>
        <v>75687</v>
      </c>
      <c r="F9" s="91">
        <f>'1.IS'!F18</f>
        <v>59615</v>
      </c>
      <c r="G9" s="91">
        <f>'1.IS'!G18</f>
        <v>69930</v>
      </c>
      <c r="H9" s="92">
        <f>'1.IS'!H18</f>
        <v>100118</v>
      </c>
      <c r="I9" s="93">
        <f>'1.IS'!I18</f>
        <v>90997.959676825616</v>
      </c>
      <c r="J9" s="91">
        <f>'1.IS'!J18</f>
        <v>106474.66899906489</v>
      </c>
      <c r="K9" s="91">
        <f>'1.IS'!K18</f>
        <v>124640.85087735386</v>
      </c>
      <c r="L9" s="91">
        <f>'1.IS'!L18</f>
        <v>145954.11987315633</v>
      </c>
      <c r="M9" s="91">
        <f>'1.IS'!M18</f>
        <v>170981.24473058502</v>
      </c>
      <c r="N9" s="29"/>
    </row>
    <row r="10" spans="1:14" s="6" customFormat="1" ht="24.95" customHeight="1">
      <c r="A10" s="28" t="s">
        <v>75</v>
      </c>
      <c r="B10" s="94">
        <f>'2.FCF'!B13</f>
        <v>25551</v>
      </c>
      <c r="C10" s="94">
        <f>'2.FCF'!C13</f>
        <v>36302</v>
      </c>
      <c r="D10" s="94">
        <f>'2.FCF'!D13</f>
        <v>47726</v>
      </c>
      <c r="E10" s="94">
        <f>'2.FCF'!E13</f>
        <v>72890</v>
      </c>
      <c r="F10" s="94">
        <f>'2.FCF'!F13</f>
        <v>63858</v>
      </c>
      <c r="G10" s="94">
        <f>'2.FCF'!G13</f>
        <v>75041</v>
      </c>
      <c r="H10" s="94">
        <f>'2.FCF'!H13</f>
        <v>95654</v>
      </c>
      <c r="I10" s="95">
        <f>'2.FCF'!I13</f>
        <v>94127.691935723618</v>
      </c>
      <c r="J10" s="94">
        <f>'2.FCF'!J13</f>
        <v>110149.75985580722</v>
      </c>
      <c r="K10" s="94">
        <f>'2.FCF'!K13</f>
        <v>128956.32954710646</v>
      </c>
      <c r="L10" s="94">
        <f>'2.FCF'!L13</f>
        <v>151021.5744953797</v>
      </c>
      <c r="M10" s="94">
        <f>'2.FCF'!M13</f>
        <v>176931.70777615139</v>
      </c>
      <c r="N10" s="29"/>
    </row>
    <row r="11" spans="1:14" s="6" customFormat="1" ht="20.100000000000001" customHeight="1" thickBot="1">
      <c r="A11" s="102"/>
      <c r="B11" s="87"/>
      <c r="C11" s="87"/>
      <c r="D11" s="87"/>
      <c r="E11" s="87"/>
      <c r="F11" s="87"/>
      <c r="G11" s="87"/>
      <c r="H11" s="87"/>
      <c r="I11" s="87"/>
      <c r="J11" s="87"/>
      <c r="K11" s="87"/>
      <c r="L11" s="87"/>
      <c r="M11" s="87"/>
      <c r="N11" s="29"/>
    </row>
    <row r="12" spans="1:14" s="6" customFormat="1" ht="24.95" customHeight="1" thickTop="1" thickBot="1">
      <c r="A12" s="263" t="s">
        <v>76</v>
      </c>
      <c r="B12" s="264"/>
      <c r="C12" s="265"/>
      <c r="D12" s="225">
        <v>170</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08" t="s">
        <v>77</v>
      </c>
      <c r="B14" s="162" t="s">
        <v>78</v>
      </c>
      <c r="C14" s="162" t="s">
        <v>79</v>
      </c>
      <c r="D14" s="232" t="s">
        <v>80</v>
      </c>
      <c r="E14" s="59"/>
      <c r="G14" s="7"/>
      <c r="H14" s="7"/>
      <c r="I14" s="7"/>
      <c r="J14" s="7"/>
      <c r="K14" s="7"/>
      <c r="L14" s="7"/>
      <c r="M14" s="7"/>
    </row>
    <row r="15" spans="1:14" s="6" customFormat="1" ht="24.95" customHeight="1" thickBot="1">
      <c r="A15" s="169" t="s">
        <v>81</v>
      </c>
      <c r="B15" s="170">
        <f>IF(D12&lt;&gt;"",IFERROR(D12/'1.IS'!H20,""),"")</f>
        <v>21.134960746319344</v>
      </c>
      <c r="C15" s="170">
        <f>IF(D12&lt;&gt;"",IFERROR(D12/'1.IS'!I20,""),"")</f>
        <v>22.784797223469511</v>
      </c>
      <c r="D15" s="233">
        <v>24</v>
      </c>
      <c r="E15" s="60"/>
      <c r="G15" s="7"/>
      <c r="H15" s="7"/>
      <c r="I15" s="7"/>
      <c r="J15" s="7"/>
      <c r="K15" s="7"/>
      <c r="L15" s="7"/>
      <c r="M15" s="7"/>
    </row>
    <row r="16" spans="1:14" s="6" customFormat="1" ht="24.95" customHeight="1" thickBot="1">
      <c r="A16" s="172" t="s">
        <v>82</v>
      </c>
      <c r="B16" s="177">
        <f>IF(D12&lt;&gt;"",IFERROR(H6/H10,""),"")</f>
        <v>22.20189432747193</v>
      </c>
      <c r="C16" s="177">
        <f>IF(D12&lt;&gt;"",IFERROR(I6/I10,""),"")</f>
        <v>21.174911242901171</v>
      </c>
      <c r="D16" s="234">
        <v>25</v>
      </c>
      <c r="E16" s="61"/>
      <c r="G16" s="7"/>
      <c r="H16" s="7"/>
      <c r="I16" s="7"/>
      <c r="J16" s="7"/>
      <c r="K16" s="7"/>
      <c r="L16" s="7"/>
      <c r="M16" s="7"/>
    </row>
    <row r="17" spans="1:14" s="6" customFormat="1" ht="24.95" customHeight="1">
      <c r="A17" s="47" t="s">
        <v>83</v>
      </c>
      <c r="B17" s="171">
        <f>IF(D12&lt;&gt;"",IFERROR(H6/H7,""),"")</f>
        <v>16.630253482744848</v>
      </c>
      <c r="C17" s="62">
        <f>IF(D12&lt;&gt;"",IFERROR(I6/I7,""),"")</f>
        <v>16.15408214603972</v>
      </c>
      <c r="D17" s="233">
        <v>15</v>
      </c>
      <c r="E17" s="60"/>
      <c r="G17" s="7"/>
      <c r="H17" s="7"/>
      <c r="I17" s="7"/>
      <c r="J17" s="7"/>
      <c r="K17" s="7"/>
      <c r="L17" s="7"/>
      <c r="M17" s="7"/>
    </row>
    <row r="18" spans="1:14" s="6" customFormat="1" ht="24.95" customHeight="1" thickBot="1">
      <c r="A18" s="28" t="s">
        <v>84</v>
      </c>
      <c r="B18" s="179">
        <f>IF(D12&lt;&gt;"",IFERROR(H6/H8,""),"")</f>
        <v>18.895809235697126</v>
      </c>
      <c r="C18" s="180">
        <f>IF(D12&lt;&gt;"",IFERROR(I6/I8,""),"")</f>
        <v>18.909502277195795</v>
      </c>
      <c r="D18" s="235">
        <v>20</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3" t="s">
        <v>85</v>
      </c>
      <c r="B20" s="162" t="str">
        <f>I2</f>
        <v>2025e</v>
      </c>
      <c r="C20" s="162" t="str">
        <f>J2</f>
        <v>2026e</v>
      </c>
      <c r="D20" s="162" t="str">
        <f>K2</f>
        <v>2027e</v>
      </c>
      <c r="E20" s="162" t="str">
        <f>L2</f>
        <v>2028e</v>
      </c>
      <c r="F20" s="99" t="str">
        <f>M2</f>
        <v>2029e</v>
      </c>
      <c r="H20" s="266" t="str">
        <f>"Retorno Anualizado"&amp;CHAR(10)&amp;"valorando por..."</f>
        <v>Retorno Anualizado
valorando por...</v>
      </c>
      <c r="I20" s="266"/>
      <c r="J20" s="162" t="str">
        <f>"CAGR"&amp;CHAR(10)&amp;"5 años"</f>
        <v>CAGR
5 años</v>
      </c>
      <c r="L20" s="7"/>
      <c r="M20" s="7"/>
    </row>
    <row r="21" spans="1:14" s="6" customFormat="1" ht="24.95" customHeight="1" thickBot="1">
      <c r="A21" s="57" t="s">
        <v>86</v>
      </c>
      <c r="B21" s="16">
        <f>IF(D12&lt;&gt;"",IFERROR(IF(--I4&lt;0,(I9*$D$15-I4),IF(--I4&gt;0,I9*$D$15))/'1.IS'!I22,""),"")</f>
        <v>185.64454765823987</v>
      </c>
      <c r="C21" s="16">
        <f>IF(D12&lt;&gt;"",IFERROR(IF(--J4&lt;0,(J9*$D$15-J4),IF(--J4&gt;0,J9*$D$15))/'1.IS'!J22,""),"")</f>
        <v>221.71164882743165</v>
      </c>
      <c r="D21" s="16">
        <f>IF(D12&lt;&gt;"",IFERROR(IF(--K4&lt;0,(K9*$D$15-K4),IF(--K4&gt;0,K9*$D$15))/'1.IS'!K22,""),"")</f>
        <v>264.90329590206346</v>
      </c>
      <c r="E21" s="16">
        <f>IF(D12&lt;&gt;"",IFERROR(IF(--L4&lt;0,(L9*$D$15-L4),IF(--L4&gt;0,L9*$D$15))/'1.IS'!L22,""),"")</f>
        <v>316.60890781772991</v>
      </c>
      <c r="F21" s="167">
        <f>IF(D12&lt;&gt;"",IFERROR(IF(--M4&lt;0,(M9*$D$15-M4),IF(--M4&gt;0,M9*$D$15))/'1.IS'!M22,""),"")</f>
        <v>378.55489025425703</v>
      </c>
      <c r="H21" s="57" t="s">
        <v>86</v>
      </c>
      <c r="I21" s="57"/>
      <c r="J21" s="168">
        <f>IFERROR((F21/$D$12)^(1/5)-1,"")</f>
        <v>0.17364293261453145</v>
      </c>
      <c r="L21" s="7"/>
      <c r="M21" s="7"/>
    </row>
    <row r="22" spans="1:14" s="6" customFormat="1" ht="24.95" customHeight="1" thickBot="1">
      <c r="A22" s="172" t="s">
        <v>87</v>
      </c>
      <c r="B22" s="173">
        <f>IF(D12&lt;&gt;"",IFERROR(((I10*$D$16)-I4)/'1.IS'!I22,""),"")</f>
        <v>199.52099731597659</v>
      </c>
      <c r="C22" s="173">
        <f>IF(D12&lt;&gt;"",IFERROR(((J10*$D$16)-J4)/'1.IS'!J22,""),"")</f>
        <v>238.3092505990636</v>
      </c>
      <c r="D22" s="173">
        <f>IF(D12&lt;&gt;"",IFERROR(((K10*$D$16)-K4)/'1.IS'!K22,""),"")</f>
        <v>284.76061389857819</v>
      </c>
      <c r="E22" s="173">
        <f>IF(D12&lt;&gt;"",IFERROR(((L10*$D$16)-L4)/'1.IS'!L22,""),"")</f>
        <v>340.37035073258136</v>
      </c>
      <c r="F22" s="174">
        <f>IF(D12&lt;&gt;"",IFERROR(((M10*$D$16)-M4)/'1.IS'!M22,""),"")</f>
        <v>406.9942656347643</v>
      </c>
      <c r="H22" s="172" t="s">
        <v>82</v>
      </c>
      <c r="I22" s="175"/>
      <c r="J22" s="176">
        <f>IFERROR((F22/$D$12)^(1/5)-1,"")</f>
        <v>0.1907699703427459</v>
      </c>
      <c r="L22" s="7"/>
      <c r="M22" s="7"/>
    </row>
    <row r="23" spans="1:14" s="6" customFormat="1" ht="24.95" customHeight="1">
      <c r="A23" s="20" t="s">
        <v>83</v>
      </c>
      <c r="B23" s="16">
        <f>IF(D12&lt;&gt;"",IFERROR(((I7*$D$17)-I4)/'1.IS'!I22,""),"")</f>
        <v>158.3247673782067</v>
      </c>
      <c r="C23" s="16">
        <f>IF(D12&lt;&gt;"",IFERROR(((J7*$D$17)-J4)/'1.IS'!J22,""),"")</f>
        <v>189.73460210088027</v>
      </c>
      <c r="D23" s="16">
        <f>IF(D12&lt;&gt;"",IFERROR(((K7*$D$17)-K4)/'1.IS'!K22,""),"")</f>
        <v>227.37579110654426</v>
      </c>
      <c r="E23" s="16">
        <f>IF(D12&lt;&gt;"",IFERROR(((L7*$D$17)-L4)/'1.IS'!L22,""),"")</f>
        <v>272.48456427488406</v>
      </c>
      <c r="F23" s="167">
        <f>IF(D12&lt;&gt;"",IFERROR(((M7*$D$17)-M4)/'1.IS'!M22,""),"")</f>
        <v>326.54240544580324</v>
      </c>
      <c r="H23" s="20" t="s">
        <v>83</v>
      </c>
      <c r="I23" s="20"/>
      <c r="J23" s="168">
        <f>IFERROR((F23/$D$12)^(1/5)-1,"")</f>
        <v>0.13945750509267651</v>
      </c>
      <c r="L23" s="7"/>
      <c r="M23" s="7"/>
    </row>
    <row r="24" spans="1:14" s="6" customFormat="1" ht="24.95" customHeight="1">
      <c r="A24" s="57" t="s">
        <v>84</v>
      </c>
      <c r="B24" s="58">
        <f>IF(D12&lt;&gt;"",IFERROR(((I8*$D$18)-I4)/'1.IS'!I22,""),"")</f>
        <v>179.42444473710788</v>
      </c>
      <c r="C24" s="58">
        <f>IF(D12&lt;&gt;"",IFERROR(((J8*$D$18)-J4)/'1.IS'!J22,""),"")</f>
        <v>215.02021568138136</v>
      </c>
      <c r="D24" s="58">
        <f>IF(D12&lt;&gt;"",IFERROR(((K8*$D$18)-K4)/'1.IS'!K22,""),"")</f>
        <v>257.67778308808039</v>
      </c>
      <c r="E24" s="58">
        <f>IF(D12&lt;&gt;"",IFERROR(((L8*$D$18)-L4)/'1.IS'!L22,""),"")</f>
        <v>308.79812712855176</v>
      </c>
      <c r="F24" s="167">
        <f>IF(D12&lt;&gt;"",IFERROR(((M8*$D$18)-M4)/'1.IS'!M22,""),"")</f>
        <v>370.06016652008435</v>
      </c>
      <c r="H24" s="57" t="s">
        <v>84</v>
      </c>
      <c r="I24" s="57"/>
      <c r="J24" s="168">
        <f>IFERROR((F24/$D$12)^(1/5)-1,"")</f>
        <v>0.16832772733115053</v>
      </c>
      <c r="L24" s="7"/>
      <c r="M24" s="7"/>
    </row>
    <row r="25" spans="1:14" s="6" customFormat="1" ht="24.95" customHeight="1">
      <c r="A25" s="219" t="s">
        <v>88</v>
      </c>
      <c r="B25" s="220">
        <f>IFERROR(AVERAGE(B21:B24),"")</f>
        <v>180.72868927238278</v>
      </c>
      <c r="C25" s="220">
        <f>IFERROR(AVERAGE(C21:C24),"")</f>
        <v>216.19392930218922</v>
      </c>
      <c r="D25" s="220">
        <f>IFERROR(AVERAGE(D21:D24),"")</f>
        <v>258.67937099881658</v>
      </c>
      <c r="E25" s="220">
        <f>IFERROR(AVERAGE(E21:E24),"")</f>
        <v>309.56548748843676</v>
      </c>
      <c r="F25" s="221">
        <f>IFERROR(AVERAGE(F21:F24),"")</f>
        <v>370.5379319637272</v>
      </c>
      <c r="H25" s="181" t="s">
        <v>88</v>
      </c>
      <c r="I25" s="182"/>
      <c r="J25" s="183">
        <f>IFERROR(AVERAGE(J21:J24),"")</f>
        <v>0.1680495338452761</v>
      </c>
      <c r="L25" s="7"/>
      <c r="M25" s="7"/>
    </row>
    <row r="26" spans="1:14" s="6" customFormat="1" ht="24.95" customHeight="1">
      <c r="A26" s="181" t="s">
        <v>89</v>
      </c>
      <c r="B26" s="222">
        <f>IFERROR((B25/$D$12)-1,"")</f>
        <v>6.3109936896369234E-2</v>
      </c>
      <c r="C26" s="222">
        <f t="shared" ref="C26:F26" si="1">IFERROR((C25/$D$12)-1,"")</f>
        <v>0.2717289958952307</v>
      </c>
      <c r="D26" s="222">
        <f t="shared" si="1"/>
        <v>0.52164335881656809</v>
      </c>
      <c r="E26" s="222">
        <f t="shared" si="1"/>
        <v>0.82097345581433379</v>
      </c>
      <c r="F26" s="223">
        <f t="shared" si="1"/>
        <v>1.1796348939042778</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78"/>
      <c r="C42" s="178"/>
      <c r="D42" s="178"/>
      <c r="E42" s="178"/>
      <c r="F42" s="178"/>
      <c r="G42" s="178"/>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topLeftCell="A13" workbookViewId="0">
      <selection activeCell="A26" sqref="A26"/>
    </sheetView>
  </sheetViews>
  <sheetFormatPr defaultColWidth="0" defaultRowHeight="15"/>
  <cols>
    <col min="1" max="1" width="48.42578125" bestFit="1" customWidth="1"/>
    <col min="2" max="8" width="11.42578125" style="3" customWidth="1"/>
    <col min="9" max="16384" width="11.42578125" hidden="1"/>
  </cols>
  <sheetData>
    <row r="1" spans="1:10">
      <c r="A1" s="66" t="s">
        <v>90</v>
      </c>
      <c r="B1" s="67">
        <v>43465</v>
      </c>
      <c r="C1" s="67">
        <v>43830</v>
      </c>
      <c r="D1" s="67">
        <v>44196</v>
      </c>
      <c r="E1" s="67">
        <v>44561</v>
      </c>
      <c r="F1" s="67">
        <v>44926</v>
      </c>
      <c r="G1" s="67">
        <v>45291</v>
      </c>
      <c r="H1" s="67">
        <v>45657</v>
      </c>
      <c r="I1" t="s">
        <v>91</v>
      </c>
      <c r="J1" t="s">
        <v>92</v>
      </c>
    </row>
    <row r="2" spans="1:10" s="66" customFormat="1">
      <c r="A2" s="66" t="s">
        <v>93</v>
      </c>
      <c r="B2" s="67"/>
      <c r="C2" s="67"/>
      <c r="D2" s="67"/>
      <c r="E2" s="67"/>
      <c r="F2" s="67"/>
      <c r="G2" s="67"/>
      <c r="H2" s="67"/>
      <c r="I2" s="96"/>
    </row>
    <row r="3" spans="1:10">
      <c r="A3" t="s">
        <v>94</v>
      </c>
      <c r="B3" s="65">
        <v>136819</v>
      </c>
      <c r="C3" s="65">
        <v>161857</v>
      </c>
      <c r="D3" s="65">
        <v>182527</v>
      </c>
      <c r="E3" s="65">
        <v>257637</v>
      </c>
      <c r="F3" s="65">
        <v>282836</v>
      </c>
      <c r="G3" s="65">
        <v>307394</v>
      </c>
      <c r="H3" s="65">
        <v>350018</v>
      </c>
      <c r="I3" t="s">
        <v>95</v>
      </c>
      <c r="J3" t="s">
        <v>96</v>
      </c>
    </row>
    <row r="4" spans="1:10">
      <c r="A4" t="s">
        <v>97</v>
      </c>
      <c r="B4" s="65">
        <v>0.23400000000000001</v>
      </c>
      <c r="C4" s="65">
        <v>0.183</v>
      </c>
      <c r="D4" s="65">
        <v>0.128</v>
      </c>
      <c r="E4" s="65">
        <v>0.41199999999999998</v>
      </c>
      <c r="F4" s="65">
        <v>9.8000000000000004E-2</v>
      </c>
      <c r="G4" s="65">
        <v>8.6999999999999994E-2</v>
      </c>
      <c r="H4" s="65">
        <v>0.13900000000000001</v>
      </c>
      <c r="I4" s="97" t="s">
        <v>98</v>
      </c>
      <c r="J4" t="s">
        <v>99</v>
      </c>
    </row>
    <row r="5" spans="1:10">
      <c r="A5" t="s">
        <v>100</v>
      </c>
      <c r="B5" s="65">
        <v>-59549</v>
      </c>
      <c r="C5" s="65">
        <v>-71896</v>
      </c>
      <c r="D5" s="65">
        <v>-84732</v>
      </c>
      <c r="E5" s="65">
        <v>-110939</v>
      </c>
      <c r="F5" s="65">
        <v>-126203</v>
      </c>
      <c r="G5" s="65">
        <v>-133332</v>
      </c>
      <c r="H5" s="65">
        <v>-146306</v>
      </c>
      <c r="I5" s="97" t="s">
        <v>101</v>
      </c>
      <c r="J5" t="s">
        <v>102</v>
      </c>
    </row>
    <row r="6" spans="1:10">
      <c r="A6" t="s">
        <v>103</v>
      </c>
      <c r="B6" s="65">
        <v>77270</v>
      </c>
      <c r="C6" s="65">
        <v>89961</v>
      </c>
      <c r="D6" s="65">
        <v>97795</v>
      </c>
      <c r="E6" s="65">
        <v>146698</v>
      </c>
      <c r="F6" s="65">
        <v>156633</v>
      </c>
      <c r="G6" s="65">
        <v>174062</v>
      </c>
      <c r="H6" s="65">
        <v>203712</v>
      </c>
      <c r="I6" s="97" t="s">
        <v>104</v>
      </c>
      <c r="J6" t="s">
        <v>105</v>
      </c>
    </row>
    <row r="7" spans="1:10">
      <c r="A7" t="s">
        <v>97</v>
      </c>
      <c r="B7" s="65">
        <v>0.184</v>
      </c>
      <c r="C7" s="65">
        <v>0.16400000000000001</v>
      </c>
      <c r="D7" s="65">
        <v>8.6999999999999994E-2</v>
      </c>
      <c r="E7" s="65">
        <v>0.5</v>
      </c>
      <c r="F7" s="65">
        <v>6.8000000000000005E-2</v>
      </c>
      <c r="G7" s="65">
        <v>0.111</v>
      </c>
      <c r="H7" s="65">
        <v>0.17</v>
      </c>
      <c r="I7" s="97" t="s">
        <v>106</v>
      </c>
      <c r="J7" t="s">
        <v>107</v>
      </c>
    </row>
    <row r="8" spans="1:10">
      <c r="A8" t="s">
        <v>108</v>
      </c>
      <c r="B8" s="65">
        <v>0.56499999999999995</v>
      </c>
      <c r="C8" s="65">
        <v>0.55600000000000005</v>
      </c>
      <c r="D8" s="65">
        <v>0.53600000000000003</v>
      </c>
      <c r="E8" s="65">
        <v>0.56899999999999995</v>
      </c>
      <c r="F8" s="65">
        <v>0.55400000000000005</v>
      </c>
      <c r="G8" s="65">
        <v>0.56599999999999995</v>
      </c>
      <c r="H8" s="65">
        <v>0.58199999999999996</v>
      </c>
      <c r="I8" s="97" t="s">
        <v>109</v>
      </c>
      <c r="J8" t="s">
        <v>110</v>
      </c>
    </row>
    <row r="9" spans="1:10">
      <c r="A9" t="s">
        <v>111</v>
      </c>
      <c r="B9" s="65">
        <v>-24459</v>
      </c>
      <c r="C9" s="65">
        <v>-28015</v>
      </c>
      <c r="D9" s="65">
        <v>-28998</v>
      </c>
      <c r="E9" s="65">
        <v>-36422</v>
      </c>
      <c r="F9" s="65">
        <v>-42291</v>
      </c>
      <c r="G9" s="65">
        <v>-44342</v>
      </c>
      <c r="H9" s="65">
        <v>-41996</v>
      </c>
      <c r="I9" s="97" t="s">
        <v>112</v>
      </c>
      <c r="J9" t="s">
        <v>113</v>
      </c>
    </row>
    <row r="10" spans="1:10">
      <c r="A10" t="s">
        <v>114</v>
      </c>
      <c r="B10" s="65">
        <v>-21419</v>
      </c>
      <c r="C10" s="65">
        <v>-26018</v>
      </c>
      <c r="D10" s="65">
        <v>-27573</v>
      </c>
      <c r="E10" s="65">
        <v>-31562</v>
      </c>
      <c r="F10" s="65">
        <v>-39500</v>
      </c>
      <c r="G10" s="65">
        <v>-45427</v>
      </c>
      <c r="H10" s="65">
        <v>-49326</v>
      </c>
      <c r="I10" s="97" t="s">
        <v>115</v>
      </c>
      <c r="J10" t="s">
        <v>116</v>
      </c>
    </row>
    <row r="11" spans="1:10">
      <c r="A11" t="s">
        <v>117</v>
      </c>
      <c r="B11" s="65">
        <v>-8592</v>
      </c>
      <c r="C11" s="65">
        <v>-5394</v>
      </c>
      <c r="D11" s="65">
        <v>-6858</v>
      </c>
      <c r="E11" s="65">
        <v>-12020</v>
      </c>
      <c r="F11" s="65">
        <v>3514</v>
      </c>
      <c r="G11" s="65">
        <v>-556</v>
      </c>
      <c r="H11" s="65"/>
      <c r="I11" s="97" t="s">
        <v>118</v>
      </c>
      <c r="J11" t="s">
        <v>119</v>
      </c>
    </row>
    <row r="12" spans="1:10">
      <c r="A12" t="s">
        <v>120</v>
      </c>
      <c r="B12" s="65">
        <v>-45878</v>
      </c>
      <c r="C12" s="65">
        <v>-54033</v>
      </c>
      <c r="D12" s="65">
        <v>-56571</v>
      </c>
      <c r="E12" s="65">
        <v>-67984</v>
      </c>
      <c r="F12" s="65">
        <v>-81791</v>
      </c>
      <c r="G12" s="65">
        <v>-89769</v>
      </c>
      <c r="H12" s="65">
        <v>-91322</v>
      </c>
      <c r="I12" s="97" t="s">
        <v>121</v>
      </c>
      <c r="J12" t="s">
        <v>122</v>
      </c>
    </row>
    <row r="13" spans="1:10">
      <c r="A13" t="s">
        <v>123</v>
      </c>
      <c r="B13" s="65">
        <v>26321</v>
      </c>
      <c r="C13" s="65">
        <v>34231</v>
      </c>
      <c r="D13" s="65">
        <v>41224</v>
      </c>
      <c r="E13" s="65">
        <v>78714</v>
      </c>
      <c r="F13" s="65">
        <v>74842</v>
      </c>
      <c r="G13" s="65">
        <v>84293</v>
      </c>
      <c r="H13" s="65">
        <v>112390</v>
      </c>
      <c r="I13" s="97" t="s">
        <v>124</v>
      </c>
      <c r="J13" t="s">
        <v>125</v>
      </c>
    </row>
    <row r="14" spans="1:10">
      <c r="A14" t="s">
        <v>97</v>
      </c>
      <c r="B14" s="65">
        <v>7.0000000000000001E-3</v>
      </c>
      <c r="C14" s="65">
        <v>0.30099999999999999</v>
      </c>
      <c r="D14" s="65">
        <v>0.20399999999999999</v>
      </c>
      <c r="E14" s="65">
        <v>0.90900000000000003</v>
      </c>
      <c r="F14" s="65">
        <v>-4.9000000000000002E-2</v>
      </c>
      <c r="G14" s="65">
        <v>0.126</v>
      </c>
      <c r="H14" s="65">
        <v>0.33300000000000002</v>
      </c>
      <c r="I14" s="97" t="s">
        <v>126</v>
      </c>
      <c r="J14" t="s">
        <v>127</v>
      </c>
    </row>
    <row r="15" spans="1:10">
      <c r="A15" t="s">
        <v>128</v>
      </c>
      <c r="B15" s="65">
        <v>0.192</v>
      </c>
      <c r="C15" s="65">
        <v>0.21099999999999999</v>
      </c>
      <c r="D15" s="65">
        <v>0.22600000000000001</v>
      </c>
      <c r="E15" s="65">
        <v>0.30599999999999999</v>
      </c>
      <c r="F15" s="65">
        <v>0.26500000000000001</v>
      </c>
      <c r="G15" s="65">
        <v>0.27400000000000002</v>
      </c>
      <c r="H15" s="65">
        <v>0.32100000000000001</v>
      </c>
      <c r="I15" s="97" t="s">
        <v>129</v>
      </c>
      <c r="J15" t="s">
        <v>130</v>
      </c>
    </row>
    <row r="16" spans="1:10">
      <c r="A16" t="s">
        <v>131</v>
      </c>
      <c r="B16" s="65">
        <v>-114</v>
      </c>
      <c r="C16" s="65">
        <v>-100</v>
      </c>
      <c r="D16" s="65">
        <v>-135</v>
      </c>
      <c r="E16" s="65">
        <v>-346</v>
      </c>
      <c r="F16" s="65">
        <v>-357</v>
      </c>
      <c r="G16" s="65">
        <v>-308</v>
      </c>
      <c r="H16" s="65"/>
      <c r="I16" t="s">
        <v>132</v>
      </c>
      <c r="J16" t="s">
        <v>133</v>
      </c>
    </row>
    <row r="17" spans="1:10">
      <c r="A17" t="s">
        <v>134</v>
      </c>
      <c r="B17" s="65">
        <v>3521</v>
      </c>
      <c r="C17" s="65">
        <v>5394</v>
      </c>
      <c r="D17" s="65">
        <v>6858</v>
      </c>
      <c r="E17" s="65">
        <v>12020</v>
      </c>
      <c r="F17" s="65">
        <v>-3514</v>
      </c>
      <c r="G17" s="65">
        <v>-2133</v>
      </c>
      <c r="H17" s="65">
        <v>7425</v>
      </c>
      <c r="I17" t="s">
        <v>135</v>
      </c>
      <c r="J17" t="s">
        <v>136</v>
      </c>
    </row>
    <row r="18" spans="1:10">
      <c r="A18" t="s">
        <v>137</v>
      </c>
      <c r="B18" s="65">
        <v>34913</v>
      </c>
      <c r="C18" s="65">
        <v>39625</v>
      </c>
      <c r="D18" s="65">
        <v>48082</v>
      </c>
      <c r="E18" s="65">
        <v>90734</v>
      </c>
      <c r="F18" s="65">
        <v>71328</v>
      </c>
      <c r="G18" s="65">
        <v>85717</v>
      </c>
      <c r="H18" s="65">
        <v>119815</v>
      </c>
      <c r="I18" s="97" t="s">
        <v>138</v>
      </c>
      <c r="J18" t="s">
        <v>139</v>
      </c>
    </row>
    <row r="19" spans="1:10">
      <c r="A19" t="s">
        <v>97</v>
      </c>
      <c r="B19" s="65">
        <v>0.28399999999999997</v>
      </c>
      <c r="C19" s="65">
        <v>0.13500000000000001</v>
      </c>
      <c r="D19" s="65">
        <v>0.21299999999999999</v>
      </c>
      <c r="E19" s="65">
        <v>0.88700000000000001</v>
      </c>
      <c r="F19" s="65">
        <v>-0.214</v>
      </c>
      <c r="G19" s="65">
        <v>0.20200000000000001</v>
      </c>
      <c r="H19" s="65">
        <v>0.39800000000000002</v>
      </c>
      <c r="I19" s="97" t="s">
        <v>140</v>
      </c>
      <c r="J19" t="s">
        <v>141</v>
      </c>
    </row>
    <row r="20" spans="1:10">
      <c r="A20" t="s">
        <v>142</v>
      </c>
      <c r="B20" s="65">
        <v>0.255</v>
      </c>
      <c r="C20" s="65">
        <v>0.245</v>
      </c>
      <c r="D20" s="65">
        <v>0.26300000000000001</v>
      </c>
      <c r="E20" s="65">
        <v>0.35199999999999998</v>
      </c>
      <c r="F20" s="65">
        <v>0.252</v>
      </c>
      <c r="G20" s="65">
        <v>0.27900000000000003</v>
      </c>
      <c r="H20" s="65">
        <v>0.34200000000000003</v>
      </c>
      <c r="I20" t="s">
        <v>143</v>
      </c>
      <c r="J20" t="s">
        <v>144</v>
      </c>
    </row>
    <row r="21" spans="1:10">
      <c r="A21" t="s">
        <v>145</v>
      </c>
      <c r="B21" s="65">
        <v>-4177</v>
      </c>
      <c r="C21" s="65">
        <v>-5282</v>
      </c>
      <c r="D21" s="65">
        <v>-7813</v>
      </c>
      <c r="E21" s="65">
        <v>-14701</v>
      </c>
      <c r="F21" s="65">
        <v>-11356</v>
      </c>
      <c r="G21" s="65">
        <v>-11922</v>
      </c>
      <c r="H21" s="65">
        <v>-19697</v>
      </c>
      <c r="I21" s="97" t="s">
        <v>146</v>
      </c>
      <c r="J21" t="s">
        <v>147</v>
      </c>
    </row>
    <row r="22" spans="1:10">
      <c r="A22" t="s">
        <v>148</v>
      </c>
      <c r="B22" s="65">
        <v>0.12</v>
      </c>
      <c r="C22" s="65">
        <v>0.13300000000000001</v>
      </c>
      <c r="D22" s="65">
        <v>0.16200000000000001</v>
      </c>
      <c r="E22" s="65">
        <v>0.16200000000000001</v>
      </c>
      <c r="F22" s="65">
        <v>0.159</v>
      </c>
      <c r="G22" s="65">
        <v>0.13900000000000001</v>
      </c>
      <c r="H22" s="65">
        <v>0.16400000000000001</v>
      </c>
      <c r="I22" s="97" t="s">
        <v>149</v>
      </c>
      <c r="J22" t="s">
        <v>150</v>
      </c>
    </row>
    <row r="23" spans="1:10">
      <c r="A23" t="s">
        <v>22</v>
      </c>
      <c r="B23" s="65">
        <v>30736</v>
      </c>
      <c r="C23" s="65">
        <v>34343</v>
      </c>
      <c r="D23" s="65">
        <v>40269</v>
      </c>
      <c r="E23" s="65">
        <v>76033</v>
      </c>
      <c r="F23" s="65">
        <v>59972</v>
      </c>
      <c r="G23" s="65">
        <v>73795</v>
      </c>
      <c r="H23" s="65">
        <v>100118</v>
      </c>
      <c r="I23" s="97" t="s">
        <v>151</v>
      </c>
      <c r="J23" t="s">
        <v>152</v>
      </c>
    </row>
    <row r="24" spans="1:10">
      <c r="A24" t="s">
        <v>97</v>
      </c>
      <c r="B24" s="65">
        <v>1.427</v>
      </c>
      <c r="C24" s="65">
        <v>0.11700000000000001</v>
      </c>
      <c r="D24" s="65">
        <v>0.17299999999999999</v>
      </c>
      <c r="E24" s="65">
        <v>0.88800000000000001</v>
      </c>
      <c r="F24" s="65">
        <v>-0.21099999999999999</v>
      </c>
      <c r="G24" s="65">
        <v>0.23</v>
      </c>
      <c r="H24" s="65">
        <v>0.35699999999999998</v>
      </c>
      <c r="I24" s="97" t="s">
        <v>153</v>
      </c>
      <c r="J24" t="s">
        <v>154</v>
      </c>
    </row>
    <row r="25" spans="1:10">
      <c r="A25" t="s">
        <v>155</v>
      </c>
      <c r="B25" s="65">
        <v>0.22500000000000001</v>
      </c>
      <c r="C25" s="65">
        <v>0.21199999999999999</v>
      </c>
      <c r="D25" s="65">
        <v>0.221</v>
      </c>
      <c r="E25" s="65">
        <v>0.29499999999999998</v>
      </c>
      <c r="F25" s="65">
        <v>0.21199999999999999</v>
      </c>
      <c r="G25" s="65">
        <v>0.24</v>
      </c>
      <c r="H25" s="65">
        <v>0.28599999999999998</v>
      </c>
      <c r="I25" s="97" t="s">
        <v>156</v>
      </c>
      <c r="J25" t="s">
        <v>157</v>
      </c>
    </row>
    <row r="26" spans="1:10">
      <c r="A26" t="s">
        <v>158</v>
      </c>
      <c r="B26" s="65">
        <v>14066.81</v>
      </c>
      <c r="C26" s="65">
        <v>13971.12</v>
      </c>
      <c r="D26" s="65">
        <v>13740.56</v>
      </c>
      <c r="E26" s="65">
        <v>13553.48</v>
      </c>
      <c r="F26" s="65">
        <v>13159</v>
      </c>
      <c r="G26" s="65">
        <v>12722</v>
      </c>
      <c r="H26" s="65">
        <v>12447</v>
      </c>
      <c r="I26" s="97" t="s">
        <v>159</v>
      </c>
      <c r="J26" t="s">
        <v>160</v>
      </c>
    </row>
    <row r="27" spans="1:10">
      <c r="A27" t="s">
        <v>97</v>
      </c>
      <c r="B27" s="65">
        <v>0</v>
      </c>
      <c r="C27" s="65">
        <v>-7.0000000000000001E-3</v>
      </c>
      <c r="D27" s="65">
        <v>-1.7000000000000001E-2</v>
      </c>
      <c r="E27" s="65">
        <v>-1.4E-2</v>
      </c>
      <c r="F27" s="65">
        <v>-2.9000000000000001E-2</v>
      </c>
      <c r="G27" s="65">
        <v>-3.3000000000000002E-2</v>
      </c>
      <c r="H27" s="65">
        <v>-2.1999999999999999E-2</v>
      </c>
      <c r="I27" s="97" t="s">
        <v>161</v>
      </c>
      <c r="J27" t="s">
        <v>162</v>
      </c>
    </row>
    <row r="28" spans="1:10">
      <c r="A28" t="s">
        <v>163</v>
      </c>
      <c r="B28" s="65">
        <v>2.19</v>
      </c>
      <c r="C28" s="65">
        <v>2.46</v>
      </c>
      <c r="D28" s="65">
        <v>2.93</v>
      </c>
      <c r="E28" s="65">
        <v>5.61</v>
      </c>
      <c r="F28" s="65">
        <v>4.5599999999999996</v>
      </c>
      <c r="G28" s="65">
        <v>5.8</v>
      </c>
      <c r="H28" s="65">
        <v>8.0399999999999991</v>
      </c>
      <c r="I28" s="97" t="s">
        <v>164</v>
      </c>
      <c r="J28" t="s">
        <v>165</v>
      </c>
    </row>
    <row r="29" spans="1:10">
      <c r="A29" t="s">
        <v>97</v>
      </c>
      <c r="B29" s="65">
        <v>1.4330000000000001</v>
      </c>
      <c r="C29" s="65">
        <v>0.123</v>
      </c>
      <c r="D29" s="65">
        <v>0.191</v>
      </c>
      <c r="E29" s="65">
        <v>0.91500000000000004</v>
      </c>
      <c r="F29" s="65">
        <v>-0.187</v>
      </c>
      <c r="G29" s="65">
        <v>0.27200000000000002</v>
      </c>
      <c r="H29" s="65">
        <v>0.38600000000000001</v>
      </c>
      <c r="I29" s="97" t="s">
        <v>166</v>
      </c>
      <c r="J29" t="s">
        <v>167</v>
      </c>
    </row>
    <row r="30" spans="1:10">
      <c r="A30" t="s">
        <v>168</v>
      </c>
      <c r="B30" s="65"/>
      <c r="C30" s="65"/>
      <c r="D30" s="65"/>
      <c r="E30" s="65"/>
      <c r="F30" s="65"/>
      <c r="G30" s="65"/>
      <c r="H30" s="65"/>
      <c r="I30" s="97"/>
    </row>
    <row r="31" spans="1:10">
      <c r="A31" t="s">
        <v>169</v>
      </c>
      <c r="B31" s="65">
        <v>2.21</v>
      </c>
      <c r="C31" s="65">
        <v>2.48</v>
      </c>
      <c r="D31" s="65">
        <v>2.96</v>
      </c>
      <c r="E31" s="65">
        <v>5.69</v>
      </c>
      <c r="F31" s="65">
        <v>4.59</v>
      </c>
      <c r="G31" s="65">
        <v>5.84</v>
      </c>
      <c r="H31" s="65">
        <v>8.0399999999999991</v>
      </c>
      <c r="I31" s="97" t="s">
        <v>164</v>
      </c>
      <c r="J31">
        <v>45658</v>
      </c>
    </row>
    <row r="32" spans="1:10">
      <c r="A32" t="s">
        <v>97</v>
      </c>
      <c r="B32" s="65">
        <v>1.429</v>
      </c>
      <c r="C32" s="65">
        <v>0.122</v>
      </c>
      <c r="D32" s="65">
        <v>0.19400000000000001</v>
      </c>
      <c r="E32" s="65">
        <v>0.92200000000000004</v>
      </c>
      <c r="F32" s="65">
        <v>-0.193</v>
      </c>
      <c r="G32" s="65">
        <v>0.27200000000000002</v>
      </c>
      <c r="H32" s="65">
        <v>0.377</v>
      </c>
      <c r="I32" s="97" t="s">
        <v>170</v>
      </c>
      <c r="J32" t="s">
        <v>171</v>
      </c>
    </row>
    <row r="33" spans="1:10">
      <c r="A33" t="s">
        <v>172</v>
      </c>
      <c r="B33" s="65">
        <v>13901.4</v>
      </c>
      <c r="C33" s="65">
        <v>13851.92</v>
      </c>
      <c r="D33" s="65">
        <v>13616.32</v>
      </c>
      <c r="E33" s="65">
        <v>13353</v>
      </c>
      <c r="F33" s="65">
        <v>13063</v>
      </c>
      <c r="G33" s="65">
        <v>12630</v>
      </c>
      <c r="H33" s="65">
        <v>12447</v>
      </c>
      <c r="I33" t="s">
        <v>173</v>
      </c>
      <c r="J33" t="s">
        <v>174</v>
      </c>
    </row>
    <row r="34" spans="1:10">
      <c r="A34" t="s">
        <v>97</v>
      </c>
      <c r="B34" s="65">
        <v>3.0000000000000001E-3</v>
      </c>
      <c r="C34" s="65">
        <v>-4.0000000000000001E-3</v>
      </c>
      <c r="D34" s="65">
        <v>-1.7000000000000001E-2</v>
      </c>
      <c r="E34" s="65">
        <v>-1.9E-2</v>
      </c>
      <c r="F34" s="65">
        <v>-2.1999999999999999E-2</v>
      </c>
      <c r="G34" s="65">
        <v>-3.3000000000000002E-2</v>
      </c>
      <c r="H34" s="65">
        <v>-1.4E-2</v>
      </c>
      <c r="I34" s="97" t="s">
        <v>161</v>
      </c>
      <c r="J34" t="s">
        <v>175</v>
      </c>
    </row>
    <row r="35" spans="1:10">
      <c r="A35" t="s">
        <v>7</v>
      </c>
      <c r="B35" s="65">
        <v>45498</v>
      </c>
      <c r="C35" s="65">
        <v>49406</v>
      </c>
      <c r="D35" s="65">
        <v>54921</v>
      </c>
      <c r="E35" s="65">
        <v>91155</v>
      </c>
      <c r="F35" s="65">
        <v>90770</v>
      </c>
      <c r="G35" s="65">
        <v>100032</v>
      </c>
      <c r="H35" s="65">
        <v>112390</v>
      </c>
      <c r="I35" t="s">
        <v>176</v>
      </c>
      <c r="J35" t="s">
        <v>125</v>
      </c>
    </row>
    <row r="36" spans="1:10">
      <c r="A36" t="s">
        <v>97</v>
      </c>
      <c r="B36" s="255">
        <v>0.18099999999999999</v>
      </c>
      <c r="C36" s="255">
        <v>8.5999999999999993E-2</v>
      </c>
      <c r="D36" s="65">
        <v>0.112</v>
      </c>
      <c r="E36" s="65">
        <v>0.66</v>
      </c>
      <c r="F36" s="65">
        <v>-4.0000000000000001E-3</v>
      </c>
      <c r="G36" s="65">
        <v>0.10199999999999999</v>
      </c>
      <c r="H36" s="65">
        <v>0.124</v>
      </c>
      <c r="I36" s="97" t="s">
        <v>177</v>
      </c>
      <c r="J36" t="s">
        <v>178</v>
      </c>
    </row>
    <row r="37" spans="1:10">
      <c r="A37" t="s">
        <v>179</v>
      </c>
      <c r="B37" s="255">
        <v>0.33300000000000002</v>
      </c>
      <c r="C37" s="65">
        <v>0.30499999999999999</v>
      </c>
      <c r="D37" s="65">
        <v>0.30099999999999999</v>
      </c>
      <c r="E37" s="65">
        <v>0.35399999999999998</v>
      </c>
      <c r="F37" s="65">
        <v>0.32100000000000001</v>
      </c>
      <c r="G37" s="65">
        <v>0.32500000000000001</v>
      </c>
      <c r="H37" s="65">
        <v>0.32100000000000001</v>
      </c>
      <c r="I37" t="s">
        <v>180</v>
      </c>
      <c r="J37" t="s">
        <v>130</v>
      </c>
    </row>
    <row r="38" spans="1:10">
      <c r="A38" t="s">
        <v>181</v>
      </c>
      <c r="B38" s="65">
        <v>9035</v>
      </c>
      <c r="C38" s="65">
        <v>15175</v>
      </c>
      <c r="D38" s="65">
        <v>13697</v>
      </c>
      <c r="E38" s="65">
        <v>12441</v>
      </c>
      <c r="F38" s="65">
        <v>15928</v>
      </c>
      <c r="G38" s="65">
        <v>11946</v>
      </c>
      <c r="H38" s="65"/>
      <c r="I38" t="s">
        <v>182</v>
      </c>
    </row>
    <row r="39" spans="1:10">
      <c r="A39" t="s">
        <v>183</v>
      </c>
      <c r="B39" s="65">
        <v>8126</v>
      </c>
      <c r="C39" s="65">
        <v>9551</v>
      </c>
      <c r="D39" s="65">
        <v>11052</v>
      </c>
      <c r="E39" s="65">
        <v>13510</v>
      </c>
      <c r="F39" s="65">
        <v>15724</v>
      </c>
      <c r="G39" s="65">
        <v>16425</v>
      </c>
      <c r="H39" s="65">
        <v>14188</v>
      </c>
      <c r="I39" s="97"/>
    </row>
    <row r="40" spans="1:10">
      <c r="A40" t="s">
        <v>184</v>
      </c>
      <c r="B40" s="65">
        <v>16333</v>
      </c>
      <c r="C40" s="65">
        <v>18464</v>
      </c>
      <c r="D40" s="65">
        <v>17946</v>
      </c>
      <c r="E40" s="65">
        <v>22912</v>
      </c>
      <c r="F40" s="65">
        <v>26567</v>
      </c>
      <c r="G40" s="65">
        <v>27917</v>
      </c>
      <c r="H40" s="65">
        <v>27808</v>
      </c>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7"/>
    </sheetView>
  </sheetViews>
  <sheetFormatPr defaultColWidth="0" defaultRowHeight="15"/>
  <cols>
    <col min="1" max="1" width="40.28515625" bestFit="1" customWidth="1"/>
    <col min="2" max="8" width="11.42578125" style="3" customWidth="1"/>
    <col min="9" max="16384" width="11.42578125" hidden="1"/>
  </cols>
  <sheetData>
    <row r="1" spans="1:10">
      <c r="A1" s="256" t="s">
        <v>185</v>
      </c>
      <c r="B1" s="67">
        <v>43465</v>
      </c>
      <c r="C1" s="67">
        <v>43830</v>
      </c>
      <c r="D1" s="67">
        <v>44196</v>
      </c>
      <c r="E1" s="67">
        <v>44561</v>
      </c>
      <c r="F1" s="67">
        <v>44926</v>
      </c>
      <c r="G1" s="67">
        <v>45291</v>
      </c>
      <c r="H1" s="67">
        <v>45657</v>
      </c>
      <c r="I1" t="s">
        <v>91</v>
      </c>
      <c r="J1" t="s">
        <v>92</v>
      </c>
    </row>
    <row r="2" spans="1:10">
      <c r="A2" s="256" t="s">
        <v>93</v>
      </c>
      <c r="B2" s="67"/>
      <c r="C2" s="67"/>
      <c r="D2" s="67"/>
      <c r="E2" s="67"/>
      <c r="F2" s="67"/>
      <c r="G2" s="67"/>
      <c r="H2" s="67"/>
      <c r="I2" s="98"/>
    </row>
    <row r="3" spans="1:10">
      <c r="A3" s="257" t="s">
        <v>186</v>
      </c>
      <c r="B3" s="65">
        <v>16701</v>
      </c>
      <c r="C3" s="65">
        <v>18498</v>
      </c>
      <c r="D3" s="65">
        <v>26465</v>
      </c>
      <c r="E3" s="65">
        <v>20945</v>
      </c>
      <c r="F3" s="65">
        <v>21879</v>
      </c>
      <c r="G3" s="65">
        <v>24048</v>
      </c>
      <c r="H3" s="65">
        <v>23466</v>
      </c>
      <c r="I3" t="s">
        <v>187</v>
      </c>
      <c r="J3" t="s">
        <v>188</v>
      </c>
    </row>
    <row r="4" spans="1:10">
      <c r="A4" s="257" t="s">
        <v>189</v>
      </c>
      <c r="B4" s="65">
        <v>92439</v>
      </c>
      <c r="C4" s="65">
        <v>101177</v>
      </c>
      <c r="D4" s="65">
        <v>110229</v>
      </c>
      <c r="E4" s="65">
        <v>118704</v>
      </c>
      <c r="F4" s="65">
        <v>91883</v>
      </c>
      <c r="G4" s="65">
        <v>86868</v>
      </c>
      <c r="H4" s="65">
        <v>72191</v>
      </c>
      <c r="I4" s="97" t="s">
        <v>190</v>
      </c>
      <c r="J4" t="s">
        <v>191</v>
      </c>
    </row>
    <row r="5" spans="1:10">
      <c r="A5" s="257" t="s">
        <v>192</v>
      </c>
      <c r="B5" s="65">
        <v>109140</v>
      </c>
      <c r="C5" s="65">
        <v>119675</v>
      </c>
      <c r="D5" s="65">
        <v>136694</v>
      </c>
      <c r="E5" s="65">
        <v>139649</v>
      </c>
      <c r="F5" s="65">
        <v>113762</v>
      </c>
      <c r="G5" s="65">
        <v>110916</v>
      </c>
      <c r="H5" s="65">
        <v>95657</v>
      </c>
      <c r="I5" s="97" t="s">
        <v>193</v>
      </c>
      <c r="J5" t="s">
        <v>194</v>
      </c>
    </row>
    <row r="6" spans="1:10">
      <c r="A6" s="257" t="s">
        <v>195</v>
      </c>
      <c r="B6" s="65">
        <v>21193</v>
      </c>
      <c r="C6" s="65">
        <v>27492</v>
      </c>
      <c r="D6" s="65">
        <v>31384</v>
      </c>
      <c r="E6" s="65">
        <v>40270</v>
      </c>
      <c r="F6" s="65">
        <v>40258</v>
      </c>
      <c r="G6" s="65">
        <v>47964</v>
      </c>
      <c r="H6" s="65">
        <v>52340</v>
      </c>
      <c r="I6" s="97" t="s">
        <v>196</v>
      </c>
      <c r="J6" t="s">
        <v>197</v>
      </c>
    </row>
    <row r="7" spans="1:10">
      <c r="A7" s="257" t="s">
        <v>198</v>
      </c>
      <c r="B7" s="65">
        <v>1107</v>
      </c>
      <c r="C7" s="65">
        <v>999</v>
      </c>
      <c r="D7" s="65">
        <v>728</v>
      </c>
      <c r="E7" s="65">
        <v>1170</v>
      </c>
      <c r="F7" s="65">
        <v>2670</v>
      </c>
      <c r="G7" s="65"/>
      <c r="H7" s="65"/>
      <c r="I7" s="97" t="s">
        <v>199</v>
      </c>
      <c r="J7" t="s">
        <v>200</v>
      </c>
    </row>
    <row r="8" spans="1:10">
      <c r="A8" s="257" t="s">
        <v>201</v>
      </c>
      <c r="B8" s="65">
        <v>4236</v>
      </c>
      <c r="C8" s="65">
        <v>4412</v>
      </c>
      <c r="D8" s="65">
        <v>5490</v>
      </c>
      <c r="E8" s="65">
        <v>7054</v>
      </c>
      <c r="F8" s="65">
        <v>8105</v>
      </c>
      <c r="G8" s="65">
        <v>12650</v>
      </c>
      <c r="H8" s="65">
        <v>15714</v>
      </c>
      <c r="I8" s="97" t="s">
        <v>202</v>
      </c>
      <c r="J8" t="s">
        <v>203</v>
      </c>
    </row>
    <row r="9" spans="1:10">
      <c r="A9" s="257" t="s">
        <v>204</v>
      </c>
      <c r="B9" s="65">
        <v>135676</v>
      </c>
      <c r="C9" s="65">
        <v>152578</v>
      </c>
      <c r="D9" s="65">
        <v>174296</v>
      </c>
      <c r="E9" s="65">
        <v>188143</v>
      </c>
      <c r="F9" s="65">
        <v>164795</v>
      </c>
      <c r="G9" s="65">
        <v>171530</v>
      </c>
      <c r="H9" s="65">
        <v>163711</v>
      </c>
      <c r="I9" s="97" t="s">
        <v>205</v>
      </c>
      <c r="J9" t="s">
        <v>206</v>
      </c>
    </row>
    <row r="10" spans="1:10">
      <c r="A10" s="257" t="s">
        <v>207</v>
      </c>
      <c r="B10" s="65">
        <v>59719</v>
      </c>
      <c r="C10" s="65">
        <v>84587</v>
      </c>
      <c r="D10" s="65">
        <v>96960</v>
      </c>
      <c r="E10" s="65">
        <v>110558</v>
      </c>
      <c r="F10" s="65">
        <v>127049</v>
      </c>
      <c r="G10" s="65">
        <v>148436</v>
      </c>
      <c r="H10" s="65">
        <v>184624</v>
      </c>
      <c r="I10" s="97" t="s">
        <v>208</v>
      </c>
      <c r="J10" t="s">
        <v>209</v>
      </c>
    </row>
    <row r="11" spans="1:10">
      <c r="A11" s="257" t="s">
        <v>210</v>
      </c>
      <c r="B11" s="65">
        <v>17888</v>
      </c>
      <c r="C11" s="65">
        <v>20624</v>
      </c>
      <c r="D11" s="65">
        <v>21175</v>
      </c>
      <c r="E11" s="65">
        <v>22956</v>
      </c>
      <c r="F11" s="65">
        <v>28960</v>
      </c>
      <c r="G11" s="65">
        <v>29198</v>
      </c>
      <c r="H11" s="65">
        <v>31885</v>
      </c>
      <c r="I11" t="s">
        <v>211</v>
      </c>
      <c r="J11" t="s">
        <v>212</v>
      </c>
    </row>
    <row r="12" spans="1:10">
      <c r="A12" s="257" t="s">
        <v>213</v>
      </c>
      <c r="B12" s="65">
        <v>2220</v>
      </c>
      <c r="C12" s="65">
        <v>1979</v>
      </c>
      <c r="D12" s="65">
        <v>1445</v>
      </c>
      <c r="E12" s="65">
        <v>1417</v>
      </c>
      <c r="F12" s="65">
        <v>2084</v>
      </c>
      <c r="G12" s="65"/>
      <c r="H12" s="65"/>
      <c r="I12" t="s">
        <v>214</v>
      </c>
      <c r="J12" t="s">
        <v>215</v>
      </c>
    </row>
    <row r="13" spans="1:10">
      <c r="A13" s="257" t="s">
        <v>216</v>
      </c>
      <c r="B13" s="65">
        <v>13859</v>
      </c>
      <c r="C13" s="65">
        <v>13078</v>
      </c>
      <c r="D13" s="65">
        <v>20703</v>
      </c>
      <c r="E13" s="65">
        <v>29549</v>
      </c>
      <c r="F13" s="65">
        <v>30492</v>
      </c>
      <c r="G13" s="65">
        <v>31008</v>
      </c>
      <c r="H13" s="65"/>
      <c r="I13" s="97" t="s">
        <v>217</v>
      </c>
    </row>
    <row r="14" spans="1:10">
      <c r="A14" s="257" t="s">
        <v>218</v>
      </c>
      <c r="B14" s="65">
        <v>737</v>
      </c>
      <c r="C14" s="65">
        <v>721</v>
      </c>
      <c r="D14" s="65">
        <v>1084</v>
      </c>
      <c r="E14" s="65">
        <v>1284</v>
      </c>
      <c r="F14" s="65">
        <v>5261</v>
      </c>
      <c r="G14" s="65">
        <v>12169</v>
      </c>
      <c r="H14" s="65">
        <v>17180</v>
      </c>
      <c r="I14" s="97" t="s">
        <v>219</v>
      </c>
      <c r="J14" t="s">
        <v>220</v>
      </c>
    </row>
    <row r="15" spans="1:10">
      <c r="A15" s="257" t="s">
        <v>221</v>
      </c>
      <c r="B15" s="65">
        <v>2693</v>
      </c>
      <c r="C15" s="65">
        <v>2342</v>
      </c>
      <c r="D15" s="65">
        <v>3953</v>
      </c>
      <c r="E15" s="65">
        <v>5361</v>
      </c>
      <c r="F15" s="65">
        <v>6623</v>
      </c>
      <c r="G15" s="65">
        <v>10051</v>
      </c>
      <c r="H15" s="65">
        <v>52856</v>
      </c>
      <c r="I15" s="97" t="s">
        <v>222</v>
      </c>
      <c r="J15" t="s">
        <v>223</v>
      </c>
    </row>
    <row r="16" spans="1:10">
      <c r="A16" s="257" t="s">
        <v>224</v>
      </c>
      <c r="B16" s="65">
        <v>97116</v>
      </c>
      <c r="C16" s="65">
        <v>123331</v>
      </c>
      <c r="D16" s="65">
        <v>145320</v>
      </c>
      <c r="E16" s="65">
        <v>171125</v>
      </c>
      <c r="F16" s="65">
        <v>200469</v>
      </c>
      <c r="G16" s="65">
        <v>230862</v>
      </c>
      <c r="H16" s="65">
        <v>286545</v>
      </c>
      <c r="I16" s="97" t="s">
        <v>225</v>
      </c>
      <c r="J16" t="s">
        <v>226</v>
      </c>
    </row>
    <row r="17" spans="1:10">
      <c r="A17" s="257" t="s">
        <v>227</v>
      </c>
      <c r="B17" s="65">
        <v>232792</v>
      </c>
      <c r="C17" s="65">
        <v>275909</v>
      </c>
      <c r="D17" s="65">
        <v>319616</v>
      </c>
      <c r="E17" s="65">
        <v>359268</v>
      </c>
      <c r="F17" s="65">
        <v>365264</v>
      </c>
      <c r="G17" s="65">
        <v>402392</v>
      </c>
      <c r="H17" s="65">
        <v>450256</v>
      </c>
      <c r="I17" s="97" t="s">
        <v>228</v>
      </c>
      <c r="J17" t="s">
        <v>229</v>
      </c>
    </row>
    <row r="18" spans="1:10">
      <c r="A18" s="257" t="s">
        <v>230</v>
      </c>
      <c r="B18" s="65">
        <v>69</v>
      </c>
      <c r="C18" s="65">
        <v>1199</v>
      </c>
      <c r="D18" s="65">
        <v>1694</v>
      </c>
      <c r="E18" s="65">
        <v>2189</v>
      </c>
      <c r="F18" s="65">
        <v>2477</v>
      </c>
      <c r="G18" s="65">
        <v>2791</v>
      </c>
      <c r="H18" s="65"/>
      <c r="I18" s="97" t="s">
        <v>231</v>
      </c>
    </row>
    <row r="19" spans="1:10">
      <c r="A19" s="257" t="s">
        <v>232</v>
      </c>
      <c r="B19" s="65">
        <v>69</v>
      </c>
      <c r="C19" s="65">
        <v>274</v>
      </c>
      <c r="D19" s="65">
        <v>1485</v>
      </c>
      <c r="E19" s="65">
        <v>808</v>
      </c>
      <c r="F19" s="65">
        <v>9258</v>
      </c>
      <c r="G19" s="65">
        <v>2748</v>
      </c>
      <c r="H19" s="65">
        <v>8782</v>
      </c>
      <c r="I19" s="97"/>
    </row>
    <row r="20" spans="1:10">
      <c r="A20" s="257" t="s">
        <v>233</v>
      </c>
      <c r="B20" s="65">
        <v>1784</v>
      </c>
      <c r="C20" s="65">
        <v>1908</v>
      </c>
      <c r="D20" s="65">
        <v>2543</v>
      </c>
      <c r="E20" s="65">
        <v>3288</v>
      </c>
      <c r="F20" s="65">
        <v>3908</v>
      </c>
      <c r="G20" s="65">
        <v>4137</v>
      </c>
      <c r="H20" s="65">
        <v>5036</v>
      </c>
      <c r="I20" s="97" t="s">
        <v>234</v>
      </c>
    </row>
    <row r="21" spans="1:10">
      <c r="A21" s="257" t="s">
        <v>235</v>
      </c>
      <c r="B21" s="65">
        <v>28389</v>
      </c>
      <c r="C21" s="65">
        <v>36553</v>
      </c>
      <c r="D21" s="65">
        <v>47008</v>
      </c>
      <c r="E21" s="65">
        <v>52740</v>
      </c>
      <c r="F21" s="65">
        <v>57787</v>
      </c>
      <c r="G21" s="65">
        <v>67393</v>
      </c>
      <c r="H21" s="65">
        <v>67317</v>
      </c>
      <c r="I21" s="97" t="s">
        <v>236</v>
      </c>
      <c r="J21" t="s">
        <v>237</v>
      </c>
    </row>
    <row r="22" spans="1:10">
      <c r="A22" s="257" t="s">
        <v>238</v>
      </c>
      <c r="B22" s="65">
        <v>34620</v>
      </c>
      <c r="C22" s="65">
        <v>45221</v>
      </c>
      <c r="D22" s="65">
        <v>56834</v>
      </c>
      <c r="E22" s="65">
        <v>64254</v>
      </c>
      <c r="F22" s="65">
        <v>69300</v>
      </c>
      <c r="G22" s="65">
        <v>81814</v>
      </c>
      <c r="H22" s="65">
        <v>89122</v>
      </c>
      <c r="I22" s="97" t="s">
        <v>239</v>
      </c>
      <c r="J22" t="s">
        <v>240</v>
      </c>
    </row>
    <row r="23" spans="1:10">
      <c r="A23" s="257" t="s">
        <v>241</v>
      </c>
      <c r="B23" s="65">
        <v>4012</v>
      </c>
      <c r="C23" s="65">
        <v>14768</v>
      </c>
      <c r="D23" s="65">
        <v>25078</v>
      </c>
      <c r="E23" s="65">
        <v>26206</v>
      </c>
      <c r="F23" s="65">
        <v>27202</v>
      </c>
      <c r="G23" s="65">
        <v>25713</v>
      </c>
      <c r="H23" s="65">
        <v>22574</v>
      </c>
      <c r="I23" s="97" t="s">
        <v>242</v>
      </c>
      <c r="J23" t="s">
        <v>243</v>
      </c>
    </row>
    <row r="24" spans="1:10">
      <c r="A24" s="258" t="s">
        <v>244</v>
      </c>
      <c r="B24" s="65">
        <v>396</v>
      </c>
      <c r="C24" s="65">
        <v>358</v>
      </c>
      <c r="D24" s="65">
        <v>481</v>
      </c>
      <c r="E24" s="65">
        <v>535</v>
      </c>
      <c r="F24" s="65">
        <v>599</v>
      </c>
      <c r="G24" s="65">
        <v>911</v>
      </c>
      <c r="H24" s="65"/>
      <c r="I24" s="97"/>
    </row>
    <row r="25" spans="1:10">
      <c r="A25" s="257" t="s">
        <v>245</v>
      </c>
      <c r="B25" s="65">
        <v>14872</v>
      </c>
      <c r="C25" s="65">
        <v>12419</v>
      </c>
      <c r="D25" s="65">
        <v>11118</v>
      </c>
      <c r="E25" s="65">
        <v>11381</v>
      </c>
      <c r="F25" s="65">
        <v>11505</v>
      </c>
      <c r="G25" s="65">
        <v>10090</v>
      </c>
      <c r="H25" s="65">
        <v>13476</v>
      </c>
      <c r="I25" s="97" t="s">
        <v>246</v>
      </c>
      <c r="J25" t="s">
        <v>247</v>
      </c>
    </row>
    <row r="26" spans="1:10">
      <c r="A26" s="257" t="s">
        <v>248</v>
      </c>
      <c r="B26" s="65">
        <v>20544</v>
      </c>
      <c r="C26" s="65">
        <v>29246</v>
      </c>
      <c r="D26" s="65">
        <v>40238</v>
      </c>
      <c r="E26" s="65">
        <v>43379</v>
      </c>
      <c r="F26" s="65">
        <v>39820</v>
      </c>
      <c r="G26" s="65">
        <v>37199</v>
      </c>
      <c r="H26" s="65">
        <v>36050</v>
      </c>
      <c r="I26" s="97" t="s">
        <v>249</v>
      </c>
      <c r="J26" t="s">
        <v>250</v>
      </c>
    </row>
    <row r="27" spans="1:10">
      <c r="A27" s="257" t="s">
        <v>251</v>
      </c>
      <c r="B27" s="65">
        <v>55164</v>
      </c>
      <c r="C27" s="65">
        <v>74467</v>
      </c>
      <c r="D27" s="65">
        <v>97072</v>
      </c>
      <c r="E27" s="65">
        <v>107633</v>
      </c>
      <c r="F27" s="65">
        <v>109120</v>
      </c>
      <c r="G27" s="65">
        <v>119013</v>
      </c>
      <c r="H27" s="65">
        <v>125172</v>
      </c>
      <c r="I27" s="97" t="s">
        <v>252</v>
      </c>
      <c r="J27" t="s">
        <v>253</v>
      </c>
    </row>
    <row r="28" spans="1:10">
      <c r="A28" s="257" t="s">
        <v>254</v>
      </c>
      <c r="C28" s="65"/>
      <c r="D28" s="65"/>
      <c r="E28" s="65"/>
      <c r="F28" s="65"/>
      <c r="G28" s="65"/>
      <c r="H28" s="65"/>
      <c r="I28" s="97"/>
    </row>
    <row r="29" spans="1:10">
      <c r="A29" s="257" t="s">
        <v>255</v>
      </c>
      <c r="B29" s="65">
        <v>45049</v>
      </c>
      <c r="C29" s="65">
        <v>50552</v>
      </c>
      <c r="D29" s="65">
        <v>58510</v>
      </c>
      <c r="E29" s="65">
        <v>61774</v>
      </c>
      <c r="F29" s="65">
        <v>68184</v>
      </c>
      <c r="G29" s="65">
        <v>76534</v>
      </c>
      <c r="H29" s="65"/>
      <c r="I29" s="97" t="s">
        <v>256</v>
      </c>
      <c r="J29" t="s">
        <v>256</v>
      </c>
    </row>
    <row r="30" spans="1:10">
      <c r="A30" s="257" t="s">
        <v>257</v>
      </c>
      <c r="B30" s="65">
        <v>134885</v>
      </c>
      <c r="C30" s="65">
        <v>152122</v>
      </c>
      <c r="D30" s="65">
        <v>163401</v>
      </c>
      <c r="E30" s="65">
        <v>191484</v>
      </c>
      <c r="F30" s="65">
        <v>195563</v>
      </c>
      <c r="G30" s="65">
        <v>211247</v>
      </c>
      <c r="H30" s="65">
        <v>245084</v>
      </c>
      <c r="I30" s="97" t="s">
        <v>258</v>
      </c>
      <c r="J30" t="s">
        <v>259</v>
      </c>
    </row>
    <row r="31" spans="1:10" ht="30.75">
      <c r="A31" s="257" t="s">
        <v>260</v>
      </c>
      <c r="B31" s="65">
        <v>-2306</v>
      </c>
      <c r="C31" s="65">
        <v>-1232</v>
      </c>
      <c r="D31" s="65">
        <v>633</v>
      </c>
      <c r="E31" s="65">
        <v>-1623</v>
      </c>
      <c r="F31" s="65">
        <v>-7603</v>
      </c>
      <c r="G31" s="65">
        <v>-4402</v>
      </c>
      <c r="H31" s="65">
        <v>-4800</v>
      </c>
      <c r="I31" s="97" t="s">
        <v>261</v>
      </c>
      <c r="J31" t="s">
        <v>262</v>
      </c>
    </row>
    <row r="32" spans="1:10">
      <c r="A32" s="257" t="s">
        <v>263</v>
      </c>
      <c r="B32" s="65"/>
      <c r="C32" s="65"/>
      <c r="D32" s="65"/>
      <c r="E32" s="65"/>
      <c r="F32" s="65"/>
      <c r="G32" s="65"/>
      <c r="H32" s="65">
        <v>84800</v>
      </c>
      <c r="I32" s="97" t="s">
        <v>264</v>
      </c>
      <c r="J32" t="s">
        <v>265</v>
      </c>
    </row>
    <row r="33" spans="1:10">
      <c r="A33" s="257" t="s">
        <v>266</v>
      </c>
      <c r="B33" s="65">
        <v>177628</v>
      </c>
      <c r="C33" s="65">
        <v>201442</v>
      </c>
      <c r="D33" s="65">
        <v>222544</v>
      </c>
      <c r="E33" s="65">
        <v>251635</v>
      </c>
      <c r="F33" s="65">
        <v>256144</v>
      </c>
      <c r="G33" s="65">
        <v>283379</v>
      </c>
      <c r="H33" s="65">
        <v>325084</v>
      </c>
      <c r="I33" s="97" t="s">
        <v>267</v>
      </c>
      <c r="J33" t="s">
        <v>268</v>
      </c>
    </row>
    <row r="34" spans="1:10">
      <c r="A34" s="257" t="s">
        <v>269</v>
      </c>
      <c r="B34" s="65">
        <v>232792</v>
      </c>
      <c r="C34" s="65">
        <v>275909</v>
      </c>
      <c r="D34" s="65">
        <v>319616</v>
      </c>
      <c r="E34" s="65">
        <v>359268</v>
      </c>
      <c r="F34" s="65">
        <v>365264</v>
      </c>
      <c r="G34" s="65">
        <v>402392</v>
      </c>
      <c r="H34" s="65">
        <v>450256</v>
      </c>
      <c r="I34" s="97" t="s">
        <v>228</v>
      </c>
      <c r="J34" t="s">
        <v>268</v>
      </c>
    </row>
    <row r="35" spans="1:10">
      <c r="A35" s="257" t="s">
        <v>168</v>
      </c>
      <c r="B35" s="65"/>
      <c r="C35" s="65"/>
      <c r="D35" s="65"/>
      <c r="E35" s="65"/>
      <c r="F35" s="65"/>
      <c r="G35" s="65"/>
      <c r="H35" s="65"/>
      <c r="I35" s="97"/>
    </row>
    <row r="36" spans="1:10">
      <c r="A36" s="257" t="s">
        <v>270</v>
      </c>
      <c r="B36" s="65">
        <v>4012</v>
      </c>
      <c r="C36" s="65">
        <v>14768</v>
      </c>
      <c r="D36" s="65">
        <v>25078</v>
      </c>
      <c r="E36" s="65">
        <v>26206</v>
      </c>
      <c r="F36" s="65">
        <v>29679</v>
      </c>
      <c r="G36" s="65">
        <v>28504</v>
      </c>
      <c r="H36" s="65">
        <v>22574</v>
      </c>
      <c r="I36" s="97" t="s">
        <v>271</v>
      </c>
      <c r="J36" t="s">
        <v>243</v>
      </c>
    </row>
    <row r="37" spans="1:10">
      <c r="A37" s="257" t="s">
        <v>272</v>
      </c>
      <c r="B37" s="65">
        <v>-12689</v>
      </c>
      <c r="C37" s="65">
        <v>-3730</v>
      </c>
      <c r="D37" s="65">
        <v>-1387</v>
      </c>
      <c r="E37" s="65">
        <v>5261</v>
      </c>
      <c r="F37" s="65">
        <v>7800</v>
      </c>
      <c r="G37" s="65">
        <v>4456</v>
      </c>
      <c r="H37" s="65">
        <v>-892</v>
      </c>
      <c r="I37" s="97" t="s">
        <v>273</v>
      </c>
      <c r="J37" t="s">
        <v>274</v>
      </c>
    </row>
    <row r="38" spans="1:10">
      <c r="B38" s="65"/>
      <c r="C38" s="65"/>
      <c r="D38" s="65"/>
      <c r="E38" s="65"/>
      <c r="F38" s="65"/>
      <c r="G38" s="65"/>
      <c r="H38" s="65"/>
      <c r="I38" s="97"/>
    </row>
    <row r="39" spans="1:10">
      <c r="B39" s="65"/>
      <c r="C39" s="65"/>
      <c r="D39" s="65"/>
      <c r="E39" s="65"/>
      <c r="F39" s="65"/>
      <c r="G39" s="65"/>
      <c r="H39" s="65"/>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topLeftCell="A11" workbookViewId="0">
      <selection activeCell="A13" sqref="A13"/>
    </sheetView>
  </sheetViews>
  <sheetFormatPr defaultColWidth="0" defaultRowHeight="15"/>
  <cols>
    <col min="1" max="1" width="43.5703125" bestFit="1" customWidth="1"/>
    <col min="2" max="8" width="11.42578125" style="3" customWidth="1"/>
    <col min="9" max="16384" width="11.42578125" hidden="1"/>
  </cols>
  <sheetData>
    <row r="1" spans="1:10">
      <c r="A1" s="70" t="s">
        <v>275</v>
      </c>
      <c r="B1" s="240">
        <v>43465</v>
      </c>
      <c r="C1" s="259">
        <v>43830</v>
      </c>
      <c r="D1" s="259">
        <v>44196</v>
      </c>
      <c r="E1" s="259">
        <v>44561</v>
      </c>
      <c r="F1" s="240">
        <v>44926</v>
      </c>
      <c r="G1" s="240">
        <v>45291</v>
      </c>
      <c r="H1" s="240">
        <v>45657</v>
      </c>
      <c r="I1" t="s">
        <v>91</v>
      </c>
      <c r="J1" t="s">
        <v>92</v>
      </c>
    </row>
    <row r="2" spans="1:10">
      <c r="A2" s="70" t="s">
        <v>93</v>
      </c>
      <c r="B2" s="71"/>
      <c r="C2" s="260"/>
      <c r="D2" s="260"/>
      <c r="E2" s="260"/>
      <c r="F2" s="71"/>
      <c r="G2" s="71"/>
      <c r="H2" s="71"/>
    </row>
    <row r="3" spans="1:10">
      <c r="A3" s="72" t="s">
        <v>22</v>
      </c>
      <c r="B3" s="254">
        <v>30736</v>
      </c>
      <c r="C3" s="261">
        <v>34343</v>
      </c>
      <c r="D3" s="261">
        <v>40269</v>
      </c>
      <c r="E3" s="261">
        <v>76033</v>
      </c>
      <c r="F3" s="245">
        <v>59972</v>
      </c>
      <c r="G3" s="245">
        <v>73795</v>
      </c>
      <c r="H3" s="245">
        <v>100118</v>
      </c>
      <c r="I3" t="s">
        <v>151</v>
      </c>
      <c r="J3" t="s">
        <v>152</v>
      </c>
    </row>
    <row r="4" spans="1:10">
      <c r="A4" s="72" t="s">
        <v>276</v>
      </c>
      <c r="B4" s="245">
        <v>9035</v>
      </c>
      <c r="C4" s="261">
        <v>11781</v>
      </c>
      <c r="D4" s="261">
        <v>13697</v>
      </c>
      <c r="E4" s="261">
        <v>12441</v>
      </c>
      <c r="F4" s="245">
        <v>15928</v>
      </c>
      <c r="G4" s="245">
        <v>11946</v>
      </c>
      <c r="H4" s="245">
        <v>15311</v>
      </c>
      <c r="I4" s="97" t="s">
        <v>182</v>
      </c>
      <c r="J4" t="s">
        <v>277</v>
      </c>
    </row>
    <row r="5" spans="1:10">
      <c r="A5" s="72" t="s">
        <v>278</v>
      </c>
      <c r="B5" s="245">
        <v>778</v>
      </c>
      <c r="C5" s="261">
        <v>173</v>
      </c>
      <c r="D5" s="261">
        <v>1390</v>
      </c>
      <c r="E5" s="261">
        <v>1808</v>
      </c>
      <c r="F5" s="245">
        <v>-8081</v>
      </c>
      <c r="G5" s="245">
        <v>-7763</v>
      </c>
      <c r="H5" s="245">
        <v>-5257</v>
      </c>
      <c r="I5" s="97" t="s">
        <v>279</v>
      </c>
      <c r="J5" t="s">
        <v>280</v>
      </c>
    </row>
    <row r="6" spans="1:10">
      <c r="A6" s="72" t="s">
        <v>281</v>
      </c>
      <c r="B6" s="245"/>
      <c r="C6" s="261">
        <v>10794</v>
      </c>
      <c r="D6" s="261">
        <v>12991</v>
      </c>
      <c r="E6" s="261">
        <v>15376</v>
      </c>
      <c r="F6" s="245">
        <v>19362</v>
      </c>
      <c r="G6" s="245">
        <v>22460</v>
      </c>
      <c r="H6" s="245">
        <v>22785</v>
      </c>
      <c r="I6" t="s">
        <v>282</v>
      </c>
      <c r="J6" t="s">
        <v>283</v>
      </c>
    </row>
    <row r="7" spans="1:10">
      <c r="A7" s="72" t="s">
        <v>284</v>
      </c>
      <c r="B7" s="245">
        <v>4908</v>
      </c>
      <c r="C7" s="261">
        <v>819</v>
      </c>
      <c r="D7" s="261">
        <v>1827</v>
      </c>
      <c r="E7" s="261">
        <v>-1523</v>
      </c>
      <c r="F7" s="245">
        <v>-2235</v>
      </c>
      <c r="G7" s="245">
        <v>-3845</v>
      </c>
      <c r="H7" s="245">
        <v>-8406</v>
      </c>
      <c r="I7" s="97" t="s">
        <v>285</v>
      </c>
      <c r="J7" t="s">
        <v>286</v>
      </c>
    </row>
    <row r="8" spans="1:10">
      <c r="A8" s="72" t="s">
        <v>287</v>
      </c>
      <c r="B8" s="245">
        <v>-6839</v>
      </c>
      <c r="C8" s="261">
        <v>-3390</v>
      </c>
      <c r="D8" s="261">
        <v>-5050</v>
      </c>
      <c r="E8" s="261">
        <v>-12483</v>
      </c>
      <c r="F8" s="245">
        <v>6549</v>
      </c>
      <c r="G8" s="245">
        <v>5153</v>
      </c>
      <c r="H8" s="245">
        <v>748</v>
      </c>
      <c r="I8" s="97" t="s">
        <v>288</v>
      </c>
      <c r="J8" t="s">
        <v>289</v>
      </c>
    </row>
    <row r="9" spans="1:10">
      <c r="A9" s="72" t="s">
        <v>290</v>
      </c>
      <c r="B9" s="245">
        <v>47971</v>
      </c>
      <c r="C9" s="261">
        <v>54520</v>
      </c>
      <c r="D9" s="261">
        <v>65124</v>
      </c>
      <c r="E9" s="261">
        <v>91652</v>
      </c>
      <c r="F9" s="245">
        <v>91495</v>
      </c>
      <c r="G9" s="245">
        <v>101746</v>
      </c>
      <c r="H9" s="245">
        <v>125299</v>
      </c>
      <c r="I9" t="s">
        <v>291</v>
      </c>
      <c r="J9" t="s">
        <v>292</v>
      </c>
    </row>
    <row r="10" spans="1:10">
      <c r="A10" s="72" t="s">
        <v>293</v>
      </c>
      <c r="B10" s="245">
        <v>-25139</v>
      </c>
      <c r="C10" s="261">
        <v>-23548</v>
      </c>
      <c r="D10" s="261">
        <v>-22281</v>
      </c>
      <c r="E10" s="261">
        <v>-24640</v>
      </c>
      <c r="F10" s="245">
        <v>-31485</v>
      </c>
      <c r="G10" s="245">
        <v>-32251</v>
      </c>
      <c r="H10" s="245">
        <v>-52535</v>
      </c>
      <c r="I10" s="97" t="s">
        <v>294</v>
      </c>
      <c r="J10" t="s">
        <v>295</v>
      </c>
    </row>
    <row r="11" spans="1:10">
      <c r="A11" s="72" t="s">
        <v>296</v>
      </c>
      <c r="B11" s="245">
        <v>-1491</v>
      </c>
      <c r="C11" s="261">
        <v>-2515</v>
      </c>
      <c r="D11" s="261">
        <v>-738</v>
      </c>
      <c r="E11" s="261">
        <v>-2618</v>
      </c>
      <c r="F11" s="245">
        <v>-6969</v>
      </c>
      <c r="G11" s="245">
        <v>-495</v>
      </c>
      <c r="H11" s="245">
        <v>-2931</v>
      </c>
      <c r="I11" s="97" t="s">
        <v>297</v>
      </c>
      <c r="J11" t="s">
        <v>298</v>
      </c>
    </row>
    <row r="12" spans="1:10">
      <c r="A12" s="72" t="s">
        <v>299</v>
      </c>
      <c r="B12" s="245">
        <v>-52231</v>
      </c>
      <c r="C12" s="261">
        <v>-102247</v>
      </c>
      <c r="D12" s="261">
        <v>-143751</v>
      </c>
      <c r="E12" s="261">
        <v>-138034</v>
      </c>
      <c r="F12" s="245">
        <v>-81405</v>
      </c>
      <c r="G12" s="245">
        <v>-80885</v>
      </c>
      <c r="H12" s="245">
        <v>-91713</v>
      </c>
      <c r="I12" t="s">
        <v>300</v>
      </c>
      <c r="J12" t="s">
        <v>301</v>
      </c>
    </row>
    <row r="13" spans="1:10">
      <c r="A13" s="72" t="s">
        <v>302</v>
      </c>
      <c r="B13" s="245">
        <v>50259</v>
      </c>
      <c r="C13" s="261">
        <v>98230</v>
      </c>
      <c r="D13" s="261">
        <v>133929</v>
      </c>
      <c r="E13" s="261">
        <v>129228</v>
      </c>
      <c r="F13" s="245">
        <v>97972</v>
      </c>
      <c r="G13" s="245">
        <v>87619</v>
      </c>
      <c r="H13" s="245">
        <v>104310</v>
      </c>
      <c r="I13" s="97" t="s">
        <v>303</v>
      </c>
      <c r="J13" t="s">
        <v>304</v>
      </c>
    </row>
    <row r="14" spans="1:10">
      <c r="A14" s="72" t="s">
        <v>305</v>
      </c>
      <c r="B14" s="245">
        <v>98</v>
      </c>
      <c r="C14" s="261">
        <v>589</v>
      </c>
      <c r="D14" s="261">
        <v>68</v>
      </c>
      <c r="E14" s="261">
        <v>541</v>
      </c>
      <c r="F14" s="245">
        <v>1589</v>
      </c>
      <c r="G14" s="245">
        <v>-1051</v>
      </c>
      <c r="H14" s="245">
        <v>-2667</v>
      </c>
      <c r="I14" s="97" t="s">
        <v>306</v>
      </c>
      <c r="J14" t="s">
        <v>307</v>
      </c>
    </row>
    <row r="15" spans="1:10">
      <c r="A15" s="72" t="s">
        <v>308</v>
      </c>
      <c r="B15" s="245">
        <v>-28504</v>
      </c>
      <c r="C15" s="261">
        <v>-29491</v>
      </c>
      <c r="D15" s="261">
        <v>-32773</v>
      </c>
      <c r="E15" s="261">
        <v>-35523</v>
      </c>
      <c r="F15" s="245">
        <v>-20298</v>
      </c>
      <c r="G15" s="245">
        <v>-27063</v>
      </c>
      <c r="H15" s="245">
        <v>-45536</v>
      </c>
      <c r="I15" s="97" t="s">
        <v>309</v>
      </c>
      <c r="J15" t="s">
        <v>310</v>
      </c>
    </row>
    <row r="16" spans="1:10" s="187" customFormat="1">
      <c r="A16" s="185" t="s">
        <v>311</v>
      </c>
      <c r="B16" s="246">
        <v>-6827</v>
      </c>
      <c r="C16" s="262">
        <v>-585</v>
      </c>
      <c r="D16" s="262">
        <v>-2100</v>
      </c>
      <c r="E16" s="262">
        <v>-21435</v>
      </c>
      <c r="F16" s="246">
        <v>-54068</v>
      </c>
      <c r="G16" s="246">
        <v>-11550</v>
      </c>
      <c r="H16" s="246">
        <v>888</v>
      </c>
      <c r="J16" s="187" t="s">
        <v>312</v>
      </c>
    </row>
    <row r="17" spans="1:10">
      <c r="A17" s="72" t="s">
        <v>313</v>
      </c>
      <c r="B17" s="245">
        <v>950</v>
      </c>
      <c r="C17" s="261"/>
      <c r="D17" s="261"/>
      <c r="E17" s="261"/>
      <c r="F17" s="245"/>
      <c r="G17" s="245"/>
      <c r="H17" s="245"/>
      <c r="I17" s="97" t="s">
        <v>314</v>
      </c>
    </row>
    <row r="18" spans="1:10">
      <c r="A18" s="72" t="s">
        <v>315</v>
      </c>
      <c r="B18" s="245">
        <v>-9075</v>
      </c>
      <c r="C18" s="261">
        <v>-18396</v>
      </c>
      <c r="D18" s="261">
        <v>-31149</v>
      </c>
      <c r="E18" s="261">
        <v>-50274</v>
      </c>
      <c r="F18" s="245">
        <v>-59296</v>
      </c>
      <c r="G18" s="245">
        <v>-61504</v>
      </c>
      <c r="H18" s="245">
        <v>-62222</v>
      </c>
      <c r="I18" s="97" t="s">
        <v>316</v>
      </c>
      <c r="J18" t="s">
        <v>317</v>
      </c>
    </row>
    <row r="19" spans="1:10">
      <c r="A19" s="72" t="s">
        <v>318</v>
      </c>
      <c r="B19" s="245"/>
      <c r="C19" s="261"/>
      <c r="D19" s="261"/>
      <c r="E19" s="261"/>
      <c r="F19" s="245"/>
      <c r="G19" s="245"/>
      <c r="H19" s="245">
        <v>-7363</v>
      </c>
      <c r="I19" s="97"/>
    </row>
    <row r="20" spans="1:10">
      <c r="A20" s="72" t="s">
        <v>319</v>
      </c>
      <c r="B20" s="245">
        <v>1773</v>
      </c>
      <c r="C20" s="261">
        <v>-4228</v>
      </c>
      <c r="D20" s="261">
        <v>8841</v>
      </c>
      <c r="E20" s="261">
        <v>10347</v>
      </c>
      <c r="F20" s="245">
        <v>43607</v>
      </c>
      <c r="G20" s="245">
        <v>961</v>
      </c>
      <c r="H20" s="245">
        <v>-11036</v>
      </c>
      <c r="I20" s="97" t="s">
        <v>320</v>
      </c>
      <c r="J20" t="s">
        <v>321</v>
      </c>
    </row>
    <row r="21" spans="1:10">
      <c r="A21" s="72" t="s">
        <v>322</v>
      </c>
      <c r="B21" s="245">
        <v>-13179</v>
      </c>
      <c r="C21" s="261">
        <v>-23209</v>
      </c>
      <c r="D21" s="261">
        <v>-24408</v>
      </c>
      <c r="E21" s="261">
        <v>-61362</v>
      </c>
      <c r="F21" s="245">
        <v>-69757</v>
      </c>
      <c r="G21" s="245">
        <v>-72093</v>
      </c>
      <c r="H21" s="245">
        <v>-79733</v>
      </c>
      <c r="I21" s="97" t="s">
        <v>323</v>
      </c>
      <c r="J21" t="s">
        <v>324</v>
      </c>
    </row>
    <row r="22" spans="1:10">
      <c r="A22" s="72" t="s">
        <v>325</v>
      </c>
      <c r="B22" s="245">
        <v>-302</v>
      </c>
      <c r="C22" s="261">
        <v>-23</v>
      </c>
      <c r="D22" s="261">
        <v>24</v>
      </c>
      <c r="E22" s="261">
        <v>-287</v>
      </c>
      <c r="F22" s="245">
        <v>-506</v>
      </c>
      <c r="G22" s="245">
        <v>-421</v>
      </c>
      <c r="H22" s="245">
        <v>-612</v>
      </c>
      <c r="I22" s="97"/>
    </row>
    <row r="23" spans="1:10">
      <c r="A23" s="72" t="s">
        <v>326</v>
      </c>
      <c r="B23" s="245">
        <v>5986</v>
      </c>
      <c r="C23" s="261">
        <v>1797</v>
      </c>
      <c r="D23" s="261">
        <v>7967</v>
      </c>
      <c r="E23" s="261">
        <v>-5520</v>
      </c>
      <c r="F23" s="245">
        <v>934</v>
      </c>
      <c r="G23" s="245">
        <v>2169</v>
      </c>
      <c r="H23" s="245">
        <v>-582</v>
      </c>
      <c r="I23" s="97" t="s">
        <v>327</v>
      </c>
      <c r="J23" t="s">
        <v>328</v>
      </c>
    </row>
    <row r="24" spans="1:10" s="187" customFormat="1">
      <c r="A24" s="185" t="s">
        <v>168</v>
      </c>
      <c r="B24" s="246"/>
      <c r="C24" s="262"/>
      <c r="D24" s="262"/>
      <c r="E24" s="262"/>
      <c r="F24" s="246"/>
      <c r="G24" s="246"/>
      <c r="H24" s="246"/>
      <c r="I24" s="239"/>
    </row>
    <row r="25" spans="1:10">
      <c r="A25" s="72" t="s">
        <v>329</v>
      </c>
      <c r="B25" s="245">
        <v>22832</v>
      </c>
      <c r="C25" s="261">
        <v>30972</v>
      </c>
      <c r="D25" s="261">
        <v>42843</v>
      </c>
      <c r="E25" s="261">
        <v>67012</v>
      </c>
      <c r="F25" s="245">
        <v>60010</v>
      </c>
      <c r="G25" s="245">
        <v>69495</v>
      </c>
      <c r="H25" s="245">
        <v>72764</v>
      </c>
      <c r="I25" s="97" t="s">
        <v>330</v>
      </c>
      <c r="J25" t="s">
        <v>331</v>
      </c>
    </row>
    <row r="26" spans="1:10">
      <c r="A26" s="72" t="s">
        <v>97</v>
      </c>
      <c r="B26" s="245">
        <v>-4.4999999999999998E-2</v>
      </c>
      <c r="C26" s="261">
        <v>0.35699999999999998</v>
      </c>
      <c r="D26" s="261">
        <v>0.38300000000000001</v>
      </c>
      <c r="E26" s="261">
        <v>0.56399999999999995</v>
      </c>
      <c r="F26" s="245">
        <v>-0.104</v>
      </c>
      <c r="G26" s="245">
        <v>0.158</v>
      </c>
      <c r="H26" s="245">
        <v>4.7E-2</v>
      </c>
      <c r="I26" s="97" t="s">
        <v>332</v>
      </c>
      <c r="J26" t="s">
        <v>333</v>
      </c>
    </row>
    <row r="27" spans="1:10">
      <c r="A27" s="72" t="s">
        <v>334</v>
      </c>
      <c r="B27" s="245">
        <v>0.16700000000000001</v>
      </c>
      <c r="C27" s="261">
        <v>0.191</v>
      </c>
      <c r="D27" s="261">
        <v>0.23499999999999999</v>
      </c>
      <c r="E27" s="261">
        <v>0.26</v>
      </c>
      <c r="F27" s="245">
        <v>0.21199999999999999</v>
      </c>
      <c r="G27" s="245">
        <v>0.22600000000000001</v>
      </c>
      <c r="H27" s="245">
        <v>0.20799999999999999</v>
      </c>
      <c r="I27" s="97" t="s">
        <v>335</v>
      </c>
      <c r="J27" t="s">
        <v>336</v>
      </c>
    </row>
    <row r="28" spans="1:10">
      <c r="A28" s="72" t="s">
        <v>337</v>
      </c>
      <c r="B28" s="245">
        <v>10715</v>
      </c>
      <c r="C28" s="261">
        <v>16701</v>
      </c>
      <c r="D28" s="261">
        <v>18498</v>
      </c>
      <c r="E28" s="261">
        <v>26465</v>
      </c>
      <c r="F28" s="245">
        <v>20945</v>
      </c>
      <c r="G28" s="245">
        <v>21879</v>
      </c>
      <c r="H28" s="245">
        <v>24048</v>
      </c>
      <c r="I28" s="97" t="s">
        <v>338</v>
      </c>
      <c r="J28" t="s">
        <v>187</v>
      </c>
    </row>
    <row r="29" spans="1:10">
      <c r="A29" s="72" t="s">
        <v>339</v>
      </c>
      <c r="B29" s="245">
        <v>16701</v>
      </c>
      <c r="C29" s="261">
        <v>18498</v>
      </c>
      <c r="D29" s="261">
        <v>26465</v>
      </c>
      <c r="E29" s="261">
        <v>20945</v>
      </c>
      <c r="F29" s="245">
        <v>21879</v>
      </c>
      <c r="G29" s="245">
        <v>24048</v>
      </c>
      <c r="H29" s="245">
        <v>23466</v>
      </c>
      <c r="I29" s="97" t="s">
        <v>187</v>
      </c>
      <c r="J29" t="s">
        <v>340</v>
      </c>
    </row>
    <row r="30" spans="1:10">
      <c r="A30" s="72"/>
      <c r="B30" s="74"/>
      <c r="C30" s="74"/>
      <c r="D30" s="74"/>
      <c r="E30" s="74"/>
      <c r="F30" s="74"/>
      <c r="G30" s="74"/>
      <c r="H30" s="74"/>
      <c r="I30" s="97"/>
    </row>
    <row r="31" spans="1:10" s="187" customFormat="1">
      <c r="A31" s="185"/>
      <c r="B31" s="186"/>
      <c r="C31" s="186"/>
      <c r="D31" s="186"/>
      <c r="E31" s="186"/>
      <c r="F31" s="186"/>
      <c r="G31" s="186"/>
      <c r="H31" s="186"/>
      <c r="I31" s="239"/>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22" workbookViewId="0">
      <selection activeCell="B32" sqref="B32:H32"/>
    </sheetView>
  </sheetViews>
  <sheetFormatPr defaultColWidth="11.42578125" defaultRowHeight="15"/>
  <cols>
    <col min="1" max="1" width="38.42578125" style="187" bestFit="1" customWidth="1"/>
    <col min="2" max="8" width="11.42578125" style="200"/>
    <col min="9" max="16384" width="11.42578125" style="187"/>
  </cols>
  <sheetData>
    <row r="1" spans="1:11">
      <c r="A1" s="68" t="s">
        <v>341</v>
      </c>
      <c r="B1" s="75">
        <f>'1.IS'!B2</f>
        <v>2018</v>
      </c>
      <c r="C1" s="75">
        <f>'1.IS'!C2</f>
        <v>2019</v>
      </c>
      <c r="D1" s="75">
        <f>'1.IS'!D2</f>
        <v>2020</v>
      </c>
      <c r="E1" s="75">
        <f>'1.IS'!E2</f>
        <v>2021</v>
      </c>
      <c r="F1" s="75">
        <f>'1.IS'!F2</f>
        <v>2022</v>
      </c>
      <c r="G1" s="75">
        <f>'1.IS'!G2</f>
        <v>2023</v>
      </c>
      <c r="H1" s="75">
        <f>'1.IS'!H2</f>
        <v>2024</v>
      </c>
    </row>
    <row r="2" spans="1:11">
      <c r="A2" s="196" t="s">
        <v>342</v>
      </c>
      <c r="B2" s="244">
        <f>IFERROR(VALUE(VLOOKUP($A2, '8.TIKR_CF'!$A:$H, COLUMN(B2), FALSE)), 0)</f>
        <v>-25139</v>
      </c>
      <c r="C2" s="244">
        <f>IFERROR(VALUE(VLOOKUP($A2, '8.TIKR_CF'!$A:$H, COLUMN(C2), FALSE)), 0)</f>
        <v>-23548</v>
      </c>
      <c r="D2" s="244">
        <f>IFERROR(VALUE(VLOOKUP($A2, '8.TIKR_CF'!$A:$H, COLUMN(D2), FALSE)), 0)</f>
        <v>-22281</v>
      </c>
      <c r="E2" s="244">
        <f>IFERROR(VALUE(VLOOKUP($A2, '8.TIKR_CF'!$A:$H, COLUMN(E2), FALSE)), 0)</f>
        <v>-24640</v>
      </c>
      <c r="F2" s="244">
        <f>IFERROR(VALUE(VLOOKUP($A2, '8.TIKR_CF'!$A:$H, COLUMN(F2), FALSE)), 0)</f>
        <v>-31485</v>
      </c>
      <c r="G2" s="244">
        <f>IFERROR(VALUE(VLOOKUP($A2, '8.TIKR_CF'!$A:$H, COLUMN(G2), FALSE)), 0)</f>
        <v>-32251</v>
      </c>
      <c r="H2" s="244">
        <f>IFERROR(VALUE(VLOOKUP($A2, '8.TIKR_CF'!$A:$H, COLUMN(H2), FALSE)), 0)</f>
        <v>-52535</v>
      </c>
      <c r="J2" s="241"/>
      <c r="K2" s="242"/>
    </row>
    <row r="3" spans="1:11">
      <c r="A3" s="197" t="s">
        <v>343</v>
      </c>
      <c r="B3" s="247">
        <f>IFERROR(VALUE(VLOOKUP($A3,'8.TIKR_CF'!$A:$H,COLUMN(B3),FALSE)),0)</f>
        <v>50259</v>
      </c>
      <c r="C3" s="247">
        <f>IFERROR(VALUE(VLOOKUP($A3,'8.TIKR_CF'!$A:$H,COLUMN(C3),FALSE)),0)</f>
        <v>98230</v>
      </c>
      <c r="D3" s="247">
        <f>IFERROR(VALUE(VLOOKUP($A3,'8.TIKR_CF'!$A:$H,COLUMN(D3),FALSE)),0)</f>
        <v>133929</v>
      </c>
      <c r="E3" s="247">
        <f>IFERROR(VALUE(VLOOKUP($A3,'8.TIKR_CF'!$A:$H,COLUMN(E3),FALSE)),0)</f>
        <v>129228</v>
      </c>
      <c r="F3" s="247">
        <f>IFERROR(VALUE(VLOOKUP($A3,'8.TIKR_CF'!$A:$H,COLUMN(F3),FALSE)),0)</f>
        <v>97972</v>
      </c>
      <c r="G3" s="247">
        <f>IFERROR(VALUE(VLOOKUP($A3,'8.TIKR_CF'!$A:$H,COLUMN(G3),FALSE)),0)</f>
        <v>87619</v>
      </c>
      <c r="H3" s="247">
        <f>IFERROR(VALUE(VLOOKUP($A3,'8.TIKR_CF'!$A:$H,COLUMN(H3),FALSE)),0)</f>
        <v>104310</v>
      </c>
      <c r="J3" s="241"/>
      <c r="K3" s="243"/>
    </row>
    <row r="4" spans="1:11">
      <c r="A4" s="196" t="s">
        <v>344</v>
      </c>
      <c r="B4" s="248">
        <f>B2+B3</f>
        <v>25120</v>
      </c>
      <c r="C4" s="248">
        <f t="shared" ref="C4:H4" si="0">SUM(C2:C3)</f>
        <v>74682</v>
      </c>
      <c r="D4" s="248">
        <f t="shared" si="0"/>
        <v>111648</v>
      </c>
      <c r="E4" s="248">
        <f t="shared" si="0"/>
        <v>104588</v>
      </c>
      <c r="F4" s="248">
        <f t="shared" si="0"/>
        <v>66487</v>
      </c>
      <c r="G4" s="248">
        <f t="shared" si="0"/>
        <v>55368</v>
      </c>
      <c r="H4" s="248">
        <f t="shared" si="0"/>
        <v>51775</v>
      </c>
      <c r="K4" s="242"/>
    </row>
    <row r="5" spans="1:11">
      <c r="A5" s="197" t="s">
        <v>345</v>
      </c>
      <c r="B5" s="247">
        <f>IFERROR(VALUE(VLOOKUP($A5,'8.TIKR_CF'!$A:$H,COLUMN(B5),FALSE)),"0")</f>
        <v>9035</v>
      </c>
      <c r="C5" s="247">
        <f>IFERROR(VALUE(VLOOKUP($A5,'8.TIKR_CF'!$A:$H,COLUMN(C5),FALSE)),"0")</f>
        <v>11781</v>
      </c>
      <c r="D5" s="247">
        <f>IFERROR(VALUE(VLOOKUP($A5,'8.TIKR_CF'!$A:$H,COLUMN(D5),FALSE)),"0")</f>
        <v>13697</v>
      </c>
      <c r="E5" s="247">
        <f>IFERROR(VALUE(VLOOKUP($A5,'8.TIKR_CF'!$A:$H,COLUMN(E5),FALSE)),"0")</f>
        <v>12441</v>
      </c>
      <c r="F5" s="247">
        <f>IFERROR(VALUE(VLOOKUP($A5,'8.TIKR_CF'!$A:$H,COLUMN(F5),FALSE)),"0")</f>
        <v>15928</v>
      </c>
      <c r="G5" s="247">
        <f>IFERROR(VALUE(VLOOKUP($A5,'8.TIKR_CF'!$A:$H,COLUMN(G5),FALSE)),"0")</f>
        <v>11946</v>
      </c>
      <c r="H5" s="247">
        <f>IFERROR(VALUE(VLOOKUP($A5,'8.TIKR_CF'!$A:$H,COLUMN(H5),FALSE)),"0")</f>
        <v>15311</v>
      </c>
    </row>
    <row r="6" spans="1:11">
      <c r="A6" s="76" t="s">
        <v>346</v>
      </c>
      <c r="B6" s="249">
        <f t="shared" ref="B6:H6" si="1">IF(ABS(B4)&lt;B5,B4,-B5)</f>
        <v>-9035</v>
      </c>
      <c r="C6" s="249">
        <f t="shared" si="1"/>
        <v>-11781</v>
      </c>
      <c r="D6" s="249">
        <f t="shared" si="1"/>
        <v>-13697</v>
      </c>
      <c r="E6" s="249">
        <f t="shared" si="1"/>
        <v>-12441</v>
      </c>
      <c r="F6" s="249">
        <f t="shared" si="1"/>
        <v>-15928</v>
      </c>
      <c r="G6" s="249">
        <f t="shared" si="1"/>
        <v>-11946</v>
      </c>
      <c r="H6" s="249">
        <f t="shared" si="1"/>
        <v>-15311</v>
      </c>
    </row>
    <row r="8" spans="1:11">
      <c r="A8" s="68" t="s">
        <v>347</v>
      </c>
      <c r="B8" s="75">
        <f>'1.IS'!B2</f>
        <v>2018</v>
      </c>
      <c r="C8" s="75">
        <f>'1.IS'!C2</f>
        <v>2019</v>
      </c>
      <c r="D8" s="75">
        <f>'1.IS'!D2</f>
        <v>2020</v>
      </c>
      <c r="E8" s="75">
        <f>'1.IS'!E2</f>
        <v>2021</v>
      </c>
      <c r="F8" s="75">
        <f>'1.IS'!F2</f>
        <v>2022</v>
      </c>
      <c r="G8" s="75">
        <f>'1.IS'!G2</f>
        <v>2023</v>
      </c>
      <c r="H8" s="75">
        <f>'1.IS'!H2</f>
        <v>2024</v>
      </c>
      <c r="I8" s="77"/>
      <c r="J8" s="77"/>
    </row>
    <row r="9" spans="1:11">
      <c r="A9" s="187" t="s">
        <v>47</v>
      </c>
      <c r="B9" s="250">
        <f>B4-B6</f>
        <v>34155</v>
      </c>
      <c r="C9" s="250">
        <f t="shared" ref="C9:H9" si="2">C4-C6</f>
        <v>86463</v>
      </c>
      <c r="D9" s="250">
        <f t="shared" si="2"/>
        <v>125345</v>
      </c>
      <c r="E9" s="250">
        <f t="shared" si="2"/>
        <v>117029</v>
      </c>
      <c r="F9" s="250">
        <f t="shared" si="2"/>
        <v>82415</v>
      </c>
      <c r="G9" s="250">
        <f t="shared" si="2"/>
        <v>67314</v>
      </c>
      <c r="H9" s="250">
        <f t="shared" si="2"/>
        <v>67086</v>
      </c>
      <c r="I9" s="199"/>
      <c r="J9" s="199"/>
    </row>
    <row r="10" spans="1:11">
      <c r="A10" s="195" t="s">
        <v>348</v>
      </c>
      <c r="B10" s="251">
        <f>IFERROR(VALUE(VLOOKUP("Cash Acquisitions*",'8.TIKR_CF'!$A:$H,COLUMN(B10),FALSE)),"0")</f>
        <v>-1491</v>
      </c>
      <c r="C10" s="251">
        <f>IFERROR(VALUE(VLOOKUP("Cash Acquisitions*",'8.TIKR_CF'!$A:$H,COLUMN(C10),FALSE)),"0")</f>
        <v>-2515</v>
      </c>
      <c r="D10" s="251">
        <f>IFERROR(VALUE(VLOOKUP("Cash Acquisitions*",'8.TIKR_CF'!$A:$H,COLUMN(D10),FALSE)),"0")</f>
        <v>-738</v>
      </c>
      <c r="E10" s="251">
        <f>IFERROR(VALUE(VLOOKUP("Cash Acquisitions*",'8.TIKR_CF'!$A:$H,COLUMN(E10),FALSE)),"0")</f>
        <v>-2618</v>
      </c>
      <c r="F10" s="251">
        <f>IFERROR(VALUE(VLOOKUP("Cash Acquisitions*",'8.TIKR_CF'!$A:$H,COLUMN(F10),FALSE)),"0")</f>
        <v>-6969</v>
      </c>
      <c r="G10" s="251">
        <f>IFERROR(VALUE(VLOOKUP("Cash Acquisitions*",'8.TIKR_CF'!$A:$H,COLUMN(G10),FALSE)),"0")</f>
        <v>-495</v>
      </c>
      <c r="H10" s="251">
        <f>IFERROR(VALUE(VLOOKUP("Cash Acquisitions*",'8.TIKR_CF'!$A:$H,COLUMN(H10),FALSE)),"0")</f>
        <v>-2931</v>
      </c>
    </row>
    <row r="11" spans="1:11">
      <c r="A11" s="66" t="s">
        <v>349</v>
      </c>
      <c r="B11" s="252">
        <f>ABS(SUM(B9:B10))</f>
        <v>32664</v>
      </c>
      <c r="C11" s="252">
        <f t="shared" ref="C11:H11" si="3">ABS(SUM(C9:C10))</f>
        <v>83948</v>
      </c>
      <c r="D11" s="252">
        <f t="shared" si="3"/>
        <v>124607</v>
      </c>
      <c r="E11" s="252">
        <f t="shared" si="3"/>
        <v>114411</v>
      </c>
      <c r="F11" s="252">
        <f t="shared" si="3"/>
        <v>75446</v>
      </c>
      <c r="G11" s="252">
        <f t="shared" si="3"/>
        <v>66819</v>
      </c>
      <c r="H11" s="252">
        <f t="shared" si="3"/>
        <v>64155</v>
      </c>
    </row>
    <row r="13" spans="1:11">
      <c r="A13" s="68" t="s">
        <v>67</v>
      </c>
      <c r="B13" s="75" t="str">
        <f>'1.IS'!I2</f>
        <v>2025e</v>
      </c>
      <c r="C13" s="75" t="str">
        <f>'1.IS'!J2</f>
        <v>2026e</v>
      </c>
      <c r="D13" s="75" t="str">
        <f>'1.IS'!K2</f>
        <v>2027e</v>
      </c>
      <c r="E13" s="75" t="str">
        <f>'1.IS'!L2</f>
        <v>2028e</v>
      </c>
      <c r="F13" s="75" t="str">
        <f>'1.IS'!M2</f>
        <v>2029e</v>
      </c>
      <c r="H13" s="184"/>
    </row>
    <row r="14" spans="1:11">
      <c r="A14" s="201" t="s">
        <v>350</v>
      </c>
      <c r="B14" s="202">
        <f>'4.Valoración'!$D$12</f>
        <v>170</v>
      </c>
      <c r="C14" s="202">
        <f>'4.Valoración'!$D$12</f>
        <v>170</v>
      </c>
      <c r="D14" s="202">
        <f>'4.Valoración'!$D$12</f>
        <v>170</v>
      </c>
      <c r="E14" s="202">
        <f>'4.Valoración'!$D$12</f>
        <v>170</v>
      </c>
      <c r="F14" s="202">
        <f>'4.Valoración'!$D$12</f>
        <v>170</v>
      </c>
    </row>
    <row r="16" spans="1:11">
      <c r="A16" s="68" t="s">
        <v>351</v>
      </c>
      <c r="B16" s="75">
        <f>'1.IS'!H2</f>
        <v>2024</v>
      </c>
    </row>
    <row r="17" spans="1:9">
      <c r="A17" s="187" t="s">
        <v>352</v>
      </c>
      <c r="B17" s="178">
        <f>SUM('3.ROIC'!$B$6:$H$6)/SUM('3.ROIC'!$B$6:$H$7)</f>
        <v>0.61470519380622723</v>
      </c>
    </row>
    <row r="18" spans="1:9">
      <c r="A18" s="187" t="s">
        <v>353</v>
      </c>
      <c r="B18" s="203">
        <f>1-B17</f>
        <v>0.38529480619377277</v>
      </c>
    </row>
    <row r="19" spans="1:9">
      <c r="A19" s="187" t="s">
        <v>354</v>
      </c>
      <c r="B19" s="198">
        <f>SUM('3.ROIC'!B4:H5)</f>
        <v>825493</v>
      </c>
    </row>
    <row r="20" spans="1:9">
      <c r="A20" s="187" t="s">
        <v>355</v>
      </c>
      <c r="B20" s="198">
        <f>SUM('3.ROIC'!B5:H5)</f>
        <v>673491</v>
      </c>
    </row>
    <row r="21" spans="1:9">
      <c r="A21" s="187" t="s">
        <v>356</v>
      </c>
      <c r="B21" s="198">
        <f>SUM('3.ROIC'!B6:H7)</f>
        <v>598020</v>
      </c>
    </row>
    <row r="22" spans="1:9">
      <c r="A22" s="187" t="s">
        <v>357</v>
      </c>
      <c r="B22" s="198">
        <f>B21-B19</f>
        <v>-227473</v>
      </c>
    </row>
    <row r="23" spans="1:9">
      <c r="A23" s="187" t="s">
        <v>358</v>
      </c>
      <c r="B23" s="198">
        <f>SUM('1.IS'!B11:H11)</f>
        <v>29571</v>
      </c>
    </row>
    <row r="24" spans="1:9">
      <c r="A24" s="187" t="s">
        <v>359</v>
      </c>
      <c r="B24" s="198">
        <f>SUM('1.IS'!B10:H10)</f>
        <v>-1360</v>
      </c>
    </row>
    <row r="25" spans="1:9">
      <c r="A25" s="187" t="s">
        <v>360</v>
      </c>
      <c r="B25" s="203">
        <f>B23/B20</f>
        <v>4.3907045528448041E-2</v>
      </c>
    </row>
    <row r="26" spans="1:9">
      <c r="A26" s="187" t="s">
        <v>361</v>
      </c>
      <c r="B26" s="203">
        <f>ABS(SUM('1.IS'!B10:H10))/B21</f>
        <v>2.2741714323935656E-3</v>
      </c>
    </row>
    <row r="27" spans="1:9">
      <c r="B27" s="203"/>
    </row>
    <row r="28" spans="1:9">
      <c r="A28" s="68" t="s">
        <v>362</v>
      </c>
      <c r="B28" s="75">
        <f>'1.IS'!B2</f>
        <v>2018</v>
      </c>
      <c r="C28" s="75">
        <f>'1.IS'!C2</f>
        <v>2019</v>
      </c>
      <c r="D28" s="75">
        <f>'1.IS'!D2</f>
        <v>2020</v>
      </c>
      <c r="E28" s="75">
        <f>'1.IS'!E2</f>
        <v>2021</v>
      </c>
      <c r="F28" s="75">
        <f>'1.IS'!F2</f>
        <v>2022</v>
      </c>
      <c r="G28" s="75">
        <f>'1.IS'!G2</f>
        <v>2023</v>
      </c>
      <c r="H28" s="75">
        <f>'1.IS'!H2</f>
        <v>2024</v>
      </c>
      <c r="I28" s="75" t="s">
        <v>363</v>
      </c>
    </row>
    <row r="29" spans="1:9">
      <c r="A29" s="187" t="s">
        <v>364</v>
      </c>
      <c r="B29" s="198">
        <f>B11</f>
        <v>32664</v>
      </c>
      <c r="C29" s="198">
        <f t="shared" ref="C29:H29" si="4">C11</f>
        <v>83948</v>
      </c>
      <c r="D29" s="198">
        <f t="shared" si="4"/>
        <v>124607</v>
      </c>
      <c r="E29" s="198">
        <f t="shared" si="4"/>
        <v>114411</v>
      </c>
      <c r="F29" s="198">
        <f t="shared" si="4"/>
        <v>75446</v>
      </c>
      <c r="G29" s="198">
        <f t="shared" si="4"/>
        <v>66819</v>
      </c>
      <c r="H29" s="198">
        <f t="shared" si="4"/>
        <v>64155</v>
      </c>
      <c r="I29" s="198">
        <f>SUM(B29:H29)</f>
        <v>562050</v>
      </c>
    </row>
    <row r="30" spans="1:9">
      <c r="A30" s="187" t="s">
        <v>48</v>
      </c>
      <c r="B30" s="200">
        <f>IFERROR(ABS(VLOOKUP("Dividends Paid*",'8.TIKR_CF'!$A:$H,COLUMN(B13),FALSE)),"0")</f>
        <v>0</v>
      </c>
      <c r="C30" s="200">
        <f>IFERROR(ABS(VLOOKUP("Dividends Paid*",'8.TIKR_CF'!$A:$H,COLUMN(C13),FALSE)),"0")</f>
        <v>0</v>
      </c>
      <c r="D30" s="200">
        <f>IFERROR(ABS(VLOOKUP("Dividends Paid*",'8.TIKR_CF'!$A:$H,COLUMN(D13),FALSE)),"0")</f>
        <v>0</v>
      </c>
      <c r="E30" s="200">
        <f>IFERROR(ABS(VLOOKUP("Dividends Paid*",'8.TIKR_CF'!$A:$H,COLUMN(E13),FALSE)),"0")</f>
        <v>0</v>
      </c>
      <c r="F30" s="200">
        <f>IFERROR(ABS(VLOOKUP("Dividends Paid*",'8.TIKR_CF'!$A:$H,COLUMN(F13),FALSE)),"0")</f>
        <v>0</v>
      </c>
      <c r="G30" s="200">
        <f>IFERROR(ABS(VLOOKUP("Dividends Paid*",'8.TIKR_CF'!$A:$H,COLUMN(G13),FALSE)),"0")</f>
        <v>0</v>
      </c>
      <c r="H30" s="200">
        <f>IFERROR(ABS(VLOOKUP("Dividends Paid*",'8.TIKR_CF'!$A:$H,COLUMN(H13),FALSE)),"0")</f>
        <v>7363</v>
      </c>
      <c r="I30" s="198">
        <f>SUM(B30:H30)</f>
        <v>7363</v>
      </c>
    </row>
    <row r="31" spans="1:9">
      <c r="A31" s="187" t="s">
        <v>49</v>
      </c>
      <c r="B31" s="200">
        <f>IFERROR(ABS(VLOOKUP("Common Stock Repurchased*",'8.TIKR_CF'!$A:$H,COLUMN(B14),FALSE)),"0")</f>
        <v>9075</v>
      </c>
      <c r="C31" s="200">
        <f>IFERROR(ABS(VLOOKUP("Common Stock Repurchased*",'8.TIKR_CF'!$A:$H,COLUMN(C14),FALSE)),"0")</f>
        <v>18396</v>
      </c>
      <c r="D31" s="200">
        <f>IFERROR(ABS(VLOOKUP("Common Stock Repurchased*",'8.TIKR_CF'!$A:$H,COLUMN(D14),FALSE)),"0")</f>
        <v>31149</v>
      </c>
      <c r="E31" s="200">
        <f>IFERROR(ABS(VLOOKUP("Common Stock Repurchased*",'8.TIKR_CF'!$A:$H,COLUMN(E14),FALSE)),"0")</f>
        <v>50274</v>
      </c>
      <c r="F31" s="200">
        <f>IFERROR(ABS(VLOOKUP("Common Stock Repurchased*",'8.TIKR_CF'!$A:$H,COLUMN(F14),FALSE)),"0")</f>
        <v>59296</v>
      </c>
      <c r="G31" s="200">
        <f>IFERROR(ABS(VLOOKUP("Common Stock Repurchased*",'8.TIKR_CF'!$A:$H,COLUMN(G14),FALSE)),"0")</f>
        <v>61504</v>
      </c>
      <c r="H31" s="200">
        <f>IFERROR(ABS(VLOOKUP("Common Stock Repurchased*",'8.TIKR_CF'!$A:$H,COLUMN(H14),FALSE)),"0")</f>
        <v>62222</v>
      </c>
      <c r="I31" s="198">
        <f>SUM(B31:H31)</f>
        <v>291916</v>
      </c>
    </row>
    <row r="32" spans="1:9">
      <c r="A32" s="187" t="s">
        <v>365</v>
      </c>
      <c r="B32" s="200">
        <f>IFERROR((ABS(VLOOKUP("Cash Acquisitions*",'8.TIKR_CF'!$A:$H,COLUMN(B15),FALSE))-VLOOKUP("Sales / Maturities Of Investments*",'8.TIKR_CF'!$A:$H,COLUMN(B15),FALSE)),"0")</f>
        <v>-48768</v>
      </c>
      <c r="C32" s="200">
        <f>IFERROR((ABS(VLOOKUP("Cash Acquisitions*",'8.TIKR_CF'!$A:$H,COLUMN(C15),FALSE))-VLOOKUP("Sales / Maturities Of Investments*",'8.TIKR_CF'!$A:$H,COLUMN(C15),FALSE)),"0")</f>
        <v>-95715</v>
      </c>
      <c r="D32" s="200">
        <f>IFERROR((ABS(VLOOKUP("Cash Acquisitions*",'8.TIKR_CF'!$A:$H,COLUMN(D15),FALSE))-VLOOKUP("Sales / Maturities Of Investments*",'8.TIKR_CF'!$A:$H,COLUMN(D15),FALSE)),"0")</f>
        <v>-133191</v>
      </c>
      <c r="E32" s="200">
        <f>IFERROR((ABS(VLOOKUP("Cash Acquisitions*",'8.TIKR_CF'!$A:$H,COLUMN(E15),FALSE))-VLOOKUP("Sales / Maturities Of Investments*",'8.TIKR_CF'!$A:$H,COLUMN(E15),FALSE)),"0")</f>
        <v>-126610</v>
      </c>
      <c r="F32" s="200">
        <f>IFERROR((ABS(VLOOKUP("Cash Acquisitions*",'8.TIKR_CF'!$A:$H,COLUMN(F15),FALSE))-VLOOKUP("Sales / Maturities Of Investments*",'8.TIKR_CF'!$A:$H,COLUMN(F15),FALSE)),"0")</f>
        <v>-91003</v>
      </c>
      <c r="G32" s="200">
        <f>IFERROR((ABS(VLOOKUP("Cash Acquisitions*",'8.TIKR_CF'!$A:$H,COLUMN(G15),FALSE))-VLOOKUP("Sales / Maturities Of Investments*",'8.TIKR_CF'!$A:$H,COLUMN(G15),FALSE)),"0")</f>
        <v>-87124</v>
      </c>
      <c r="H32" s="200">
        <f>IFERROR((ABS(VLOOKUP("Cash Acquisitions*",'8.TIKR_CF'!$A:$H,COLUMN(H15),FALSE))-VLOOKUP("Sales / Maturities Of Investments*",'8.TIKR_CF'!$A:$H,COLUMN(H15),FALSE)),"0")</f>
        <v>-101379</v>
      </c>
      <c r="I32" s="198">
        <f>SUM(B32:H32)</f>
        <v>-683790</v>
      </c>
    </row>
    <row r="34" spans="1:9">
      <c r="A34" s="68" t="s">
        <v>366</v>
      </c>
      <c r="B34" s="75">
        <f>'1.IS'!C$2</f>
        <v>2019</v>
      </c>
      <c r="C34" s="75">
        <f>'1.IS'!D$2</f>
        <v>2020</v>
      </c>
      <c r="D34" s="75">
        <f>'1.IS'!E$2</f>
        <v>2021</v>
      </c>
      <c r="E34" s="75">
        <f>'1.IS'!F$2</f>
        <v>2022</v>
      </c>
      <c r="F34" s="75">
        <f>'1.IS'!G$2</f>
        <v>2023</v>
      </c>
      <c r="G34" s="75">
        <f>'1.IS'!H$2</f>
        <v>2024</v>
      </c>
      <c r="H34" s="75" t="s">
        <v>88</v>
      </c>
      <c r="I34" s="75"/>
    </row>
    <row r="35" spans="1:9">
      <c r="A35" s="204" t="s">
        <v>367</v>
      </c>
      <c r="B35" s="205">
        <f>'1.IS'!C4</f>
        <v>0.18300089899794619</v>
      </c>
      <c r="C35" s="205">
        <f>'1.IS'!D4</f>
        <v>0.12770532012826136</v>
      </c>
      <c r="D35" s="205">
        <f>'1.IS'!E4</f>
        <v>0.41150076427049148</v>
      </c>
      <c r="E35" s="205">
        <f>'1.IS'!F4</f>
        <v>9.7808156437157706E-2</v>
      </c>
      <c r="F35" s="205">
        <f>'1.IS'!G4</f>
        <v>8.6827702272695137E-2</v>
      </c>
      <c r="G35" s="205">
        <f>'1.IS'!H4</f>
        <v>0.13866243322901553</v>
      </c>
      <c r="H35" s="206">
        <f>AVERAGE(B35:G35)</f>
        <v>0.17425087922259455</v>
      </c>
      <c r="I35" s="207"/>
    </row>
    <row r="36" spans="1:9">
      <c r="A36" s="204" t="s">
        <v>24</v>
      </c>
      <c r="B36" s="205">
        <f>'1.IS'!C21</f>
        <v>0.34936146204122798</v>
      </c>
      <c r="C36" s="205">
        <f>'1.IS'!D21</f>
        <v>0.19170134777302736</v>
      </c>
      <c r="D36" s="205">
        <f>'1.IS'!E21</f>
        <v>0.91188805021953923</v>
      </c>
      <c r="E36" s="205">
        <f>'1.IS'!F21</f>
        <v>-0.18873602870031111</v>
      </c>
      <c r="F36" s="205">
        <f>'1.IS'!G21</f>
        <v>0.2133203330077319</v>
      </c>
      <c r="G36" s="205">
        <f>'1.IS'!H21</f>
        <v>0.46332010257454126</v>
      </c>
      <c r="H36" s="206">
        <f>AVERAGE(B36:G36)</f>
        <v>0.32347587781929277</v>
      </c>
      <c r="I36" s="207"/>
    </row>
    <row r="37" spans="1:9">
      <c r="A37" s="204" t="s">
        <v>368</v>
      </c>
      <c r="B37" s="205">
        <f>'2.FCF'!C15</f>
        <v>0.42076631051622243</v>
      </c>
      <c r="C37" s="205">
        <f>'2.FCF'!D15</f>
        <v>0.31469340532202084</v>
      </c>
      <c r="D37" s="205">
        <f>'2.FCF'!E15</f>
        <v>0.52725977454636885</v>
      </c>
      <c r="E37" s="205">
        <f>'2.FCF'!F15</f>
        <v>-0.12391274523254218</v>
      </c>
      <c r="F37" s="205">
        <f>'2.FCF'!G15</f>
        <v>0.1751229289987159</v>
      </c>
      <c r="G37" s="205">
        <f>'2.FCF'!H15</f>
        <v>0.27468983622286486</v>
      </c>
      <c r="H37" s="206">
        <f>AVERAGE(B37:G37)</f>
        <v>0.26476991839560848</v>
      </c>
      <c r="I37" s="207"/>
    </row>
    <row r="38" spans="1:9">
      <c r="A38" s="208"/>
      <c r="B38" s="207"/>
      <c r="C38" s="207"/>
      <c r="D38" s="207"/>
      <c r="E38" s="207"/>
      <c r="F38" s="207"/>
      <c r="G38" s="207"/>
      <c r="H38" s="207"/>
      <c r="I38" s="207"/>
    </row>
    <row r="39" spans="1:9">
      <c r="A39" s="68" t="s">
        <v>369</v>
      </c>
      <c r="B39" s="75">
        <f>'1.IS'!B$2</f>
        <v>2018</v>
      </c>
      <c r="C39" s="75">
        <f>'1.IS'!C$2</f>
        <v>2019</v>
      </c>
      <c r="D39" s="75">
        <f>'1.IS'!D$2</f>
        <v>2020</v>
      </c>
      <c r="E39" s="75">
        <f>'1.IS'!E$2</f>
        <v>2021</v>
      </c>
      <c r="F39" s="75">
        <f>'1.IS'!F$2</f>
        <v>2022</v>
      </c>
      <c r="G39" s="75">
        <f>'1.IS'!G$2</f>
        <v>2023</v>
      </c>
      <c r="H39" s="75">
        <f>'1.IS'!H$2</f>
        <v>2024</v>
      </c>
      <c r="I39" s="75" t="s">
        <v>88</v>
      </c>
    </row>
    <row r="40" spans="1:9">
      <c r="A40" s="204" t="s">
        <v>7</v>
      </c>
      <c r="B40" s="209">
        <f>'1.IS'!B6</f>
        <v>0.25841440150856243</v>
      </c>
      <c r="C40" s="209">
        <f>'1.IS'!C6</f>
        <v>0.28427562601555695</v>
      </c>
      <c r="D40" s="209">
        <f>'1.IS'!D6</f>
        <v>0.30089247070296449</v>
      </c>
      <c r="E40" s="209">
        <f>'1.IS'!E6</f>
        <v>0.35381175840426649</v>
      </c>
      <c r="F40" s="209">
        <f>'1.IS'!F6</f>
        <v>0.32092802896378114</v>
      </c>
      <c r="G40" s="209">
        <f>'1.IS'!G6</f>
        <v>0.31308028133275212</v>
      </c>
      <c r="H40" s="209">
        <f>'1.IS'!H6</f>
        <v>0.3648412367363964</v>
      </c>
      <c r="I40" s="210">
        <f>AVERAGE(B40:H40)</f>
        <v>0.31374911480918283</v>
      </c>
    </row>
    <row r="41" spans="1:9">
      <c r="A41" s="204" t="s">
        <v>73</v>
      </c>
      <c r="B41" s="209">
        <f>'1.IS'!B9</f>
        <v>0.19237825155862856</v>
      </c>
      <c r="C41" s="209">
        <f>'1.IS'!C9</f>
        <v>0.21148915400631421</v>
      </c>
      <c r="D41" s="209">
        <f>'1.IS'!D9</f>
        <v>0.22585151785763202</v>
      </c>
      <c r="E41" s="209">
        <f>'1.IS'!E9</f>
        <v>0.3055228868524319</v>
      </c>
      <c r="F41" s="209">
        <f>'1.IS'!F9</f>
        <v>0.26461270842467011</v>
      </c>
      <c r="G41" s="209">
        <f>'1.IS'!G9</f>
        <v>0.27421810445226646</v>
      </c>
      <c r="H41" s="209">
        <f>'1.IS'!H9</f>
        <v>0.32109777211457696</v>
      </c>
      <c r="I41" s="210">
        <f>AVERAGE(B41:H41)</f>
        <v>0.2564529136095029</v>
      </c>
    </row>
    <row r="42" spans="1:9">
      <c r="A42" s="204" t="s">
        <v>75</v>
      </c>
      <c r="B42" s="209">
        <f>'2.FCF'!B14</f>
        <v>0.18675037823694077</v>
      </c>
      <c r="C42" s="209">
        <f>'2.FCF'!C14</f>
        <v>0.22428439919187926</v>
      </c>
      <c r="D42" s="209">
        <f>'2.FCF'!D14</f>
        <v>0.26147364499498704</v>
      </c>
      <c r="E42" s="209">
        <f>'2.FCF'!E14</f>
        <v>0.28291743810089387</v>
      </c>
      <c r="F42" s="209">
        <f>'2.FCF'!F14</f>
        <v>0.22577748235726711</v>
      </c>
      <c r="G42" s="209">
        <f>'2.FCF'!G14</f>
        <v>0.24411992426657644</v>
      </c>
      <c r="H42" s="209">
        <f>'2.FCF'!H14</f>
        <v>0.2732830882983161</v>
      </c>
      <c r="I42" s="210">
        <f>AVERAGE(B42:H42)</f>
        <v>0.24265805077812291</v>
      </c>
    </row>
    <row r="43" spans="1:9">
      <c r="A43" s="208"/>
      <c r="B43" s="207"/>
      <c r="C43" s="205"/>
      <c r="D43" s="205"/>
      <c r="E43" s="205"/>
      <c r="F43" s="205"/>
      <c r="G43" s="205"/>
      <c r="H43" s="205"/>
      <c r="I43" s="207"/>
    </row>
    <row r="44" spans="1:9">
      <c r="A44" s="68" t="s">
        <v>370</v>
      </c>
      <c r="B44" s="75">
        <f>'1.IS'!B$2</f>
        <v>2018</v>
      </c>
      <c r="C44" s="75">
        <f>'1.IS'!C$2</f>
        <v>2019</v>
      </c>
      <c r="D44" s="75">
        <f>'1.IS'!D$2</f>
        <v>2020</v>
      </c>
      <c r="E44" s="75">
        <f>'1.IS'!E$2</f>
        <v>2021</v>
      </c>
      <c r="F44" s="75">
        <f>'1.IS'!F$2</f>
        <v>2022</v>
      </c>
      <c r="G44" s="75">
        <f>'1.IS'!G$2</f>
        <v>2023</v>
      </c>
      <c r="H44" s="75">
        <f>'1.IS'!H$2</f>
        <v>2024</v>
      </c>
      <c r="I44" s="75" t="s">
        <v>88</v>
      </c>
    </row>
    <row r="45" spans="1:9">
      <c r="A45" s="204" t="s">
        <v>75</v>
      </c>
      <c r="B45" s="211">
        <f>'2.FCF'!B13</f>
        <v>25551</v>
      </c>
      <c r="C45" s="211">
        <f>'2.FCF'!C13</f>
        <v>36302</v>
      </c>
      <c r="D45" s="211">
        <f>'2.FCF'!D13</f>
        <v>47726</v>
      </c>
      <c r="E45" s="211">
        <f>'2.FCF'!E13</f>
        <v>72890</v>
      </c>
      <c r="F45" s="211">
        <f>'2.FCF'!F13</f>
        <v>63858</v>
      </c>
      <c r="G45" s="211">
        <f>'2.FCF'!G13</f>
        <v>75041</v>
      </c>
      <c r="H45" s="211">
        <f>'2.FCF'!H13</f>
        <v>95654</v>
      </c>
      <c r="I45" s="212"/>
    </row>
    <row r="46" spans="1:9">
      <c r="A46" s="204" t="s">
        <v>65</v>
      </c>
      <c r="B46" s="209">
        <f>'3.ROIC'!B15</f>
        <v>0.12511352241671719</v>
      </c>
      <c r="C46" s="209">
        <f>'3.ROIC'!C15</f>
        <v>0.13355180328089225</v>
      </c>
      <c r="D46" s="209">
        <f>'3.ROIC'!D15</f>
        <v>0.13490683374402765</v>
      </c>
      <c r="E46" s="209">
        <f>'3.ROIC'!E15</f>
        <v>0.22714458565936554</v>
      </c>
      <c r="F46" s="209">
        <f>'3.ROIC'!F15</f>
        <v>0.18807166172291095</v>
      </c>
      <c r="G46" s="209">
        <f>'3.ROIC'!G15</f>
        <v>0.18536622374906647</v>
      </c>
      <c r="H46" s="209">
        <f>'3.ROIC'!H15</f>
        <v>0.21487927936718154</v>
      </c>
      <c r="I46" s="210">
        <f>AVERAGE(B46:H46)</f>
        <v>0.17271912999145167</v>
      </c>
    </row>
    <row r="47" spans="1:9">
      <c r="A47" s="208"/>
      <c r="B47" s="207"/>
      <c r="C47" s="207"/>
      <c r="D47" s="207"/>
      <c r="E47" s="207"/>
      <c r="F47" s="207"/>
      <c r="G47" s="207"/>
      <c r="H47" s="207"/>
      <c r="I47" s="207"/>
    </row>
    <row r="48" spans="1:9">
      <c r="A48" s="68"/>
      <c r="B48" s="75">
        <f>'1.IS'!B$2</f>
        <v>2018</v>
      </c>
      <c r="C48" s="75">
        <f>'1.IS'!C$2</f>
        <v>2019</v>
      </c>
      <c r="D48" s="75">
        <f>'1.IS'!D$2</f>
        <v>2020</v>
      </c>
      <c r="E48" s="75">
        <f>'1.IS'!E$2</f>
        <v>2021</v>
      </c>
      <c r="F48" s="75">
        <f>'1.IS'!F$2</f>
        <v>2022</v>
      </c>
      <c r="G48" s="75">
        <f>'1.IS'!G$2</f>
        <v>2023</v>
      </c>
      <c r="H48" s="75">
        <f>'1.IS'!H$2</f>
        <v>2024</v>
      </c>
      <c r="I48" s="75" t="s">
        <v>88</v>
      </c>
    </row>
    <row r="49" spans="1:9">
      <c r="A49" s="204" t="s">
        <v>371</v>
      </c>
      <c r="B49" s="213">
        <f>('1.IS'!B3-'1.IS'!B5)/'1.IS'!B3</f>
        <v>0.74158559849143757</v>
      </c>
      <c r="C49" s="213">
        <f>('1.IS'!C3-'1.IS'!C5)/'1.IS'!C3</f>
        <v>0.71572437398444311</v>
      </c>
      <c r="D49" s="213">
        <f>('1.IS'!D3-'1.IS'!D5)/'1.IS'!D3</f>
        <v>0.69910752929703546</v>
      </c>
      <c r="E49" s="213">
        <f>('1.IS'!E3-'1.IS'!E5)/'1.IS'!E3</f>
        <v>0.64618824159573351</v>
      </c>
      <c r="F49" s="213">
        <f>('1.IS'!F3-'1.IS'!F5)/'1.IS'!F3</f>
        <v>0.67907197103621886</v>
      </c>
      <c r="G49" s="213">
        <f>('1.IS'!G3-'1.IS'!G5)/'1.IS'!G3</f>
        <v>0.68691971866724788</v>
      </c>
      <c r="H49" s="213">
        <f>('1.IS'!H3-'1.IS'!H5)/'1.IS'!H3</f>
        <v>0.63515876326360354</v>
      </c>
      <c r="I49" s="206">
        <f>AVERAGE(B49:H49)</f>
        <v>0.68625088519081701</v>
      </c>
    </row>
    <row r="50" spans="1:9">
      <c r="A50" s="204" t="s">
        <v>372</v>
      </c>
      <c r="B50" s="213">
        <f>'2.FCF'!B20</f>
        <v>6.6036149949933856E-2</v>
      </c>
      <c r="C50" s="213">
        <f>'2.FCF'!C20</f>
        <v>7.2786472009242723E-2</v>
      </c>
      <c r="D50" s="213">
        <f>'2.FCF'!D20</f>
        <v>7.5040952845332465E-2</v>
      </c>
      <c r="E50" s="213">
        <f>'2.FCF'!E20</f>
        <v>4.8288871551834561E-2</v>
      </c>
      <c r="F50" s="213">
        <f>'2.FCF'!F20</f>
        <v>5.6315320539111001E-2</v>
      </c>
      <c r="G50" s="213">
        <f>'2.FCF'!G20</f>
        <v>3.8862176880485634E-2</v>
      </c>
      <c r="H50" s="213">
        <f>'2.FCF'!H20</f>
        <v>4.3743464621819446E-2</v>
      </c>
      <c r="I50" s="206">
        <f>AVERAGE(B50:H50)</f>
        <v>5.7296201199679951E-2</v>
      </c>
    </row>
    <row r="51" spans="1:9">
      <c r="A51" s="204" t="s">
        <v>373</v>
      </c>
      <c r="B51" s="213">
        <f>('1.IS'!B12/'1.IS'!B3)</f>
        <v>2.4901512216870463E-2</v>
      </c>
      <c r="C51" s="213">
        <f>('1.IS'!C12/'1.IS'!C3)</f>
        <v>3.2707884119933028E-2</v>
      </c>
      <c r="D51" s="213">
        <f>('1.IS'!D12/'1.IS'!D3)</f>
        <v>3.6832906912402E-2</v>
      </c>
      <c r="E51" s="213">
        <f>('1.IS'!E12/'1.IS'!E3)</f>
        <v>4.531181468500254E-2</v>
      </c>
      <c r="F51" s="213">
        <f>('1.IS'!F12/'1.IS'!F3)</f>
        <v>-1.3686376557439647E-2</v>
      </c>
      <c r="G51" s="213">
        <f>('1.IS'!G12/'1.IS'!G3)</f>
        <v>-7.9409487498129441E-3</v>
      </c>
      <c r="H51" s="213">
        <f>('1.IS'!H12/'1.IS'!H3)</f>
        <v>2.1213194749984288E-2</v>
      </c>
      <c r="I51" s="206">
        <f>AVERAGE(B51:H51)</f>
        <v>1.9905712482419961E-2</v>
      </c>
    </row>
    <row r="52" spans="1:9">
      <c r="A52" s="204" t="s">
        <v>374</v>
      </c>
      <c r="B52" s="213">
        <f>('1.IS'!B14+'1.IS'!B17)/'1.IS'!B3</f>
        <v>-3.0529385538558242E-2</v>
      </c>
      <c r="C52" s="213">
        <f>('1.IS'!C14+'1.IS'!C17)/'1.IS'!C3</f>
        <v>-3.2633744601716329E-2</v>
      </c>
      <c r="D52" s="213">
        <f>('1.IS'!D14+'1.IS'!D17)/'1.IS'!D3</f>
        <v>-4.2804626164896151E-2</v>
      </c>
      <c r="E52" s="213">
        <f>('1.IS'!E14+'1.IS'!E17)/'1.IS'!E3</f>
        <v>-5.7060903519292647E-2</v>
      </c>
      <c r="F52" s="213">
        <f>('1.IS'!F14+'1.IS'!F17)/'1.IS'!F3</f>
        <v>-4.0150475894157746E-2</v>
      </c>
      <c r="G52" s="213">
        <f>('1.IS'!G14+'1.IS'!G17)/'1.IS'!G3</f>
        <v>-3.8784101186099922E-2</v>
      </c>
      <c r="H52" s="213">
        <f>('1.IS'!H14+'1.IS'!H17)/'1.IS'!H3</f>
        <v>-5.627424875292128E-2</v>
      </c>
      <c r="I52" s="206">
        <f>AVERAGE(B52:H52)</f>
        <v>-4.2605355093948902E-2</v>
      </c>
    </row>
    <row r="53" spans="1:9">
      <c r="A53" s="204" t="s">
        <v>375</v>
      </c>
      <c r="B53" s="213"/>
      <c r="C53" s="213">
        <f>'2.FCF'!C11/'1.IS'!C3</f>
        <v>-1.2721105667348338E-2</v>
      </c>
      <c r="D53" s="213">
        <f>'2.FCF'!D11/'1.IS'!D3</f>
        <v>-4.1593846389849171E-2</v>
      </c>
      <c r="E53" s="213">
        <f>'2.FCF'!E11/'1.IS'!E3</f>
        <v>1.0856359917247911E-2</v>
      </c>
      <c r="F53" s="213">
        <f>'2.FCF'!F11/'1.IS'!F3</f>
        <v>-1.5001626384194375E-2</v>
      </c>
      <c r="G53" s="213">
        <f>'2.FCF'!G11/'1.IS'!G3</f>
        <v>-1.6626869750222841E-2</v>
      </c>
      <c r="H53" s="213">
        <f>'2.FCF'!H11/'1.IS'!H3</f>
        <v>1.2753629813323886E-2</v>
      </c>
      <c r="I53" s="206">
        <f>AVERAGE(B53:H53)</f>
        <v>-1.0388909743507155E-2</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2025-03-15T10:11:43Z</dcterms:modified>
  <cp:category/>
  <cp:contentStatus/>
</cp:coreProperties>
</file>