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06"/>
  <workbookPr filterPrivacy="1"/>
  <xr:revisionPtr revIDLastSave="0" documentId="8_{B32FEC46-BF8A-4069-A09C-5CAD03B7FF20}" xr6:coauthVersionLast="47" xr6:coauthVersionMax="47" xr10:uidLastSave="{00000000-0000-0000-0000-000000000000}"/>
  <bookViews>
    <workbookView xWindow="28680" yWindow="-90" windowWidth="29040" windowHeight="16440" xr2:uid="{00000000-000D-0000-FFFF-FFFF00000000}"/>
  </bookViews>
  <sheets>
    <sheet name="1.IS" sheetId="1" r:id="rId1"/>
    <sheet name="2.FCF" sheetId="2" r:id="rId2"/>
    <sheet name="3.ROIC" sheetId="3" r:id="rId3"/>
    <sheet name="4.Valoración" sheetId="5" r:id="rId4"/>
    <sheet name="6.TIKR_IS" sheetId="8" r:id="rId5"/>
    <sheet name="7.TIKR_BS" sheetId="10" r:id="rId6"/>
    <sheet name="8.TIKR_CF" sheetId="11" r:id="rId7"/>
    <sheet name="TIKR_Cálculos" sheetId="12" state="hidden" r:id="rId8"/>
  </sheets>
  <calcPr calcId="191028"/>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32" i="12" l="1"/>
  <c r="D32" i="12"/>
  <c r="E32" i="12"/>
  <c r="F32" i="12"/>
  <c r="G32" i="12"/>
  <c r="H32" i="12"/>
  <c r="B32" i="12"/>
  <c r="C31" i="12"/>
  <c r="D31" i="12"/>
  <c r="E31" i="12"/>
  <c r="F31" i="12"/>
  <c r="G31" i="12"/>
  <c r="H31" i="12"/>
  <c r="B31" i="12"/>
  <c r="C30" i="12"/>
  <c r="D30" i="12"/>
  <c r="E30" i="12"/>
  <c r="F30" i="12"/>
  <c r="G30" i="12"/>
  <c r="H30" i="12"/>
  <c r="B30" i="12"/>
  <c r="C22" i="1"/>
  <c r="D22" i="1"/>
  <c r="E22" i="1"/>
  <c r="F22" i="1"/>
  <c r="G22" i="1"/>
  <c r="H22" i="1"/>
  <c r="B22" i="1"/>
  <c r="C17" i="1"/>
  <c r="D17" i="1"/>
  <c r="E17" i="1"/>
  <c r="F17" i="1"/>
  <c r="G17" i="1"/>
  <c r="H17" i="1"/>
  <c r="B17" i="1"/>
  <c r="C14" i="1"/>
  <c r="D14" i="1"/>
  <c r="E14" i="1"/>
  <c r="F14" i="1"/>
  <c r="G14" i="1"/>
  <c r="H14" i="1"/>
  <c r="B14" i="1"/>
  <c r="C11" i="1"/>
  <c r="D11" i="1"/>
  <c r="E11" i="1"/>
  <c r="F11" i="1"/>
  <c r="G11" i="1"/>
  <c r="H11" i="1"/>
  <c r="B11" i="1"/>
  <c r="C10" i="1"/>
  <c r="D10" i="1"/>
  <c r="E10" i="1"/>
  <c r="F10" i="1"/>
  <c r="G10" i="1"/>
  <c r="H10" i="1"/>
  <c r="B10" i="1"/>
  <c r="C8" i="1"/>
  <c r="D8" i="1"/>
  <c r="E8" i="1"/>
  <c r="F8" i="1"/>
  <c r="G8" i="1"/>
  <c r="H8" i="1"/>
  <c r="B8" i="1"/>
  <c r="C7" i="1"/>
  <c r="D7" i="1"/>
  <c r="E7" i="1"/>
  <c r="F7" i="1"/>
  <c r="G7" i="1"/>
  <c r="H7" i="1"/>
  <c r="B7" i="1"/>
  <c r="C3" i="1"/>
  <c r="D3" i="1"/>
  <c r="E3" i="1"/>
  <c r="F3" i="1"/>
  <c r="G3" i="1"/>
  <c r="H3" i="1"/>
  <c r="B3" i="1"/>
  <c r="C17" i="2"/>
  <c r="D17" i="2"/>
  <c r="E17" i="2"/>
  <c r="F17" i="2"/>
  <c r="G17" i="2"/>
  <c r="H17" i="2"/>
  <c r="B17" i="2"/>
  <c r="C9" i="2"/>
  <c r="D9" i="2"/>
  <c r="E9" i="2"/>
  <c r="F9" i="2"/>
  <c r="G9" i="2"/>
  <c r="H9" i="2"/>
  <c r="B9" i="2"/>
  <c r="C8" i="2"/>
  <c r="D8" i="2"/>
  <c r="E8" i="2"/>
  <c r="F8" i="2"/>
  <c r="G8" i="2"/>
  <c r="H8" i="2"/>
  <c r="B8" i="2"/>
  <c r="C7" i="2"/>
  <c r="D7" i="2"/>
  <c r="E7" i="2"/>
  <c r="F7" i="2"/>
  <c r="G7" i="2"/>
  <c r="H7" i="2"/>
  <c r="B7" i="2"/>
  <c r="C10" i="3"/>
  <c r="D10" i="3"/>
  <c r="E10" i="3"/>
  <c r="F10" i="3"/>
  <c r="G10" i="3"/>
  <c r="H10" i="3"/>
  <c r="B10" i="3"/>
  <c r="C9" i="3"/>
  <c r="D9" i="3"/>
  <c r="E9" i="3"/>
  <c r="F9" i="3"/>
  <c r="G9" i="3"/>
  <c r="H9" i="3"/>
  <c r="B9" i="3"/>
  <c r="C8" i="3"/>
  <c r="D8" i="3"/>
  <c r="E8" i="3"/>
  <c r="F8" i="3"/>
  <c r="G8" i="3"/>
  <c r="H8" i="3"/>
  <c r="B8" i="3"/>
  <c r="C7" i="3"/>
  <c r="D7" i="3"/>
  <c r="E7" i="3"/>
  <c r="F7" i="3"/>
  <c r="G7" i="3"/>
  <c r="H7" i="3"/>
  <c r="B7" i="3"/>
  <c r="C6" i="3"/>
  <c r="D6" i="3"/>
  <c r="E6" i="3"/>
  <c r="F6" i="3"/>
  <c r="G6" i="3"/>
  <c r="H6" i="3"/>
  <c r="B6" i="3"/>
  <c r="C4" i="3"/>
  <c r="C5" i="3" s="1"/>
  <c r="D4" i="3"/>
  <c r="D5" i="3" s="1"/>
  <c r="E4" i="3"/>
  <c r="E5" i="3" s="1"/>
  <c r="F4" i="3"/>
  <c r="F5" i="3" s="1"/>
  <c r="G4" i="3"/>
  <c r="G5" i="3" s="1"/>
  <c r="H4" i="3"/>
  <c r="H5" i="3" s="1"/>
  <c r="B4" i="3"/>
  <c r="B5" i="3" s="1"/>
  <c r="C10" i="12"/>
  <c r="D10" i="12"/>
  <c r="E10" i="12"/>
  <c r="F10" i="12"/>
  <c r="G10" i="12"/>
  <c r="H10" i="12"/>
  <c r="B10" i="12"/>
  <c r="C5" i="12"/>
  <c r="D5" i="12"/>
  <c r="E5" i="12"/>
  <c r="F5" i="12"/>
  <c r="G5" i="12"/>
  <c r="H5" i="12"/>
  <c r="B5" i="12"/>
  <c r="C3" i="12"/>
  <c r="D3" i="12"/>
  <c r="E3" i="12"/>
  <c r="F3" i="12"/>
  <c r="G3" i="12"/>
  <c r="H3" i="12"/>
  <c r="B3" i="12"/>
  <c r="C2" i="12"/>
  <c r="D2" i="12"/>
  <c r="E2" i="12"/>
  <c r="F2" i="12"/>
  <c r="G2" i="12"/>
  <c r="H2" i="12"/>
  <c r="B2" i="12"/>
  <c r="B4" i="12"/>
  <c r="F2" i="1"/>
  <c r="E2" i="1"/>
  <c r="D2" i="1"/>
  <c r="C2" i="1"/>
  <c r="G2" i="1"/>
  <c r="H2" i="1"/>
  <c r="B2" i="1"/>
  <c r="B28" i="12" l="1"/>
  <c r="I32" i="12" l="1"/>
  <c r="I30" i="12"/>
  <c r="I31" i="12"/>
  <c r="C28" i="12" l="1"/>
  <c r="D28" i="12" l="1"/>
  <c r="F14" i="12"/>
  <c r="E14" i="12"/>
  <c r="D14" i="12"/>
  <c r="C14" i="12"/>
  <c r="B14" i="12"/>
  <c r="H12" i="2"/>
  <c r="G12" i="2"/>
  <c r="F12" i="2"/>
  <c r="E12" i="2"/>
  <c r="D12" i="2"/>
  <c r="C12" i="2"/>
  <c r="B12" i="2"/>
  <c r="E28" i="12" l="1"/>
  <c r="B24" i="12"/>
  <c r="B21" i="12"/>
  <c r="B26" i="12" s="1"/>
  <c r="B23" i="12"/>
  <c r="B12" i="1"/>
  <c r="C12" i="1"/>
  <c r="F12" i="1"/>
  <c r="D12" i="1"/>
  <c r="H12" i="1"/>
  <c r="G12" i="1"/>
  <c r="E12" i="1"/>
  <c r="G52" i="12"/>
  <c r="F52" i="12"/>
  <c r="H52" i="12"/>
  <c r="D52" i="12"/>
  <c r="E52" i="12"/>
  <c r="B52" i="12"/>
  <c r="B39" i="12"/>
  <c r="B48" i="12"/>
  <c r="B44" i="12"/>
  <c r="B25" i="2"/>
  <c r="C52" i="12"/>
  <c r="B17" i="12"/>
  <c r="B18" i="12" s="1"/>
  <c r="C5" i="1"/>
  <c r="H5" i="1"/>
  <c r="E4" i="5"/>
  <c r="F4" i="5"/>
  <c r="E5" i="1"/>
  <c r="B5" i="1"/>
  <c r="D5" i="1"/>
  <c r="F5" i="1"/>
  <c r="G5" i="1"/>
  <c r="C4" i="5"/>
  <c r="D4" i="5"/>
  <c r="G4" i="5"/>
  <c r="B2" i="5"/>
  <c r="B8" i="12"/>
  <c r="F4" i="12"/>
  <c r="C4" i="12"/>
  <c r="D4" i="12"/>
  <c r="E4" i="12"/>
  <c r="G4" i="12"/>
  <c r="H4" i="12"/>
  <c r="B1" i="12"/>
  <c r="H23" i="1"/>
  <c r="J20" i="5"/>
  <c r="H20" i="5"/>
  <c r="E51" i="12" l="1"/>
  <c r="E5" i="2"/>
  <c r="G51" i="12"/>
  <c r="G5" i="2"/>
  <c r="H51" i="12"/>
  <c r="H5" i="2"/>
  <c r="D51" i="12"/>
  <c r="D5" i="2"/>
  <c r="F51" i="12"/>
  <c r="F5" i="2"/>
  <c r="C51" i="12"/>
  <c r="C5" i="2"/>
  <c r="B51" i="12"/>
  <c r="B5" i="2"/>
  <c r="G49" i="12"/>
  <c r="G3" i="2"/>
  <c r="F49" i="12"/>
  <c r="F3" i="2"/>
  <c r="D49" i="12"/>
  <c r="D3" i="2"/>
  <c r="B49" i="12"/>
  <c r="B3" i="2"/>
  <c r="E49" i="12"/>
  <c r="E3" i="2"/>
  <c r="H49" i="12"/>
  <c r="H3" i="2"/>
  <c r="C49" i="12"/>
  <c r="C3" i="2"/>
  <c r="F28" i="12"/>
  <c r="B19" i="12"/>
  <c r="B22" i="12" s="1"/>
  <c r="B20" i="12"/>
  <c r="B25" i="12" s="1"/>
  <c r="B4" i="5"/>
  <c r="I52" i="12"/>
  <c r="I51" i="12"/>
  <c r="I49" i="12"/>
  <c r="B13" i="1"/>
  <c r="B16" i="1" s="1"/>
  <c r="B18" i="1" s="1"/>
  <c r="B14" i="3" s="1"/>
  <c r="F6" i="12"/>
  <c r="F4" i="2" s="1"/>
  <c r="E6" i="12"/>
  <c r="E4" i="2" s="1"/>
  <c r="B6" i="12"/>
  <c r="B4" i="2" s="1"/>
  <c r="H6" i="12"/>
  <c r="H4" i="2" s="1"/>
  <c r="G6" i="12"/>
  <c r="G4" i="2" s="1"/>
  <c r="D6" i="12"/>
  <c r="D4" i="2" s="1"/>
  <c r="C6" i="12"/>
  <c r="C4" i="2" s="1"/>
  <c r="F13" i="1"/>
  <c r="F16" i="1" s="1"/>
  <c r="F18" i="1" s="1"/>
  <c r="F14" i="3" s="1"/>
  <c r="E13" i="1"/>
  <c r="E16" i="1" s="1"/>
  <c r="E18" i="1" s="1"/>
  <c r="E14" i="3" s="1"/>
  <c r="C13" i="1"/>
  <c r="C16" i="1" s="1"/>
  <c r="C18" i="1" s="1"/>
  <c r="C14" i="3" s="1"/>
  <c r="H13" i="1"/>
  <c r="H16" i="1" s="1"/>
  <c r="H18" i="1" s="1"/>
  <c r="H14" i="3" s="1"/>
  <c r="D13" i="1"/>
  <c r="D16" i="1" s="1"/>
  <c r="D18" i="1" s="1"/>
  <c r="D14" i="3" s="1"/>
  <c r="G13" i="1"/>
  <c r="G16" i="1" s="1"/>
  <c r="G18" i="1" s="1"/>
  <c r="G14" i="3" s="1"/>
  <c r="H11" i="3"/>
  <c r="G11" i="3"/>
  <c r="F11" i="3"/>
  <c r="E11" i="3"/>
  <c r="D11" i="3"/>
  <c r="C11" i="3"/>
  <c r="B11" i="3"/>
  <c r="B13" i="3"/>
  <c r="G28" i="12" l="1"/>
  <c r="C20" i="2"/>
  <c r="C50" i="12" s="1"/>
  <c r="D20" i="2"/>
  <c r="D50" i="12" s="1"/>
  <c r="G20" i="2"/>
  <c r="G50" i="12" s="1"/>
  <c r="H20" i="2"/>
  <c r="H50" i="12" s="1"/>
  <c r="B20" i="2"/>
  <c r="B50" i="12" s="1"/>
  <c r="E20" i="2"/>
  <c r="E50" i="12" s="1"/>
  <c r="F20" i="2"/>
  <c r="F50" i="12" s="1"/>
  <c r="G9" i="12"/>
  <c r="G11" i="12" s="1"/>
  <c r="G29" i="12" s="1"/>
  <c r="E9" i="12"/>
  <c r="E11" i="12" s="1"/>
  <c r="E29" i="12" s="1"/>
  <c r="D9" i="12"/>
  <c r="D11" i="12" s="1"/>
  <c r="D29" i="12" s="1"/>
  <c r="H9" i="12"/>
  <c r="H11" i="12" s="1"/>
  <c r="H29" i="12" s="1"/>
  <c r="B9" i="12"/>
  <c r="B11" i="12" s="1"/>
  <c r="B29" i="12" s="1"/>
  <c r="C9" i="12"/>
  <c r="C11" i="12" s="1"/>
  <c r="C29" i="12" s="1"/>
  <c r="F9" i="12"/>
  <c r="F11" i="12" s="1"/>
  <c r="F29" i="12" s="1"/>
  <c r="H28" i="12" l="1"/>
  <c r="B16" i="12"/>
  <c r="I29" i="12"/>
  <c r="I50" i="12"/>
  <c r="B2" i="3"/>
  <c r="B19" i="2"/>
  <c r="B2" i="2"/>
  <c r="B5" i="5"/>
  <c r="B6" i="2"/>
  <c r="C5" i="5"/>
  <c r="C6" i="2"/>
  <c r="D5" i="5"/>
  <c r="D6" i="2"/>
  <c r="E5" i="5"/>
  <c r="E6" i="2"/>
  <c r="F5" i="5"/>
  <c r="F6" i="2"/>
  <c r="G5" i="5"/>
  <c r="G6" i="2"/>
  <c r="H6" i="2"/>
  <c r="C23" i="1"/>
  <c r="D23" i="1"/>
  <c r="E23" i="1"/>
  <c r="F23" i="1"/>
  <c r="G23" i="1"/>
  <c r="H4" i="5"/>
  <c r="H8" i="5"/>
  <c r="C4" i="1"/>
  <c r="B35" i="12" s="1"/>
  <c r="D4" i="1"/>
  <c r="C35" i="12" s="1"/>
  <c r="E4" i="1"/>
  <c r="D35" i="12" s="1"/>
  <c r="F4" i="1"/>
  <c r="E35" i="12" s="1"/>
  <c r="G4" i="1"/>
  <c r="F35" i="12" s="1"/>
  <c r="H4" i="1"/>
  <c r="G35" i="12" s="1"/>
  <c r="F15" i="1"/>
  <c r="C15" i="1"/>
  <c r="B15" i="1"/>
  <c r="G9" i="1"/>
  <c r="G41" i="12" s="1"/>
  <c r="F9" i="1"/>
  <c r="F41" i="12" s="1"/>
  <c r="E9" i="1"/>
  <c r="E41" i="12" s="1"/>
  <c r="D9" i="1"/>
  <c r="D41" i="12" s="1"/>
  <c r="H9" i="1"/>
  <c r="H41" i="12" s="1"/>
  <c r="C9" i="1"/>
  <c r="C41" i="12" s="1"/>
  <c r="B9" i="1"/>
  <c r="B41" i="12" s="1"/>
  <c r="G8" i="5"/>
  <c r="F8" i="5"/>
  <c r="E8" i="5"/>
  <c r="D8" i="5"/>
  <c r="C8" i="5"/>
  <c r="B8" i="5"/>
  <c r="H3" i="5"/>
  <c r="H35" i="12" l="1"/>
  <c r="B34" i="12"/>
  <c r="C39" i="12"/>
  <c r="C48" i="12"/>
  <c r="C44" i="12"/>
  <c r="C25" i="2"/>
  <c r="I41" i="12"/>
  <c r="H5" i="5"/>
  <c r="I5" i="5" s="1"/>
  <c r="C2" i="5"/>
  <c r="C8" i="12"/>
  <c r="C1" i="12"/>
  <c r="H20" i="1"/>
  <c r="B15" i="5" s="1"/>
  <c r="H15" i="1"/>
  <c r="Q5" i="1" s="1"/>
  <c r="G15" i="1"/>
  <c r="D15" i="1"/>
  <c r="E15" i="1"/>
  <c r="B13" i="2"/>
  <c r="B29" i="2" s="1"/>
  <c r="C13" i="3"/>
  <c r="F6" i="1"/>
  <c r="F40" i="12" s="1"/>
  <c r="B6" i="1"/>
  <c r="B40" i="12" s="1"/>
  <c r="B7" i="5"/>
  <c r="E6" i="1"/>
  <c r="E40" i="12" s="1"/>
  <c r="C7" i="5"/>
  <c r="C6" i="1"/>
  <c r="C40" i="12" s="1"/>
  <c r="G7" i="5"/>
  <c r="E7" i="5"/>
  <c r="D6" i="1"/>
  <c r="D40" i="12" s="1"/>
  <c r="P3" i="1"/>
  <c r="Q3" i="1" s="1"/>
  <c r="H6" i="5"/>
  <c r="N20" i="2"/>
  <c r="P4" i="1"/>
  <c r="Q4" i="1" s="1"/>
  <c r="H7" i="5"/>
  <c r="P6" i="1"/>
  <c r="Q6" i="1" s="1"/>
  <c r="I22" i="1" s="1"/>
  <c r="I23" i="1" s="1"/>
  <c r="D7" i="5"/>
  <c r="H6" i="1"/>
  <c r="H40" i="12" s="1"/>
  <c r="F7" i="5"/>
  <c r="G6" i="1"/>
  <c r="G40" i="12" s="1"/>
  <c r="C19" i="2"/>
  <c r="C2" i="2"/>
  <c r="C2" i="3"/>
  <c r="B28" i="2" l="1"/>
  <c r="B27" i="2"/>
  <c r="B18" i="5"/>
  <c r="B17" i="5"/>
  <c r="C34" i="12"/>
  <c r="D39" i="12"/>
  <c r="D48" i="12"/>
  <c r="D44" i="12"/>
  <c r="D25" i="2"/>
  <c r="I40" i="12"/>
  <c r="B45" i="12"/>
  <c r="B16" i="3"/>
  <c r="B26" i="2"/>
  <c r="J5" i="5"/>
  <c r="D2" i="5"/>
  <c r="D8" i="12"/>
  <c r="D1" i="12"/>
  <c r="E9" i="5"/>
  <c r="G19" i="1"/>
  <c r="C3" i="3"/>
  <c r="H3" i="3"/>
  <c r="E3" i="3"/>
  <c r="G3" i="3"/>
  <c r="B3" i="3"/>
  <c r="D3" i="3"/>
  <c r="F3" i="3"/>
  <c r="J4" i="1"/>
  <c r="I10" i="3"/>
  <c r="I9" i="3"/>
  <c r="J9" i="3" s="1"/>
  <c r="K9" i="3" s="1"/>
  <c r="L9" i="3" s="1"/>
  <c r="M9" i="3" s="1"/>
  <c r="I8" i="3"/>
  <c r="J8" i="3" s="1"/>
  <c r="K8" i="3" s="1"/>
  <c r="L8" i="3" s="1"/>
  <c r="M8" i="3" s="1"/>
  <c r="I4" i="2"/>
  <c r="H19" i="1"/>
  <c r="K4" i="1"/>
  <c r="H9" i="5"/>
  <c r="L4" i="1"/>
  <c r="I3" i="1"/>
  <c r="I4" i="1"/>
  <c r="M4" i="1"/>
  <c r="I7" i="1"/>
  <c r="J7" i="1" s="1"/>
  <c r="K7" i="1" s="1"/>
  <c r="L7" i="1" s="1"/>
  <c r="M7" i="1" s="1"/>
  <c r="D13" i="3"/>
  <c r="D19" i="2"/>
  <c r="D2" i="2"/>
  <c r="D2" i="3"/>
  <c r="F9" i="5"/>
  <c r="F20" i="1"/>
  <c r="C19" i="1"/>
  <c r="C20" i="1"/>
  <c r="P5" i="1"/>
  <c r="F19" i="1"/>
  <c r="C9" i="5"/>
  <c r="J22" i="1"/>
  <c r="J3" i="5" s="1"/>
  <c r="I3" i="5"/>
  <c r="I17" i="2" l="1"/>
  <c r="E44" i="12"/>
  <c r="D34" i="12"/>
  <c r="E39" i="12"/>
  <c r="E48" i="12"/>
  <c r="E25" i="2"/>
  <c r="B30" i="2"/>
  <c r="K5" i="5"/>
  <c r="J4" i="2"/>
  <c r="I20" i="2"/>
  <c r="E2" i="5"/>
  <c r="E8" i="12"/>
  <c r="E1" i="12"/>
  <c r="B16" i="2"/>
  <c r="B22" i="2"/>
  <c r="B23" i="2"/>
  <c r="B10" i="5"/>
  <c r="B14" i="2"/>
  <c r="B42" i="12" s="1"/>
  <c r="E20" i="1"/>
  <c r="B9" i="5"/>
  <c r="G9" i="5"/>
  <c r="B20" i="1"/>
  <c r="C21" i="1" s="1"/>
  <c r="B36" i="12" s="1"/>
  <c r="B19" i="1"/>
  <c r="E19" i="1"/>
  <c r="G20" i="1"/>
  <c r="H21" i="1" s="1"/>
  <c r="G36" i="12" s="1"/>
  <c r="D19" i="1"/>
  <c r="D9" i="5"/>
  <c r="D20" i="1"/>
  <c r="D21" i="1" s="1"/>
  <c r="C36" i="12" s="1"/>
  <c r="J3" i="1"/>
  <c r="J17" i="2" s="1"/>
  <c r="J10" i="3"/>
  <c r="I8" i="1"/>
  <c r="I5" i="1" s="1"/>
  <c r="I4" i="5" s="1"/>
  <c r="E13" i="3"/>
  <c r="E19" i="2"/>
  <c r="E2" i="2"/>
  <c r="E2" i="3"/>
  <c r="M15" i="1"/>
  <c r="L15" i="1"/>
  <c r="K15" i="1"/>
  <c r="J15" i="1"/>
  <c r="I15" i="1"/>
  <c r="J23" i="1"/>
  <c r="K22" i="1"/>
  <c r="F44" i="12" l="1"/>
  <c r="E34" i="12"/>
  <c r="F48" i="12"/>
  <c r="F39" i="12"/>
  <c r="F25" i="2"/>
  <c r="K3" i="1"/>
  <c r="K17" i="2" s="1"/>
  <c r="L5" i="5"/>
  <c r="K4" i="2"/>
  <c r="J20" i="2"/>
  <c r="F2" i="5"/>
  <c r="F8" i="12"/>
  <c r="F19" i="2"/>
  <c r="F1" i="12"/>
  <c r="G21" i="1"/>
  <c r="F36" i="12" s="1"/>
  <c r="N14" i="3"/>
  <c r="E21" i="1"/>
  <c r="D36" i="12" s="1"/>
  <c r="F21" i="1"/>
  <c r="E36" i="12" s="1"/>
  <c r="J8" i="1"/>
  <c r="J5" i="1" s="1"/>
  <c r="J4" i="5" s="1"/>
  <c r="I3" i="3"/>
  <c r="I9" i="1"/>
  <c r="K10" i="3"/>
  <c r="I8" i="5"/>
  <c r="F13" i="3"/>
  <c r="F2" i="2"/>
  <c r="F2" i="3"/>
  <c r="K23" i="1"/>
  <c r="K3" i="5"/>
  <c r="L22" i="1"/>
  <c r="L23" i="1" s="1"/>
  <c r="K8" i="1" l="1"/>
  <c r="G44" i="12"/>
  <c r="F34" i="12"/>
  <c r="G39" i="12"/>
  <c r="G48" i="12"/>
  <c r="G25" i="2"/>
  <c r="L3" i="1"/>
  <c r="L17" i="2" s="1"/>
  <c r="H36" i="12"/>
  <c r="M5" i="5"/>
  <c r="I3" i="2"/>
  <c r="L4" i="2"/>
  <c r="K20" i="2"/>
  <c r="G2" i="5"/>
  <c r="G8" i="12"/>
  <c r="G2" i="2"/>
  <c r="G1" i="12"/>
  <c r="J8" i="5"/>
  <c r="J3" i="3"/>
  <c r="J9" i="1"/>
  <c r="L10" i="3"/>
  <c r="I6" i="1"/>
  <c r="I7" i="5"/>
  <c r="G19" i="2"/>
  <c r="G13" i="3"/>
  <c r="G2" i="3"/>
  <c r="M22" i="1"/>
  <c r="M3" i="5" s="1"/>
  <c r="L3" i="5"/>
  <c r="C15" i="3"/>
  <c r="C46" i="12" s="1"/>
  <c r="H15" i="3"/>
  <c r="H46" i="12" s="1"/>
  <c r="D15" i="3"/>
  <c r="D46" i="12" s="1"/>
  <c r="B15" i="3"/>
  <c r="B46" i="12" s="1"/>
  <c r="E15" i="3"/>
  <c r="E46" i="12" s="1"/>
  <c r="G15" i="3"/>
  <c r="G46" i="12" s="1"/>
  <c r="F15" i="3"/>
  <c r="F46" i="12" s="1"/>
  <c r="K3" i="3" l="1"/>
  <c r="K5" i="1"/>
  <c r="K4" i="5" s="1"/>
  <c r="K8" i="5"/>
  <c r="K9" i="1"/>
  <c r="L8" i="1"/>
  <c r="M3" i="1"/>
  <c r="M17" i="2" s="1"/>
  <c r="H44" i="12"/>
  <c r="H48" i="12"/>
  <c r="H39" i="12"/>
  <c r="G34" i="12"/>
  <c r="H25" i="2"/>
  <c r="I46" i="12"/>
  <c r="J3" i="2"/>
  <c r="M4" i="2"/>
  <c r="L20" i="2"/>
  <c r="H8" i="12"/>
  <c r="H1" i="12"/>
  <c r="J6" i="1"/>
  <c r="J7" i="5"/>
  <c r="M10" i="3"/>
  <c r="H2" i="3"/>
  <c r="P2" i="1"/>
  <c r="I2" i="1"/>
  <c r="B13" i="12" s="1"/>
  <c r="H19" i="2"/>
  <c r="H2" i="2"/>
  <c r="J25" i="2" s="1"/>
  <c r="H2" i="5"/>
  <c r="H13" i="3"/>
  <c r="N15" i="3"/>
  <c r="M23" i="1"/>
  <c r="L8" i="5" l="1"/>
  <c r="L5" i="1"/>
  <c r="L4" i="5" s="1"/>
  <c r="L3" i="3"/>
  <c r="L9" i="1"/>
  <c r="K3" i="2"/>
  <c r="K6" i="1"/>
  <c r="K7" i="5"/>
  <c r="M8" i="1"/>
  <c r="M20" i="2"/>
  <c r="I25" i="2"/>
  <c r="N19" i="2"/>
  <c r="N13" i="3"/>
  <c r="I2" i="5"/>
  <c r="B20" i="5" s="1"/>
  <c r="I13" i="3"/>
  <c r="I2" i="3"/>
  <c r="J2" i="1"/>
  <c r="C13" i="12" s="1"/>
  <c r="I2" i="2"/>
  <c r="I19" i="2"/>
  <c r="M3" i="3" l="1"/>
  <c r="M5" i="1"/>
  <c r="M4" i="5" s="1"/>
  <c r="M9" i="1"/>
  <c r="M8" i="5"/>
  <c r="L3" i="2"/>
  <c r="L6" i="1"/>
  <c r="L7" i="5"/>
  <c r="K2" i="1"/>
  <c r="D13" i="12" s="1"/>
  <c r="J2" i="2"/>
  <c r="J13" i="3"/>
  <c r="J2" i="5"/>
  <c r="C20" i="5" s="1"/>
  <c r="J2" i="3"/>
  <c r="J19" i="2"/>
  <c r="M7" i="5" l="1"/>
  <c r="M3" i="2"/>
  <c r="M6" i="1"/>
  <c r="K13" i="3"/>
  <c r="K19" i="2"/>
  <c r="K2" i="5"/>
  <c r="D20" i="5" s="1"/>
  <c r="L2" i="1"/>
  <c r="E13" i="12" s="1"/>
  <c r="K2" i="3"/>
  <c r="K2" i="2"/>
  <c r="M2" i="1" l="1"/>
  <c r="F13" i="12" s="1"/>
  <c r="L2" i="5"/>
  <c r="E20" i="5" s="1"/>
  <c r="L2" i="3"/>
  <c r="L13" i="3"/>
  <c r="L19" i="2"/>
  <c r="L2" i="2"/>
  <c r="M2" i="2" l="1"/>
  <c r="M13" i="3"/>
  <c r="M2" i="5"/>
  <c r="F20" i="5" s="1"/>
  <c r="M19" i="2"/>
  <c r="M2" i="3"/>
  <c r="Q2" i="1"/>
  <c r="B10" i="2"/>
  <c r="F21" i="2"/>
  <c r="D11" i="2" l="1"/>
  <c r="D53" i="12" s="1"/>
  <c r="G11" i="2"/>
  <c r="E11" i="2"/>
  <c r="E53" i="12" s="1"/>
  <c r="H11" i="2"/>
  <c r="H53" i="12" s="1"/>
  <c r="C11" i="2"/>
  <c r="D21" i="2"/>
  <c r="F10" i="2"/>
  <c r="D10" i="2"/>
  <c r="E10" i="2"/>
  <c r="H21" i="2"/>
  <c r="B21" i="2"/>
  <c r="C21" i="2"/>
  <c r="G10" i="2"/>
  <c r="C10" i="2"/>
  <c r="G21" i="2"/>
  <c r="E21" i="2"/>
  <c r="F11" i="2"/>
  <c r="H10" i="2"/>
  <c r="C53" i="12" l="1"/>
  <c r="I11" i="2"/>
  <c r="F13" i="2"/>
  <c r="F29" i="2" s="1"/>
  <c r="F53" i="12"/>
  <c r="G13" i="2"/>
  <c r="G29" i="2" s="1"/>
  <c r="G53" i="12"/>
  <c r="D13" i="2"/>
  <c r="D29" i="2" s="1"/>
  <c r="C13" i="2"/>
  <c r="C29" i="2" s="1"/>
  <c r="H13" i="2"/>
  <c r="H29" i="2" s="1"/>
  <c r="E13" i="2"/>
  <c r="E29" i="2" s="1"/>
  <c r="N21" i="2"/>
  <c r="E28" i="2" l="1"/>
  <c r="E27" i="2"/>
  <c r="H28" i="2"/>
  <c r="H27" i="2"/>
  <c r="C28" i="2"/>
  <c r="C27" i="2"/>
  <c r="D28" i="2"/>
  <c r="D27" i="2"/>
  <c r="G28" i="2"/>
  <c r="G27" i="2"/>
  <c r="F28" i="2"/>
  <c r="F27" i="2"/>
  <c r="E45" i="12"/>
  <c r="H45" i="12"/>
  <c r="J29" i="2"/>
  <c r="J28" i="2"/>
  <c r="J26" i="2"/>
  <c r="J27" i="2"/>
  <c r="D45" i="12"/>
  <c r="G45" i="12"/>
  <c r="F45" i="12"/>
  <c r="I53" i="12"/>
  <c r="G14" i="2"/>
  <c r="G42" i="12" s="1"/>
  <c r="G10" i="5"/>
  <c r="G16" i="3"/>
  <c r="G22" i="2"/>
  <c r="G26" i="2"/>
  <c r="G16" i="2"/>
  <c r="G23" i="2"/>
  <c r="F26" i="2"/>
  <c r="F16" i="3"/>
  <c r="C45" i="12"/>
  <c r="D26" i="2"/>
  <c r="E16" i="3"/>
  <c r="E26" i="2"/>
  <c r="H16" i="3"/>
  <c r="H26" i="2"/>
  <c r="C16" i="3"/>
  <c r="C26" i="2"/>
  <c r="D22" i="2"/>
  <c r="D16" i="3"/>
  <c r="D16" i="2"/>
  <c r="D10" i="5"/>
  <c r="D14" i="2"/>
  <c r="D42" i="12" s="1"/>
  <c r="D23" i="2"/>
  <c r="G15" i="2"/>
  <c r="F37" i="12" s="1"/>
  <c r="C22" i="2"/>
  <c r="E23" i="2"/>
  <c r="E22" i="2"/>
  <c r="E16" i="2"/>
  <c r="E14" i="2"/>
  <c r="E42" i="12" s="1"/>
  <c r="E15" i="2"/>
  <c r="D37" i="12" s="1"/>
  <c r="E10" i="5"/>
  <c r="H22" i="2"/>
  <c r="H14" i="2"/>
  <c r="H42" i="12" s="1"/>
  <c r="H23" i="2"/>
  <c r="H10" i="5"/>
  <c r="B16" i="5" s="1"/>
  <c r="H16" i="2"/>
  <c r="H15" i="2"/>
  <c r="G37" i="12" s="1"/>
  <c r="C16" i="2"/>
  <c r="C23" i="2"/>
  <c r="C10" i="5"/>
  <c r="C15" i="2"/>
  <c r="B37" i="12" s="1"/>
  <c r="C14" i="2"/>
  <c r="C42" i="12" s="1"/>
  <c r="D15" i="2"/>
  <c r="C37" i="12" s="1"/>
  <c r="F14" i="2"/>
  <c r="F42" i="12" s="1"/>
  <c r="F23" i="2"/>
  <c r="F15" i="2"/>
  <c r="E37" i="12" s="1"/>
  <c r="F16" i="2"/>
  <c r="F22" i="2"/>
  <c r="F10" i="5"/>
  <c r="G30" i="2" l="1"/>
  <c r="F30" i="2"/>
  <c r="J30" i="2"/>
  <c r="I42" i="12"/>
  <c r="H37" i="12"/>
  <c r="I27" i="2"/>
  <c r="I28" i="2"/>
  <c r="C30" i="2"/>
  <c r="I26" i="2"/>
  <c r="E30" i="2"/>
  <c r="I29" i="2"/>
  <c r="H30" i="2"/>
  <c r="D30" i="2"/>
  <c r="N16" i="3"/>
  <c r="N23" i="2"/>
  <c r="N22" i="2"/>
  <c r="I10" i="2"/>
  <c r="J11" i="2"/>
  <c r="K11" i="2" s="1"/>
  <c r="I30" i="2" l="1"/>
  <c r="L11" i="2"/>
  <c r="M11" i="2" s="1"/>
  <c r="J10" i="2"/>
  <c r="K10" i="2" s="1"/>
  <c r="I21" i="2"/>
  <c r="J21" i="2" l="1"/>
  <c r="L10" i="2"/>
  <c r="K21" i="2"/>
  <c r="L21" i="2" l="1"/>
  <c r="M10" i="2"/>
  <c r="M21" i="2" s="1"/>
  <c r="I4" i="3"/>
  <c r="I5" i="3"/>
  <c r="I11" i="1" s="1"/>
  <c r="I7" i="3" l="1"/>
  <c r="I6" i="3"/>
  <c r="J5" i="3"/>
  <c r="J11" i="1" s="1"/>
  <c r="J4" i="3"/>
  <c r="J7" i="3" l="1"/>
  <c r="J6" i="3"/>
  <c r="I10" i="1"/>
  <c r="I12" i="1" s="1"/>
  <c r="I11" i="3"/>
  <c r="I15" i="3" s="1"/>
  <c r="I6" i="5"/>
  <c r="K5" i="3"/>
  <c r="K11" i="1" s="1"/>
  <c r="K4" i="3"/>
  <c r="K6" i="3" l="1"/>
  <c r="K7" i="3"/>
  <c r="J10" i="1"/>
  <c r="J12" i="1" s="1"/>
  <c r="J5" i="2" s="1"/>
  <c r="C17" i="5"/>
  <c r="C18" i="5"/>
  <c r="I5" i="2"/>
  <c r="I13" i="1"/>
  <c r="I14" i="1" s="1"/>
  <c r="J11" i="3"/>
  <c r="J15" i="3" s="1"/>
  <c r="J6" i="5"/>
  <c r="L4" i="3"/>
  <c r="L5" i="3"/>
  <c r="L11" i="1" s="1"/>
  <c r="L6" i="3" l="1"/>
  <c r="L7" i="3"/>
  <c r="K10" i="1"/>
  <c r="K12" i="1" s="1"/>
  <c r="K13" i="1" s="1"/>
  <c r="K14" i="1" s="1"/>
  <c r="B23" i="5"/>
  <c r="C23" i="5"/>
  <c r="D23" i="5"/>
  <c r="E23" i="5"/>
  <c r="F23" i="5"/>
  <c r="B24" i="5"/>
  <c r="C24" i="5"/>
  <c r="D24" i="5"/>
  <c r="E24" i="5"/>
  <c r="F24" i="5"/>
  <c r="J13" i="1"/>
  <c r="J14" i="1" s="1"/>
  <c r="J6" i="2" s="1"/>
  <c r="I16" i="1"/>
  <c r="I6" i="2"/>
  <c r="K11" i="3"/>
  <c r="K15" i="3" s="1"/>
  <c r="K6" i="5"/>
  <c r="M5" i="3"/>
  <c r="M11" i="1" s="1"/>
  <c r="M4" i="3"/>
  <c r="M6" i="3" l="1"/>
  <c r="M7" i="3"/>
  <c r="L10" i="1"/>
  <c r="L12" i="1" s="1"/>
  <c r="L5" i="2" s="1"/>
  <c r="K5" i="2"/>
  <c r="J16" i="1"/>
  <c r="K16" i="1"/>
  <c r="K6" i="2"/>
  <c r="I17" i="1"/>
  <c r="I18" i="1" s="1"/>
  <c r="L11" i="3"/>
  <c r="L15" i="3" s="1"/>
  <c r="M6" i="5"/>
  <c r="L6" i="5"/>
  <c r="M10" i="1" l="1"/>
  <c r="M12" i="1" s="1"/>
  <c r="M13" i="1" s="1"/>
  <c r="M14" i="1" s="1"/>
  <c r="L13" i="1"/>
  <c r="L14" i="1" s="1"/>
  <c r="L6" i="2" s="1"/>
  <c r="I19" i="1"/>
  <c r="I14" i="3"/>
  <c r="I20" i="1"/>
  <c r="I21" i="1" s="1"/>
  <c r="I9" i="5"/>
  <c r="I12" i="2"/>
  <c r="I13" i="2" s="1"/>
  <c r="J17" i="1"/>
  <c r="M11" i="3"/>
  <c r="M15" i="3" s="1"/>
  <c r="J24" i="5"/>
  <c r="J23" i="5"/>
  <c r="C15" i="5" l="1"/>
  <c r="B21" i="5" s="1"/>
  <c r="L16" i="1"/>
  <c r="M5" i="2"/>
  <c r="M16" i="1"/>
  <c r="M6" i="2"/>
  <c r="I15" i="2"/>
  <c r="I16" i="2"/>
  <c r="I22" i="2"/>
  <c r="I14" i="2"/>
  <c r="I23" i="2"/>
  <c r="I10" i="5"/>
  <c r="J12" i="2"/>
  <c r="J13" i="2" s="1"/>
  <c r="K17" i="1"/>
  <c r="J18" i="1"/>
  <c r="C16" i="5" l="1"/>
  <c r="K18" i="1"/>
  <c r="L17" i="1"/>
  <c r="K12" i="2"/>
  <c r="K13" i="2" s="1"/>
  <c r="J23" i="2"/>
  <c r="J16" i="2"/>
  <c r="J15" i="2"/>
  <c r="J14" i="2"/>
  <c r="J10" i="5"/>
  <c r="J22" i="2"/>
  <c r="J20" i="1"/>
  <c r="J21" i="1" s="1"/>
  <c r="J19" i="1"/>
  <c r="J14" i="3"/>
  <c r="J9" i="5"/>
  <c r="C21" i="5" s="1"/>
  <c r="C22" i="5" l="1"/>
  <c r="K23" i="2"/>
  <c r="K16" i="2"/>
  <c r="K22" i="2"/>
  <c r="K15" i="2"/>
  <c r="K14" i="2"/>
  <c r="K10" i="5"/>
  <c r="L18" i="1"/>
  <c r="L12" i="2"/>
  <c r="L13" i="2" s="1"/>
  <c r="M17" i="1"/>
  <c r="K14" i="3"/>
  <c r="K20" i="1"/>
  <c r="K21" i="1" s="1"/>
  <c r="K19" i="1"/>
  <c r="K9" i="5"/>
  <c r="D21" i="5" s="1"/>
  <c r="D22" i="5" l="1"/>
  <c r="D25" i="5" s="1"/>
  <c r="D26" i="5" s="1"/>
  <c r="B22" i="5"/>
  <c r="B25" i="5" s="1"/>
  <c r="B26" i="5" s="1"/>
  <c r="C25" i="5"/>
  <c r="C26" i="5" s="1"/>
  <c r="L10" i="5"/>
  <c r="E22" i="5" s="1"/>
  <c r="L16" i="2"/>
  <c r="L14" i="2"/>
  <c r="L15" i="2"/>
  <c r="L22" i="2"/>
  <c r="L23" i="2"/>
  <c r="L14" i="3"/>
  <c r="L9" i="5"/>
  <c r="E21" i="5" s="1"/>
  <c r="L20" i="1"/>
  <c r="L21" i="1" s="1"/>
  <c r="L19" i="1"/>
  <c r="M18" i="1"/>
  <c r="M12" i="2"/>
  <c r="M13" i="2" s="1"/>
  <c r="M10" i="5" l="1"/>
  <c r="M14" i="2"/>
  <c r="M22" i="2"/>
  <c r="M23" i="2"/>
  <c r="M16" i="2"/>
  <c r="M15" i="2"/>
  <c r="E25" i="5"/>
  <c r="E26" i="5" s="1"/>
  <c r="M14" i="3"/>
  <c r="M20" i="1"/>
  <c r="M21" i="1" s="1"/>
  <c r="M9" i="5"/>
  <c r="F21" i="5" s="1"/>
  <c r="M19" i="1"/>
  <c r="F22" i="5" l="1"/>
  <c r="J22" i="5" s="1"/>
  <c r="J21" i="5"/>
  <c r="F25" i="5" l="1"/>
  <c r="F26" i="5" s="1"/>
  <c r="J2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3" authorId="0" shapeId="0" xr:uid="{44486C3A-5C52-4790-B6F8-B07EBC9BB77D}">
      <text>
        <r>
          <rPr>
            <sz val="9"/>
            <color rgb="FF000000"/>
            <rFont val="Tahoma"/>
            <family val="2"/>
          </rPr>
          <t xml:space="preserve">Sales = Revenue = Net Revenue = Ventas =  Ventas Netas = Cifra de negocio
</t>
        </r>
      </text>
    </comment>
    <comment ref="O3" authorId="0" shapeId="0" xr:uid="{A8AFBDE3-D2C0-4451-84A1-205325C497FC}">
      <text>
        <r>
          <rPr>
            <sz val="9"/>
            <color rgb="FF000000"/>
            <rFont val="Tahoma"/>
            <family val="2"/>
          </rPr>
          <t xml:space="preserve">Crecimiento anual estimado de ventas para los próximos 5 años fiscales
</t>
        </r>
        <r>
          <rPr>
            <sz val="9"/>
            <color rgb="FF000000"/>
            <rFont val="Tahoma"/>
            <family val="2"/>
          </rPr>
          <t xml:space="preserve">
</t>
        </r>
        <r>
          <rPr>
            <sz val="9"/>
            <color rgb="FF000000"/>
            <rFont val="Tahoma"/>
            <family val="2"/>
          </rPr>
          <t>Por defecto usa el del año fiscal más reciente</t>
        </r>
      </text>
    </comment>
    <comment ref="O4" authorId="0" shapeId="0" xr:uid="{5D5A1CFF-E654-469D-98F3-42551D867309}">
      <text>
        <r>
          <rPr>
            <sz val="9"/>
            <color rgb="FF000000"/>
            <rFont val="Tahoma"/>
            <family val="2"/>
          </rPr>
          <t>Margen EBIT estimado para  los próximos 5 años fiscales
¡Ojo! Normalizar el margen eliminando gastos e ingresos extraordinarios
Por defecto usa el del año fiscal más reciente</t>
        </r>
      </text>
    </comment>
    <comment ref="A5" authorId="0" shapeId="0" xr:uid="{32511833-DEFD-4AF9-8735-8994EFB261A9}">
      <text>
        <r>
          <rPr>
            <b/>
            <sz val="9"/>
            <color indexed="81"/>
            <rFont val="Tahoma"/>
            <family val="2"/>
          </rPr>
          <t xml:space="preserve">Earnings Before Interests, Taxes, Depreciation &amp; Amortization
</t>
        </r>
        <r>
          <rPr>
            <sz val="9"/>
            <color indexed="81"/>
            <rFont val="Tahoma"/>
            <family val="2"/>
          </rPr>
          <t xml:space="preserve">
Forma rápida de calcularlo: EBIT + D&amp;A* 
* La D&amp;A debemos obtenerla en los Cash Flows from Operations</t>
        </r>
      </text>
    </comment>
    <comment ref="O5" authorId="0" shapeId="0" xr:uid="{BB374992-95A6-44A7-B4AA-5EAB3F352895}">
      <text>
        <r>
          <rPr>
            <sz val="9"/>
            <color indexed="81"/>
            <rFont val="Tahoma"/>
            <family val="2"/>
          </rPr>
          <t>Impuesto de sociedades estimado para  los próximos 5 años fiscales
Por defecto usa el del año fiscal más reciente</t>
        </r>
      </text>
    </comment>
    <comment ref="O6" authorId="0" shapeId="0" xr:uid="{EEF8CCB8-490F-40D4-9826-DD01275D382A}">
      <text>
        <r>
          <rPr>
            <b/>
            <sz val="9"/>
            <color indexed="81"/>
            <rFont val="Tahoma"/>
            <family val="2"/>
          </rPr>
          <t>IDC:</t>
        </r>
        <r>
          <rPr>
            <sz val="9"/>
            <color indexed="81"/>
            <rFont val="Tahoma"/>
            <family val="2"/>
          </rPr>
          <t xml:space="preserve">
Por defecto usa la media de los 6 últimos años fiscales</t>
        </r>
      </text>
    </comment>
    <comment ref="A7" authorId="0" shapeId="0" xr:uid="{BF67636D-6A04-483B-BA83-9C2903EC1D50}">
      <text>
        <r>
          <rPr>
            <b/>
            <sz val="9"/>
            <color indexed="81"/>
            <rFont val="Tahoma"/>
            <family val="2"/>
          </rPr>
          <t>La obtenemos de los flujos de caja operativos (Cash flows from operations)</t>
        </r>
      </text>
    </comment>
    <comment ref="A8" authorId="0" shapeId="0" xr:uid="{407BD63A-7F0A-4863-86D3-81068853917D}">
      <text>
        <r>
          <rPr>
            <b/>
            <sz val="9"/>
            <color indexed="81"/>
            <rFont val="Tahoma"/>
            <family val="2"/>
          </rPr>
          <t xml:space="preserve">Earnings Before Interests and Taxes
</t>
        </r>
        <r>
          <rPr>
            <sz val="9"/>
            <color indexed="81"/>
            <rFont val="Tahoma"/>
            <family val="2"/>
          </rPr>
          <t>Puede aparecer como: Beneficio operativo, operating income, opearting profit, income from operations...</t>
        </r>
      </text>
    </comment>
    <comment ref="A12" authorId="0" shapeId="0" xr:uid="{94EB8843-69ED-4997-BE4A-ABDA0247C8A0}">
      <text>
        <r>
          <rPr>
            <b/>
            <sz val="11"/>
            <color theme="1"/>
            <rFont val="Calibri"/>
            <family val="2"/>
            <scheme val="minor"/>
          </rPr>
          <t>IDC:</t>
        </r>
        <r>
          <rPr>
            <sz val="11"/>
            <color theme="1"/>
            <rFont val="Calibri"/>
            <family val="2"/>
            <scheme val="minor"/>
          </rPr>
          <t xml:space="preserve"> 
Total Interest Expense = Interest Expense + Interest Income
Número Negativo = gasto // Positivo = ingreso</t>
        </r>
      </text>
    </comment>
    <comment ref="A13" authorId="0" shapeId="0" xr:uid="{03519D34-0372-438B-8018-B0882899913B}">
      <text>
        <r>
          <rPr>
            <b/>
            <sz val="9"/>
            <color indexed="81"/>
            <rFont val="Tahoma"/>
            <family val="2"/>
          </rPr>
          <t>Earnings Before Taxes = Pretax Income = Bneficio antes de impuestos (BAI)</t>
        </r>
      </text>
    </comment>
    <comment ref="A14" authorId="0" shapeId="0" xr:uid="{DFAAD273-4CAA-4F13-97DC-133243016382}">
      <text>
        <r>
          <rPr>
            <sz val="9"/>
            <color indexed="81"/>
            <rFont val="Tahoma"/>
            <family val="2"/>
          </rPr>
          <t>Introducir en negativo si es un ingreso (devolución de impuestos)
Taxes Paid = Tax Expense = Impuesto sobre beneficio</t>
        </r>
      </text>
    </comment>
    <comment ref="A15" authorId="0" shapeId="0" xr:uid="{060F079A-FB43-4862-B558-6503A3045D57}">
      <text>
        <r>
          <rPr>
            <sz val="9"/>
            <color rgb="FF000000"/>
            <rFont val="Tahoma"/>
            <family val="2"/>
          </rPr>
          <t>Effective Tax Rate = Tasa impositiva efectiva = Impuesto sobre beneficio = Impuesto de sociedades</t>
        </r>
      </text>
    </comment>
    <comment ref="A16" authorId="0" shapeId="0" xr:uid="{21639DC2-DD9C-486E-BDB3-025700068E34}">
      <text>
        <r>
          <rPr>
            <b/>
            <sz val="9"/>
            <color indexed="81"/>
            <rFont val="Tahoma"/>
            <family val="2"/>
          </rPr>
          <t>Autor:</t>
        </r>
        <r>
          <rPr>
            <sz val="9"/>
            <color indexed="81"/>
            <rFont val="Tahoma"/>
            <family val="2"/>
          </rPr>
          <t xml:space="preserve">
Consolidated Net Income = Beneficio Neto Consolidado (antes de descontar intereses minoritarios)</t>
        </r>
      </text>
    </comment>
    <comment ref="A18" authorId="0" shapeId="0" xr:uid="{A5D78346-AF0F-42C2-8738-E6BEFEE29455}">
      <text>
        <r>
          <rPr>
            <sz val="9"/>
            <color indexed="81"/>
            <rFont val="Tahoma"/>
            <family val="2"/>
          </rPr>
          <t>Net Income = Net Income to the company = Net income to common shareholders = Profit after taxes = Beneficio neto = beneficio después de impuestos = resultado neto</t>
        </r>
      </text>
    </comment>
    <comment ref="A20" authorId="0" shapeId="0" xr:uid="{50699F69-1902-4A9B-958F-1D84A1BAAB7C}">
      <text>
        <r>
          <rPr>
            <sz val="9"/>
            <color indexed="81"/>
            <rFont val="Tahoma"/>
            <family val="2"/>
          </rPr>
          <t>EPS = Earnings Per Share = Net income per share = Beneficio por acción = Beneficio neto por acción</t>
        </r>
      </text>
    </comment>
    <comment ref="A22" authorId="0" shapeId="0" xr:uid="{2C780190-F3CB-4DE5-8AED-A1838AC6E740}">
      <text>
        <r>
          <rPr>
            <sz val="9"/>
            <color indexed="81"/>
            <rFont val="Tahoma"/>
            <family val="2"/>
          </rPr>
          <t>Número total de acciones diluidas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4" authorId="0" shapeId="0" xr:uid="{7E4C5449-4D6C-4E95-A98D-57D9FD6E0B74}">
      <text>
        <r>
          <rPr>
            <sz val="9"/>
            <color indexed="81"/>
            <rFont val="Tahoma"/>
            <family val="2"/>
          </rPr>
          <t>Si la compañlía no detalla cuando gasta en capex mantenimiento podemos:
a) Usar el CapEx / sales medio de los rivales más maduros del sector, ya que apenas tendrán CapEx de crecimiento
b) Usar la Depreciación como CapEx de mantenimiento aproximado
Nombres comunes para esta partida:
Capital Expenditure / Capital Spending / Investments in fixed/intangible assets / Purchases of PP&amp;E / Inversión en inmovilizado material/inmaterial</t>
        </r>
      </text>
    </comment>
    <comment ref="A7" authorId="0" shapeId="0" xr:uid="{45801A05-2E25-416B-A34E-FBB55E8A4A75}">
      <text>
        <r>
          <rPr>
            <sz val="9"/>
            <color indexed="81"/>
            <rFont val="Tahoma"/>
            <family val="2"/>
          </rPr>
          <t>Inventarios</t>
        </r>
      </text>
    </comment>
    <comment ref="A8" authorId="0" shapeId="0" xr:uid="{DD6AF691-1E83-49CF-921D-5509B7E82574}">
      <text>
        <r>
          <rPr>
            <sz val="9"/>
            <color rgb="FF000000"/>
            <rFont val="Tahoma"/>
            <family val="2"/>
          </rPr>
          <t>Receivables, customer accounts, cuentas a cobrar</t>
        </r>
      </text>
    </comment>
    <comment ref="A9" authorId="0" shapeId="0" xr:uid="{028FB7C3-AB96-4677-8F0C-92F7FAC5C8F0}">
      <text>
        <r>
          <rPr>
            <sz val="9"/>
            <color indexed="81"/>
            <rFont val="Tahoma"/>
            <family val="2"/>
          </rPr>
          <t>Payables, supplier accounts, cuentas a pagar</t>
        </r>
      </text>
    </comment>
    <comment ref="B11" authorId="0" shapeId="0" xr:uid="{9B683770-B6E3-460C-AC7B-38A96453D4AF}">
      <text>
        <r>
          <rPr>
            <sz val="9"/>
            <color indexed="81"/>
            <rFont val="Tahoma"/>
            <family val="2"/>
          </rPr>
          <t>No se pueden calcular las variaciones de WC ya que no hay datos del año fiscal anterior</t>
        </r>
      </text>
    </comment>
    <comment ref="A12" authorId="0" shapeId="0" xr:uid="{215FCB64-0431-4F4D-B7DB-336EB51BC533}">
      <text>
        <r>
          <rPr>
            <sz val="9"/>
            <color rgb="FF000000"/>
            <rFont val="Tahoma"/>
            <family val="2"/>
          </rPr>
          <t>Por defecto obtiene los valores de "Minority Interests" desde la hoja "1. Income Statement". 
SE PUEDE CAMBIAR
Si es un ingreso, va en POSITIVO</t>
        </r>
      </text>
    </comment>
    <comment ref="A13" authorId="0" shapeId="0" xr:uid="{8187D48E-A1E3-4C13-8B0C-B63CF9AB00A6}">
      <text>
        <r>
          <rPr>
            <b/>
            <sz val="9"/>
            <color indexed="81"/>
            <rFont val="Tahoma"/>
            <family val="2"/>
          </rPr>
          <t>IDC:</t>
        </r>
        <r>
          <rPr>
            <sz val="9"/>
            <color indexed="81"/>
            <rFont val="Tahoma"/>
            <family val="2"/>
          </rPr>
          <t xml:space="preserve">
FCF = EBITDA - Intereses - Impuestos - CapEx Mantenimiento - Cambios en Working Capital</t>
        </r>
      </text>
    </comment>
    <comment ref="A17" authorId="0" shapeId="0" xr:uid="{0E9138F3-2CC5-4D1C-BDB2-93B3E5AB7D63}">
      <text>
        <r>
          <rPr>
            <b/>
            <sz val="9"/>
            <color indexed="81"/>
            <rFont val="Tahoma"/>
            <family val="2"/>
          </rPr>
          <t xml:space="preserve">IDC:
Cambio neto en la posición de caja
</t>
        </r>
        <r>
          <rPr>
            <sz val="9"/>
            <color indexed="81"/>
            <rFont val="Tahoma"/>
            <family val="2"/>
          </rPr>
          <t xml:space="preserve">Este campo es la suma del resultado de las tres clases de flujos de caja:
     Net change in cash = Cash from Operations + Cash from Investing + Cash from Financing
Es el movimiento </t>
        </r>
        <r>
          <rPr>
            <b/>
            <sz val="9"/>
            <color indexed="81"/>
            <rFont val="Tahoma"/>
            <family val="2"/>
          </rPr>
          <t>REAL</t>
        </r>
        <r>
          <rPr>
            <sz val="9"/>
            <color indexed="81"/>
            <rFont val="Tahoma"/>
            <family val="2"/>
          </rPr>
          <t xml:space="preserve"> de caja de la empresa, incluye el dinero que generan (o que "queman") las operaciones, las inversiones y la financiación
- Si la partida es </t>
        </r>
        <r>
          <rPr>
            <b/>
            <sz val="9"/>
            <color indexed="81"/>
            <rFont val="Tahoma"/>
            <family val="2"/>
          </rPr>
          <t>negativa</t>
        </r>
        <r>
          <rPr>
            <sz val="9"/>
            <color indexed="81"/>
            <rFont val="Tahoma"/>
            <family val="2"/>
          </rPr>
          <t xml:space="preserve"> refleja cuanto dinero ha </t>
        </r>
        <r>
          <rPr>
            <b/>
            <sz val="9"/>
            <color indexed="81"/>
            <rFont val="Tahoma"/>
            <family val="2"/>
          </rPr>
          <t>QUEMADO</t>
        </r>
        <r>
          <rPr>
            <sz val="9"/>
            <color indexed="81"/>
            <rFont val="Tahoma"/>
            <family val="2"/>
          </rPr>
          <t xml:space="preserve"> de la caja fuerte la empresa 
- Si la partida es </t>
        </r>
        <r>
          <rPr>
            <b/>
            <sz val="9"/>
            <color indexed="81"/>
            <rFont val="Tahoma"/>
            <family val="2"/>
          </rPr>
          <t>positiva</t>
        </r>
        <r>
          <rPr>
            <sz val="9"/>
            <color indexed="81"/>
            <rFont val="Tahoma"/>
            <family val="2"/>
          </rPr>
          <t xml:space="preserve"> refleja cuanto dinero ha </t>
        </r>
        <r>
          <rPr>
            <b/>
            <sz val="9"/>
            <color indexed="81"/>
            <rFont val="Tahoma"/>
            <family val="2"/>
          </rPr>
          <t>INGRESADO</t>
        </r>
        <r>
          <rPr>
            <sz val="9"/>
            <color indexed="81"/>
            <rFont val="Tahoma"/>
            <family val="2"/>
          </rPr>
          <t xml:space="preserve"> en la caja fuerte la empresa </t>
        </r>
        <r>
          <rPr>
            <sz val="9"/>
            <color indexed="81"/>
            <rFont val="Tahoma"/>
            <family val="2"/>
          </rPr>
          <t xml:space="preserve">
</t>
        </r>
      </text>
    </comment>
    <comment ref="A23" authorId="0" shapeId="0" xr:uid="{A7F52697-D178-4EED-BE1B-D0A9E2643043}">
      <text>
        <r>
          <rPr>
            <b/>
            <sz val="9"/>
            <color indexed="81"/>
            <rFont val="Tahoma"/>
            <family val="2"/>
          </rPr>
          <t xml:space="preserve">IDC:
</t>
        </r>
        <r>
          <rPr>
            <sz val="9"/>
            <color indexed="81"/>
            <rFont val="Tahoma"/>
            <family val="2"/>
          </rPr>
          <t xml:space="preserve">
"Cash conversion"</t>
        </r>
      </text>
    </comment>
    <comment ref="A26" authorId="0" shapeId="0" xr:uid="{38F67F84-D690-4234-A465-04A5E9FAFEDC}">
      <text>
        <r>
          <rPr>
            <b/>
            <sz val="9"/>
            <color indexed="81"/>
            <rFont val="Tahoma"/>
            <family val="2"/>
          </rPr>
          <t>IDC:</t>
        </r>
        <r>
          <rPr>
            <sz val="9"/>
            <color indexed="81"/>
            <rFont val="Tahoma"/>
            <family val="2"/>
          </rPr>
          <t xml:space="preserve">
Crecimiento orgánico</t>
        </r>
      </text>
    </comment>
    <comment ref="A29" authorId="0" shapeId="0" xr:uid="{9C25644B-3D43-4114-9967-41697D6FA5FE}">
      <text>
        <r>
          <rPr>
            <b/>
            <sz val="9"/>
            <color indexed="81"/>
            <rFont val="Tahoma"/>
            <family val="2"/>
          </rPr>
          <t xml:space="preserve">IDC:
</t>
        </r>
        <r>
          <rPr>
            <sz val="9"/>
            <color indexed="81"/>
            <rFont val="Tahoma"/>
            <family val="2"/>
          </rPr>
          <t xml:space="preserve">Crecimiento inorgánico. </t>
        </r>
        <r>
          <rPr>
            <sz val="9"/>
            <color indexed="81"/>
            <rFont val="Tahoma"/>
            <family val="2"/>
          </rPr>
          <t>Usamos la partida neta:
Adquisiciones = Cash acquisitions - Divestitures
Si el % es negativo, implica que las desinversiones son superiores a las adquisiciones, es decir, la empresa ingresó más dinero del que invirtió en adquisiiciones</t>
        </r>
      </text>
    </comment>
    <comment ref="A30" authorId="0" shapeId="0" xr:uid="{C3935C79-5F46-4E42-9487-8D5C4932FE11}">
      <text>
        <r>
          <rPr>
            <b/>
            <sz val="9"/>
            <color indexed="81"/>
            <rFont val="Tahoma"/>
            <family val="2"/>
          </rPr>
          <t>Autor:</t>
        </r>
        <r>
          <rPr>
            <sz val="9"/>
            <color indexed="81"/>
            <rFont val="Tahoma"/>
            <family val="2"/>
          </rPr>
          <t xml:space="preserve">
Nos indica qué % del FCF dedican a estos fines
Si es superior al 100%, implica que la compañía ha reducido su posición de caja, o bien ha necesitado emitir deuda para financiarse
Si es negativo, implica que hubo una desinversión importante (venta de activos, subsidiaria....)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4" authorId="0" shapeId="0" xr:uid="{E7FCF10F-C203-4A6D-9208-8D1F28C77559}">
      <text>
        <r>
          <rPr>
            <sz val="9"/>
            <color rgb="FF000000"/>
            <rFont val="Tahoma"/>
            <family val="2"/>
          </rPr>
          <t xml:space="preserve">Ojo, no se usa para el cálculo para el cálculo del Invested Capital pero se usará en la Hoja 4 para el cálculo de la "Net Debt"
</t>
        </r>
        <r>
          <rPr>
            <sz val="9"/>
            <color rgb="FF000000"/>
            <rFont val="Tahoma"/>
            <family val="2"/>
          </rPr>
          <t xml:space="preserve">
</t>
        </r>
        <r>
          <rPr>
            <sz val="9"/>
            <color rgb="FF000000"/>
            <rFont val="Tahoma"/>
            <family val="2"/>
          </rPr>
          <t>NO debemos incluir la partida "Restricted cash", salvo que tengamos la certeza de que esa caja se va a desbloquear a muy corto plazo.</t>
        </r>
      </text>
    </comment>
    <comment ref="A5" authorId="0" shapeId="0" xr:uid="{A760C30E-2C8A-4B0E-A9BF-94230459B18C}">
      <text>
        <r>
          <rPr>
            <sz val="9"/>
            <color rgb="FF000000"/>
            <rFont val="Tahoma"/>
            <family val="2"/>
          </rPr>
          <t>Solo los incluimos si aparecen dentro de "Current Assets", también pueden aparecer como "Short-term investments" o similar</t>
        </r>
      </text>
    </comment>
    <comment ref="A6" authorId="0" shapeId="0" xr:uid="{F8330904-3BBC-4923-9215-757FE40F17AE}">
      <text>
        <r>
          <rPr>
            <sz val="9"/>
            <color rgb="FF000000"/>
            <rFont val="Tahoma"/>
            <family val="2"/>
          </rPr>
          <t>Short-Term Debt, Financial Debt, Borrowings, Loans, Current portion of long-term debt, préstamos a corto plazo, deuda financiera corriente
Debemos incluir solo la deuda financiera como préstamos, bonos o instrumentos similares (obligaciones, notas), ya que a nivel legal
Solo incluímos la deuda que conlleve el pago de intereses y pueda hacer quebrar la empresa</t>
        </r>
      </text>
    </comment>
    <comment ref="A7" authorId="0" shapeId="0" xr:uid="{00046227-A860-49EF-8291-9589AE0E1D1F}">
      <text>
        <r>
          <rPr>
            <sz val="9"/>
            <color rgb="FF000000"/>
            <rFont val="Tahoma"/>
            <family val="2"/>
          </rPr>
          <t xml:space="preserve">Long-Term Debt, Financial Debt, Borrowings, Loans, Non-Current portion of long-term debt, préstamos a largo plazo, deuda financiera no corriente
</t>
        </r>
        <r>
          <rPr>
            <sz val="9"/>
            <color rgb="FF000000"/>
            <rFont val="Tahoma"/>
            <family val="2"/>
          </rPr>
          <t xml:space="preserve">
</t>
        </r>
        <r>
          <rPr>
            <sz val="9"/>
            <color rgb="FF000000"/>
            <rFont val="Tahoma"/>
            <family val="2"/>
          </rPr>
          <t xml:space="preserve">Debemos incluir solo la deuda financiera como préstamos, bonos o instrumentos similares (obligaciones, notas), ya que a nivel legal
</t>
        </r>
        <r>
          <rPr>
            <sz val="9"/>
            <color rgb="FF000000"/>
            <rFont val="Tahoma"/>
            <family val="2"/>
          </rPr>
          <t xml:space="preserve">
</t>
        </r>
        <r>
          <rPr>
            <sz val="9"/>
            <color rgb="FF000000"/>
            <rFont val="Tahoma"/>
            <family val="2"/>
          </rPr>
          <t>Solo incluímos la deuda que conlleve el pago de intereses y pueda hacer quebrar la empresa</t>
        </r>
      </text>
    </comment>
    <comment ref="A8" authorId="0" shapeId="0" xr:uid="{FB8C87A6-A2D1-4EE3-B4C3-44AF1E6620FA}">
      <text>
        <r>
          <rPr>
            <sz val="9"/>
            <color rgb="FF000000"/>
            <rFont val="Tahoma"/>
            <family val="2"/>
          </rPr>
          <t>Parte a corto plazo de los "operating leases", si existen en el balance dentro de "Current Liabilities"  ("Pasivo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r>
      </text>
    </comment>
    <comment ref="A9" authorId="0" shapeId="0" xr:uid="{BE29A422-5397-46BF-A0B8-AA72F4A17A8E}">
      <text>
        <r>
          <rPr>
            <sz val="9"/>
            <color indexed="81"/>
            <rFont val="Tahoma"/>
            <family val="2"/>
          </rPr>
          <t>Parte a largo plazo de los "operating leases", si existen en el balance dentro de "Non-Current Liabilities"  ("Pasivo No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r>
      </text>
    </comment>
    <comment ref="A10" authorId="0" shapeId="0" xr:uid="{B2AC1F46-C25C-41A4-98CE-912CD3281F2D}">
      <text>
        <r>
          <rPr>
            <sz val="9"/>
            <color indexed="81"/>
            <rFont val="Tahoma"/>
            <family val="2"/>
          </rPr>
          <t>Shareholder's Equity = Shareholder's Investment = Equity attributable to the owners of the company = Patrimonio Neto = Fondos Propios = Valor Contable</t>
        </r>
      </text>
    </comment>
    <comment ref="A11" authorId="0" shapeId="0" xr:uid="{7BB5DFC4-7801-49E8-917A-666300290598}">
      <text>
        <r>
          <rPr>
            <sz val="9"/>
            <color rgb="FF000000"/>
            <rFont val="Tahoma"/>
            <family val="2"/>
          </rPr>
          <t xml:space="preserve">Incluye:
</t>
        </r>
        <r>
          <rPr>
            <sz val="9"/>
            <color rgb="FF000000"/>
            <rFont val="Tahoma"/>
            <family val="2"/>
          </rPr>
          <t xml:space="preserve">
</t>
        </r>
        <r>
          <rPr>
            <sz val="9"/>
            <color rgb="FF000000"/>
            <rFont val="Tahoma"/>
            <family val="2"/>
          </rPr>
          <t xml:space="preserve">(-) Marketable securities
</t>
        </r>
        <r>
          <rPr>
            <sz val="9"/>
            <color rgb="FF000000"/>
            <rFont val="Tahoma"/>
            <family val="2"/>
          </rPr>
          <t xml:space="preserve">(+) Deuda financiera total
</t>
        </r>
        <r>
          <rPr>
            <sz val="9"/>
            <color rgb="FF000000"/>
            <rFont val="Tahoma"/>
            <family val="2"/>
          </rPr>
          <t xml:space="preserve">(+) Operating Leases
</t>
        </r>
        <r>
          <rPr>
            <sz val="9"/>
            <color rgb="FF000000"/>
            <rFont val="Tahoma"/>
            <family val="2"/>
          </rPr>
          <t>(+) Equity</t>
        </r>
      </text>
    </comment>
    <comment ref="A16" authorId="0" shapeId="0" xr:uid="{0DF9B622-6D49-4830-8625-DF94449E2AE3}">
      <text>
        <r>
          <rPr>
            <b/>
            <sz val="9"/>
            <color indexed="81"/>
            <rFont val="Tahoma"/>
            <family val="2"/>
          </rPr>
          <t>IDC:</t>
        </r>
        <r>
          <rPr>
            <sz val="9"/>
            <color indexed="81"/>
            <rFont val="Tahoma"/>
            <family val="2"/>
          </rPr>
          <t xml:space="preserve">
Tasa de reinversión (orgánica + inorgánica)
Orgánica = CapEx Expansión
Inorgánica = Importet pagado por adquisiciones
</t>
        </r>
        <r>
          <rPr>
            <b/>
            <sz val="9"/>
            <color indexed="81"/>
            <rFont val="Tahoma"/>
            <family val="2"/>
          </rPr>
          <t>Tasa de reinversión</t>
        </r>
        <r>
          <rPr>
            <sz val="9"/>
            <color indexed="81"/>
            <rFont val="Tahoma"/>
            <family val="2"/>
          </rPr>
          <t xml:space="preserve"> = ((Capex neto - Capex mantenimiento) + Importe pagado por adquisiciones) / FCF
Ojo, es posible que la compañía invierta en crecimiento orgánico a través de su P&amp;L, pero esto no es posible automatizarlo y habría que hacer estimaciones para esa compañía en concreto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4" authorId="0" shapeId="0" xr:uid="{00000000-0006-0000-0300-000001000000}">
      <text>
        <r>
          <rPr>
            <b/>
            <sz val="18"/>
            <color rgb="FF000000"/>
            <rFont val="Calibri"/>
            <family val="2"/>
          </rPr>
          <t>Fernando:</t>
        </r>
        <r>
          <rPr>
            <sz val="9"/>
            <color rgb="FF000000"/>
            <rFont val="Calibri"/>
            <family val="2"/>
          </rPr>
          <t xml:space="preserve">
</t>
        </r>
        <r>
          <rPr>
            <sz val="14"/>
            <color rgb="FF000000"/>
            <rFont val="Calibri"/>
            <family val="2"/>
          </rPr>
          <t>SI NO HAS INCLUIDO EL "CASH AND CASH EQUIVALENTS" EN EL CÁLCULO DEL ROIC, DEBES HACERLO AHORA PARA EL CÁLCULO DEL EV</t>
        </r>
      </text>
    </comment>
    <comment ref="B14" authorId="0" shapeId="0" xr:uid="{BA4148FA-2FB6-4427-98EB-13EBADA7F56B}">
      <text>
        <r>
          <rPr>
            <sz val="9"/>
            <color indexed="81"/>
            <rFont val="Tahoma"/>
            <family val="2"/>
          </rPr>
          <t xml:space="preserve">Last Twelve Months - Últimos 12 meses
Estos múltiplos se calculan con los datos financieros del último año fiscal disponible
</t>
        </r>
      </text>
    </comment>
    <comment ref="C14" authorId="0" shapeId="0" xr:uid="{DA113695-767D-40F7-A372-83279917C8EB}">
      <text>
        <r>
          <rPr>
            <sz val="9"/>
            <color indexed="81"/>
            <rFont val="Tahoma"/>
            <family val="2"/>
          </rPr>
          <t>Se calculan con las estimaciones del primer año disponible</t>
        </r>
      </text>
    </comment>
    <comment ref="H20" authorId="0" shapeId="0" xr:uid="{75BBEC35-CB27-46B5-A445-13B454896105}">
      <text>
        <r>
          <rPr>
            <b/>
            <sz val="9"/>
            <color rgb="FF000000"/>
            <rFont val="Tahoma"/>
            <family val="2"/>
          </rPr>
          <t>IDC:</t>
        </r>
        <r>
          <rPr>
            <sz val="9"/>
            <color rgb="FF000000"/>
            <rFont val="Tahoma"/>
            <family val="2"/>
          </rPr>
          <t xml:space="preserve">
</t>
        </r>
        <r>
          <rPr>
            <sz val="9"/>
            <color rgb="FF000000"/>
            <rFont val="Tahoma"/>
            <family val="2"/>
          </rPr>
          <t xml:space="preserve">CAGR = Compounded Annual Growth Rate
</t>
        </r>
        <r>
          <rPr>
            <sz val="9"/>
            <color rgb="FF000000"/>
            <rFont val="Tahoma"/>
            <family val="2"/>
          </rPr>
          <t xml:space="preserve">
</t>
        </r>
        <r>
          <rPr>
            <sz val="9"/>
            <color rgb="FF000000"/>
            <rFont val="Tahoma"/>
            <family val="2"/>
          </rPr>
          <t>Es decir, el porcentaje de retorno anualizado esperado para la inversión</t>
        </r>
      </text>
    </comment>
  </commentList>
</comments>
</file>

<file path=xl/sharedStrings.xml><?xml version="1.0" encoding="utf-8"?>
<sst xmlns="http://schemas.openxmlformats.org/spreadsheetml/2006/main" count="437" uniqueCount="377">
  <si>
    <t>Income Statement</t>
  </si>
  <si>
    <t>(millones, excepto EPS)</t>
  </si>
  <si>
    <t>Proyección a futuro</t>
  </si>
  <si>
    <t>Sales</t>
  </si>
  <si>
    <t>Crecimiento en Ventas</t>
  </si>
  <si>
    <t xml:space="preserve">    Y/Y Growth %</t>
  </si>
  <si>
    <t>Margen EBIT</t>
  </si>
  <si>
    <t>EBITDA</t>
  </si>
  <si>
    <t>Tax Rate</t>
  </si>
  <si>
    <t xml:space="preserve">    EBITDA margin %</t>
  </si>
  <si>
    <t>Aumento nº acciones</t>
  </si>
  <si>
    <r>
      <t xml:space="preserve">Depreciation &amp; Amortization Expense - en </t>
    </r>
    <r>
      <rPr>
        <sz val="12"/>
        <color rgb="FFFF0000"/>
        <rFont val="Ebrima"/>
      </rPr>
      <t>negativo</t>
    </r>
  </si>
  <si>
    <t xml:space="preserve">EBIT </t>
  </si>
  <si>
    <t xml:space="preserve">    EBIT margin %</t>
  </si>
  <si>
    <r>
      <t xml:space="preserve">Interest Expense - en </t>
    </r>
    <r>
      <rPr>
        <sz val="12"/>
        <color rgb="FFFF0000"/>
        <rFont val="Ebrima"/>
      </rPr>
      <t>negativo</t>
    </r>
  </si>
  <si>
    <t>Other Income/Expenses</t>
  </si>
  <si>
    <t>Total Interest expense</t>
  </si>
  <si>
    <t>EBT</t>
  </si>
  <si>
    <r>
      <t xml:space="preserve">Tax Expense - en </t>
    </r>
    <r>
      <rPr>
        <sz val="12"/>
        <color rgb="FFFF0000"/>
        <rFont val="Ebrima"/>
      </rPr>
      <t>negativo</t>
    </r>
  </si>
  <si>
    <t xml:space="preserve">    Tax rate %</t>
  </si>
  <si>
    <t>Consolidated Net Income</t>
  </si>
  <si>
    <r>
      <t xml:space="preserve">Minority Interests - Si existen, van en </t>
    </r>
    <r>
      <rPr>
        <sz val="12"/>
        <color rgb="FFFF0000"/>
        <rFont val="Ebrima"/>
      </rPr>
      <t>negativo</t>
    </r>
  </si>
  <si>
    <t>Net Income</t>
  </si>
  <si>
    <t xml:space="preserve">    Margen beneficio neto % (Net Margin)</t>
  </si>
  <si>
    <t>EPS</t>
  </si>
  <si>
    <t>Fully diluted shares - millones</t>
  </si>
  <si>
    <t>Cash Flow Statement</t>
  </si>
  <si>
    <t>(millones, excepto FCF per share)</t>
  </si>
  <si>
    <r>
      <t xml:space="preserve">(-) CapEx Mantenimiento - en </t>
    </r>
    <r>
      <rPr>
        <sz val="12"/>
        <color rgb="FFFF0000"/>
        <rFont val="Ebrima"/>
      </rPr>
      <t>negativo</t>
    </r>
  </si>
  <si>
    <t>(-) Total interest expense</t>
  </si>
  <si>
    <t>(-) Taxes paid</t>
  </si>
  <si>
    <t>Inventories</t>
  </si>
  <si>
    <t>Accounts Receivable</t>
  </si>
  <si>
    <t>Accounts Payable</t>
  </si>
  <si>
    <t>Working Capital - WC</t>
  </si>
  <si>
    <t>(-) Variación de Working Capital - CWC</t>
  </si>
  <si>
    <t>(-) Otros ajustes - Opcional; p.ej. Minority Interests</t>
  </si>
  <si>
    <t xml:space="preserve">Free Cash Flow </t>
  </si>
  <si>
    <t>FCF Margin %</t>
  </si>
  <si>
    <t>Free Cash Flow per share - FCFPS</t>
  </si>
  <si>
    <t>Net Change in Cash</t>
  </si>
  <si>
    <t>Eficiencia y márgenes</t>
  </si>
  <si>
    <t>CapEx Mantenimiento / Ventas</t>
  </si>
  <si>
    <t>Working Capital / Ventas</t>
  </si>
  <si>
    <t>FCF / Ventas (FCF Margin)</t>
  </si>
  <si>
    <t>Conversión en Caja (EBITDA que se convierte en FCF)</t>
  </si>
  <si>
    <t>Asignación de capital (como % del FCF)</t>
  </si>
  <si>
    <t>CapEx Expansión</t>
  </si>
  <si>
    <t>Dividendos</t>
  </si>
  <si>
    <t>Recompras</t>
  </si>
  <si>
    <t>Adquisiciones</t>
  </si>
  <si>
    <t>Total</t>
  </si>
  <si>
    <t>Retornos sobre el capital invertido</t>
  </si>
  <si>
    <t>(millones)</t>
  </si>
  <si>
    <t>EBIT x (1-t)</t>
  </si>
  <si>
    <t>Cash and cash equivalents</t>
  </si>
  <si>
    <t>(-) Marketable Securities</t>
  </si>
  <si>
    <t>(+) Short-Term Debt</t>
  </si>
  <si>
    <t>(+) Long-Term Debt</t>
  </si>
  <si>
    <t>(+) Current Operating Leases Liabilities</t>
  </si>
  <si>
    <t>(+) Non-Current Operating Leases Liabilities</t>
  </si>
  <si>
    <t>(+) Equity</t>
  </si>
  <si>
    <t>Invested Capital</t>
  </si>
  <si>
    <t>Ratios de rentabilidad</t>
  </si>
  <si>
    <t>ROE</t>
  </si>
  <si>
    <t>ROIC</t>
  </si>
  <si>
    <t>Tasa de reinversión</t>
  </si>
  <si>
    <t>Valoración</t>
  </si>
  <si>
    <t>Valoración (millones)</t>
  </si>
  <si>
    <t>Market cap</t>
  </si>
  <si>
    <r>
      <t xml:space="preserve">Net Debt (si es </t>
    </r>
    <r>
      <rPr>
        <b/>
        <sz val="12"/>
        <color theme="3"/>
        <rFont val="Ebrima"/>
      </rPr>
      <t>caja neta</t>
    </r>
    <r>
      <rPr>
        <sz val="12"/>
        <color theme="3"/>
        <rFont val="Ebrima"/>
      </rPr>
      <t xml:space="preserve"> va en </t>
    </r>
    <r>
      <rPr>
        <b/>
        <sz val="12"/>
        <color theme="3"/>
        <rFont val="Ebrima"/>
      </rPr>
      <t>NEGATIVO</t>
    </r>
    <r>
      <rPr>
        <sz val="12"/>
        <color theme="3"/>
        <rFont val="Ebrima"/>
      </rPr>
      <t>)</t>
    </r>
  </si>
  <si>
    <t>Deuda neta / EBITDA</t>
  </si>
  <si>
    <t>Enterprise Value (EV)</t>
  </si>
  <si>
    <t>EBIT</t>
  </si>
  <si>
    <t>Net income</t>
  </si>
  <si>
    <t>FCF</t>
  </si>
  <si>
    <t>Precio por acción actual</t>
  </si>
  <si>
    <t>Múltiplos de valoración</t>
  </si>
  <si>
    <t>LTM</t>
  </si>
  <si>
    <t>NTM</t>
  </si>
  <si>
    <t>Objetivo</t>
  </si>
  <si>
    <t>PER</t>
  </si>
  <si>
    <t>EV / FCF</t>
  </si>
  <si>
    <t>EV / EBITDA</t>
  </si>
  <si>
    <t>EV / EBIT</t>
  </si>
  <si>
    <t>Precio objetivo</t>
  </si>
  <si>
    <t>PER ex Cash</t>
  </si>
  <si>
    <t xml:space="preserve">EV / FCF </t>
  </si>
  <si>
    <t>Promedio</t>
  </si>
  <si>
    <t>Margen de seguridad</t>
  </si>
  <si>
    <t>Income Statement | TIKR.com</t>
  </si>
  <si>
    <t>12/30/23</t>
  </si>
  <si>
    <t>12/28/24</t>
  </si>
  <si>
    <t xml:space="preserve"> </t>
  </si>
  <si>
    <t>Revenue</t>
  </si>
  <si>
    <t>22,680.00</t>
  </si>
  <si>
    <t>25,785.00</t>
  </si>
  <si>
    <t xml:space="preserve">   % Change YoY</t>
  </si>
  <si>
    <t>(3.9%)</t>
  </si>
  <si>
    <t>13.7%</t>
  </si>
  <si>
    <t>Cost Of Goods Sold</t>
  </si>
  <si>
    <t>(12,220.00)</t>
  </si>
  <si>
    <t>(13,060.00)</t>
  </si>
  <si>
    <t>Gross Profit</t>
  </si>
  <si>
    <t>10,460.00</t>
  </si>
  <si>
    <t>12,725.00</t>
  </si>
  <si>
    <t>(1.3%)</t>
  </si>
  <si>
    <t>21.7%</t>
  </si>
  <si>
    <t xml:space="preserve">   % Gross Margins</t>
  </si>
  <si>
    <t>46.1%</t>
  </si>
  <si>
    <t>49.4%</t>
  </si>
  <si>
    <t>Selling General &amp; Admin Expenses</t>
  </si>
  <si>
    <t>(2,352.00)</t>
  </si>
  <si>
    <t>(2,783.00)</t>
  </si>
  <si>
    <t>Research And Development Expenses</t>
  </si>
  <si>
    <t>(5,872.00)</t>
  </si>
  <si>
    <t>(6,456.00)</t>
  </si>
  <si>
    <t>Other Expenses</t>
  </si>
  <si>
    <t>8.00</t>
  </si>
  <si>
    <t>(1,586.00)</t>
  </si>
  <si>
    <t>Operating Expenses</t>
  </si>
  <si>
    <t>(10,059.00)</t>
  </si>
  <si>
    <t>(10,825.00)</t>
  </si>
  <si>
    <t>Operating Income</t>
  </si>
  <si>
    <t>401.00</t>
  </si>
  <si>
    <t>1,900.00</t>
  </si>
  <si>
    <t>(68.3%)</t>
  </si>
  <si>
    <t>373.8%</t>
  </si>
  <si>
    <t xml:space="preserve">   % Operating Margins</t>
  </si>
  <si>
    <t>1.8%</t>
  </si>
  <si>
    <t>7.4%</t>
  </si>
  <si>
    <t>Interest Expense</t>
  </si>
  <si>
    <t>(106.00)</t>
  </si>
  <si>
    <t>(92.00)</t>
  </si>
  <si>
    <t>Total Other Income/Expenses Net</t>
  </si>
  <si>
    <t>(9.00)</t>
  </si>
  <si>
    <t>89.00</t>
  </si>
  <si>
    <t>Earnings Before Tax</t>
  </si>
  <si>
    <t>492.00</t>
  </si>
  <si>
    <t>1,989.00</t>
  </si>
  <si>
    <t>(58.4%)</t>
  </si>
  <si>
    <t>304.3%</t>
  </si>
  <si>
    <t xml:space="preserve">   % EBT Margins</t>
  </si>
  <si>
    <t>2.2%</t>
  </si>
  <si>
    <t>7.7%</t>
  </si>
  <si>
    <t>Income Tax Expense</t>
  </si>
  <si>
    <t>346.00</t>
  </si>
  <si>
    <t>(381.00)</t>
  </si>
  <si>
    <t xml:space="preserve">   Effective Tax Rate %</t>
  </si>
  <si>
    <t>(70.3%)</t>
  </si>
  <si>
    <t>19.2%</t>
  </si>
  <si>
    <t>854.00</t>
  </si>
  <si>
    <t>1,641.00</t>
  </si>
  <si>
    <t>(35.3%)</t>
  </si>
  <si>
    <t>92.2%</t>
  </si>
  <si>
    <t xml:space="preserve">   % Net Income Margins</t>
  </si>
  <si>
    <t>3.8%</t>
  </si>
  <si>
    <t>6.4%</t>
  </si>
  <si>
    <t>Diluted Weighted Average Shares Outstanding</t>
  </si>
  <si>
    <t>1,625.00</t>
  </si>
  <si>
    <t>1,637.00</t>
  </si>
  <si>
    <t>3.4%</t>
  </si>
  <si>
    <t>0.7%</t>
  </si>
  <si>
    <t>EPS Diluted</t>
  </si>
  <si>
    <t>0.53</t>
  </si>
  <si>
    <t>1.00</t>
  </si>
  <si>
    <t>(36.9%)</t>
  </si>
  <si>
    <t>88.7%</t>
  </si>
  <si>
    <t>Supplementary Data:</t>
  </si>
  <si>
    <t>Basic EPS</t>
  </si>
  <si>
    <t>(37.6%)</t>
  </si>
  <si>
    <t>90.6%</t>
  </si>
  <si>
    <t>Basic Weighted Average Shares Out.</t>
  </si>
  <si>
    <t>1,614.00</t>
  </si>
  <si>
    <t>1,620.00</t>
  </si>
  <si>
    <t>0.4%</t>
  </si>
  <si>
    <t>4,149.00</t>
  </si>
  <si>
    <t>23.0%</t>
  </si>
  <si>
    <t>(54.2%)</t>
  </si>
  <si>
    <t xml:space="preserve">   % EBITDA Margins</t>
  </si>
  <si>
    <t>18.3%</t>
  </si>
  <si>
    <t>Depreciation and Amortization</t>
  </si>
  <si>
    <t>3,551.00</t>
  </si>
  <si>
    <t>General and Administrative Expenses</t>
  </si>
  <si>
    <t>Selling And Marketing Expenses</t>
  </si>
  <si>
    <t>Balance Sheet | TIKR.com</t>
  </si>
  <si>
    <t>Cash And Cash Equivalents</t>
  </si>
  <si>
    <t>3,933.00</t>
  </si>
  <si>
    <t>3,787.00</t>
  </si>
  <si>
    <t>Short Term Investments</t>
  </si>
  <si>
    <t>1,840.00</t>
  </si>
  <si>
    <t>1,345.00</t>
  </si>
  <si>
    <t>Total Cash And Short Term Investments</t>
  </si>
  <si>
    <t>5,773.00</t>
  </si>
  <si>
    <t>5,132.00</t>
  </si>
  <si>
    <t>Net Receivables</t>
  </si>
  <si>
    <t>5,385.00</t>
  </si>
  <si>
    <t>6,192.00</t>
  </si>
  <si>
    <t>Inventory</t>
  </si>
  <si>
    <t>4,351.00</t>
  </si>
  <si>
    <t>5,734.00</t>
  </si>
  <si>
    <t>Other Current Assets</t>
  </si>
  <si>
    <t>1,259.00</t>
  </si>
  <si>
    <t>1,991.00</t>
  </si>
  <si>
    <t>Total Current Assets</t>
  </si>
  <si>
    <t>16,768.00</t>
  </si>
  <si>
    <t>19,049.00</t>
  </si>
  <si>
    <t>Property Plant Equipment Net</t>
  </si>
  <si>
    <t>2,222.00</t>
  </si>
  <si>
    <t>2,425.00</t>
  </si>
  <si>
    <t>Goodwill</t>
  </si>
  <si>
    <t>24,262.00</t>
  </si>
  <si>
    <t>24,839.00</t>
  </si>
  <si>
    <t>Intangible Assets</t>
  </si>
  <si>
    <t>21,363.00</t>
  </si>
  <si>
    <t>18,930.00</t>
  </si>
  <si>
    <t>Long Term Investments</t>
  </si>
  <si>
    <t>99.00</t>
  </si>
  <si>
    <t>Tax Assets</t>
  </si>
  <si>
    <t>366.00</t>
  </si>
  <si>
    <t>688.00</t>
  </si>
  <si>
    <t>Other Non Current Assets</t>
  </si>
  <si>
    <t>2,805.00</t>
  </si>
  <si>
    <t>3,295.00</t>
  </si>
  <si>
    <t>Total Non Current Assets</t>
  </si>
  <si>
    <t>51,117.00</t>
  </si>
  <si>
    <t>50,177.00</t>
  </si>
  <si>
    <t>Total Assets</t>
  </si>
  <si>
    <t>67,885.00</t>
  </si>
  <si>
    <t>69,226.00</t>
  </si>
  <si>
    <t>Short Term Debt</t>
  </si>
  <si>
    <t>751.00</t>
  </si>
  <si>
    <t>Tax Payables</t>
  </si>
  <si>
    <t>Deferred Revenue</t>
  </si>
  <si>
    <t>544.00</t>
  </si>
  <si>
    <t>Other Current Liabilities</t>
  </si>
  <si>
    <t>3,339.00</t>
  </si>
  <si>
    <t>5,291.00</t>
  </si>
  <si>
    <t>Total Current Liabilities</t>
  </si>
  <si>
    <t>6,689.00</t>
  </si>
  <si>
    <t>7,281.00</t>
  </si>
  <si>
    <t>Long Term Debt</t>
  </si>
  <si>
    <t>2,252.00</t>
  </si>
  <si>
    <t>491.00</t>
  </si>
  <si>
    <t>Deferred Revenue Non Current</t>
  </si>
  <si>
    <t>Other Non Current Liabilities</t>
  </si>
  <si>
    <t>1,850.00</t>
  </si>
  <si>
    <t>3,537.00</t>
  </si>
  <si>
    <t>Total Non Current Liabilities</t>
  </si>
  <si>
    <t>5,304.00</t>
  </si>
  <si>
    <t>4,377.00</t>
  </si>
  <si>
    <t>Other Liabilities</t>
  </si>
  <si>
    <t>11,993.00</t>
  </si>
  <si>
    <t>11,658.00</t>
  </si>
  <si>
    <t>Total Liabilities</t>
  </si>
  <si>
    <t>Preferred Stock</t>
  </si>
  <si>
    <t>17.00</t>
  </si>
  <si>
    <t>Common Stock</t>
  </si>
  <si>
    <t>723.00</t>
  </si>
  <si>
    <t>2,364.00</t>
  </si>
  <si>
    <t>Retained Earnings</t>
  </si>
  <si>
    <t>(10.00)</t>
  </si>
  <si>
    <t>(69.00)</t>
  </si>
  <si>
    <t>Accumulated Other Comprehensive Income Loss</t>
  </si>
  <si>
    <t>55,162.00</t>
  </si>
  <si>
    <t>55,256.00</t>
  </si>
  <si>
    <t>Other Total Stockholders Equity</t>
  </si>
  <si>
    <t>55,892.00</t>
  </si>
  <si>
    <t>57,568.00</t>
  </si>
  <si>
    <t>Total Stockholders Equity</t>
  </si>
  <si>
    <t>Total Liabilities And Stockholders Equity</t>
  </si>
  <si>
    <t>3,003.00</t>
  </si>
  <si>
    <t>Total Debt</t>
  </si>
  <si>
    <t>(930.00)</t>
  </si>
  <si>
    <t>(3,296.00)</t>
  </si>
  <si>
    <t>Net Debt</t>
  </si>
  <si>
    <t>Cash Flow Statement | TIKR.com</t>
  </si>
  <si>
    <t>Depreciation And Amortization</t>
  </si>
  <si>
    <t>3,177.00</t>
  </si>
  <si>
    <t>Deferred Income Tax</t>
  </si>
  <si>
    <t>(1,019.00)</t>
  </si>
  <si>
    <t>(1,163.00)</t>
  </si>
  <si>
    <t>Stock Based Compensation</t>
  </si>
  <si>
    <t>1,384.00</t>
  </si>
  <si>
    <t>1,407.00</t>
  </si>
  <si>
    <t>Change In Net Working Capital</t>
  </si>
  <si>
    <t>(3,049.00)</t>
  </si>
  <si>
    <t>(2,098.00)</t>
  </si>
  <si>
    <t>Other Non Cash Items</t>
  </si>
  <si>
    <t>(54.00)</t>
  </si>
  <si>
    <t>77.00</t>
  </si>
  <si>
    <t>Cash from Operations</t>
  </si>
  <si>
    <t>1,667.00</t>
  </si>
  <si>
    <t>3,041.00</t>
  </si>
  <si>
    <t>Capital Expenditure</t>
  </si>
  <si>
    <t>(546.00)</t>
  </si>
  <si>
    <t>(636.00)</t>
  </si>
  <si>
    <t>Cash Acquisitions</t>
  </si>
  <si>
    <t>(131.00)</t>
  </si>
  <si>
    <t>(548.00)</t>
  </si>
  <si>
    <t>Purchases Of Investments</t>
  </si>
  <si>
    <t>(3,722.00)</t>
  </si>
  <si>
    <t>(1,834.00)</t>
  </si>
  <si>
    <t>Sales / Maturities Of Investments</t>
  </si>
  <si>
    <t>2,987.00</t>
  </si>
  <si>
    <t>2,032.00</t>
  </si>
  <si>
    <t>Other Investing Activites</t>
  </si>
  <si>
    <t>(11.00)</t>
  </si>
  <si>
    <t>(115.00)</t>
  </si>
  <si>
    <t>Cash from Investing</t>
  </si>
  <si>
    <t>(1,423.00)</t>
  </si>
  <si>
    <t>(1,101.00)</t>
  </si>
  <si>
    <t>Debt Repayment</t>
  </si>
  <si>
    <t>(750.00)</t>
  </si>
  <si>
    <t>Common Stock Issued</t>
  </si>
  <si>
    <t>268.00</t>
  </si>
  <si>
    <t>Common Stock Repurchased</t>
  </si>
  <si>
    <t>(1,412.00)</t>
  </si>
  <si>
    <t>(1,590.00)</t>
  </si>
  <si>
    <t>Dividends Paid</t>
  </si>
  <si>
    <t>Other Financing Activites</t>
  </si>
  <si>
    <t>(2.00)</t>
  </si>
  <si>
    <t>278.00</t>
  </si>
  <si>
    <t>Cash from Financing</t>
  </si>
  <si>
    <t>(1,146.00)</t>
  </si>
  <si>
    <t>(2,062.00)</t>
  </si>
  <si>
    <t>Effect Of Forex Changes On Cash</t>
  </si>
  <si>
    <t>Net Change In Cash</t>
  </si>
  <si>
    <t>(902.00)</t>
  </si>
  <si>
    <t>(122.00)</t>
  </si>
  <si>
    <t>Free Cash Flow</t>
  </si>
  <si>
    <t>1,121.00</t>
  </si>
  <si>
    <t>2,405.00</t>
  </si>
  <si>
    <t>(64.0%)</t>
  </si>
  <si>
    <t>114.5%</t>
  </si>
  <si>
    <t xml:space="preserve">   % Free Cash Flow Margins</t>
  </si>
  <si>
    <t>4.9%</t>
  </si>
  <si>
    <t>9.3%</t>
  </si>
  <si>
    <t>Cash At Beginning Of Period</t>
  </si>
  <si>
    <t>4,835.00</t>
  </si>
  <si>
    <t>Cash At End Of Period</t>
  </si>
  <si>
    <t>3,811.00</t>
  </si>
  <si>
    <t>Cálculos CF</t>
  </si>
  <si>
    <t>Capital Expenditure*</t>
  </si>
  <si>
    <t>Sales / Maturities Of Investments*</t>
  </si>
  <si>
    <t>CapEx Neto</t>
  </si>
  <si>
    <t>Depreciation And Amortization*</t>
  </si>
  <si>
    <t>CapEx Mantenimiento</t>
  </si>
  <si>
    <t>Reinversión</t>
  </si>
  <si>
    <t>Adquisiciones netas</t>
  </si>
  <si>
    <t>Inversión en crecimiento</t>
  </si>
  <si>
    <t>Precio actual</t>
  </si>
  <si>
    <t>Deuda Neta</t>
  </si>
  <si>
    <t>% Corto plazo</t>
  </si>
  <si>
    <t>% Largo plazo</t>
  </si>
  <si>
    <t>Caja histórica acumulada</t>
  </si>
  <si>
    <t>Marketable securities acumulados</t>
  </si>
  <si>
    <t>Deuda histórica acumulada</t>
  </si>
  <si>
    <t>Deuda neta histórica acumulada</t>
  </si>
  <si>
    <t>Interest income acumulado</t>
  </si>
  <si>
    <t>Interest expense acumulado</t>
  </si>
  <si>
    <t>% Interest income promedio</t>
  </si>
  <si>
    <t>% Interest expense promedio</t>
  </si>
  <si>
    <t>Asignación de capital</t>
  </si>
  <si>
    <t>Acumulado</t>
  </si>
  <si>
    <t>CapEx Expansión (crecimiento orgánico)</t>
  </si>
  <si>
    <t>Adquisiciones (crecimiento inorgánico)</t>
  </si>
  <si>
    <t>Crecimiento</t>
  </si>
  <si>
    <t>Ventas</t>
  </si>
  <si>
    <t>FCF per share</t>
  </si>
  <si>
    <t>Márgenes</t>
  </si>
  <si>
    <t>FCF vs ROIC</t>
  </si>
  <si>
    <t>Costes de ventas y operativos</t>
  </si>
  <si>
    <t>CapEx Mant.</t>
  </si>
  <si>
    <t>Intereses</t>
  </si>
  <si>
    <t>Impuestos y otros</t>
  </si>
  <si>
    <t>Cambios de WC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</si>
</sst>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
    <numFmt numFmtId="166" formatCode="#,##0;[Red]\(#,##0\)"/>
    <numFmt numFmtId="167" formatCode="#,##0.00;[Red]\(#,##0.00\)"/>
    <numFmt numFmtId="168" formatCode="0.0%"/>
    <numFmt numFmtId="169" formatCode="#,##0.0;\(#,##0.0\)"/>
    <numFmt numFmtId="170" formatCode="#,##0;\(#,##0\)"/>
    <numFmt numFmtId="171" formatCode="0.00_);\(0.00\)"/>
  </numFmts>
  <fonts count="22">
    <font>
      <sz val="11"/>
      <color theme="1"/>
      <name val="Calibri"/>
      <family val="2"/>
      <scheme val="minor"/>
    </font>
    <font>
      <sz val="11"/>
      <color theme="1"/>
      <name val="Calibri"/>
      <family val="2"/>
      <scheme val="minor"/>
    </font>
    <font>
      <b/>
      <sz val="18"/>
      <color rgb="FF000000"/>
      <name val="Calibri"/>
      <family val="2"/>
    </font>
    <font>
      <sz val="9"/>
      <color rgb="FF000000"/>
      <name val="Calibri"/>
      <family val="2"/>
    </font>
    <font>
      <sz val="9"/>
      <color indexed="81"/>
      <name val="Tahoma"/>
      <family val="2"/>
    </font>
    <font>
      <b/>
      <sz val="9"/>
      <color indexed="81"/>
      <name val="Tahoma"/>
      <family val="2"/>
    </font>
    <font>
      <sz val="9"/>
      <color rgb="FF000000"/>
      <name val="Tahoma"/>
      <family val="2"/>
    </font>
    <font>
      <sz val="12"/>
      <color theme="1"/>
      <name val="Ebrima"/>
    </font>
    <font>
      <b/>
      <sz val="12"/>
      <color theme="0"/>
      <name val="Ebrima"/>
    </font>
    <font>
      <b/>
      <sz val="12"/>
      <color theme="3"/>
      <name val="Ebrima"/>
    </font>
    <font>
      <sz val="12"/>
      <color theme="3"/>
      <name val="Ebrima"/>
    </font>
    <font>
      <sz val="40"/>
      <color theme="4"/>
      <name val="Ebrima"/>
    </font>
    <font>
      <b/>
      <sz val="12"/>
      <color theme="1"/>
      <name val="Ebrima"/>
    </font>
    <font>
      <b/>
      <sz val="12"/>
      <color theme="9" tint="-0.249977111117893"/>
      <name val="Ebrima"/>
    </font>
    <font>
      <sz val="12"/>
      <color theme="4" tint="-0.249977111117893"/>
      <name val="Ebrima"/>
    </font>
    <font>
      <b/>
      <sz val="9"/>
      <color rgb="FF000000"/>
      <name val="Tahoma"/>
      <family val="2"/>
    </font>
    <font>
      <i/>
      <sz val="12"/>
      <color theme="3"/>
      <name val="Ebrima"/>
    </font>
    <font>
      <b/>
      <i/>
      <sz val="12"/>
      <color theme="3"/>
      <name val="Ebrima"/>
    </font>
    <font>
      <b/>
      <u/>
      <sz val="12"/>
      <color theme="9" tint="-0.249977111117893"/>
      <name val="Ebrima"/>
    </font>
    <font>
      <b/>
      <sz val="11"/>
      <color theme="1"/>
      <name val="Calibri"/>
      <family val="2"/>
      <scheme val="minor"/>
    </font>
    <font>
      <sz val="14"/>
      <color rgb="FF000000"/>
      <name val="Calibri"/>
      <family val="2"/>
    </font>
    <font>
      <sz val="12"/>
      <color rgb="FFFF0000"/>
      <name val="Ebrima"/>
    </font>
  </fonts>
  <fills count="10">
    <fill>
      <patternFill patternType="none"/>
    </fill>
    <fill>
      <patternFill patternType="gray125"/>
    </fill>
    <fill>
      <patternFill patternType="solid">
        <fgColor theme="0"/>
        <bgColor indexed="64"/>
      </patternFill>
    </fill>
    <fill>
      <patternFill patternType="solid">
        <fgColor theme="4" tint="0.79998168889431442"/>
        <bgColor theme="4" tint="0.79998168889431442"/>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0"/>
        <bgColor theme="4" tint="0.79998168889431442"/>
      </patternFill>
    </fill>
    <fill>
      <patternFill patternType="solid">
        <fgColor theme="0" tint="-4.9989318521683403E-2"/>
        <bgColor indexed="64"/>
      </patternFill>
    </fill>
    <fill>
      <patternFill patternType="solid">
        <fgColor theme="3" tint="0.79998168889431442"/>
        <bgColor indexed="64"/>
      </patternFill>
    </fill>
  </fills>
  <borders count="38">
    <border>
      <left/>
      <right/>
      <top/>
      <bottom/>
      <diagonal/>
    </border>
    <border>
      <left/>
      <right style="thin">
        <color theme="3" tint="0.39997558519241921"/>
      </right>
      <top/>
      <bottom/>
      <diagonal/>
    </border>
    <border>
      <left style="thin">
        <color theme="3" tint="0.39997558519241921"/>
      </left>
      <right/>
      <top/>
      <bottom/>
      <diagonal/>
    </border>
    <border>
      <left/>
      <right/>
      <top/>
      <bottom style="thin">
        <color theme="4"/>
      </bottom>
      <diagonal/>
    </border>
    <border>
      <left style="thin">
        <color theme="4"/>
      </left>
      <right/>
      <top/>
      <bottom/>
      <diagonal/>
    </border>
    <border>
      <left style="thin">
        <color theme="4"/>
      </left>
      <right/>
      <top/>
      <bottom style="thin">
        <color theme="4"/>
      </bottom>
      <diagonal/>
    </border>
    <border>
      <left style="thin">
        <color theme="3"/>
      </left>
      <right/>
      <top/>
      <bottom/>
      <diagonal/>
    </border>
    <border>
      <left/>
      <right/>
      <top/>
      <bottom style="thin">
        <color theme="3"/>
      </bottom>
      <diagonal/>
    </border>
    <border>
      <left/>
      <right style="thin">
        <color theme="4"/>
      </right>
      <top/>
      <bottom/>
      <diagonal/>
    </border>
    <border>
      <left style="thin">
        <color theme="3"/>
      </left>
      <right style="thin">
        <color theme="3"/>
      </right>
      <top style="thin">
        <color theme="3"/>
      </top>
      <bottom style="thin">
        <color theme="3"/>
      </bottom>
      <diagonal/>
    </border>
    <border>
      <left style="thin">
        <color theme="3"/>
      </left>
      <right/>
      <top style="thin">
        <color theme="3"/>
      </top>
      <bottom/>
      <diagonal/>
    </border>
    <border>
      <left/>
      <right/>
      <top style="thin">
        <color theme="3"/>
      </top>
      <bottom/>
      <diagonal/>
    </border>
    <border>
      <left style="thin">
        <color theme="3"/>
      </left>
      <right style="thin">
        <color theme="3"/>
      </right>
      <top style="thin">
        <color theme="3"/>
      </top>
      <bottom/>
      <diagonal/>
    </border>
    <border>
      <left style="thin">
        <color theme="3"/>
      </left>
      <right style="thin">
        <color theme="3"/>
      </right>
      <top/>
      <bottom/>
      <diagonal/>
    </border>
    <border>
      <left style="thin">
        <color theme="3"/>
      </left>
      <right style="thin">
        <color theme="3"/>
      </right>
      <top/>
      <bottom style="thin">
        <color theme="3"/>
      </bottom>
      <diagonal/>
    </border>
    <border>
      <left/>
      <right style="thin">
        <color theme="3" tint="0.39997558519241921"/>
      </right>
      <top style="thin">
        <color theme="3"/>
      </top>
      <bottom/>
      <diagonal/>
    </border>
    <border>
      <left/>
      <right/>
      <top style="thin">
        <color theme="3"/>
      </top>
      <bottom style="thin">
        <color theme="3"/>
      </bottom>
      <diagonal/>
    </border>
    <border>
      <left/>
      <right style="thin">
        <color theme="3" tint="0.39997558519241921"/>
      </right>
      <top/>
      <bottom style="thin">
        <color theme="4"/>
      </bottom>
      <diagonal/>
    </border>
    <border>
      <left/>
      <right/>
      <top/>
      <bottom style="thin">
        <color indexed="64"/>
      </bottom>
      <diagonal/>
    </border>
    <border>
      <left style="thin">
        <color theme="3"/>
      </left>
      <right/>
      <top/>
      <bottom style="thin">
        <color theme="4"/>
      </bottom>
      <diagonal/>
    </border>
    <border>
      <left/>
      <right style="thin">
        <color theme="4"/>
      </right>
      <top/>
      <bottom style="thin">
        <color theme="4"/>
      </bottom>
      <diagonal/>
    </border>
    <border>
      <left style="thin">
        <color theme="4"/>
      </left>
      <right style="thin">
        <color theme="4"/>
      </right>
      <top/>
      <bottom/>
      <diagonal/>
    </border>
    <border>
      <left style="thin">
        <color theme="4"/>
      </left>
      <right style="thin">
        <color theme="4"/>
      </right>
      <top/>
      <bottom style="thin">
        <color theme="4"/>
      </bottom>
      <diagonal/>
    </border>
    <border>
      <left style="thin">
        <color theme="4"/>
      </left>
      <right style="thin">
        <color theme="3"/>
      </right>
      <top style="thin">
        <color theme="4"/>
      </top>
      <bottom style="thin">
        <color theme="4"/>
      </bottom>
      <diagonal/>
    </border>
    <border>
      <left style="thin">
        <color theme="3"/>
      </left>
      <right style="thin">
        <color theme="3"/>
      </right>
      <top style="thin">
        <color theme="4"/>
      </top>
      <bottom style="thin">
        <color theme="4"/>
      </bottom>
      <diagonal/>
    </border>
    <border>
      <left style="thin">
        <color theme="3"/>
      </left>
      <right/>
      <top style="thin">
        <color theme="4"/>
      </top>
      <bottom style="thin">
        <color theme="4"/>
      </bottom>
      <diagonal/>
    </border>
    <border>
      <left style="medium">
        <color theme="4"/>
      </left>
      <right/>
      <top style="medium">
        <color theme="4"/>
      </top>
      <bottom style="medium">
        <color theme="4"/>
      </bottom>
      <diagonal/>
    </border>
    <border>
      <left/>
      <right/>
      <top style="medium">
        <color theme="4"/>
      </top>
      <bottom style="medium">
        <color theme="4"/>
      </bottom>
      <diagonal/>
    </border>
    <border>
      <left style="thin">
        <color theme="4"/>
      </left>
      <right style="medium">
        <color theme="4"/>
      </right>
      <top style="medium">
        <color theme="4"/>
      </top>
      <bottom style="medium">
        <color theme="4"/>
      </bottom>
      <diagonal/>
    </border>
    <border>
      <left style="thick">
        <color theme="9" tint="-0.24994659260841701"/>
      </left>
      <right style="thick">
        <color theme="9" tint="-0.24994659260841701"/>
      </right>
      <top style="thick">
        <color theme="9" tint="-0.24994659260841701"/>
      </top>
      <bottom style="thick">
        <color theme="9" tint="-0.24994659260841701"/>
      </bottom>
      <diagonal/>
    </border>
    <border>
      <left style="thick">
        <color theme="9" tint="-0.24994659260841701"/>
      </left>
      <right style="thick">
        <color theme="9" tint="-0.24994659260841701"/>
      </right>
      <top style="thick">
        <color theme="9" tint="-0.24994659260841701"/>
      </top>
      <bottom style="thin">
        <color theme="3"/>
      </bottom>
      <diagonal/>
    </border>
    <border>
      <left style="thick">
        <color theme="9" tint="-0.24994659260841701"/>
      </left>
      <right style="thick">
        <color theme="9" tint="-0.24994659260841701"/>
      </right>
      <top/>
      <bottom/>
      <diagonal/>
    </border>
    <border>
      <left style="thick">
        <color theme="9" tint="-0.24994659260841701"/>
      </left>
      <right style="thick">
        <color theme="9" tint="-0.24994659260841701"/>
      </right>
      <top/>
      <bottom style="thick">
        <color theme="9" tint="-0.24994659260841701"/>
      </bottom>
      <diagonal/>
    </border>
    <border>
      <left style="thick">
        <color theme="9" tint="-0.24994659260841701"/>
      </left>
      <right/>
      <top style="thick">
        <color theme="9" tint="-0.24994659260841701"/>
      </top>
      <bottom style="thick">
        <color theme="9" tint="-0.24994659260841701"/>
      </bottom>
      <diagonal/>
    </border>
    <border>
      <left/>
      <right/>
      <top style="thick">
        <color theme="9" tint="-0.24994659260841701"/>
      </top>
      <bottom style="thick">
        <color theme="9" tint="-0.24994659260841701"/>
      </bottom>
      <diagonal/>
    </border>
    <border>
      <left/>
      <right style="thick">
        <color theme="9" tint="-0.24994659260841701"/>
      </right>
      <top style="thick">
        <color theme="9" tint="-0.24994659260841701"/>
      </top>
      <bottom style="thick">
        <color theme="9" tint="-0.24994659260841701"/>
      </bottom>
      <diagonal/>
    </border>
    <border>
      <left style="thick">
        <color theme="9" tint="-0.24994659260841701"/>
      </left>
      <right style="thick">
        <color theme="9" tint="-0.24994659260841701"/>
      </right>
      <top style="thick">
        <color theme="9" tint="-0.24994659260841701"/>
      </top>
      <bottom/>
      <diagonal/>
    </border>
    <border>
      <left style="thick">
        <color theme="9" tint="-0.24994659260841701"/>
      </left>
      <right style="thick">
        <color theme="9" tint="-0.24994659260841701"/>
      </right>
      <top style="medium">
        <color theme="4"/>
      </top>
      <bottom style="medium">
        <color theme="4"/>
      </bottom>
      <diagonal/>
    </border>
  </borders>
  <cellStyleXfs count="2">
    <xf numFmtId="0" fontId="0" fillId="0" borderId="0"/>
    <xf numFmtId="9" fontId="1" fillId="0" borderId="0" applyFont="0" applyFill="0" applyBorder="0" applyAlignment="0" applyProtection="0"/>
  </cellStyleXfs>
  <cellXfs count="267">
    <xf numFmtId="0" fontId="0" fillId="0" borderId="0" xfId="0"/>
    <xf numFmtId="0" fontId="0" fillId="2" borderId="0" xfId="0" applyFill="1" applyAlignment="1">
      <alignment vertical="center"/>
    </xf>
    <xf numFmtId="0" fontId="0" fillId="0" borderId="0" xfId="0" applyAlignment="1">
      <alignment vertical="center"/>
    </xf>
    <xf numFmtId="0" fontId="0" fillId="0" borderId="0" xfId="0" applyAlignment="1">
      <alignment horizontal="center"/>
    </xf>
    <xf numFmtId="0" fontId="7" fillId="0" borderId="0" xfId="0" applyFont="1"/>
    <xf numFmtId="0" fontId="7" fillId="0" borderId="0" xfId="0" applyFont="1" applyAlignment="1">
      <alignment horizontal="center"/>
    </xf>
    <xf numFmtId="0" fontId="7" fillId="0" borderId="0" xfId="0" applyFont="1" applyAlignment="1">
      <alignment vertical="center"/>
    </xf>
    <xf numFmtId="0" fontId="7" fillId="0" borderId="0" xfId="0" applyFont="1" applyAlignment="1">
      <alignment horizontal="center" vertical="center"/>
    </xf>
    <xf numFmtId="0" fontId="8" fillId="5" borderId="0" xfId="0" applyFont="1" applyFill="1" applyBorder="1" applyAlignment="1">
      <alignment horizontal="center" vertical="center"/>
    </xf>
    <xf numFmtId="3" fontId="9" fillId="2" borderId="0" xfId="0" applyNumberFormat="1" applyFont="1" applyFill="1" applyBorder="1" applyAlignment="1">
      <alignment horizontal="center" vertical="center"/>
    </xf>
    <xf numFmtId="9" fontId="10" fillId="2" borderId="1" xfId="1" applyFont="1" applyFill="1" applyBorder="1" applyAlignment="1">
      <alignment horizontal="center" vertical="center"/>
    </xf>
    <xf numFmtId="9" fontId="10" fillId="2" borderId="0" xfId="1" applyFont="1" applyFill="1" applyBorder="1" applyAlignment="1">
      <alignment horizontal="center" vertical="center"/>
    </xf>
    <xf numFmtId="3" fontId="10" fillId="2" borderId="0" xfId="0" applyNumberFormat="1" applyFont="1" applyFill="1" applyBorder="1" applyAlignment="1">
      <alignment horizontal="center" vertical="center"/>
    </xf>
    <xf numFmtId="3" fontId="10" fillId="2" borderId="0" xfId="0" applyNumberFormat="1" applyFont="1" applyFill="1" applyAlignment="1">
      <alignment horizontal="center" vertical="center"/>
    </xf>
    <xf numFmtId="0" fontId="10" fillId="0" borderId="0" xfId="0" applyFont="1" applyAlignment="1">
      <alignment horizontal="center" vertical="center"/>
    </xf>
    <xf numFmtId="3" fontId="10" fillId="0" borderId="0" xfId="0" applyNumberFormat="1" applyFont="1" applyAlignment="1">
      <alignment horizontal="center" vertical="center"/>
    </xf>
    <xf numFmtId="4" fontId="10" fillId="0" borderId="0" xfId="0" applyNumberFormat="1" applyFont="1" applyAlignment="1">
      <alignment horizontal="center" vertical="center"/>
    </xf>
    <xf numFmtId="3" fontId="10" fillId="0" borderId="0" xfId="0" applyNumberFormat="1" applyFont="1" applyFill="1" applyAlignment="1">
      <alignment horizontal="center" vertical="center"/>
    </xf>
    <xf numFmtId="0" fontId="8" fillId="2" borderId="0" xfId="0" applyFont="1" applyFill="1" applyBorder="1" applyAlignment="1">
      <alignment horizontal="center" vertical="center"/>
    </xf>
    <xf numFmtId="0" fontId="11" fillId="0" borderId="0" xfId="0" applyFont="1" applyAlignment="1">
      <alignment horizontal="left" vertical="center"/>
    </xf>
    <xf numFmtId="0" fontId="10" fillId="0" borderId="0" xfId="0" applyFont="1" applyAlignment="1">
      <alignment horizontal="left" vertical="center" indent="1"/>
    </xf>
    <xf numFmtId="0" fontId="0" fillId="0" borderId="0" xfId="0" applyAlignment="1">
      <alignment horizontal="left" indent="1"/>
    </xf>
    <xf numFmtId="0" fontId="7" fillId="0" borderId="0" xfId="0" applyFont="1" applyAlignment="1">
      <alignment horizontal="left" indent="1"/>
    </xf>
    <xf numFmtId="0" fontId="7" fillId="2" borderId="0" xfId="0" applyFont="1" applyFill="1" applyAlignment="1">
      <alignment horizontal="center"/>
    </xf>
    <xf numFmtId="9" fontId="10" fillId="0" borderId="0" xfId="1" applyFont="1" applyBorder="1" applyAlignment="1">
      <alignment horizontal="center" vertical="center"/>
    </xf>
    <xf numFmtId="0" fontId="7" fillId="2" borderId="0" xfId="0" applyFont="1" applyFill="1" applyBorder="1" applyAlignment="1">
      <alignment horizontal="center"/>
    </xf>
    <xf numFmtId="0" fontId="0" fillId="0" borderId="0" xfId="0" applyBorder="1"/>
    <xf numFmtId="0" fontId="0" fillId="0" borderId="0" xfId="0" applyBorder="1" applyAlignment="1">
      <alignment horizontal="center"/>
    </xf>
    <xf numFmtId="0" fontId="10" fillId="2" borderId="3" xfId="0" applyFont="1" applyFill="1" applyBorder="1" applyAlignment="1">
      <alignment horizontal="left" vertical="center" indent="1"/>
    </xf>
    <xf numFmtId="0" fontId="7" fillId="0" borderId="0" xfId="0" applyFont="1" applyAlignment="1">
      <alignment horizontal="left" vertical="center"/>
    </xf>
    <xf numFmtId="0" fontId="7" fillId="0" borderId="0" xfId="0" applyFont="1" applyAlignment="1">
      <alignment horizontal="left" vertical="center" indent="1"/>
    </xf>
    <xf numFmtId="3" fontId="10" fillId="2" borderId="0" xfId="1" applyNumberFormat="1" applyFont="1" applyFill="1" applyBorder="1" applyAlignment="1">
      <alignment horizontal="center" vertical="center"/>
    </xf>
    <xf numFmtId="4" fontId="13" fillId="0" borderId="0" xfId="1" applyNumberFormat="1" applyFont="1" applyFill="1" applyBorder="1" applyAlignment="1">
      <alignment horizontal="center" vertical="center"/>
    </xf>
    <xf numFmtId="0" fontId="7" fillId="2" borderId="0" xfId="0" applyFont="1" applyFill="1" applyAlignment="1">
      <alignment vertical="center"/>
    </xf>
    <xf numFmtId="0" fontId="7" fillId="2" borderId="0" xfId="0" applyFont="1" applyFill="1" applyAlignment="1">
      <alignment horizontal="left" vertical="center" indent="1"/>
    </xf>
    <xf numFmtId="9" fontId="7" fillId="2" borderId="0" xfId="1" applyFont="1" applyFill="1" applyAlignment="1">
      <alignment horizontal="center" vertical="center"/>
    </xf>
    <xf numFmtId="9" fontId="7" fillId="2" borderId="0" xfId="1" applyFont="1" applyFill="1" applyBorder="1" applyAlignment="1">
      <alignment horizontal="center" vertical="center"/>
    </xf>
    <xf numFmtId="0" fontId="10" fillId="0" borderId="0" xfId="0" quotePrefix="1" applyFont="1" applyAlignment="1">
      <alignment horizontal="left" indent="1"/>
    </xf>
    <xf numFmtId="0" fontId="11" fillId="0" borderId="0" xfId="0" applyFont="1" applyBorder="1" applyAlignment="1">
      <alignment horizontal="left" vertical="center"/>
    </xf>
    <xf numFmtId="9" fontId="10" fillId="0" borderId="4" xfId="1" applyFont="1" applyFill="1" applyBorder="1" applyAlignment="1">
      <alignment horizontal="center" vertical="center"/>
    </xf>
    <xf numFmtId="0" fontId="8" fillId="4" borderId="0" xfId="0" applyFont="1" applyFill="1" applyBorder="1" applyAlignment="1">
      <alignment horizontal="center" vertical="center"/>
    </xf>
    <xf numFmtId="9" fontId="14" fillId="2" borderId="0" xfId="1" applyFont="1" applyFill="1" applyBorder="1" applyAlignment="1">
      <alignment horizontal="center" vertical="center"/>
    </xf>
    <xf numFmtId="9" fontId="14" fillId="7" borderId="0" xfId="1" applyFont="1" applyFill="1" applyBorder="1" applyAlignment="1">
      <alignment horizontal="center" vertical="center"/>
    </xf>
    <xf numFmtId="9" fontId="14" fillId="7" borderId="7" xfId="1" applyFont="1" applyFill="1" applyBorder="1" applyAlignment="1">
      <alignment horizontal="center" vertical="center"/>
    </xf>
    <xf numFmtId="0" fontId="8" fillId="4" borderId="10" xfId="0" applyFont="1" applyFill="1" applyBorder="1" applyAlignment="1">
      <alignment horizontal="left" vertical="center" indent="1"/>
    </xf>
    <xf numFmtId="0" fontId="8" fillId="4" borderId="11" xfId="0" applyFont="1" applyFill="1" applyBorder="1" applyAlignment="1">
      <alignment horizontal="center" vertical="center"/>
    </xf>
    <xf numFmtId="0" fontId="8" fillId="5" borderId="11" xfId="0" applyFont="1" applyFill="1" applyBorder="1" applyAlignment="1">
      <alignment horizontal="center" vertical="center"/>
    </xf>
    <xf numFmtId="0" fontId="10" fillId="0" borderId="6" xfId="0" applyFont="1" applyBorder="1" applyAlignment="1">
      <alignment horizontal="left" vertical="center" indent="1"/>
    </xf>
    <xf numFmtId="9" fontId="10" fillId="0" borderId="0" xfId="1" applyFont="1" applyFill="1" applyBorder="1" applyAlignment="1">
      <alignment horizontal="center" vertical="center"/>
    </xf>
    <xf numFmtId="0" fontId="8" fillId="4" borderId="15" xfId="0" applyFont="1" applyFill="1" applyBorder="1" applyAlignment="1">
      <alignment horizontal="center" vertical="center"/>
    </xf>
    <xf numFmtId="0" fontId="10" fillId="0" borderId="0" xfId="0" applyFont="1" applyBorder="1" applyAlignment="1">
      <alignment horizontal="center" vertical="center"/>
    </xf>
    <xf numFmtId="0" fontId="8" fillId="5" borderId="12" xfId="0" applyFont="1" applyFill="1" applyBorder="1" applyAlignment="1">
      <alignment horizontal="center" vertical="center" wrapText="1"/>
    </xf>
    <xf numFmtId="0" fontId="8" fillId="4" borderId="16" xfId="0" applyFont="1" applyFill="1" applyBorder="1" applyAlignment="1">
      <alignment horizontal="center" vertical="center" wrapText="1"/>
    </xf>
    <xf numFmtId="0" fontId="14" fillId="6" borderId="13" xfId="0" applyFont="1" applyFill="1" applyBorder="1" applyAlignment="1">
      <alignment vertical="center"/>
    </xf>
    <xf numFmtId="0" fontId="14" fillId="3" borderId="13" xfId="0" applyFont="1" applyFill="1" applyBorder="1" applyAlignment="1">
      <alignment vertical="center"/>
    </xf>
    <xf numFmtId="0" fontId="14" fillId="3" borderId="14" xfId="0" applyFont="1" applyFill="1" applyBorder="1" applyAlignment="1">
      <alignment vertical="center"/>
    </xf>
    <xf numFmtId="0" fontId="8" fillId="4" borderId="9" xfId="0" applyFont="1" applyFill="1" applyBorder="1" applyAlignment="1">
      <alignment horizontal="center" vertical="center" wrapText="1"/>
    </xf>
    <xf numFmtId="0" fontId="10" fillId="2" borderId="0" xfId="0" applyFont="1" applyFill="1" applyAlignment="1">
      <alignment horizontal="left" vertical="center" indent="1"/>
    </xf>
    <xf numFmtId="4" fontId="10" fillId="0" borderId="0" xfId="1" applyNumberFormat="1" applyFont="1" applyBorder="1" applyAlignment="1">
      <alignment horizontal="center" vertical="center"/>
    </xf>
    <xf numFmtId="0" fontId="8" fillId="0" borderId="0" xfId="0" applyFont="1" applyAlignment="1">
      <alignment horizontal="center" vertical="center" wrapText="1"/>
    </xf>
    <xf numFmtId="164" fontId="7" fillId="0" borderId="0" xfId="0" applyNumberFormat="1" applyFont="1" applyAlignment="1">
      <alignment horizontal="center" vertical="center"/>
    </xf>
    <xf numFmtId="164" fontId="12" fillId="0" borderId="0" xfId="0" applyNumberFormat="1" applyFont="1" applyAlignment="1">
      <alignment horizontal="center" vertical="center"/>
    </xf>
    <xf numFmtId="165" fontId="10" fillId="2" borderId="0" xfId="1" applyNumberFormat="1" applyFont="1" applyFill="1" applyBorder="1" applyAlignment="1">
      <alignment horizontal="center" vertical="center"/>
    </xf>
    <xf numFmtId="0" fontId="9" fillId="0" borderId="0" xfId="0" applyFont="1" applyAlignment="1">
      <alignment horizontal="left" vertical="center" indent="1"/>
    </xf>
    <xf numFmtId="14" fontId="0" fillId="0" borderId="0" xfId="0" applyNumberFormat="1" applyAlignment="1">
      <alignment horizontal="center"/>
    </xf>
    <xf numFmtId="4" fontId="0" fillId="0" borderId="0" xfId="0" applyNumberFormat="1" applyAlignment="1">
      <alignment horizontal="center"/>
    </xf>
    <xf numFmtId="0" fontId="19" fillId="0" borderId="0" xfId="0" applyFont="1"/>
    <xf numFmtId="14" fontId="19" fillId="0" borderId="0" xfId="0" applyNumberFormat="1" applyFont="1" applyAlignment="1">
      <alignment horizontal="center"/>
    </xf>
    <xf numFmtId="0" fontId="19" fillId="8" borderId="0" xfId="0" applyFont="1" applyFill="1" applyProtection="1"/>
    <xf numFmtId="0" fontId="0" fillId="0" borderId="0" xfId="0" applyProtection="1"/>
    <xf numFmtId="0" fontId="19" fillId="0" borderId="0" xfId="0" applyFont="1" applyProtection="1">
      <protection locked="0"/>
    </xf>
    <xf numFmtId="14" fontId="19" fillId="0" borderId="0" xfId="0" applyNumberFormat="1" applyFont="1" applyAlignment="1" applyProtection="1">
      <alignment horizontal="center"/>
      <protection locked="0"/>
    </xf>
    <xf numFmtId="0" fontId="0" fillId="0" borderId="0" xfId="0" applyProtection="1">
      <protection locked="0"/>
    </xf>
    <xf numFmtId="0" fontId="0" fillId="0" borderId="0" xfId="0" applyAlignment="1" applyProtection="1">
      <alignment horizontal="center"/>
      <protection locked="0"/>
    </xf>
    <xf numFmtId="4" fontId="0" fillId="0" borderId="0" xfId="0" applyNumberFormat="1" applyAlignment="1" applyProtection="1">
      <alignment horizontal="center"/>
      <protection locked="0"/>
    </xf>
    <xf numFmtId="0" fontId="19" fillId="8" borderId="0" xfId="0" applyFont="1" applyFill="1" applyAlignment="1" applyProtection="1">
      <alignment horizontal="center"/>
    </xf>
    <xf numFmtId="0" fontId="19" fillId="0" borderId="0" xfId="0" applyFont="1" applyProtection="1"/>
    <xf numFmtId="0" fontId="19" fillId="0" borderId="0" xfId="0" applyFont="1" applyFill="1" applyAlignment="1" applyProtection="1">
      <alignment horizontal="center"/>
    </xf>
    <xf numFmtId="166" fontId="9" fillId="2" borderId="0" xfId="0" applyNumberFormat="1" applyFont="1" applyFill="1" applyBorder="1" applyAlignment="1">
      <alignment horizontal="center" vertical="center"/>
    </xf>
    <xf numFmtId="166" fontId="9" fillId="2" borderId="1" xfId="0" applyNumberFormat="1" applyFont="1" applyFill="1" applyBorder="1" applyAlignment="1">
      <alignment horizontal="center" vertical="center"/>
    </xf>
    <xf numFmtId="166" fontId="10" fillId="2" borderId="0" xfId="0" applyNumberFormat="1" applyFont="1" applyFill="1" applyBorder="1" applyAlignment="1">
      <alignment horizontal="center" vertical="center"/>
    </xf>
    <xf numFmtId="166" fontId="10" fillId="2" borderId="1" xfId="0" applyNumberFormat="1" applyFont="1" applyFill="1" applyBorder="1" applyAlignment="1">
      <alignment horizontal="center" vertical="center"/>
    </xf>
    <xf numFmtId="167" fontId="10" fillId="2" borderId="0" xfId="0" applyNumberFormat="1" applyFont="1" applyFill="1" applyBorder="1" applyAlignment="1">
      <alignment horizontal="center" vertical="center"/>
    </xf>
    <xf numFmtId="167" fontId="10" fillId="2" borderId="1" xfId="0" applyNumberFormat="1" applyFont="1" applyFill="1" applyBorder="1" applyAlignment="1">
      <alignment horizontal="center" vertical="center"/>
    </xf>
    <xf numFmtId="166" fontId="10" fillId="0" borderId="0" xfId="0" applyNumberFormat="1" applyFont="1" applyBorder="1" applyAlignment="1">
      <alignment horizontal="center" vertical="center"/>
    </xf>
    <xf numFmtId="166" fontId="10" fillId="0" borderId="0" xfId="0" applyNumberFormat="1" applyFont="1" applyFill="1" applyBorder="1" applyAlignment="1">
      <alignment horizontal="center" vertical="center"/>
    </xf>
    <xf numFmtId="166" fontId="9" fillId="0" borderId="0" xfId="0" applyNumberFormat="1" applyFont="1" applyBorder="1" applyAlignment="1">
      <alignment horizontal="center" vertical="center"/>
    </xf>
    <xf numFmtId="166" fontId="10" fillId="2" borderId="0" xfId="1" applyNumberFormat="1" applyFont="1" applyFill="1" applyBorder="1" applyAlignment="1">
      <alignment horizontal="center" vertical="center"/>
    </xf>
    <xf numFmtId="167" fontId="10" fillId="2" borderId="0" xfId="1" applyNumberFormat="1" applyFont="1" applyFill="1" applyBorder="1" applyAlignment="1">
      <alignment horizontal="center" vertical="center"/>
    </xf>
    <xf numFmtId="167" fontId="10" fillId="2" borderId="8" xfId="1" applyNumberFormat="1" applyFont="1" applyFill="1" applyBorder="1" applyAlignment="1">
      <alignment horizontal="center" vertical="center"/>
    </xf>
    <xf numFmtId="167" fontId="10" fillId="2" borderId="4" xfId="1" applyNumberFormat="1" applyFont="1" applyFill="1" applyBorder="1" applyAlignment="1">
      <alignment horizontal="center" vertical="center"/>
    </xf>
    <xf numFmtId="166" fontId="10" fillId="0" borderId="0" xfId="0" applyNumberFormat="1" applyFont="1" applyAlignment="1">
      <alignment horizontal="center" vertical="center"/>
    </xf>
    <xf numFmtId="166" fontId="10" fillId="2" borderId="0" xfId="0" applyNumberFormat="1" applyFont="1" applyFill="1" applyAlignment="1">
      <alignment horizontal="center" vertical="center"/>
    </xf>
    <xf numFmtId="166" fontId="10" fillId="2" borderId="2" xfId="0" applyNumberFormat="1" applyFont="1" applyFill="1" applyBorder="1" applyAlignment="1">
      <alignment horizontal="center" vertical="center"/>
    </xf>
    <xf numFmtId="166" fontId="10" fillId="2" borderId="3" xfId="1" applyNumberFormat="1" applyFont="1" applyFill="1" applyBorder="1" applyAlignment="1">
      <alignment horizontal="center" vertical="center"/>
    </xf>
    <xf numFmtId="166" fontId="10" fillId="2" borderId="5" xfId="1" applyNumberFormat="1" applyFont="1" applyFill="1" applyBorder="1" applyAlignment="1">
      <alignment horizontal="center" vertical="center"/>
    </xf>
    <xf numFmtId="14" fontId="19" fillId="0" borderId="0" xfId="0" applyNumberFormat="1" applyFont="1"/>
    <xf numFmtId="4" fontId="0" fillId="0" borderId="0" xfId="0" applyNumberFormat="1"/>
    <xf numFmtId="14" fontId="0" fillId="0" borderId="0" xfId="0" applyNumberFormat="1"/>
    <xf numFmtId="0" fontId="8" fillId="5" borderId="0" xfId="0" applyFont="1" applyFill="1" applyBorder="1" applyAlignment="1">
      <alignment horizontal="center" vertical="center" wrapText="1"/>
    </xf>
    <xf numFmtId="164" fontId="10" fillId="0" borderId="0" xfId="1" applyNumberFormat="1" applyFont="1" applyBorder="1" applyAlignment="1">
      <alignment horizontal="center" vertical="center"/>
    </xf>
    <xf numFmtId="0" fontId="10" fillId="0" borderId="0" xfId="0" applyFont="1" applyBorder="1" applyAlignment="1">
      <alignment horizontal="left" vertical="center" indent="1"/>
    </xf>
    <xf numFmtId="0" fontId="10" fillId="2" borderId="0" xfId="0" applyFont="1" applyFill="1" applyBorder="1" applyAlignment="1">
      <alignment horizontal="left" vertical="center" indent="1"/>
    </xf>
    <xf numFmtId="9" fontId="10" fillId="2" borderId="0" xfId="1" applyNumberFormat="1" applyFont="1" applyFill="1" applyBorder="1" applyAlignment="1">
      <alignment horizontal="center" vertical="center"/>
    </xf>
    <xf numFmtId="9" fontId="9" fillId="2" borderId="0" xfId="1" applyNumberFormat="1" applyFont="1" applyFill="1" applyBorder="1" applyAlignment="1">
      <alignment horizontal="center" vertical="center"/>
    </xf>
    <xf numFmtId="0" fontId="7" fillId="0" borderId="0" xfId="0" applyFont="1" applyBorder="1" applyAlignment="1">
      <alignment vertical="center"/>
    </xf>
    <xf numFmtId="164" fontId="10" fillId="0" borderId="0" xfId="1" applyNumberFormat="1" applyFont="1" applyFill="1" applyBorder="1" applyAlignment="1">
      <alignment horizontal="center" vertical="center"/>
    </xf>
    <xf numFmtId="165" fontId="9" fillId="0" borderId="0" xfId="1" applyNumberFormat="1" applyFont="1" applyBorder="1" applyAlignment="1">
      <alignment horizontal="center" vertical="center"/>
    </xf>
    <xf numFmtId="0" fontId="8" fillId="4" borderId="0" xfId="0" applyFont="1" applyFill="1" applyBorder="1" applyAlignment="1">
      <alignment horizontal="left" vertical="center" indent="1"/>
    </xf>
    <xf numFmtId="0" fontId="10" fillId="6" borderId="6" xfId="0" applyFont="1" applyFill="1" applyBorder="1" applyAlignment="1">
      <alignment horizontal="left" vertical="center" indent="3"/>
    </xf>
    <xf numFmtId="3" fontId="9" fillId="6" borderId="4" xfId="0" applyNumberFormat="1" applyFont="1" applyFill="1" applyBorder="1" applyAlignment="1">
      <alignment horizontal="center" vertical="center"/>
    </xf>
    <xf numFmtId="9" fontId="10" fillId="2" borderId="4" xfId="1" applyFont="1" applyFill="1" applyBorder="1" applyAlignment="1">
      <alignment horizontal="center" vertical="center"/>
    </xf>
    <xf numFmtId="166" fontId="9" fillId="2" borderId="4" xfId="0" applyNumberFormat="1" applyFont="1" applyFill="1" applyBorder="1" applyAlignment="1">
      <alignment horizontal="center" vertical="center"/>
    </xf>
    <xf numFmtId="166" fontId="10" fillId="6" borderId="4" xfId="0" applyNumberFormat="1" applyFont="1" applyFill="1" applyBorder="1" applyAlignment="1">
      <alignment horizontal="center" vertical="center"/>
    </xf>
    <xf numFmtId="166" fontId="9" fillId="6" borderId="4" xfId="0" applyNumberFormat="1" applyFont="1" applyFill="1" applyBorder="1" applyAlignment="1">
      <alignment horizontal="center" vertical="center"/>
    </xf>
    <xf numFmtId="166" fontId="10" fillId="2" borderId="4" xfId="0" applyNumberFormat="1" applyFont="1" applyFill="1" applyBorder="1" applyAlignment="1">
      <alignment horizontal="center" vertical="center"/>
    </xf>
    <xf numFmtId="167" fontId="10" fillId="2" borderId="4" xfId="0" applyNumberFormat="1" applyFont="1" applyFill="1" applyBorder="1" applyAlignment="1">
      <alignment horizontal="center" vertical="center"/>
    </xf>
    <xf numFmtId="3" fontId="10" fillId="6" borderId="4" xfId="0" applyNumberFormat="1" applyFont="1" applyFill="1" applyBorder="1" applyAlignment="1">
      <alignment horizontal="center" vertical="center"/>
    </xf>
    <xf numFmtId="0" fontId="9" fillId="6" borderId="0" xfId="0" applyFont="1" applyFill="1" applyBorder="1" applyAlignment="1">
      <alignment horizontal="left" vertical="center" indent="1"/>
    </xf>
    <xf numFmtId="3" fontId="9" fillId="2" borderId="8" xfId="0" applyNumberFormat="1" applyFont="1" applyFill="1" applyBorder="1" applyAlignment="1">
      <alignment horizontal="center" vertical="center"/>
    </xf>
    <xf numFmtId="9" fontId="10" fillId="2" borderId="8" xfId="1" applyFont="1" applyFill="1" applyBorder="1" applyAlignment="1">
      <alignment horizontal="center" vertical="center"/>
    </xf>
    <xf numFmtId="0" fontId="9" fillId="2" borderId="0" xfId="0" applyFont="1" applyFill="1" applyBorder="1" applyAlignment="1">
      <alignment horizontal="left" vertical="center" indent="1"/>
    </xf>
    <xf numFmtId="166" fontId="9" fillId="2" borderId="8" xfId="0" applyNumberFormat="1" applyFont="1" applyFill="1" applyBorder="1" applyAlignment="1">
      <alignment horizontal="center" vertical="center"/>
    </xf>
    <xf numFmtId="0" fontId="10" fillId="6" borderId="0" xfId="0" applyFont="1" applyFill="1" applyBorder="1" applyAlignment="1">
      <alignment horizontal="left" vertical="center" indent="1"/>
    </xf>
    <xf numFmtId="166" fontId="10" fillId="2" borderId="8" xfId="0" applyNumberFormat="1" applyFont="1" applyFill="1" applyBorder="1" applyAlignment="1">
      <alignment horizontal="center" vertical="center"/>
    </xf>
    <xf numFmtId="167" fontId="10" fillId="2" borderId="8" xfId="0" applyNumberFormat="1" applyFont="1" applyFill="1" applyBorder="1" applyAlignment="1">
      <alignment horizontal="center" vertical="center"/>
    </xf>
    <xf numFmtId="3" fontId="10" fillId="2" borderId="8" xfId="0" applyNumberFormat="1" applyFont="1" applyFill="1" applyBorder="1" applyAlignment="1">
      <alignment horizontal="center" vertical="center"/>
    </xf>
    <xf numFmtId="9" fontId="10" fillId="2" borderId="5" xfId="1" applyFont="1" applyFill="1" applyBorder="1" applyAlignment="1">
      <alignment horizontal="center" vertical="center"/>
    </xf>
    <xf numFmtId="9" fontId="10" fillId="2" borderId="3" xfId="1" applyFont="1" applyFill="1" applyBorder="1" applyAlignment="1">
      <alignment horizontal="center" vertical="center"/>
    </xf>
    <xf numFmtId="9" fontId="10" fillId="2" borderId="17" xfId="1" applyFont="1" applyFill="1" applyBorder="1" applyAlignment="1">
      <alignment horizontal="center" vertical="center"/>
    </xf>
    <xf numFmtId="9" fontId="10" fillId="2" borderId="20" xfId="1" applyFont="1" applyFill="1" applyBorder="1" applyAlignment="1">
      <alignment horizontal="center" vertical="center"/>
    </xf>
    <xf numFmtId="166" fontId="10" fillId="0" borderId="4" xfId="0" applyNumberFormat="1" applyFont="1" applyBorder="1" applyAlignment="1">
      <alignment horizontal="center" vertical="center"/>
    </xf>
    <xf numFmtId="166" fontId="10" fillId="0" borderId="4" xfId="0" applyNumberFormat="1" applyFont="1" applyFill="1" applyBorder="1" applyAlignment="1">
      <alignment horizontal="center" vertical="center"/>
    </xf>
    <xf numFmtId="166" fontId="9" fillId="0" borderId="4" xfId="0" applyNumberFormat="1" applyFont="1" applyBorder="1" applyAlignment="1">
      <alignment horizontal="center" vertical="center"/>
    </xf>
    <xf numFmtId="9" fontId="10" fillId="0" borderId="4" xfId="1" applyFont="1" applyBorder="1" applyAlignment="1">
      <alignment horizontal="center" vertical="center"/>
    </xf>
    <xf numFmtId="3" fontId="10" fillId="0" borderId="4" xfId="0" applyNumberFormat="1" applyFont="1" applyBorder="1" applyAlignment="1">
      <alignment horizontal="center" vertical="center"/>
    </xf>
    <xf numFmtId="166" fontId="10" fillId="0" borderId="8" xfId="0" applyNumberFormat="1" applyFont="1" applyBorder="1" applyAlignment="1">
      <alignment horizontal="center" vertical="center"/>
    </xf>
    <xf numFmtId="0" fontId="10" fillId="6" borderId="0" xfId="0" applyFont="1" applyFill="1" applyBorder="1" applyAlignment="1">
      <alignment horizontal="left" vertical="center" indent="4"/>
    </xf>
    <xf numFmtId="166" fontId="10" fillId="0" borderId="8" xfId="0" applyNumberFormat="1" applyFont="1" applyFill="1" applyBorder="1" applyAlignment="1">
      <alignment horizontal="center" vertical="center"/>
    </xf>
    <xf numFmtId="0" fontId="10" fillId="0" borderId="0" xfId="0" applyFont="1" applyBorder="1" applyAlignment="1">
      <alignment horizontal="left" vertical="center" indent="4"/>
    </xf>
    <xf numFmtId="0" fontId="10" fillId="0" borderId="0" xfId="0" applyFont="1" applyFill="1" applyBorder="1" applyAlignment="1">
      <alignment horizontal="left" vertical="center" indent="1"/>
    </xf>
    <xf numFmtId="0" fontId="9" fillId="0" borderId="0" xfId="0" applyFont="1" applyBorder="1" applyAlignment="1">
      <alignment horizontal="left" vertical="center" indent="1"/>
    </xf>
    <xf numFmtId="166" fontId="9" fillId="0" borderId="8" xfId="0" applyNumberFormat="1" applyFont="1" applyBorder="1" applyAlignment="1">
      <alignment horizontal="center" vertical="center"/>
    </xf>
    <xf numFmtId="0" fontId="10" fillId="2" borderId="0" xfId="0" applyFont="1" applyFill="1" applyBorder="1" applyAlignment="1">
      <alignment horizontal="left" vertical="center" indent="3"/>
    </xf>
    <xf numFmtId="9" fontId="10" fillId="0" borderId="8" xfId="1" applyFont="1" applyBorder="1" applyAlignment="1">
      <alignment horizontal="center" vertical="center"/>
    </xf>
    <xf numFmtId="166" fontId="9" fillId="2" borderId="5" xfId="1" applyNumberFormat="1" applyFont="1" applyFill="1" applyBorder="1" applyAlignment="1">
      <alignment horizontal="center" vertical="center"/>
    </xf>
    <xf numFmtId="9" fontId="10" fillId="2" borderId="3" xfId="1" applyNumberFormat="1" applyFont="1" applyFill="1" applyBorder="1" applyAlignment="1">
      <alignment horizontal="center" vertical="center"/>
    </xf>
    <xf numFmtId="9" fontId="10" fillId="2" borderId="5" xfId="1" applyNumberFormat="1" applyFont="1" applyFill="1" applyBorder="1" applyAlignment="1">
      <alignment horizontal="center" vertical="center"/>
    </xf>
    <xf numFmtId="9" fontId="9" fillId="0" borderId="21" xfId="1" applyFont="1" applyBorder="1" applyAlignment="1">
      <alignment horizontal="center" vertical="center"/>
    </xf>
    <xf numFmtId="9" fontId="9" fillId="2" borderId="22" xfId="1" applyNumberFormat="1" applyFont="1" applyFill="1" applyBorder="1" applyAlignment="1">
      <alignment horizontal="center" vertical="center"/>
    </xf>
    <xf numFmtId="0" fontId="10" fillId="0" borderId="19" xfId="0" applyFont="1" applyBorder="1" applyAlignment="1">
      <alignment horizontal="left" vertical="center" indent="1"/>
    </xf>
    <xf numFmtId="166" fontId="10" fillId="0" borderId="3" xfId="0" applyNumberFormat="1" applyFont="1" applyBorder="1" applyAlignment="1">
      <alignment horizontal="center" vertical="center"/>
    </xf>
    <xf numFmtId="166" fontId="10" fillId="2" borderId="3" xfId="0" applyNumberFormat="1" applyFont="1" applyFill="1" applyBorder="1" applyAlignment="1">
      <alignment horizontal="center" vertical="center"/>
    </xf>
    <xf numFmtId="166" fontId="10" fillId="2" borderId="20" xfId="0" applyNumberFormat="1" applyFont="1" applyFill="1" applyBorder="1" applyAlignment="1">
      <alignment horizontal="center" vertical="center"/>
    </xf>
    <xf numFmtId="9" fontId="10" fillId="0" borderId="3" xfId="1" applyFont="1" applyBorder="1" applyAlignment="1">
      <alignment horizontal="center" vertical="center"/>
    </xf>
    <xf numFmtId="166" fontId="10" fillId="0" borderId="3" xfId="0" applyNumberFormat="1" applyFont="1" applyFill="1" applyBorder="1" applyAlignment="1">
      <alignment horizontal="center" vertical="center"/>
    </xf>
    <xf numFmtId="166" fontId="10" fillId="2" borderId="5" xfId="0" applyNumberFormat="1" applyFont="1" applyFill="1" applyBorder="1" applyAlignment="1">
      <alignment horizontal="center" vertical="center"/>
    </xf>
    <xf numFmtId="166" fontId="10" fillId="0" borderId="5" xfId="0" applyNumberFormat="1" applyFont="1" applyBorder="1" applyAlignment="1">
      <alignment horizontal="center" vertical="center"/>
    </xf>
    <xf numFmtId="9" fontId="10" fillId="0" borderId="5" xfId="1" applyFont="1" applyBorder="1" applyAlignment="1">
      <alignment horizontal="center" vertical="center"/>
    </xf>
    <xf numFmtId="9" fontId="9" fillId="0" borderId="22" xfId="1" applyFont="1" applyBorder="1" applyAlignment="1">
      <alignment horizontal="center" vertical="center"/>
    </xf>
    <xf numFmtId="0" fontId="7" fillId="0" borderId="0" xfId="0" applyFont="1" applyBorder="1"/>
    <xf numFmtId="0" fontId="10" fillId="0" borderId="0" xfId="0" applyFont="1" applyBorder="1"/>
    <xf numFmtId="0" fontId="8" fillId="4" borderId="0" xfId="0" applyFont="1" applyFill="1" applyBorder="1" applyAlignment="1">
      <alignment horizontal="center" vertical="center" wrapText="1"/>
    </xf>
    <xf numFmtId="0" fontId="8" fillId="4" borderId="0" xfId="0" applyFont="1" applyFill="1" applyBorder="1" applyAlignment="1">
      <alignment horizontal="left" vertical="center" wrapText="1" indent="1"/>
    </xf>
    <xf numFmtId="0" fontId="10" fillId="2" borderId="19" xfId="0" applyFont="1" applyFill="1" applyBorder="1" applyAlignment="1">
      <alignment horizontal="left" vertical="center" indent="1"/>
    </xf>
    <xf numFmtId="164" fontId="10" fillId="0" borderId="4" xfId="1" applyNumberFormat="1" applyFont="1" applyBorder="1" applyAlignment="1">
      <alignment horizontal="center" vertical="center"/>
    </xf>
    <xf numFmtId="166" fontId="10" fillId="0" borderId="20" xfId="0" applyNumberFormat="1" applyFont="1" applyBorder="1" applyAlignment="1">
      <alignment horizontal="center" vertical="center"/>
    </xf>
    <xf numFmtId="4" fontId="9" fillId="2" borderId="21" xfId="1" applyNumberFormat="1" applyFont="1" applyFill="1" applyBorder="1" applyAlignment="1">
      <alignment horizontal="center" vertical="center"/>
    </xf>
    <xf numFmtId="9" fontId="10" fillId="0" borderId="21" xfId="1" applyFont="1" applyBorder="1" applyAlignment="1">
      <alignment horizontal="center" vertical="center"/>
    </xf>
    <xf numFmtId="0" fontId="10" fillId="2" borderId="6" xfId="0" applyFont="1" applyFill="1" applyBorder="1" applyAlignment="1">
      <alignment horizontal="left" vertical="center" indent="1"/>
    </xf>
    <xf numFmtId="165" fontId="10" fillId="0" borderId="0" xfId="0" applyNumberFormat="1" applyFont="1" applyBorder="1" applyAlignment="1">
      <alignment horizontal="center" vertical="center"/>
    </xf>
    <xf numFmtId="164" fontId="10" fillId="0" borderId="0" xfId="0" applyNumberFormat="1" applyFont="1" applyBorder="1" applyAlignment="1">
      <alignment horizontal="center" vertical="center"/>
    </xf>
    <xf numFmtId="0" fontId="9" fillId="2" borderId="26" xfId="0" applyFont="1" applyFill="1" applyBorder="1" applyAlignment="1">
      <alignment horizontal="left" vertical="center" indent="1"/>
    </xf>
    <xf numFmtId="4" fontId="9" fillId="0" borderId="27" xfId="0" applyNumberFormat="1" applyFont="1" applyBorder="1" applyAlignment="1">
      <alignment horizontal="center" vertical="center"/>
    </xf>
    <xf numFmtId="4" fontId="9" fillId="2" borderId="28" xfId="1" applyNumberFormat="1" applyFont="1" applyFill="1" applyBorder="1" applyAlignment="1">
      <alignment horizontal="center" vertical="center"/>
    </xf>
    <xf numFmtId="0" fontId="9" fillId="2" borderId="27" xfId="0" applyFont="1" applyFill="1" applyBorder="1" applyAlignment="1">
      <alignment horizontal="left" vertical="center" indent="1"/>
    </xf>
    <xf numFmtId="9" fontId="9" fillId="0" borderId="28" xfId="1" applyFont="1" applyBorder="1" applyAlignment="1">
      <alignment horizontal="center" vertical="center"/>
    </xf>
    <xf numFmtId="165" fontId="9" fillId="0" borderId="27" xfId="0" applyNumberFormat="1" applyFont="1" applyBorder="1" applyAlignment="1">
      <alignment horizontal="center" vertical="center"/>
    </xf>
    <xf numFmtId="9" fontId="0" fillId="0" borderId="0" xfId="1" applyFont="1" applyAlignment="1">
      <alignment horizontal="center"/>
    </xf>
    <xf numFmtId="164" fontId="10" fillId="0" borderId="3" xfId="0" applyNumberFormat="1" applyFont="1" applyBorder="1" applyAlignment="1">
      <alignment horizontal="center" vertical="center"/>
    </xf>
    <xf numFmtId="165" fontId="10" fillId="2" borderId="3" xfId="1" applyNumberFormat="1" applyFont="1" applyFill="1" applyBorder="1" applyAlignment="1">
      <alignment horizontal="center" vertical="center"/>
    </xf>
    <xf numFmtId="0" fontId="16" fillId="8" borderId="3" xfId="0" applyFont="1" applyFill="1" applyBorder="1" applyAlignment="1">
      <alignment horizontal="left" vertical="center" indent="2"/>
    </xf>
    <xf numFmtId="0" fontId="16" fillId="8" borderId="3" xfId="0" applyFont="1" applyFill="1" applyBorder="1" applyAlignment="1">
      <alignment horizontal="left" vertical="center" indent="1"/>
    </xf>
    <xf numFmtId="9" fontId="16" fillId="0" borderId="22" xfId="1" applyFont="1" applyBorder="1" applyAlignment="1">
      <alignment horizontal="center" vertical="center"/>
    </xf>
    <xf numFmtId="0" fontId="19" fillId="2" borderId="0" xfId="0" applyFont="1" applyFill="1" applyAlignment="1" applyProtection="1">
      <alignment horizontal="center"/>
    </xf>
    <xf numFmtId="0" fontId="0" fillId="0" borderId="0" xfId="0" applyFont="1" applyProtection="1">
      <protection locked="0"/>
    </xf>
    <xf numFmtId="4" fontId="0" fillId="0" borderId="0" xfId="0" applyNumberFormat="1" applyFont="1" applyAlignment="1" applyProtection="1">
      <alignment horizontal="center"/>
      <protection locked="0"/>
    </xf>
    <xf numFmtId="0" fontId="0" fillId="0" borderId="0" xfId="0" applyFont="1"/>
    <xf numFmtId="0" fontId="9" fillId="2" borderId="3" xfId="0" applyFont="1" applyFill="1" applyBorder="1" applyAlignment="1">
      <alignment horizontal="left" vertical="center" indent="1"/>
    </xf>
    <xf numFmtId="9" fontId="9" fillId="0" borderId="0" xfId="1" applyFont="1" applyBorder="1" applyAlignment="1">
      <alignment horizontal="center" vertical="center"/>
    </xf>
    <xf numFmtId="0" fontId="9" fillId="0" borderId="19" xfId="0" applyFont="1" applyBorder="1" applyAlignment="1">
      <alignment horizontal="left" vertical="center" indent="1"/>
    </xf>
    <xf numFmtId="166" fontId="7" fillId="0" borderId="0" xfId="0" applyNumberFormat="1" applyFont="1" applyAlignment="1">
      <alignment horizontal="center"/>
    </xf>
    <xf numFmtId="9" fontId="7" fillId="0" borderId="0" xfId="0" applyNumberFormat="1" applyFont="1" applyBorder="1" applyAlignment="1">
      <alignment horizontal="center"/>
    </xf>
    <xf numFmtId="168" fontId="7" fillId="0" borderId="0" xfId="0" applyNumberFormat="1" applyFont="1" applyBorder="1" applyAlignment="1">
      <alignment horizontal="center"/>
    </xf>
    <xf numFmtId="9" fontId="9" fillId="0" borderId="4" xfId="1" applyFont="1" applyBorder="1" applyAlignment="1">
      <alignment horizontal="center" vertical="center"/>
    </xf>
    <xf numFmtId="0" fontId="0" fillId="0" borderId="18" xfId="0" applyFont="1" applyBorder="1"/>
    <xf numFmtId="0" fontId="0" fillId="0" borderId="0" xfId="0" applyFont="1" applyProtection="1"/>
    <xf numFmtId="0" fontId="0" fillId="0" borderId="18" xfId="0" applyFont="1" applyBorder="1" applyProtection="1"/>
    <xf numFmtId="3" fontId="0" fillId="0" borderId="0" xfId="0" applyNumberFormat="1" applyFont="1" applyAlignment="1">
      <alignment horizontal="center"/>
    </xf>
    <xf numFmtId="0" fontId="0" fillId="0" borderId="0" xfId="0" applyFont="1" applyFill="1"/>
    <xf numFmtId="0" fontId="0" fillId="0" borderId="0" xfId="0" applyFont="1" applyAlignment="1">
      <alignment horizontal="center"/>
    </xf>
    <xf numFmtId="0" fontId="0" fillId="0" borderId="0" xfId="0" applyFont="1" applyAlignment="1">
      <alignment horizontal="left" indent="1"/>
    </xf>
    <xf numFmtId="4" fontId="0" fillId="0" borderId="0" xfId="0" applyNumberFormat="1" applyFont="1" applyAlignment="1">
      <alignment horizontal="center"/>
    </xf>
    <xf numFmtId="9" fontId="0" fillId="0" borderId="0" xfId="0" applyNumberFormat="1" applyFont="1" applyAlignment="1">
      <alignment horizontal="center"/>
    </xf>
    <xf numFmtId="0" fontId="0" fillId="0" borderId="0" xfId="0" applyFont="1" applyAlignment="1">
      <alignment horizontal="left" vertical="center"/>
    </xf>
    <xf numFmtId="9" fontId="0" fillId="0" borderId="0" xfId="0" applyNumberFormat="1" applyFont="1" applyAlignment="1">
      <alignment horizontal="center" vertical="center"/>
    </xf>
    <xf numFmtId="9" fontId="0" fillId="0" borderId="4" xfId="0" applyNumberFormat="1" applyFont="1" applyBorder="1" applyAlignment="1">
      <alignment horizontal="center" vertical="center"/>
    </xf>
    <xf numFmtId="0" fontId="0" fillId="0" borderId="0" xfId="0" applyFont="1" applyAlignment="1">
      <alignment horizontal="center" vertical="center"/>
    </xf>
    <xf numFmtId="0" fontId="0" fillId="0" borderId="0" xfId="0" applyFont="1" applyAlignment="1">
      <alignment vertical="center"/>
    </xf>
    <xf numFmtId="168" fontId="0" fillId="0" borderId="0" xfId="0" applyNumberFormat="1" applyFont="1" applyAlignment="1">
      <alignment horizontal="center" vertical="center"/>
    </xf>
    <xf numFmtId="168" fontId="0" fillId="0" borderId="4" xfId="0" applyNumberFormat="1" applyFont="1" applyBorder="1" applyAlignment="1">
      <alignment horizontal="center" vertical="center"/>
    </xf>
    <xf numFmtId="3" fontId="0" fillId="0" borderId="0" xfId="0" applyNumberFormat="1" applyFont="1" applyAlignment="1">
      <alignment horizontal="center" vertical="center"/>
    </xf>
    <xf numFmtId="0" fontId="0" fillId="0" borderId="4" xfId="0" applyFont="1" applyBorder="1" applyAlignment="1">
      <alignment horizontal="center" vertical="center"/>
    </xf>
    <xf numFmtId="9" fontId="0" fillId="0" borderId="0" xfId="1" applyFont="1" applyAlignment="1">
      <alignment horizontal="center" vertical="center"/>
    </xf>
    <xf numFmtId="9" fontId="9" fillId="2" borderId="8" xfId="1" applyNumberFormat="1" applyFont="1" applyFill="1" applyBorder="1" applyAlignment="1">
      <alignment horizontal="center" vertical="center"/>
    </xf>
    <xf numFmtId="9" fontId="9" fillId="2" borderId="20" xfId="1" applyNumberFormat="1" applyFont="1" applyFill="1" applyBorder="1" applyAlignment="1">
      <alignment horizontal="center" vertical="center"/>
    </xf>
    <xf numFmtId="0" fontId="9" fillId="2" borderId="0" xfId="0" applyFont="1" applyFill="1" applyBorder="1" applyAlignment="1">
      <alignment horizontal="left" vertical="center" indent="3"/>
    </xf>
    <xf numFmtId="0" fontId="10" fillId="0" borderId="3" xfId="0" applyFont="1" applyBorder="1" applyAlignment="1">
      <alignment horizontal="left" vertical="center" indent="1"/>
    </xf>
    <xf numFmtId="9" fontId="9" fillId="0" borderId="5" xfId="1" applyFont="1" applyBorder="1" applyAlignment="1">
      <alignment horizontal="center" vertical="center"/>
    </xf>
    <xf numFmtId="0" fontId="16" fillId="8" borderId="0" xfId="0" applyFont="1" applyFill="1" applyBorder="1" applyAlignment="1">
      <alignment horizontal="left" vertical="center" indent="2"/>
    </xf>
    <xf numFmtId="4" fontId="16" fillId="8" borderId="0" xfId="0" applyNumberFormat="1" applyFont="1" applyFill="1" applyBorder="1" applyAlignment="1">
      <alignment horizontal="center" vertical="center"/>
    </xf>
    <xf numFmtId="4" fontId="17" fillId="8" borderId="21" xfId="1" applyNumberFormat="1" applyFont="1" applyFill="1" applyBorder="1" applyAlignment="1">
      <alignment horizontal="center" vertical="center"/>
    </xf>
    <xf numFmtId="9" fontId="16" fillId="8" borderId="3" xfId="1" applyFont="1" applyFill="1" applyBorder="1" applyAlignment="1">
      <alignment horizontal="center" vertical="center"/>
    </xf>
    <xf numFmtId="9" fontId="17" fillId="8" borderId="22" xfId="1" applyFont="1" applyFill="1" applyBorder="1" applyAlignment="1">
      <alignment horizontal="center" vertical="center"/>
    </xf>
    <xf numFmtId="0" fontId="9" fillId="0" borderId="6" xfId="0" applyFont="1" applyBorder="1" applyAlignment="1">
      <alignment horizontal="left" vertical="center" indent="1"/>
    </xf>
    <xf numFmtId="4" fontId="13" fillId="6" borderId="29" xfId="1" applyNumberFormat="1" applyFont="1" applyFill="1" applyBorder="1" applyAlignment="1">
      <alignment horizontal="center" vertical="center"/>
    </xf>
    <xf numFmtId="0" fontId="8" fillId="5" borderId="30" xfId="0" applyFont="1" applyFill="1" applyBorder="1" applyAlignment="1">
      <alignment horizontal="center" vertical="center" wrapText="1"/>
    </xf>
    <xf numFmtId="9" fontId="13" fillId="6" borderId="31" xfId="1" applyFont="1" applyFill="1" applyBorder="1" applyAlignment="1">
      <alignment horizontal="center" vertical="center"/>
    </xf>
    <xf numFmtId="9" fontId="13" fillId="3" borderId="32" xfId="1" applyFont="1" applyFill="1" applyBorder="1" applyAlignment="1">
      <alignment horizontal="center" vertical="center"/>
    </xf>
    <xf numFmtId="170" fontId="13" fillId="6" borderId="33" xfId="1" applyNumberFormat="1" applyFont="1" applyFill="1" applyBorder="1" applyAlignment="1">
      <alignment horizontal="center" vertical="center"/>
    </xf>
    <xf numFmtId="170" fontId="13" fillId="6" borderId="34" xfId="0" applyNumberFormat="1" applyFont="1" applyFill="1" applyBorder="1" applyAlignment="1">
      <alignment horizontal="center" vertical="center"/>
    </xf>
    <xf numFmtId="170" fontId="13" fillId="6" borderId="35" xfId="0" applyNumberFormat="1" applyFont="1" applyFill="1" applyBorder="1" applyAlignment="1">
      <alignment horizontal="center" vertical="center"/>
    </xf>
    <xf numFmtId="0" fontId="8" fillId="5" borderId="36" xfId="0" applyFont="1" applyFill="1" applyBorder="1" applyAlignment="1">
      <alignment horizontal="center" vertical="center" wrapText="1"/>
    </xf>
    <xf numFmtId="165" fontId="18" fillId="6" borderId="31" xfId="1" applyNumberFormat="1" applyFont="1" applyFill="1" applyBorder="1" applyAlignment="1">
      <alignment horizontal="center" vertical="center"/>
    </xf>
    <xf numFmtId="165" fontId="18" fillId="6" borderId="37" xfId="0" applyNumberFormat="1" applyFont="1" applyFill="1" applyBorder="1" applyAlignment="1">
      <alignment horizontal="center" vertical="center"/>
    </xf>
    <xf numFmtId="165" fontId="18" fillId="6" borderId="32" xfId="1" applyNumberFormat="1" applyFont="1" applyFill="1" applyBorder="1" applyAlignment="1">
      <alignment horizontal="center" vertical="center"/>
    </xf>
    <xf numFmtId="169" fontId="13" fillId="9" borderId="33" xfId="0" applyNumberFormat="1" applyFont="1" applyFill="1" applyBorder="1" applyAlignment="1">
      <alignment horizontal="center" vertical="center"/>
    </xf>
    <xf numFmtId="169" fontId="13" fillId="9" borderId="34" xfId="0" applyNumberFormat="1" applyFont="1" applyFill="1" applyBorder="1" applyAlignment="1">
      <alignment horizontal="center" vertical="center"/>
    </xf>
    <xf numFmtId="169" fontId="13" fillId="9" borderId="35" xfId="0" applyNumberFormat="1" applyFont="1" applyFill="1" applyBorder="1" applyAlignment="1">
      <alignment horizontal="center" vertical="center"/>
    </xf>
    <xf numFmtId="4" fontId="0" fillId="0" borderId="0" xfId="0" applyNumberFormat="1" applyFont="1"/>
    <xf numFmtId="14" fontId="19" fillId="0" borderId="0" xfId="0" applyNumberFormat="1" applyFont="1" applyProtection="1">
      <protection locked="0"/>
    </xf>
    <xf numFmtId="3" fontId="0" fillId="0" borderId="0" xfId="0" applyNumberFormat="1" applyFont="1"/>
    <xf numFmtId="0" fontId="0" fillId="0" borderId="0" xfId="0" applyNumberFormat="1" applyFont="1"/>
    <xf numFmtId="171" fontId="0" fillId="0" borderId="0" xfId="0" applyNumberFormat="1" applyFont="1"/>
    <xf numFmtId="39" fontId="0" fillId="0" borderId="0" xfId="0" applyNumberFormat="1" applyFont="1" applyBorder="1" applyAlignment="1" applyProtection="1">
      <alignment horizontal="center"/>
    </xf>
    <xf numFmtId="39" fontId="0" fillId="0" borderId="0" xfId="0" applyNumberFormat="1" applyAlignment="1" applyProtection="1">
      <alignment horizontal="center"/>
      <protection locked="0"/>
    </xf>
    <xf numFmtId="39" fontId="0" fillId="0" borderId="0" xfId="0" applyNumberFormat="1" applyFont="1" applyAlignment="1" applyProtection="1">
      <alignment horizontal="center"/>
      <protection locked="0"/>
    </xf>
    <xf numFmtId="39" fontId="0" fillId="0" borderId="18" xfId="0" applyNumberFormat="1" applyFont="1" applyBorder="1" applyAlignment="1" applyProtection="1">
      <alignment horizontal="center"/>
    </xf>
    <xf numFmtId="39" fontId="0" fillId="0" borderId="0" xfId="0" applyNumberFormat="1" applyFont="1" applyAlignment="1" applyProtection="1">
      <alignment horizontal="center"/>
    </xf>
    <xf numFmtId="39" fontId="19" fillId="0" borderId="0" xfId="0" applyNumberFormat="1" applyFont="1" applyAlignment="1" applyProtection="1">
      <alignment horizontal="center"/>
    </xf>
    <xf numFmtId="39" fontId="0" fillId="0" borderId="0" xfId="0" applyNumberFormat="1" applyFont="1" applyAlignment="1">
      <alignment horizontal="center"/>
    </xf>
    <xf numFmtId="39" fontId="0" fillId="0" borderId="18" xfId="0" applyNumberFormat="1" applyFont="1" applyBorder="1" applyAlignment="1">
      <alignment horizontal="center"/>
    </xf>
    <xf numFmtId="39" fontId="19" fillId="0" borderId="0" xfId="0" applyNumberFormat="1" applyFont="1" applyAlignment="1">
      <alignment horizontal="center"/>
    </xf>
    <xf numFmtId="166" fontId="10" fillId="6" borderId="4" xfId="0" applyNumberFormat="1" applyFont="1" applyFill="1" applyBorder="1" applyAlignment="1">
      <alignment horizontal="center" vertical="center" wrapText="1"/>
    </xf>
    <xf numFmtId="10" fontId="0" fillId="0" borderId="0" xfId="0" applyNumberFormat="1" applyAlignment="1">
      <alignment horizontal="center"/>
    </xf>
    <xf numFmtId="0" fontId="19" fillId="0" borderId="0" xfId="0" applyFont="1" applyAlignment="1">
      <alignment wrapText="1"/>
    </xf>
    <xf numFmtId="0" fontId="0" fillId="0" borderId="0" xfId="0" applyAlignment="1">
      <alignment wrapText="1"/>
    </xf>
    <xf numFmtId="2" fontId="0" fillId="0" borderId="0" xfId="0" applyNumberFormat="1" applyAlignment="1">
      <alignment wrapText="1"/>
    </xf>
    <xf numFmtId="14" fontId="19" fillId="0" borderId="0" xfId="0" applyNumberFormat="1" applyFont="1" applyAlignment="1" applyProtection="1">
      <alignment wrapText="1"/>
      <protection locked="0"/>
    </xf>
    <xf numFmtId="14" fontId="19" fillId="0" borderId="0" xfId="0" applyNumberFormat="1" applyFont="1" applyAlignment="1" applyProtection="1">
      <alignment horizontal="center" wrapText="1"/>
      <protection locked="0"/>
    </xf>
    <xf numFmtId="39" fontId="0" fillId="0" borderId="0" xfId="0" applyNumberFormat="1" applyAlignment="1" applyProtection="1">
      <alignment horizontal="center" wrapText="1"/>
      <protection locked="0"/>
    </xf>
    <xf numFmtId="39" fontId="0" fillId="0" borderId="0" xfId="0" applyNumberFormat="1" applyFont="1" applyAlignment="1" applyProtection="1">
      <alignment horizontal="center" wrapText="1"/>
      <protection locked="0"/>
    </xf>
    <xf numFmtId="2" fontId="0" fillId="0" borderId="0" xfId="0" applyNumberFormat="1" applyAlignment="1" applyProtection="1">
      <alignment horizontal="center" wrapText="1"/>
      <protection locked="0"/>
    </xf>
    <xf numFmtId="0" fontId="9" fillId="6" borderId="23" xfId="0" applyFont="1" applyFill="1" applyBorder="1" applyAlignment="1">
      <alignment horizontal="left" vertical="center" indent="1"/>
    </xf>
    <xf numFmtId="0" fontId="9" fillId="6" borderId="24" xfId="0" applyFont="1" applyFill="1" applyBorder="1" applyAlignment="1">
      <alignment horizontal="left" vertical="center" indent="1"/>
    </xf>
    <xf numFmtId="0" fontId="9" fillId="6" borderId="25" xfId="0" applyFont="1" applyFill="1" applyBorder="1" applyAlignment="1">
      <alignment horizontal="left" vertical="center" indent="1"/>
    </xf>
    <xf numFmtId="0" fontId="8" fillId="4" borderId="0" xfId="0" quotePrefix="1" applyFont="1" applyFill="1" applyBorder="1" applyAlignment="1">
      <alignment horizontal="center" vertical="center" wrapText="1"/>
    </xf>
  </cellXfs>
  <cellStyles count="2">
    <cellStyle name="Normal" xfId="0" builtinId="0"/>
    <cellStyle name="Porcentaje" xfId="1" builtinId="5"/>
  </cellStyles>
  <dxfs count="19">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border diagonalUp="0" diagonalDown="0">
        <left style="thin">
          <color indexed="64"/>
        </left>
        <right/>
        <top/>
        <bottom/>
        <horizontal/>
      </border>
    </dxf>
    <dxf>
      <font>
        <strike val="0"/>
        <outline val="0"/>
        <shadow val="0"/>
        <u val="none"/>
        <vertAlign val="baseline"/>
        <sz val="12"/>
        <name val="Ebrima"/>
        <scheme val="none"/>
      </font>
      <alignment horizontal="center" textRotation="0" wrapText="0" indent="0" justifyLastLine="0" shrinkToFit="0" readingOrder="0"/>
      <border diagonalUp="0" diagonalDown="0">
        <left/>
        <right style="thin">
          <color theme="3" tint="0.39997558519241921"/>
        </right>
        <top/>
        <bottom/>
        <horizontal/>
      </border>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color theme="1"/>
        <name val="Ebrima"/>
        <scheme val="none"/>
      </font>
      <alignment horizontal="left" textRotation="0" wrapText="0" relativeIndent="-1" justifyLastLine="0" shrinkToFit="0" readingOrder="0"/>
      <border diagonalUp="0" diagonalDown="0">
        <left style="thin">
          <color theme="3"/>
        </left>
        <right style="thin">
          <color theme="3"/>
        </right>
        <top/>
        <bottom/>
        <vertical/>
        <horizontal/>
      </border>
    </dxf>
    <dxf>
      <border diagonalUp="0" diagonalDown="0">
        <left/>
        <right style="thin">
          <color theme="3"/>
        </right>
        <top/>
        <bottom/>
      </border>
    </dxf>
    <dxf>
      <font>
        <strike val="0"/>
        <outline val="0"/>
        <shadow val="0"/>
        <u val="none"/>
        <vertAlign val="baseline"/>
        <sz val="12"/>
        <name val="Ebrima"/>
        <scheme val="none"/>
      </font>
    </dxf>
    <dxf>
      <font>
        <strike val="0"/>
        <outline val="0"/>
        <shadow val="0"/>
        <u val="none"/>
        <vertAlign val="baseline"/>
        <sz val="12"/>
        <name val="Ebrima"/>
        <scheme val="none"/>
      </font>
    </dxf>
  </dxfs>
  <tableStyles count="0" defaultTableStyle="TableStyleMedium2" defaultPivotStyle="PivotStyleMedium9"/>
  <colors>
    <mruColors>
      <color rgb="FF00FF00"/>
      <color rgb="FFFFFF00"/>
      <color rgb="FFFFFD78"/>
      <color rgb="FF008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5C744F-6821-4010-B04C-2A04F830E376}" name="Tabla3" displayName="Tabla3" ref="A2:M23" headerRowCount="0" totalsRowShown="0" headerRowDxfId="18" dataDxfId="17" tableBorderDxfId="16">
  <tableColumns count="13">
    <tableColumn id="1" xr3:uid="{A6785006-F8E5-4C64-9FD0-27A59A5D5C99}" name="Columna1" dataDxfId="15"/>
    <tableColumn id="2" xr3:uid="{981C2CA3-CAE8-4430-949B-243AE4AAF960}" name="Columna2" dataDxfId="14"/>
    <tableColumn id="3" xr3:uid="{05B4E26C-7803-4FE4-9783-4211E3EEA32B}" name="Columna3" dataDxfId="13"/>
    <tableColumn id="4" xr3:uid="{8DA5225F-2555-474C-8C27-E7A1FC21344A}" name="Columna4" dataDxfId="12"/>
    <tableColumn id="5" xr3:uid="{19F8591C-4479-413D-B705-650B30DEF405}" name="Columna5" dataDxfId="11"/>
    <tableColumn id="6" xr3:uid="{1941A256-8DCA-4A7E-AD52-B81EA09BA49A}" name="Columna6" dataDxfId="10"/>
    <tableColumn id="7" xr3:uid="{CF06C5C2-7817-4507-BFA7-43D9A7684B99}" name="Columna7" dataDxfId="9"/>
    <tableColumn id="8" xr3:uid="{A6CC500A-793E-4AC7-A805-E9B1D5055605}" name="Columna8" dataDxfId="8"/>
    <tableColumn id="9" xr3:uid="{6B4891E9-5875-43D0-AAAA-C9094399640F}" name="Columna9" dataDxfId="7"/>
    <tableColumn id="10" xr3:uid="{41432F5A-0AFB-469C-9CA5-86091AA8061A}" name="Columna10" dataDxfId="6"/>
    <tableColumn id="11" xr3:uid="{A781D52B-7709-4D76-9137-322146222404}" name="Columna11" dataDxfId="5"/>
    <tableColumn id="12" xr3:uid="{51F4EFE8-3D05-4C21-A43C-A2D80156AEF7}" name="Columna12" dataDxfId="4"/>
    <tableColumn id="13" xr3:uid="{A5653B19-9C81-444D-A0FD-CC4A9CE1A8AA}" name="Columna13" dataDxfId="3"/>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6"/>
  <sheetViews>
    <sheetView showGridLines="0" tabSelected="1" topLeftCell="A10" zoomScale="85" zoomScaleNormal="85" workbookViewId="0">
      <selection activeCell="B22" sqref="B22"/>
    </sheetView>
  </sheetViews>
  <sheetFormatPr defaultColWidth="0" defaultRowHeight="17.25" zeroHeight="1"/>
  <cols>
    <col min="1" max="1" width="55.5703125" style="4" customWidth="1"/>
    <col min="2" max="2" width="14.140625" style="5" bestFit="1" customWidth="1"/>
    <col min="3" max="8" width="12.85546875" style="5" bestFit="1" customWidth="1"/>
    <col min="9" max="9" width="14.42578125" style="5" bestFit="1" customWidth="1"/>
    <col min="10" max="13" width="13.42578125" style="5" bestFit="1" customWidth="1"/>
    <col min="14" max="14" width="3" style="4" customWidth="1"/>
    <col min="15" max="15" width="28.5703125" style="4" customWidth="1"/>
    <col min="16" max="16" width="18.140625" style="5" customWidth="1"/>
    <col min="17" max="17" width="16.7109375" style="5" customWidth="1"/>
    <col min="18" max="18" width="1.28515625" style="6" customWidth="1"/>
    <col min="19" max="16384" width="11.42578125" style="6" hidden="1"/>
  </cols>
  <sheetData>
    <row r="1" spans="1:20" s="2" customFormat="1" ht="99.95" customHeight="1" thickBot="1">
      <c r="A1" s="26"/>
      <c r="B1" s="38" t="s">
        <v>0</v>
      </c>
      <c r="C1" s="27"/>
      <c r="D1" s="27"/>
      <c r="E1" s="27"/>
      <c r="F1" s="27"/>
      <c r="G1" s="27"/>
      <c r="H1" s="27"/>
      <c r="I1" s="27"/>
      <c r="J1" s="27"/>
      <c r="K1" s="3"/>
      <c r="L1" s="3"/>
      <c r="M1" s="3"/>
      <c r="N1"/>
      <c r="O1" s="26"/>
      <c r="P1" s="27"/>
      <c r="Q1" s="27"/>
      <c r="R1" s="1"/>
      <c r="S1" s="1"/>
    </row>
    <row r="2" spans="1:20" ht="44.1" customHeight="1" thickTop="1">
      <c r="A2" s="108" t="s">
        <v>1</v>
      </c>
      <c r="B2" s="40">
        <f>IFERROR(YEAR(VLOOKUP("*Income Statement | TIKR.com*",'6.TIKR_IS'!$A:$H,COLUMN(B3),FALSE)),"2015")</f>
        <v>2018</v>
      </c>
      <c r="C2" s="40">
        <f>IFERROR(YEAR(VLOOKUP("Income Statement | TIKR.com*",'6.TIKR_IS'!$A:$H,COLUMN(C3),FALSE)),B2+1)</f>
        <v>2019</v>
      </c>
      <c r="D2" s="40">
        <f>IFERROR(YEAR(VLOOKUP("Income Statement | TIKR.com*",'6.TIKR_IS'!$A:$H,COLUMN(D3),FALSE)),C2+1)</f>
        <v>2020</v>
      </c>
      <c r="E2" s="40">
        <f>IFERROR(YEAR(VLOOKUP("Income Statement | TIKR.com*",'6.TIKR_IS'!$A:$H,COLUMN(E3),FALSE)),D2+1)</f>
        <v>2021</v>
      </c>
      <c r="F2" s="40">
        <f>IFERROR(YEAR(VLOOKUP("Income Statement | TIKR.com*",'6.TIKR_IS'!$A:$H,COLUMN(F3),FALSE)),E2+1)</f>
        <v>2022</v>
      </c>
      <c r="G2" s="40">
        <f>IFERROR(YEAR(VLOOKUP("Income Statement*",'6.TIKR_IS'!$A:$H,COLUMN(G3),FALSE)),F2+1)</f>
        <v>2023</v>
      </c>
      <c r="H2" s="40">
        <f>IFERROR(YEAR(VLOOKUP("Income Statement*",'6.TIKR_IS'!$A:$H,COLUMN(H3),FALSE)),G2+1)</f>
        <v>2024</v>
      </c>
      <c r="I2" s="8" t="str">
        <f>(H2+1)&amp;"e"</f>
        <v>2025e</v>
      </c>
      <c r="J2" s="8" t="str">
        <f>(LEFT(I2,4)+1)&amp;"e"</f>
        <v>2026e</v>
      </c>
      <c r="K2" s="8" t="str">
        <f>(LEFT(J2,4)+1)&amp;"e"</f>
        <v>2027e</v>
      </c>
      <c r="L2" s="8" t="str">
        <f>(LEFT(K2,4)+1)&amp;"e"</f>
        <v>2028e</v>
      </c>
      <c r="M2" s="8" t="str">
        <f>(LEFT(L2,4)+1)&amp;"e"</f>
        <v>2029e</v>
      </c>
      <c r="O2" s="56" t="s">
        <v>2</v>
      </c>
      <c r="P2" s="52" t="str">
        <f>"Promedio "&amp;CHAR(10)&amp;B2&amp;" - "&amp;H2</f>
        <v>Promedio 
2018 - 2024</v>
      </c>
      <c r="Q2" s="226" t="str">
        <f>"Estimaciones "&amp;CHAR(10)&amp;I2&amp;" - "&amp;M2</f>
        <v>Estimaciones 
2025e - 2029e</v>
      </c>
      <c r="R2" s="33"/>
      <c r="S2" s="33"/>
      <c r="T2" s="33"/>
    </row>
    <row r="3" spans="1:20" ht="24.95" customHeight="1">
      <c r="A3" s="118" t="s">
        <v>3</v>
      </c>
      <c r="B3" s="110">
        <f>IFERROR(VALUE(VLOOKUP("Revenue*",'6.TIKR_IS'!$A:$H,COLUMN(B3),FALSE)),"0")</f>
        <v>110360</v>
      </c>
      <c r="C3" s="110">
        <f>IFERROR(VALUE(VLOOKUP("Revenue*",'6.TIKR_IS'!$A:$H,COLUMN(C3),FALSE)),"0")</f>
        <v>125843</v>
      </c>
      <c r="D3" s="110">
        <f>IFERROR(VALUE(VLOOKUP("Revenue*",'6.TIKR_IS'!$A:$H,COLUMN(D3),FALSE)),"0")</f>
        <v>143015</v>
      </c>
      <c r="E3" s="110">
        <f>IFERROR(VALUE(VLOOKUP("Revenue*",'6.TIKR_IS'!$A:$H,COLUMN(E3),FALSE)),"0")</f>
        <v>168088</v>
      </c>
      <c r="F3" s="110">
        <f>IFERROR(VALUE(VLOOKUP("Revenue*",'6.TIKR_IS'!$A:$H,COLUMN(F3),FALSE)),"0")</f>
        <v>198270</v>
      </c>
      <c r="G3" s="110">
        <f>IFERROR(VALUE(VLOOKUP("Revenue*",'6.TIKR_IS'!$A:$H,COLUMN(G3),FALSE)),"0")</f>
        <v>211915</v>
      </c>
      <c r="H3" s="110">
        <f>IFERROR(VALUE(VLOOKUP("Revenue*",'6.TIKR_IS'!$A:$H,COLUMN(H3),FALSE)),"0")</f>
        <v>245122</v>
      </c>
      <c r="I3" s="9">
        <f>IFERROR((H3*$Q$3)+H3,"")</f>
        <v>280139.68099024432</v>
      </c>
      <c r="J3" s="9">
        <f>IFERROR((I3*$Q$3)+I3,"")</f>
        <v>320159.9238963286</v>
      </c>
      <c r="K3" s="9">
        <f>IFERROR((J3*$Q$3)+J3,"")</f>
        <v>365897.38557199435</v>
      </c>
      <c r="L3" s="9">
        <f>IFERROR((K3*$Q$3)+K3,"")</f>
        <v>418168.81744316267</v>
      </c>
      <c r="M3" s="119">
        <f>IFERROR((L3*$Q$3)+L3,"")</f>
        <v>477907.65055195091</v>
      </c>
      <c r="N3" s="6"/>
      <c r="O3" s="53" t="s">
        <v>4</v>
      </c>
      <c r="P3" s="41">
        <f>IFERROR(AVERAGE(C4:H4),"")</f>
        <v>0.14285817262524103</v>
      </c>
      <c r="Q3" s="227">
        <f>P3</f>
        <v>0.14285817262524103</v>
      </c>
      <c r="R3" s="33"/>
      <c r="S3" s="33"/>
      <c r="T3" s="33"/>
    </row>
    <row r="4" spans="1:20" ht="24.95" customHeight="1">
      <c r="A4" s="102" t="s">
        <v>5</v>
      </c>
      <c r="B4" s="111"/>
      <c r="C4" s="11">
        <f t="shared" ref="C4:H4" si="0">IFERROR((C3-B3)/B3,"")</f>
        <v>0.14029539688292861</v>
      </c>
      <c r="D4" s="11">
        <f t="shared" si="0"/>
        <v>0.13645574247276368</v>
      </c>
      <c r="E4" s="11">
        <f t="shared" si="0"/>
        <v>0.175317274411775</v>
      </c>
      <c r="F4" s="11">
        <f t="shared" si="0"/>
        <v>0.17956070629670173</v>
      </c>
      <c r="G4" s="11">
        <f t="shared" si="0"/>
        <v>6.8820295556564284E-2</v>
      </c>
      <c r="H4" s="10">
        <f t="shared" si="0"/>
        <v>0.15669962013071279</v>
      </c>
      <c r="I4" s="11">
        <f>$Q$3</f>
        <v>0.14285817262524103</v>
      </c>
      <c r="J4" s="11">
        <f>$Q$3</f>
        <v>0.14285817262524103</v>
      </c>
      <c r="K4" s="11">
        <f>$Q$3</f>
        <v>0.14285817262524103</v>
      </c>
      <c r="L4" s="11">
        <f>$Q$3</f>
        <v>0.14285817262524103</v>
      </c>
      <c r="M4" s="120">
        <f>$Q$3</f>
        <v>0.14285817262524103</v>
      </c>
      <c r="N4" s="6"/>
      <c r="O4" s="54" t="s">
        <v>6</v>
      </c>
      <c r="P4" s="42">
        <f>IFERROR(AVERAGE(B9:H9),"")</f>
        <v>0.39000234773934228</v>
      </c>
      <c r="Q4" s="227">
        <f>P4</f>
        <v>0.39000234773934228</v>
      </c>
      <c r="R4" s="33"/>
      <c r="S4" s="33"/>
      <c r="T4" s="33"/>
    </row>
    <row r="5" spans="1:20" ht="24.95" customHeight="1">
      <c r="A5" s="121" t="s">
        <v>7</v>
      </c>
      <c r="B5" s="112">
        <f t="shared" ref="B5:H5" si="1">B8-B7</f>
        <v>45319</v>
      </c>
      <c r="C5" s="78">
        <f t="shared" si="1"/>
        <v>54641</v>
      </c>
      <c r="D5" s="78">
        <f t="shared" si="1"/>
        <v>65755</v>
      </c>
      <c r="E5" s="78">
        <f t="shared" si="1"/>
        <v>81602</v>
      </c>
      <c r="F5" s="78">
        <f t="shared" si="1"/>
        <v>97843</v>
      </c>
      <c r="G5" s="78">
        <f t="shared" si="1"/>
        <v>102384</v>
      </c>
      <c r="H5" s="79">
        <f t="shared" si="1"/>
        <v>131720</v>
      </c>
      <c r="I5" s="78">
        <f>IFERROR(I8-I7,"")</f>
        <v>134726.01337444442</v>
      </c>
      <c r="J5" s="78">
        <f t="shared" ref="J5:M5" si="2">IFERROR(J8-J7,"")</f>
        <v>153972.72545020134</v>
      </c>
      <c r="K5" s="78">
        <f t="shared" si="2"/>
        <v>175968.98764214505</v>
      </c>
      <c r="L5" s="78">
        <f t="shared" si="2"/>
        <v>201107.5956554155</v>
      </c>
      <c r="M5" s="122">
        <f t="shared" si="2"/>
        <v>229837.45927180402</v>
      </c>
      <c r="N5" s="6"/>
      <c r="O5" s="53" t="s">
        <v>8</v>
      </c>
      <c r="P5" s="41">
        <f>IFERROR(AVERAGE(B15:H15),"")</f>
        <v>0.21775827230019559</v>
      </c>
      <c r="Q5" s="227">
        <f>H15</f>
        <v>0.18741654904055241</v>
      </c>
      <c r="R5" s="33"/>
      <c r="S5" s="33"/>
      <c r="T5" s="33"/>
    </row>
    <row r="6" spans="1:20" ht="24.95" customHeight="1" thickBot="1">
      <c r="A6" s="102" t="s">
        <v>9</v>
      </c>
      <c r="B6" s="111">
        <f t="shared" ref="B6:H6" si="3">IFERROR((B5/B3),"")</f>
        <v>0.41064697354113811</v>
      </c>
      <c r="C6" s="11">
        <f t="shared" si="3"/>
        <v>0.43419975683987189</v>
      </c>
      <c r="D6" s="11">
        <f t="shared" si="3"/>
        <v>0.45977694647414608</v>
      </c>
      <c r="E6" s="11">
        <f t="shared" si="3"/>
        <v>0.48547189567369475</v>
      </c>
      <c r="F6" s="11">
        <f t="shared" si="3"/>
        <v>0.49348363342916224</v>
      </c>
      <c r="G6" s="11">
        <f t="shared" si="3"/>
        <v>0.48313710685888211</v>
      </c>
      <c r="H6" s="10">
        <f t="shared" si="3"/>
        <v>0.53736506719103139</v>
      </c>
      <c r="I6" s="11">
        <f>IFERROR(I5/I3,"")</f>
        <v>0.48092441919763651</v>
      </c>
      <c r="J6" s="11">
        <f>IFERROR(J5/J3,"")</f>
        <v>0.48092441919763651</v>
      </c>
      <c r="K6" s="11">
        <f>IFERROR(K5/K3,"")</f>
        <v>0.48092441919763651</v>
      </c>
      <c r="L6" s="11">
        <f>IFERROR(L5/L3,"")</f>
        <v>0.48092441919763651</v>
      </c>
      <c r="M6" s="120">
        <f>IFERROR(M5/M3,"")</f>
        <v>0.48092441919763651</v>
      </c>
      <c r="N6" s="6"/>
      <c r="O6" s="55" t="s">
        <v>10</v>
      </c>
      <c r="P6" s="43">
        <f>IFERROR(AVERAGE(C23:H23),"")</f>
        <v>-7.0681763706659127E-3</v>
      </c>
      <c r="Q6" s="228">
        <f>P6</f>
        <v>-7.0681763706659127E-3</v>
      </c>
      <c r="R6" s="33"/>
      <c r="S6" s="33"/>
      <c r="T6" s="33"/>
    </row>
    <row r="7" spans="1:20" ht="24.95" customHeight="1" thickTop="1">
      <c r="A7" s="123" t="s">
        <v>11</v>
      </c>
      <c r="B7" s="113">
        <f>IFERROR(-VALUE(VLOOKUP("Depreciation And Amortization*",'8.TIKR_CF'!$A:$H,COLUMN(B7),FALSE))-IFERROR(VALUE(VLOOKUP("Amortization of Goodwill and Intangible Assets*",'8.TIKR_CF'!$A:$H,COLUMN(B7),FALSE)),"0"),"0")</f>
        <v>-10261</v>
      </c>
      <c r="C7" s="113">
        <f>IFERROR(-VALUE(VLOOKUP("Depreciation And Amortization*",'8.TIKR_CF'!$A:$H,COLUMN(C7),FALSE))-IFERROR(VALUE(VLOOKUP("Amortization of Goodwill and Intangible Assets*",'8.TIKR_CF'!$A:$H,COLUMN(C7),FALSE)),"0"),"0")</f>
        <v>-11682</v>
      </c>
      <c r="D7" s="113">
        <f>IFERROR(-VALUE(VLOOKUP("Depreciation And Amortization*",'8.TIKR_CF'!$A:$H,COLUMN(D7),FALSE))-IFERROR(VALUE(VLOOKUP("Amortization of Goodwill and Intangible Assets*",'8.TIKR_CF'!$A:$H,COLUMN(D7),FALSE)),"0"),"0")</f>
        <v>-12796</v>
      </c>
      <c r="E7" s="113">
        <f>IFERROR(-VALUE(VLOOKUP("Depreciation And Amortization*",'8.TIKR_CF'!$A:$H,COLUMN(E7),FALSE))-IFERROR(VALUE(VLOOKUP("Amortization of Goodwill and Intangible Assets*",'8.TIKR_CF'!$A:$H,COLUMN(E7),FALSE)),"0"),"0")</f>
        <v>-11686</v>
      </c>
      <c r="F7" s="113">
        <f>IFERROR(-VALUE(VLOOKUP("Depreciation And Amortization*",'8.TIKR_CF'!$A:$H,COLUMN(F7),FALSE))-IFERROR(VALUE(VLOOKUP("Amortization of Goodwill and Intangible Assets*",'8.TIKR_CF'!$A:$H,COLUMN(F7),FALSE)),"0"),"0")</f>
        <v>-14460</v>
      </c>
      <c r="G7" s="113">
        <f>IFERROR(-VALUE(VLOOKUP("Depreciation And Amortization*",'8.TIKR_CF'!$A:$H,COLUMN(G7),FALSE))-IFERROR(VALUE(VLOOKUP("Amortization of Goodwill and Intangible Assets*",'8.TIKR_CF'!$A:$H,COLUMN(G7),FALSE)),"0"),"0")</f>
        <v>-13861</v>
      </c>
      <c r="H7" s="113">
        <f>IFERROR(-VALUE(VLOOKUP("Depreciation And Amortization*",'8.TIKR_CF'!$A:$H,COLUMN(H7),FALSE))-IFERROR(VALUE(VLOOKUP("Amortization of Goodwill and Intangible Assets*",'8.TIKR_CF'!$A:$H,COLUMN(H7),FALSE)),"0"),"0")</f>
        <v>-22287</v>
      </c>
      <c r="I7" s="80">
        <f>IFERROR((H7*$Q$3)+H7,"")</f>
        <v>-25470.880093298747</v>
      </c>
      <c r="J7" s="80">
        <f>IFERROR((I7*$Q$3)+I7,"")</f>
        <v>-29109.603478584035</v>
      </c>
      <c r="K7" s="80">
        <f>IFERROR((J7*$Q$3)+J7,"")</f>
        <v>-33268.148237379908</v>
      </c>
      <c r="L7" s="80">
        <f>IFERROR((K7*$Q$3)+K7,"")</f>
        <v>-38020.775101197636</v>
      </c>
      <c r="M7" s="124">
        <f>IFERROR((L7*$Q$3)+L7,"")</f>
        <v>-43452.353553949994</v>
      </c>
      <c r="N7" s="6"/>
      <c r="O7" s="6"/>
      <c r="P7" s="7"/>
      <c r="Q7" s="7"/>
      <c r="R7" s="33"/>
      <c r="S7" s="33"/>
      <c r="T7" s="33"/>
    </row>
    <row r="8" spans="1:20" ht="24.95" customHeight="1">
      <c r="A8" s="118" t="s">
        <v>12</v>
      </c>
      <c r="B8" s="114">
        <f>IFERROR(VALUE(VLOOKUP("Operating Income*",'6.TIKR_IS'!$A:$H,COLUMN(B2),FALSE)),"0")</f>
        <v>35058</v>
      </c>
      <c r="C8" s="114">
        <f>IFERROR(VALUE(VLOOKUP("Operating Income*",'6.TIKR_IS'!$A:$H,COLUMN(C2),FALSE)),"0")</f>
        <v>42959</v>
      </c>
      <c r="D8" s="114">
        <f>IFERROR(VALUE(VLOOKUP("Operating Income*",'6.TIKR_IS'!$A:$H,COLUMN(D2),FALSE)),"0")</f>
        <v>52959</v>
      </c>
      <c r="E8" s="114">
        <f>IFERROR(VALUE(VLOOKUP("Operating Income*",'6.TIKR_IS'!$A:$H,COLUMN(E2),FALSE)),"0")</f>
        <v>69916</v>
      </c>
      <c r="F8" s="114">
        <f>IFERROR(VALUE(VLOOKUP("Operating Income*",'6.TIKR_IS'!$A:$H,COLUMN(F2),FALSE)),"0")</f>
        <v>83383</v>
      </c>
      <c r="G8" s="114">
        <f>IFERROR(VALUE(VLOOKUP("Operating Income*",'6.TIKR_IS'!$A:$H,COLUMN(G2),FALSE)),"0")</f>
        <v>88523</v>
      </c>
      <c r="H8" s="114">
        <f>IFERROR(VALUE(VLOOKUP("Operating Income*",'6.TIKR_IS'!$A:$H,COLUMN(H2),FALSE)),"0")</f>
        <v>109433</v>
      </c>
      <c r="I8" s="78">
        <f>IFERROR(I3*$Q$4,"")</f>
        <v>109255.13328114568</v>
      </c>
      <c r="J8" s="78">
        <f>IFERROR(J3*$Q$4,"")</f>
        <v>124863.12197161731</v>
      </c>
      <c r="K8" s="78">
        <f>IFERROR(K3*$Q$4,"")</f>
        <v>142700.83940476514</v>
      </c>
      <c r="L8" s="78">
        <f>IFERROR(L3*$Q$4,"")</f>
        <v>163086.82055421788</v>
      </c>
      <c r="M8" s="122">
        <f>IFERROR(M3*$Q$4,"")</f>
        <v>186385.10571785402</v>
      </c>
      <c r="N8" s="6"/>
      <c r="O8" s="6"/>
      <c r="P8" s="6"/>
      <c r="Q8" s="6"/>
      <c r="R8" s="33"/>
      <c r="S8" s="33"/>
      <c r="T8" s="33"/>
    </row>
    <row r="9" spans="1:20" ht="24.95" customHeight="1">
      <c r="A9" s="102" t="s">
        <v>13</v>
      </c>
      <c r="B9" s="111">
        <f t="shared" ref="B9:M9" si="4">IFERROR((B8/B3),"")</f>
        <v>0.31766944545125048</v>
      </c>
      <c r="C9" s="11">
        <f t="shared" si="4"/>
        <v>0.3413698020549415</v>
      </c>
      <c r="D9" s="11">
        <f t="shared" si="4"/>
        <v>0.37030381428521486</v>
      </c>
      <c r="E9" s="11">
        <f t="shared" si="4"/>
        <v>0.41594878872971303</v>
      </c>
      <c r="F9" s="11">
        <f t="shared" si="4"/>
        <v>0.4205527815604983</v>
      </c>
      <c r="G9" s="11">
        <f t="shared" si="4"/>
        <v>0.41772880636104098</v>
      </c>
      <c r="H9" s="10">
        <f t="shared" si="4"/>
        <v>0.44644299573273716</v>
      </c>
      <c r="I9" s="11">
        <f t="shared" si="4"/>
        <v>0.39000234773934228</v>
      </c>
      <c r="J9" s="11">
        <f t="shared" si="4"/>
        <v>0.39000234773934228</v>
      </c>
      <c r="K9" s="11">
        <f t="shared" si="4"/>
        <v>0.39000234773934228</v>
      </c>
      <c r="L9" s="11">
        <f t="shared" si="4"/>
        <v>0.39000234773934228</v>
      </c>
      <c r="M9" s="120">
        <f t="shared" si="4"/>
        <v>0.39000234773934228</v>
      </c>
      <c r="N9" s="6"/>
      <c r="O9" s="6"/>
      <c r="P9" s="6"/>
      <c r="Q9" s="6"/>
      <c r="R9" s="33"/>
      <c r="S9" s="33"/>
      <c r="T9" s="33"/>
    </row>
    <row r="10" spans="1:20" ht="24.95" customHeight="1">
      <c r="A10" s="123" t="s">
        <v>14</v>
      </c>
      <c r="B10" s="113">
        <f>IFERROR(VALUE(VLOOKUP("Interest Expense*",'6.TIKR_IS'!$A:$H,COLUMN(B10),FALSE)),"0")</f>
        <v>-2733</v>
      </c>
      <c r="C10" s="113">
        <f>IFERROR(VALUE(VLOOKUP("Interest Expense*",'6.TIKR_IS'!$A:$H,COLUMN(C10),FALSE)),"0")</f>
        <v>-2686</v>
      </c>
      <c r="D10" s="113">
        <f>IFERROR(VALUE(VLOOKUP("Interest Expense*",'6.TIKR_IS'!$A:$H,COLUMN(D10),FALSE)),"0")</f>
        <v>-2591</v>
      </c>
      <c r="E10" s="113">
        <f>IFERROR(VALUE(VLOOKUP("Interest Expense*",'6.TIKR_IS'!$A:$H,COLUMN(E10),FALSE)),"0")</f>
        <v>-2346</v>
      </c>
      <c r="F10" s="113">
        <f>IFERROR(VALUE(VLOOKUP("Interest Expense*",'6.TIKR_IS'!$A:$H,COLUMN(F10),FALSE)),"0")</f>
        <v>-2063</v>
      </c>
      <c r="G10" s="113">
        <f>IFERROR(VALUE(VLOOKUP("Interest Expense*",'6.TIKR_IS'!$A:$H,COLUMN(G10),FALSE)),"0")</f>
        <v>-1968</v>
      </c>
      <c r="H10" s="113">
        <f>IFERROR(VALUE(VLOOKUP("Interest Expense*",'6.TIKR_IS'!$A:$H,COLUMN(H10),FALSE)),"0")</f>
        <v>-2935</v>
      </c>
      <c r="I10" s="80">
        <f>IFERROR(-TIKR_Cálculos!$B$26*SUM('3.ROIC'!I6:I7),"")</f>
        <v>-1800.5326394834108</v>
      </c>
      <c r="J10" s="80">
        <f>IFERROR(-TIKR_Cálculos!$B$26*SUM('3.ROIC'!J6:J7),"")</f>
        <v>-1906.7253407178678</v>
      </c>
      <c r="K10" s="80">
        <f>IFERROR(-TIKR_Cálculos!$B$26*SUM('3.ROIC'!K6:K7),"")</f>
        <v>-2028.0885371968177</v>
      </c>
      <c r="L10" s="80">
        <f>IFERROR(-TIKR_Cálculos!$B$26*SUM('3.ROIC'!L6:L7),"")</f>
        <v>-2166.7894581487085</v>
      </c>
      <c r="M10" s="124">
        <f>IFERROR(-TIKR_Cálculos!$B$26*SUM('3.ROIC'!M6:M7),"")</f>
        <v>-2325.3049392092244</v>
      </c>
      <c r="N10" s="6"/>
      <c r="O10" s="6"/>
      <c r="P10" s="6"/>
      <c r="Q10" s="6"/>
      <c r="R10" s="33"/>
      <c r="S10" s="33"/>
      <c r="T10" s="33"/>
    </row>
    <row r="11" spans="1:20" ht="24.95" customHeight="1">
      <c r="A11" s="123" t="s">
        <v>15</v>
      </c>
      <c r="B11" s="113">
        <f>IFERROR(VALUE(VLOOKUP("Total Other Income/Expenses Net*",'6.TIKR_IS'!$A:$H,COLUMN(B11),FALSE)),"0")</f>
        <v>1935</v>
      </c>
      <c r="C11" s="113">
        <f>IFERROR(VALUE(VLOOKUP("Total Other Income/Expenses Net*",'6.TIKR_IS'!$A:$H,COLUMN(C11),FALSE)),"0")</f>
        <v>653</v>
      </c>
      <c r="D11" s="113">
        <f>IFERROR(VALUE(VLOOKUP("Total Other Income/Expenses Net*",'6.TIKR_IS'!$A:$H,COLUMN(D11),FALSE)),"0")</f>
        <v>-12</v>
      </c>
      <c r="E11" s="113">
        <f>IFERROR(VALUE(VLOOKUP("Total Other Income/Expenses Net*",'6.TIKR_IS'!$A:$H,COLUMN(E11),FALSE)),"0")</f>
        <v>1401</v>
      </c>
      <c r="F11" s="113">
        <f>IFERROR(VALUE(VLOOKUP("Total Other Income/Expenses Net*",'6.TIKR_IS'!$A:$H,COLUMN(F11),FALSE)),"0")</f>
        <v>302</v>
      </c>
      <c r="G11" s="113">
        <f>IFERROR(VALUE(VLOOKUP("Total Other Income/Expenses Net*",'6.TIKR_IS'!$A:$H,COLUMN(G11),FALSE)),"0")</f>
        <v>-238</v>
      </c>
      <c r="H11" s="113">
        <f>IFERROR(VALUE(VLOOKUP("Total Other Income/Expenses Net*",'6.TIKR_IS'!$A:$H,COLUMN(H11),FALSE)),"0")</f>
        <v>-1646</v>
      </c>
      <c r="I11" s="80">
        <f>IFERROR(TIKR_Cálculos!$B$25*'3.ROIC'!I5,"")</f>
        <v>226.19844957726315</v>
      </c>
      <c r="J11" s="80">
        <f>IFERROR(TIKR_Cálculos!$B$25*'3.ROIC'!J5,"")</f>
        <v>234.42085247978494</v>
      </c>
      <c r="K11" s="80">
        <f>IFERROR(TIKR_Cálculos!$B$25*'3.ROIC'!K5,"")</f>
        <v>243.81789283554937</v>
      </c>
      <c r="L11" s="80">
        <f>IFERROR(TIKR_Cálculos!$B$25*'3.ROIC'!L5,"")</f>
        <v>254.55737720462403</v>
      </c>
      <c r="M11" s="124">
        <f>IFERROR(TIKR_Cálculos!$B$25*'3.ROIC'!M5,"")</f>
        <v>266.83108468560204</v>
      </c>
      <c r="N11" s="6"/>
      <c r="O11" s="6"/>
      <c r="P11" s="6"/>
      <c r="Q11" s="6"/>
      <c r="R11" s="33"/>
      <c r="S11" s="33"/>
      <c r="T11" s="33"/>
    </row>
    <row r="12" spans="1:20" ht="24.95" customHeight="1">
      <c r="A12" s="102" t="s">
        <v>16</v>
      </c>
      <c r="B12" s="115">
        <f>B10+B11</f>
        <v>-798</v>
      </c>
      <c r="C12" s="80">
        <f t="shared" ref="C12:H12" si="5">C10+C11</f>
        <v>-2033</v>
      </c>
      <c r="D12" s="80">
        <f t="shared" si="5"/>
        <v>-2603</v>
      </c>
      <c r="E12" s="80">
        <f t="shared" si="5"/>
        <v>-945</v>
      </c>
      <c r="F12" s="80">
        <f t="shared" si="5"/>
        <v>-1761</v>
      </c>
      <c r="G12" s="80">
        <f t="shared" si="5"/>
        <v>-2206</v>
      </c>
      <c r="H12" s="81">
        <f t="shared" si="5"/>
        <v>-4581</v>
      </c>
      <c r="I12" s="80">
        <f>IFERROR(SUM(I10:I11),"")</f>
        <v>-1574.3341899061477</v>
      </c>
      <c r="J12" s="80">
        <f t="shared" ref="J12:M12" si="6">IFERROR(SUM(J10:J11),"")</f>
        <v>-1672.3044882380827</v>
      </c>
      <c r="K12" s="80">
        <f t="shared" si="6"/>
        <v>-1784.2706443612683</v>
      </c>
      <c r="L12" s="80">
        <f t="shared" si="6"/>
        <v>-1912.2320809440844</v>
      </c>
      <c r="M12" s="124">
        <f t="shared" si="6"/>
        <v>-2058.4738545236223</v>
      </c>
      <c r="N12" s="6"/>
      <c r="O12" s="6"/>
      <c r="P12" s="7"/>
      <c r="Q12" s="7"/>
      <c r="R12" s="33"/>
      <c r="S12" s="33"/>
      <c r="T12" s="33"/>
    </row>
    <row r="13" spans="1:20" ht="24.95" customHeight="1" collapsed="1">
      <c r="A13" s="102" t="s">
        <v>17</v>
      </c>
      <c r="B13" s="115">
        <f t="shared" ref="B13:M13" si="7">IFERROR(B8+B12,"")</f>
        <v>34260</v>
      </c>
      <c r="C13" s="80">
        <f t="shared" si="7"/>
        <v>40926</v>
      </c>
      <c r="D13" s="80">
        <f t="shared" si="7"/>
        <v>50356</v>
      </c>
      <c r="E13" s="80">
        <f t="shared" si="7"/>
        <v>68971</v>
      </c>
      <c r="F13" s="80">
        <f t="shared" si="7"/>
        <v>81622</v>
      </c>
      <c r="G13" s="80">
        <f t="shared" si="7"/>
        <v>86317</v>
      </c>
      <c r="H13" s="81">
        <f t="shared" si="7"/>
        <v>104852</v>
      </c>
      <c r="I13" s="80">
        <f t="shared" si="7"/>
        <v>107680.79909123953</v>
      </c>
      <c r="J13" s="80">
        <f t="shared" si="7"/>
        <v>123190.81748337923</v>
      </c>
      <c r="K13" s="80">
        <f t="shared" si="7"/>
        <v>140916.56876040387</v>
      </c>
      <c r="L13" s="80">
        <f t="shared" si="7"/>
        <v>161174.58847327379</v>
      </c>
      <c r="M13" s="124">
        <f t="shared" si="7"/>
        <v>184326.6318633304</v>
      </c>
      <c r="N13" s="6"/>
      <c r="O13" s="6"/>
      <c r="P13" s="7"/>
      <c r="Q13" s="7"/>
      <c r="R13" s="33"/>
      <c r="S13" s="33"/>
      <c r="T13" s="33"/>
    </row>
    <row r="14" spans="1:20" ht="24.95" customHeight="1">
      <c r="A14" s="123" t="s">
        <v>18</v>
      </c>
      <c r="B14" s="113">
        <f>IFERROR(VALUE(VLOOKUP("Income Tax Expense*",'6.TIKR_IS'!$A:$H,COLUMN(B14),FALSE)),"0")</f>
        <v>-19903</v>
      </c>
      <c r="C14" s="113">
        <f>IFERROR(VALUE(VLOOKUP("Income Tax Expense*",'6.TIKR_IS'!$A:$H,COLUMN(C14),FALSE)),"0")</f>
        <v>-4448</v>
      </c>
      <c r="D14" s="113">
        <f>IFERROR(VALUE(VLOOKUP("Income Tax Expense*",'6.TIKR_IS'!$A:$H,COLUMN(D14),FALSE)),"0")</f>
        <v>-8755</v>
      </c>
      <c r="E14" s="113">
        <f>IFERROR(VALUE(VLOOKUP("Income Tax Expense*",'6.TIKR_IS'!$A:$H,COLUMN(E14),FALSE)),"0")</f>
        <v>-9831</v>
      </c>
      <c r="F14" s="113">
        <f>IFERROR(VALUE(VLOOKUP("Income Tax Expense*",'6.TIKR_IS'!$A:$H,COLUMN(F14),FALSE)),"0")</f>
        <v>-10978</v>
      </c>
      <c r="G14" s="113">
        <f>IFERROR(VALUE(VLOOKUP("Income Tax Expense*",'6.TIKR_IS'!$A:$H,COLUMN(G14),FALSE)),"0")</f>
        <v>-16950</v>
      </c>
      <c r="H14" s="113">
        <f>IFERROR(VALUE(VLOOKUP("Income Tax Expense*",'6.TIKR_IS'!$A:$H,COLUMN(H14),FALSE)),"0")</f>
        <v>-19651</v>
      </c>
      <c r="I14" s="80">
        <f>IFERROR(-I13*I15,"")</f>
        <v>-20181.163763609165</v>
      </c>
      <c r="J14" s="80">
        <f>IFERROR(-J13*J15,"")</f>
        <v>-23087.997886219484</v>
      </c>
      <c r="K14" s="80">
        <f>IFERROR(-K13*K15,"")</f>
        <v>-26410.097019710607</v>
      </c>
      <c r="L14" s="80">
        <f>IFERROR(-L13*L15,"")</f>
        <v>-30206.78516469217</v>
      </c>
      <c r="M14" s="124">
        <f>IFERROR(-M13*M15,"")</f>
        <v>-34545.861240093713</v>
      </c>
      <c r="N14" s="6"/>
      <c r="O14" s="6"/>
      <c r="P14" s="6"/>
      <c r="Q14" s="6"/>
      <c r="R14" s="33"/>
      <c r="S14" s="33"/>
      <c r="T14" s="33"/>
    </row>
    <row r="15" spans="1:20" ht="24.95" customHeight="1">
      <c r="A15" s="102" t="s">
        <v>19</v>
      </c>
      <c r="B15" s="111">
        <f t="shared" ref="B15:H15" si="8">IFERROR((ABS(B14)/B13),"")</f>
        <v>0.58093987157034443</v>
      </c>
      <c r="C15" s="11">
        <f t="shared" si="8"/>
        <v>0.10868396618286663</v>
      </c>
      <c r="D15" s="11">
        <f t="shared" si="8"/>
        <v>0.17386210183493525</v>
      </c>
      <c r="E15" s="11">
        <f t="shared" si="8"/>
        <v>0.14253816821562687</v>
      </c>
      <c r="F15" s="11">
        <f t="shared" si="8"/>
        <v>0.13449805199578546</v>
      </c>
      <c r="G15" s="11">
        <f t="shared" si="8"/>
        <v>0.19636919726125793</v>
      </c>
      <c r="H15" s="10">
        <f t="shared" si="8"/>
        <v>0.18741654904055241</v>
      </c>
      <c r="I15" s="11">
        <f>$Q$5</f>
        <v>0.18741654904055241</v>
      </c>
      <c r="J15" s="11">
        <f>$Q$5</f>
        <v>0.18741654904055241</v>
      </c>
      <c r="K15" s="11">
        <f>$Q$5</f>
        <v>0.18741654904055241</v>
      </c>
      <c r="L15" s="11">
        <f>$Q$5</f>
        <v>0.18741654904055241</v>
      </c>
      <c r="M15" s="120">
        <f>$Q$5</f>
        <v>0.18741654904055241</v>
      </c>
      <c r="N15" s="6"/>
      <c r="O15" s="6"/>
      <c r="P15" s="7"/>
      <c r="Q15" s="7"/>
      <c r="R15" s="33"/>
      <c r="S15" s="33"/>
      <c r="T15" s="33"/>
    </row>
    <row r="16" spans="1:20" ht="24.95" customHeight="1">
      <c r="A16" s="102" t="s">
        <v>20</v>
      </c>
      <c r="B16" s="115">
        <f t="shared" ref="B16:H16" si="9">B13+B14</f>
        <v>14357</v>
      </c>
      <c r="C16" s="80">
        <f t="shared" si="9"/>
        <v>36478</v>
      </c>
      <c r="D16" s="80">
        <f t="shared" si="9"/>
        <v>41601</v>
      </c>
      <c r="E16" s="80">
        <f t="shared" si="9"/>
        <v>59140</v>
      </c>
      <c r="F16" s="80">
        <f t="shared" si="9"/>
        <v>70644</v>
      </c>
      <c r="G16" s="80">
        <f t="shared" si="9"/>
        <v>69367</v>
      </c>
      <c r="H16" s="81">
        <f t="shared" si="9"/>
        <v>85201</v>
      </c>
      <c r="I16" s="80">
        <f>IFERROR(I13+I14,"")</f>
        <v>87499.635327630371</v>
      </c>
      <c r="J16" s="80">
        <f>IFERROR(J13+J14,"")</f>
        <v>100102.81959715975</v>
      </c>
      <c r="K16" s="80">
        <f>IFERROR(K13+K14,"")</f>
        <v>114506.47174069326</v>
      </c>
      <c r="L16" s="80">
        <f>IFERROR(L13+L14,"")</f>
        <v>130967.80330858161</v>
      </c>
      <c r="M16" s="124">
        <f>IFERROR(M13+M14,"")</f>
        <v>149780.77062323669</v>
      </c>
      <c r="N16" s="6"/>
      <c r="O16" s="6"/>
      <c r="P16" s="7"/>
      <c r="Q16" s="7"/>
      <c r="R16" s="33"/>
      <c r="S16" s="33"/>
      <c r="T16" s="33"/>
    </row>
    <row r="17" spans="1:20" ht="24.95" customHeight="1">
      <c r="A17" s="123" t="s">
        <v>21</v>
      </c>
      <c r="B17" s="113" t="str">
        <f>IFERROR(VALUE(VLOOKUP("Minority Interest*",'6.TIKR_IS'!$A:$H,COLUMN(B17),FALSE)),"0")</f>
        <v>0</v>
      </c>
      <c r="C17" s="113" t="str">
        <f>IFERROR(VALUE(VLOOKUP("Minority Interest*",'6.TIKR_IS'!$A:$H,COLUMN(C17),FALSE)),"0")</f>
        <v>0</v>
      </c>
      <c r="D17" s="113" t="str">
        <f>IFERROR(VALUE(VLOOKUP("Minority Interest*",'6.TIKR_IS'!$A:$H,COLUMN(D17),FALSE)),"0")</f>
        <v>0</v>
      </c>
      <c r="E17" s="113" t="str">
        <f>IFERROR(VALUE(VLOOKUP("Minority Interest*",'6.TIKR_IS'!$A:$H,COLUMN(E17),FALSE)),"0")</f>
        <v>0</v>
      </c>
      <c r="F17" s="113" t="str">
        <f>IFERROR(VALUE(VLOOKUP("Minority Interest*",'6.TIKR_IS'!$A:$H,COLUMN(F17),FALSE)),"0")</f>
        <v>0</v>
      </c>
      <c r="G17" s="113" t="str">
        <f>IFERROR(VALUE(VLOOKUP("Minority Interest*",'6.TIKR_IS'!$A:$H,COLUMN(G17),FALSE)),"0")</f>
        <v>0</v>
      </c>
      <c r="H17" s="113" t="str">
        <f>IFERROR(VALUE(VLOOKUP("Minority Interest*",'6.TIKR_IS'!$A:$H,COLUMN(H17),FALSE)),"0")</f>
        <v>0</v>
      </c>
      <c r="I17" s="80">
        <f>IFERROR(H17/H16*I16,"")</f>
        <v>0</v>
      </c>
      <c r="J17" s="80">
        <f>IFERROR(I17/I16*J16,"")</f>
        <v>0</v>
      </c>
      <c r="K17" s="80">
        <f>IFERROR(J17/J16*K16,"")</f>
        <v>0</v>
      </c>
      <c r="L17" s="80">
        <f>IFERROR(K17/K16*L16,"")</f>
        <v>0</v>
      </c>
      <c r="M17" s="124">
        <f>IFERROR(L17/L16*M16,"")</f>
        <v>0</v>
      </c>
      <c r="N17" s="6"/>
      <c r="O17" s="6"/>
      <c r="P17" s="7"/>
      <c r="Q17" s="7"/>
      <c r="R17" s="33"/>
      <c r="S17" s="33"/>
      <c r="T17" s="33"/>
    </row>
    <row r="18" spans="1:20" ht="24.95" customHeight="1">
      <c r="A18" s="121" t="s">
        <v>22</v>
      </c>
      <c r="B18" s="112">
        <f t="shared" ref="B18:H18" si="10">B16+B17</f>
        <v>14357</v>
      </c>
      <c r="C18" s="78">
        <f t="shared" si="10"/>
        <v>36478</v>
      </c>
      <c r="D18" s="78">
        <f t="shared" si="10"/>
        <v>41601</v>
      </c>
      <c r="E18" s="78">
        <f t="shared" si="10"/>
        <v>59140</v>
      </c>
      <c r="F18" s="78">
        <f t="shared" si="10"/>
        <v>70644</v>
      </c>
      <c r="G18" s="78">
        <f t="shared" si="10"/>
        <v>69367</v>
      </c>
      <c r="H18" s="79">
        <f t="shared" si="10"/>
        <v>85201</v>
      </c>
      <c r="I18" s="78">
        <f>IFERROR(I16+I17,"")</f>
        <v>87499.635327630371</v>
      </c>
      <c r="J18" s="78">
        <f>IFERROR(J16+J17,"")</f>
        <v>100102.81959715975</v>
      </c>
      <c r="K18" s="78">
        <f>IFERROR(K16+K17,"")</f>
        <v>114506.47174069326</v>
      </c>
      <c r="L18" s="78">
        <f>IFERROR(L16+L17,"")</f>
        <v>130967.80330858161</v>
      </c>
      <c r="M18" s="122">
        <f>IFERROR(M16+M17,"")</f>
        <v>149780.77062323669</v>
      </c>
      <c r="N18" s="6"/>
      <c r="O18" s="6"/>
      <c r="P18" s="7"/>
      <c r="Q18" s="7"/>
      <c r="R18" s="33"/>
      <c r="S18" s="33"/>
      <c r="T18" s="33"/>
    </row>
    <row r="19" spans="1:20" ht="24.95" customHeight="1">
      <c r="A19" s="102" t="s">
        <v>23</v>
      </c>
      <c r="B19" s="111">
        <f t="shared" ref="B19:M19" si="11">IFERROR(B18/B3,"")</f>
        <v>0.13009242479159117</v>
      </c>
      <c r="C19" s="11">
        <f t="shared" si="11"/>
        <v>0.28986912263693648</v>
      </c>
      <c r="D19" s="11">
        <f t="shared" si="11"/>
        <v>0.29088557144355487</v>
      </c>
      <c r="E19" s="11">
        <f t="shared" si="11"/>
        <v>0.35183951263623814</v>
      </c>
      <c r="F19" s="11">
        <f t="shared" si="11"/>
        <v>0.35630201240732334</v>
      </c>
      <c r="G19" s="11">
        <f t="shared" si="11"/>
        <v>0.32733407262345754</v>
      </c>
      <c r="H19" s="10">
        <f t="shared" si="11"/>
        <v>0.34758609998286566</v>
      </c>
      <c r="I19" s="11">
        <f t="shared" si="11"/>
        <v>0.31234288201633775</v>
      </c>
      <c r="J19" s="11">
        <f t="shared" si="11"/>
        <v>0.31266505307383247</v>
      </c>
      <c r="K19" s="11">
        <f t="shared" si="11"/>
        <v>0.31294695249513571</v>
      </c>
      <c r="L19" s="11">
        <f t="shared" si="11"/>
        <v>0.31319361426652215</v>
      </c>
      <c r="M19" s="120">
        <f t="shared" si="11"/>
        <v>0.31340944312201335</v>
      </c>
      <c r="N19" s="6"/>
      <c r="O19" s="6"/>
      <c r="P19" s="7"/>
      <c r="Q19" s="7"/>
      <c r="R19" s="33"/>
      <c r="S19" s="33"/>
      <c r="T19" s="33"/>
    </row>
    <row r="20" spans="1:20" ht="24.95" customHeight="1">
      <c r="A20" s="102" t="s">
        <v>24</v>
      </c>
      <c r="B20" s="116">
        <f t="shared" ref="B20:M20" si="12">IFERROR(B18/B22,"")</f>
        <v>1.8420579933282011</v>
      </c>
      <c r="C20" s="82">
        <f t="shared" si="12"/>
        <v>4.7050174126144721</v>
      </c>
      <c r="D20" s="82">
        <f t="shared" si="12"/>
        <v>5.4146817649355716</v>
      </c>
      <c r="E20" s="82">
        <f t="shared" si="12"/>
        <v>7.7733964248159833</v>
      </c>
      <c r="F20" s="82">
        <f t="shared" si="12"/>
        <v>9.3692307692307697</v>
      </c>
      <c r="G20" s="82">
        <f t="shared" si="12"/>
        <v>9.2835920770877944</v>
      </c>
      <c r="H20" s="83">
        <f t="shared" si="12"/>
        <v>11.407283438211273</v>
      </c>
      <c r="I20" s="82">
        <f t="shared" si="12"/>
        <v>11.798433619605875</v>
      </c>
      <c r="J20" s="82">
        <f t="shared" si="12"/>
        <v>13.593928794212488</v>
      </c>
      <c r="K20" s="82">
        <f t="shared" si="12"/>
        <v>15.660631956429041</v>
      </c>
      <c r="L20" s="82">
        <f t="shared" si="12"/>
        <v>18.039494486001232</v>
      </c>
      <c r="M20" s="125">
        <f t="shared" si="12"/>
        <v>20.777651163913792</v>
      </c>
      <c r="N20" s="6"/>
      <c r="O20" s="6"/>
      <c r="P20" s="6"/>
      <c r="Q20" s="6"/>
      <c r="R20" s="33"/>
      <c r="S20" s="33"/>
      <c r="T20" s="33"/>
    </row>
    <row r="21" spans="1:20" ht="24.95" customHeight="1">
      <c r="A21" s="102" t="s">
        <v>5</v>
      </c>
      <c r="B21" s="111"/>
      <c r="C21" s="11">
        <f t="shared" ref="C21:M21" si="13">IFERROR((C20-B20)/B20,"")</f>
        <v>1.5542178528882913</v>
      </c>
      <c r="D21" s="11">
        <f t="shared" si="13"/>
        <v>0.15083139765188563</v>
      </c>
      <c r="E21" s="11">
        <f t="shared" si="13"/>
        <v>0.43561464224084046</v>
      </c>
      <c r="F21" s="11">
        <f t="shared" si="13"/>
        <v>0.20529434718139492</v>
      </c>
      <c r="G21" s="11">
        <f t="shared" si="13"/>
        <v>-9.1404187016311846E-3</v>
      </c>
      <c r="H21" s="10">
        <f t="shared" si="13"/>
        <v>0.22875750501412245</v>
      </c>
      <c r="I21" s="11">
        <f t="shared" si="13"/>
        <v>3.4289511916952654E-2</v>
      </c>
      <c r="J21" s="11">
        <f t="shared" si="13"/>
        <v>0.15218080912223592</v>
      </c>
      <c r="K21" s="11">
        <f t="shared" si="13"/>
        <v>0.15203133645193409</v>
      </c>
      <c r="L21" s="11">
        <f t="shared" si="13"/>
        <v>0.15190080043964088</v>
      </c>
      <c r="M21" s="120">
        <f t="shared" si="13"/>
        <v>0.15178677429333665</v>
      </c>
      <c r="N21" s="6"/>
      <c r="O21" s="6"/>
      <c r="P21" s="6"/>
      <c r="Q21" s="6"/>
      <c r="R21" s="33"/>
      <c r="S21" s="33"/>
      <c r="T21" s="33"/>
    </row>
    <row r="22" spans="1:20" ht="24.95" customHeight="1">
      <c r="A22" s="123" t="s">
        <v>25</v>
      </c>
      <c r="B22" s="117">
        <f>IFERROR(VALUE(VLOOKUP("*Diluted Weighted Average Shares Outstanding*",'6.TIKR_IS'!$A:$H,COLUMN(B22),FALSE)),"0")</f>
        <v>7794</v>
      </c>
      <c r="C22" s="117">
        <f>IFERROR(VALUE(VLOOKUP("*Diluted Weighted Average Shares Outstanding*",'6.TIKR_IS'!$A:$H,COLUMN(C22),FALSE)),"0")</f>
        <v>7753</v>
      </c>
      <c r="D22" s="117">
        <f>IFERROR(VALUE(VLOOKUP("*Diluted Weighted Average Shares Outstanding*",'6.TIKR_IS'!$A:$H,COLUMN(D22),FALSE)),"0")</f>
        <v>7683</v>
      </c>
      <c r="E22" s="117">
        <f>IFERROR(VALUE(VLOOKUP("*Diluted Weighted Average Shares Outstanding*",'6.TIKR_IS'!$A:$H,COLUMN(E22),FALSE)),"0")</f>
        <v>7608</v>
      </c>
      <c r="F22" s="117">
        <f>IFERROR(VALUE(VLOOKUP("*Diluted Weighted Average Shares Outstanding*",'6.TIKR_IS'!$A:$H,COLUMN(F22),FALSE)),"0")</f>
        <v>7540</v>
      </c>
      <c r="G22" s="117">
        <f>IFERROR(VALUE(VLOOKUP("*Diluted Weighted Average Shares Outstanding*",'6.TIKR_IS'!$A:$H,COLUMN(G22),FALSE)),"0")</f>
        <v>7472</v>
      </c>
      <c r="H22" s="117">
        <f>IFERROR(VALUE(VLOOKUP("*Diluted Weighted Average Shares Outstanding*",'6.TIKR_IS'!$A:$H,COLUMN(H22),FALSE)),"0")</f>
        <v>7469</v>
      </c>
      <c r="I22" s="12">
        <f>IFERROR(H22*(1+$Q$6),"")</f>
        <v>7416.2077906874965</v>
      </c>
      <c r="J22" s="12">
        <f>IFERROR(I22*(1+$Q$6),"")</f>
        <v>7363.7887260214102</v>
      </c>
      <c r="K22" s="12">
        <f>IFERROR(J22*(1+$Q$6),"")</f>
        <v>7311.7401685495697</v>
      </c>
      <c r="L22" s="12">
        <f>IFERROR(K22*(1+$Q$6),"")</f>
        <v>7260.0594994617786</v>
      </c>
      <c r="M22" s="126">
        <f>IFERROR(L22*(1+$Q$6),"")</f>
        <v>7208.7441184580539</v>
      </c>
      <c r="N22" s="6"/>
      <c r="O22" s="6"/>
      <c r="P22" s="7"/>
      <c r="Q22" s="7"/>
      <c r="R22" s="33"/>
      <c r="S22" s="33"/>
      <c r="T22" s="33"/>
    </row>
    <row r="23" spans="1:20" ht="24.95" customHeight="1">
      <c r="A23" s="28" t="s">
        <v>5</v>
      </c>
      <c r="B23" s="127"/>
      <c r="C23" s="128">
        <f t="shared" ref="C23:M23" si="14">IFERROR((C22-B22)/B22,"")</f>
        <v>-5.2604567616114963E-3</v>
      </c>
      <c r="D23" s="128">
        <f t="shared" si="14"/>
        <v>-9.0287630594608533E-3</v>
      </c>
      <c r="E23" s="128">
        <f t="shared" si="14"/>
        <v>-9.7618117922686452E-3</v>
      </c>
      <c r="F23" s="128">
        <f t="shared" si="14"/>
        <v>-8.9379600420609884E-3</v>
      </c>
      <c r="G23" s="128">
        <f t="shared" si="14"/>
        <v>-9.0185676392572946E-3</v>
      </c>
      <c r="H23" s="129">
        <f t="shared" si="14"/>
        <v>-4.0149892933618843E-4</v>
      </c>
      <c r="I23" s="128">
        <f t="shared" si="14"/>
        <v>-7.0681763706658823E-3</v>
      </c>
      <c r="J23" s="128">
        <f t="shared" si="14"/>
        <v>-7.0681763706659838E-3</v>
      </c>
      <c r="K23" s="128">
        <f t="shared" si="14"/>
        <v>-7.0681763706658979E-3</v>
      </c>
      <c r="L23" s="128">
        <f t="shared" si="14"/>
        <v>-7.0681763706659448E-3</v>
      </c>
      <c r="M23" s="130">
        <f t="shared" si="14"/>
        <v>-7.0681763706659656E-3</v>
      </c>
      <c r="N23" s="6"/>
      <c r="O23" s="6"/>
      <c r="P23" s="7"/>
      <c r="Q23" s="7"/>
      <c r="R23" s="33"/>
      <c r="S23" s="33"/>
      <c r="T23" s="33"/>
    </row>
    <row r="24" spans="1:20" ht="15.75" customHeight="1">
      <c r="A24" s="34"/>
      <c r="B24" s="35"/>
      <c r="C24" s="35"/>
      <c r="D24" s="35"/>
      <c r="E24" s="35"/>
      <c r="F24" s="35"/>
      <c r="G24" s="35"/>
      <c r="H24" s="36"/>
      <c r="I24" s="36"/>
      <c r="J24" s="35"/>
      <c r="K24" s="35"/>
      <c r="L24" s="35"/>
      <c r="M24" s="35"/>
      <c r="N24" s="6"/>
      <c r="O24" s="6"/>
      <c r="P24" s="7"/>
      <c r="Q24" s="7"/>
      <c r="R24" s="33"/>
      <c r="S24" s="33"/>
      <c r="T24" s="33"/>
    </row>
    <row r="25" spans="1:20" ht="15.95" hidden="1" customHeight="1">
      <c r="R25" s="33"/>
      <c r="S25" s="33"/>
      <c r="T25" s="33"/>
    </row>
    <row r="26" spans="1:20" ht="9.75" hidden="1" customHeight="1">
      <c r="R26" s="33"/>
      <c r="S26" s="33"/>
      <c r="T26" s="33"/>
    </row>
    <row r="27" spans="1:20" s="30" customFormat="1" ht="20.100000000000001" hidden="1" customHeight="1">
      <c r="R27" s="34"/>
      <c r="S27" s="34"/>
      <c r="T27" s="34"/>
    </row>
    <row r="28" spans="1:20" s="30" customFormat="1" ht="20.100000000000001" hidden="1" customHeight="1">
      <c r="R28" s="34"/>
      <c r="S28" s="34"/>
      <c r="T28" s="34"/>
    </row>
    <row r="29" spans="1:20" s="30" customFormat="1" ht="20.100000000000001" hidden="1" customHeight="1">
      <c r="R29" s="34"/>
      <c r="S29" s="34"/>
      <c r="T29" s="34"/>
    </row>
    <row r="30" spans="1:20" s="30" customFormat="1" ht="20.100000000000001" hidden="1" customHeight="1">
      <c r="R30" s="34"/>
      <c r="S30" s="34"/>
      <c r="T30" s="34"/>
    </row>
    <row r="31" spans="1:20" ht="15.95" hidden="1" customHeight="1">
      <c r="R31" s="33"/>
      <c r="S31" s="33"/>
      <c r="T31" s="33"/>
    </row>
    <row r="32" spans="1:20" ht="15.95" hidden="1" customHeight="1">
      <c r="R32" s="33"/>
      <c r="S32" s="33"/>
      <c r="T32" s="33"/>
    </row>
    <row r="33" spans="18:20" ht="15.95" hidden="1" customHeight="1">
      <c r="R33" s="33"/>
      <c r="S33" s="33"/>
      <c r="T33" s="33"/>
    </row>
    <row r="34" spans="18:20" ht="15.95" hidden="1" customHeight="1">
      <c r="R34" s="33"/>
      <c r="S34" s="33"/>
      <c r="T34" s="33"/>
    </row>
    <row r="35" spans="18:20" ht="15.95" hidden="1" customHeight="1">
      <c r="R35" s="33"/>
      <c r="S35" s="33"/>
      <c r="T35" s="33"/>
    </row>
    <row r="36" spans="18:20" ht="15.95" hidden="1" customHeight="1">
      <c r="R36" s="33"/>
      <c r="S36" s="33"/>
      <c r="T36" s="33"/>
    </row>
    <row r="55" spans="1:1" hidden="1">
      <c r="A55" s="37"/>
    </row>
    <row r="56" spans="1:1" hidden="1">
      <c r="A56" s="37"/>
    </row>
  </sheetData>
  <pageMargins left="0.7" right="0.7" top="0.75" bottom="0.75" header="0.3" footer="0.3"/>
  <pageSetup paperSize="9" orientation="portrait" r:id="rId1"/>
  <ignoredErrors>
    <ignoredError sqref="I22:M22" formula="1"/>
  </ignoredErrors>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0"/>
  <sheetViews>
    <sheetView showGridLines="0" topLeftCell="A23" zoomScale="85" zoomScaleNormal="85" workbookViewId="0">
      <selection activeCell="B29" sqref="B29:H29"/>
    </sheetView>
  </sheetViews>
  <sheetFormatPr defaultColWidth="0" defaultRowHeight="17.25"/>
  <cols>
    <col min="1" max="1" width="64" style="4" bestFit="1" customWidth="1"/>
    <col min="2" max="13" width="14.7109375" style="5" customWidth="1"/>
    <col min="14" max="14" width="18" style="5" customWidth="1"/>
    <col min="15" max="15" width="13.42578125" style="4" customWidth="1"/>
    <col min="16" max="17" width="15.42578125" style="4" hidden="1" customWidth="1"/>
    <col min="18" max="16384" width="9.140625" style="4" hidden="1"/>
  </cols>
  <sheetData>
    <row r="1" spans="1:14" ht="99.95" customHeight="1">
      <c r="B1" s="19" t="s">
        <v>26</v>
      </c>
    </row>
    <row r="2" spans="1:14" s="6" customFormat="1" ht="39.950000000000003" customHeight="1">
      <c r="A2" s="108" t="s">
        <v>27</v>
      </c>
      <c r="B2" s="40">
        <f>'1.IS'!B$2</f>
        <v>2018</v>
      </c>
      <c r="C2" s="40">
        <f>'1.IS'!C$2</f>
        <v>2019</v>
      </c>
      <c r="D2" s="40">
        <f>'1.IS'!D$2</f>
        <v>2020</v>
      </c>
      <c r="E2" s="40">
        <f>'1.IS'!E$2</f>
        <v>2021</v>
      </c>
      <c r="F2" s="40">
        <f>'1.IS'!F$2</f>
        <v>2022</v>
      </c>
      <c r="G2" s="40">
        <f>'1.IS'!G$2</f>
        <v>2023</v>
      </c>
      <c r="H2" s="40">
        <f>'1.IS'!H$2</f>
        <v>2024</v>
      </c>
      <c r="I2" s="8" t="str">
        <f>'1.IS'!I$2</f>
        <v>2025e</v>
      </c>
      <c r="J2" s="8" t="str">
        <f>'1.IS'!J$2</f>
        <v>2026e</v>
      </c>
      <c r="K2" s="8" t="str">
        <f>'1.IS'!K$2</f>
        <v>2027e</v>
      </c>
      <c r="L2" s="8" t="str">
        <f>'1.IS'!L$2</f>
        <v>2028e</v>
      </c>
      <c r="M2" s="8" t="str">
        <f>'1.IS'!M$2</f>
        <v>2029e</v>
      </c>
      <c r="N2" s="18"/>
    </row>
    <row r="3" spans="1:14" s="6" customFormat="1" ht="27.95" customHeight="1">
      <c r="A3" s="121" t="s">
        <v>7</v>
      </c>
      <c r="B3" s="112">
        <f>VALUE('1.IS'!B5)</f>
        <v>45319</v>
      </c>
      <c r="C3" s="112">
        <f>VALUE('1.IS'!C5)</f>
        <v>54641</v>
      </c>
      <c r="D3" s="112">
        <f>VALUE('1.IS'!D5)</f>
        <v>65755</v>
      </c>
      <c r="E3" s="112">
        <f>VALUE('1.IS'!E5)</f>
        <v>81602</v>
      </c>
      <c r="F3" s="112">
        <f>VALUE('1.IS'!F5)</f>
        <v>97843</v>
      </c>
      <c r="G3" s="112">
        <f>VALUE('1.IS'!G5)</f>
        <v>102384</v>
      </c>
      <c r="H3" s="112">
        <f>VALUE('1.IS'!H5)</f>
        <v>131720</v>
      </c>
      <c r="I3" s="112">
        <f>'1.IS'!I5</f>
        <v>134726.01337444442</v>
      </c>
      <c r="J3" s="78">
        <f>'1.IS'!J5</f>
        <v>153972.72545020134</v>
      </c>
      <c r="K3" s="78">
        <f>'1.IS'!K5</f>
        <v>175968.98764214505</v>
      </c>
      <c r="L3" s="78">
        <f>'1.IS'!L5</f>
        <v>201107.5956554155</v>
      </c>
      <c r="M3" s="122">
        <f>'1.IS'!M5</f>
        <v>229837.45927180402</v>
      </c>
      <c r="N3" s="9"/>
    </row>
    <row r="4" spans="1:14" s="6" customFormat="1" ht="24.95" customHeight="1">
      <c r="A4" s="123" t="s">
        <v>28</v>
      </c>
      <c r="B4" s="113">
        <f>IFERROR(VALUE(VLOOKUP("CapEx Mantenimiento",TIKR_Cálculos!$A:$H,COLUMN(B4),FALSE)),"0")</f>
        <v>-10261</v>
      </c>
      <c r="C4" s="113">
        <f>IFERROR(VALUE(VLOOKUP("CapEx Mantenimiento",TIKR_Cálculos!$A:$H,COLUMN(C4),FALSE)),"0")</f>
        <v>-11682</v>
      </c>
      <c r="D4" s="113">
        <f>IFERROR(VALUE(VLOOKUP("CapEx Mantenimiento",TIKR_Cálculos!$A:$H,COLUMN(D4),FALSE)),"0")</f>
        <v>-12796</v>
      </c>
      <c r="E4" s="113">
        <f>IFERROR(VALUE(VLOOKUP("CapEx Mantenimiento",TIKR_Cálculos!$A:$H,COLUMN(E4),FALSE)),"0")</f>
        <v>-11686</v>
      </c>
      <c r="F4" s="113">
        <f>IFERROR(VALUE(VLOOKUP("CapEx Mantenimiento",TIKR_Cálculos!$A:$H,COLUMN(F4),FALSE)),"0")</f>
        <v>-14460</v>
      </c>
      <c r="G4" s="113">
        <f>IFERROR(VALUE(VLOOKUP("CapEx Mantenimiento",TIKR_Cálculos!$A:$H,COLUMN(G4),FALSE)),"0")</f>
        <v>-13861</v>
      </c>
      <c r="H4" s="113">
        <f>IFERROR(VALUE(VLOOKUP("CapEx Mantenimiento",TIKR_Cálculos!$A:$H,COLUMN(H4),FALSE)),"0")</f>
        <v>-8808</v>
      </c>
      <c r="I4" s="131">
        <f>IFERROR((H4*'1.IS'!$Q$3)+'2.FCF'!H4,"")</f>
        <v>-10066.294784483123</v>
      </c>
      <c r="J4" s="84">
        <f>IFERROR((I4*'1.IS'!$Q$3)+'2.FCF'!I4,"")</f>
        <v>-11504.347262501376</v>
      </c>
      <c r="K4" s="84">
        <f>IFERROR((J4*'1.IS'!$Q$3)+'2.FCF'!J4,"")</f>
        <v>-13147.837289668518</v>
      </c>
      <c r="L4" s="84">
        <f>IFERROR((K4*'1.IS'!$Q$3)+'2.FCF'!K4,"")</f>
        <v>-15026.113298844564</v>
      </c>
      <c r="M4" s="136">
        <f>IFERROR((L4*'1.IS'!$Q$3)+'2.FCF'!L4,"")</f>
        <v>-17172.716386377331</v>
      </c>
      <c r="N4" s="15"/>
    </row>
    <row r="5" spans="1:14" s="6" customFormat="1" ht="24.95" customHeight="1">
      <c r="A5" s="101" t="s">
        <v>29</v>
      </c>
      <c r="B5" s="131">
        <f>VALUE('1.IS'!B12)</f>
        <v>-798</v>
      </c>
      <c r="C5" s="131">
        <f>VALUE('1.IS'!C12)</f>
        <v>-2033</v>
      </c>
      <c r="D5" s="131">
        <f>VALUE('1.IS'!D12)</f>
        <v>-2603</v>
      </c>
      <c r="E5" s="131">
        <f>VALUE('1.IS'!E12)</f>
        <v>-945</v>
      </c>
      <c r="F5" s="131">
        <f>VALUE('1.IS'!F12)</f>
        <v>-1761</v>
      </c>
      <c r="G5" s="131">
        <f>VALUE('1.IS'!G12)</f>
        <v>-2206</v>
      </c>
      <c r="H5" s="131">
        <f>VALUE('1.IS'!H12)</f>
        <v>-4581</v>
      </c>
      <c r="I5" s="131">
        <f>'1.IS'!I12</f>
        <v>-1574.3341899061477</v>
      </c>
      <c r="J5" s="84">
        <f>'1.IS'!J12</f>
        <v>-1672.3044882380827</v>
      </c>
      <c r="K5" s="84">
        <f>'1.IS'!K12</f>
        <v>-1784.2706443612683</v>
      </c>
      <c r="L5" s="84">
        <f>'1.IS'!L12</f>
        <v>-1912.2320809440844</v>
      </c>
      <c r="M5" s="136">
        <f>'1.IS'!M12</f>
        <v>-2058.4738545236223</v>
      </c>
      <c r="N5" s="15"/>
    </row>
    <row r="6" spans="1:14" s="6" customFormat="1" ht="24.95" customHeight="1">
      <c r="A6" s="101" t="s">
        <v>30</v>
      </c>
      <c r="B6" s="131">
        <f>'1.IS'!B14</f>
        <v>-19903</v>
      </c>
      <c r="C6" s="84">
        <f>'1.IS'!C14</f>
        <v>-4448</v>
      </c>
      <c r="D6" s="84">
        <f>'1.IS'!D14</f>
        <v>-8755</v>
      </c>
      <c r="E6" s="84">
        <f>'1.IS'!E14</f>
        <v>-9831</v>
      </c>
      <c r="F6" s="84">
        <f>'1.IS'!F14</f>
        <v>-10978</v>
      </c>
      <c r="G6" s="84">
        <f>'1.IS'!G14</f>
        <v>-16950</v>
      </c>
      <c r="H6" s="84">
        <f>'1.IS'!H14</f>
        <v>-19651</v>
      </c>
      <c r="I6" s="131">
        <f>'1.IS'!I14</f>
        <v>-20181.163763609165</v>
      </c>
      <c r="J6" s="84">
        <f>'1.IS'!J14</f>
        <v>-23087.997886219484</v>
      </c>
      <c r="K6" s="84">
        <f>'1.IS'!K14</f>
        <v>-26410.097019710607</v>
      </c>
      <c r="L6" s="84">
        <f>'1.IS'!L14</f>
        <v>-30206.78516469217</v>
      </c>
      <c r="M6" s="136">
        <f>'1.IS'!M14</f>
        <v>-34545.861240093713</v>
      </c>
      <c r="N6" s="15"/>
    </row>
    <row r="7" spans="1:14" s="6" customFormat="1" ht="24.95" customHeight="1">
      <c r="A7" s="137" t="s">
        <v>31</v>
      </c>
      <c r="B7" s="113">
        <f>IFERROR(VALUE(VLOOKUP("Inventory*",'7.TIKR_BS'!$A:$H,COLUMN(B7),FALSE)),"0")</f>
        <v>2662</v>
      </c>
      <c r="C7" s="113">
        <f>IFERROR(VALUE(VLOOKUP("Inventory*",'7.TIKR_BS'!$A:$H,COLUMN(C7),FALSE)),"0")</f>
        <v>2063</v>
      </c>
      <c r="D7" s="113">
        <f>IFERROR(VALUE(VLOOKUP("Inventory*",'7.TIKR_BS'!$A:$H,COLUMN(D7),FALSE)),"0")</f>
        <v>1895</v>
      </c>
      <c r="E7" s="113">
        <f>IFERROR(VALUE(VLOOKUP("Inventory*",'7.TIKR_BS'!$A:$H,COLUMN(E7),FALSE)),"0")</f>
        <v>2636</v>
      </c>
      <c r="F7" s="113">
        <f>IFERROR(VALUE(VLOOKUP("Inventory*",'7.TIKR_BS'!$A:$H,COLUMN(F7),FALSE)),"0")</f>
        <v>3742</v>
      </c>
      <c r="G7" s="113">
        <f>IFERROR(VALUE(VLOOKUP("Inventory*",'7.TIKR_BS'!$A:$H,COLUMN(G7),FALSE)),"0")</f>
        <v>2500</v>
      </c>
      <c r="H7" s="113">
        <f>IFERROR(VALUE(VLOOKUP("Inventory*",'7.TIKR_BS'!$A:$H,COLUMN(H7),FALSE)),"0")</f>
        <v>1246</v>
      </c>
      <c r="I7" s="132"/>
      <c r="J7" s="85"/>
      <c r="K7" s="85"/>
      <c r="L7" s="85"/>
      <c r="M7" s="138"/>
      <c r="N7" s="15"/>
    </row>
    <row r="8" spans="1:14" s="6" customFormat="1" ht="24.95" customHeight="1">
      <c r="A8" s="137" t="s">
        <v>32</v>
      </c>
      <c r="B8" s="113">
        <f>IFERROR(VALUE(VLOOKUP("Net Receivables*",'7.TIKR_BS'!$A:$H,COLUMN(B8),FALSE)),"0")</f>
        <v>26481</v>
      </c>
      <c r="C8" s="113">
        <f>IFERROR(VALUE(VLOOKUP("Net Receivables*",'7.TIKR_BS'!$A:$H,COLUMN(C8),FALSE)),"0")</f>
        <v>29524</v>
      </c>
      <c r="D8" s="113">
        <f>IFERROR(VALUE(VLOOKUP("Net Receivables*",'7.TIKR_BS'!$A:$H,COLUMN(D8),FALSE)),"0")</f>
        <v>32011</v>
      </c>
      <c r="E8" s="113">
        <f>IFERROR(VALUE(VLOOKUP("Net Receivables*",'7.TIKR_BS'!$A:$H,COLUMN(E8),FALSE)),"0")</f>
        <v>38043</v>
      </c>
      <c r="F8" s="113">
        <f>IFERROR(VALUE(VLOOKUP("Net Receivables*",'7.TIKR_BS'!$A:$H,COLUMN(F8),FALSE)),"0")</f>
        <v>44261</v>
      </c>
      <c r="G8" s="113">
        <f>IFERROR(VALUE(VLOOKUP("Net Receivables*",'7.TIKR_BS'!$A:$H,COLUMN(G8),FALSE)),"0")</f>
        <v>48688</v>
      </c>
      <c r="H8" s="113">
        <f>IFERROR(VALUE(VLOOKUP("Net Receivables*",'7.TIKR_BS'!$A:$H,COLUMN(H8),FALSE)),"0")</f>
        <v>56924</v>
      </c>
      <c r="I8" s="132"/>
      <c r="J8" s="85"/>
      <c r="K8" s="85"/>
      <c r="L8" s="85"/>
      <c r="M8" s="138"/>
      <c r="N8" s="15"/>
    </row>
    <row r="9" spans="1:14" s="6" customFormat="1" ht="24.95" customHeight="1">
      <c r="A9" s="137" t="s">
        <v>33</v>
      </c>
      <c r="B9" s="113">
        <f>IFERROR(VALUE(VLOOKUP("Other Current Liabilities*",'7.TIKR_BS'!$A:$H,COLUMN(B9),FALSE)),"0")+IFERROR(VALUE(VLOOKUP("Deferred Revenue*",'7.TIKR_BS'!$A:$H,COLUMN(B9),FALSE)),"0")+IFERROR(VALUE(VLOOKUP("Deferred Revenue Non Current*",'7.TIKR_BS'!$A:$H,COLUMN(B9),FALSE)),"0")</f>
        <v>49688</v>
      </c>
      <c r="C9" s="113">
        <f>IFERROR(VALUE(VLOOKUP("Other Current Liabilities*",'7.TIKR_BS'!$A:$H,COLUMN(C9),FALSE)),"0")+IFERROR(VALUE(VLOOKUP("Deferred Revenue*",'7.TIKR_BS'!$A:$H,COLUMN(C9),FALSE)),"0")+IFERROR(VALUE(VLOOKUP("Deferred Revenue Non Current*",'7.TIKR_BS'!$A:$H,COLUMN(C9),FALSE)),"0")</f>
        <v>59052</v>
      </c>
      <c r="D9" s="113">
        <f>IFERROR(VALUE(VLOOKUP("Other Current Liabilities*",'7.TIKR_BS'!$A:$H,COLUMN(D9),FALSE)),"0")+IFERROR(VALUE(VLOOKUP("Deferred Revenue*",'7.TIKR_BS'!$A:$H,COLUMN(D9),FALSE)),"0")+IFERROR(VALUE(VLOOKUP("Deferred Revenue Non Current*",'7.TIKR_BS'!$A:$H,COLUMN(D9),FALSE)),"0")</f>
        <v>59211</v>
      </c>
      <c r="E9" s="113">
        <f>IFERROR(VALUE(VLOOKUP("Other Current Liabilities*",'7.TIKR_BS'!$A:$H,COLUMN(E9),FALSE)),"0")+IFERROR(VALUE(VLOOKUP("Deferred Revenue*",'7.TIKR_BS'!$A:$H,COLUMN(E9),FALSE)),"0")+IFERROR(VALUE(VLOOKUP("Deferred Revenue Non Current*",'7.TIKR_BS'!$A:$H,COLUMN(E9),FALSE)),"0")</f>
        <v>68038</v>
      </c>
      <c r="F9" s="113">
        <f>IFERROR(VALUE(VLOOKUP("Other Current Liabilities*",'7.TIKR_BS'!$A:$H,COLUMN(F9),FALSE)),"0")+IFERROR(VALUE(VLOOKUP("Deferred Revenue*",'7.TIKR_BS'!$A:$H,COLUMN(F9),FALSE)),"0")+IFERROR(VALUE(VLOOKUP("Deferred Revenue Non Current*",'7.TIKR_BS'!$A:$H,COLUMN(F9),FALSE)),"0")</f>
        <v>76203</v>
      </c>
      <c r="G9" s="113">
        <f>IFERROR(VALUE(VLOOKUP("Other Current Liabilities*",'7.TIKR_BS'!$A:$H,COLUMN(G9),FALSE)),"0")+IFERROR(VALUE(VLOOKUP("Deferred Revenue*",'7.TIKR_BS'!$A:$H,COLUMN(G9),FALSE)),"0")+IFERROR(VALUE(VLOOKUP("Deferred Revenue Non Current*",'7.TIKR_BS'!$A:$H,COLUMN(G9),FALSE)),"0")</f>
        <v>83719</v>
      </c>
      <c r="H9" s="113">
        <f>IFERROR(VALUE(VLOOKUP("Other Current Liabilities*",'7.TIKR_BS'!$A:$H,COLUMN(H9),FALSE)),"0")+IFERROR(VALUE(VLOOKUP("Deferred Revenue*",'7.TIKR_BS'!$A:$H,COLUMN(H9),FALSE)),"0")+IFERROR(VALUE(VLOOKUP("Deferred Revenue Non Current*",'7.TIKR_BS'!$A:$H,COLUMN(H9),FALSE)),"0")</f>
        <v>91933</v>
      </c>
      <c r="I9" s="132"/>
      <c r="J9" s="85"/>
      <c r="K9" s="85"/>
      <c r="L9" s="85"/>
      <c r="M9" s="138"/>
      <c r="N9" s="15"/>
    </row>
    <row r="10" spans="1:14" s="6" customFormat="1" ht="24.95" customHeight="1" thickBot="1">
      <c r="A10" s="139" t="s">
        <v>34</v>
      </c>
      <c r="B10" s="131">
        <f>B7+B8-B9</f>
        <v>-20545</v>
      </c>
      <c r="C10" s="84">
        <f t="shared" ref="C10:H10" si="0">C7+C8-C9</f>
        <v>-27465</v>
      </c>
      <c r="D10" s="84">
        <f t="shared" si="0"/>
        <v>-25305</v>
      </c>
      <c r="E10" s="84">
        <f t="shared" si="0"/>
        <v>-27359</v>
      </c>
      <c r="F10" s="84">
        <f t="shared" si="0"/>
        <v>-28200</v>
      </c>
      <c r="G10" s="84">
        <f t="shared" si="0"/>
        <v>-32531</v>
      </c>
      <c r="H10" s="84">
        <f t="shared" si="0"/>
        <v>-33763</v>
      </c>
      <c r="I10" s="131">
        <f>IFERROR(IF(AND(I7&lt;&gt;"",I8&lt;&gt;"",I9&lt;&gt;""),I7+I8-I9,H10+I11),"")</f>
        <v>-37153.136079579592</v>
      </c>
      <c r="J10" s="84">
        <f>IFERROR(IF(AND(J7&lt;&gt;"",J8&lt;&gt;"",J9&lt;&gt;""),J7+J8-J9,I10+J11),"")</f>
        <v>-41027.580804438825</v>
      </c>
      <c r="K10" s="84">
        <f>IFERROR(IF(AND(K7&lt;&gt;"",K8&lt;&gt;"",K9&lt;&gt;""),K7+K8-K9,J10+K11),"")</f>
        <v>-45455.521622628949</v>
      </c>
      <c r="L10" s="84">
        <f>IFERROR(IF(AND(L7&lt;&gt;"",L8&lt;&gt;"",L9&lt;&gt;""),L7+L8-L9,K10+L11),"")</f>
        <v>-50516.02997459843</v>
      </c>
      <c r="M10" s="136">
        <f>IFERROR(IF(AND(M7&lt;&gt;"",M8&lt;&gt;"",M9&lt;&gt;""),M7+M8-M9,L10+M11),"")</f>
        <v>-56299.473302285041</v>
      </c>
      <c r="N10" s="15"/>
    </row>
    <row r="11" spans="1:14" s="6" customFormat="1" ht="24.95" customHeight="1" thickTop="1" thickBot="1">
      <c r="A11" s="101" t="s">
        <v>35</v>
      </c>
      <c r="B11" s="131"/>
      <c r="C11" s="84">
        <f>(C7+C8-C9)-(B7+B8-B9)</f>
        <v>-6920</v>
      </c>
      <c r="D11" s="84">
        <f t="shared" ref="D11:H11" si="1">(D7+D8-D9)-(C7+C8-C9)</f>
        <v>2160</v>
      </c>
      <c r="E11" s="84">
        <f t="shared" si="1"/>
        <v>-2054</v>
      </c>
      <c r="F11" s="84">
        <f t="shared" si="1"/>
        <v>-841</v>
      </c>
      <c r="G11" s="84">
        <f t="shared" si="1"/>
        <v>-4331</v>
      </c>
      <c r="H11" s="84">
        <f t="shared" si="1"/>
        <v>-1232</v>
      </c>
      <c r="I11" s="229">
        <f>IFERROR((SUM(C11:H11)/SUM('1.IS'!C3:H3))*'1.IS'!I3,"")</f>
        <v>-3390.1360795795931</v>
      </c>
      <c r="J11" s="230">
        <f>IFERROR(IF(AND(J7&lt;&gt;"",J8&lt;&gt;"",J9&lt;&gt;""),(J7+J8-J9)-(I7+I8-I9),(I11/'1.IS'!I3)*'1.IS'!J3),"")</f>
        <v>-3874.4447248592323</v>
      </c>
      <c r="K11" s="230">
        <f>IFERROR(IF(AND(K7&lt;&gt;"",K8&lt;&gt;"",K9&lt;&gt;""),(K7+K8-K9)-(J7+J8-J9),(J11/'1.IS'!J3)*'1.IS'!K3),"")</f>
        <v>-4427.9408181901272</v>
      </c>
      <c r="L11" s="230">
        <f>IFERROR(IF(AND(L7&lt;&gt;"",L8&lt;&gt;"",L9&lt;&gt;""),(L7+L8-L9)-(K7+K8-K9),(K11/'1.IS'!K3)*'1.IS'!L3),"")</f>
        <v>-5060.5083519694836</v>
      </c>
      <c r="M11" s="231">
        <f>IFERROR(IF(AND(M7&lt;&gt;"",M8&lt;&gt;"",M9&lt;&gt;""),(M7+M8-M9)-(L7+L8-L9),(L11/'1.IS'!L3)*'1.IS'!M3),"")</f>
        <v>-5783.4433276866148</v>
      </c>
      <c r="N11" s="15"/>
    </row>
    <row r="12" spans="1:14" s="6" customFormat="1" ht="24.95" customHeight="1" thickTop="1">
      <c r="A12" s="140" t="s">
        <v>36</v>
      </c>
      <c r="B12" s="132" t="str">
        <f>'1.IS'!B17</f>
        <v>0</v>
      </c>
      <c r="C12" s="85" t="str">
        <f>'1.IS'!C17</f>
        <v>0</v>
      </c>
      <c r="D12" s="85" t="str">
        <f>'1.IS'!D17</f>
        <v>0</v>
      </c>
      <c r="E12" s="85" t="str">
        <f>'1.IS'!E17</f>
        <v>0</v>
      </c>
      <c r="F12" s="85" t="str">
        <f>'1.IS'!F17</f>
        <v>0</v>
      </c>
      <c r="G12" s="85" t="str">
        <f>'1.IS'!G17</f>
        <v>0</v>
      </c>
      <c r="H12" s="85" t="str">
        <f>'1.IS'!H17</f>
        <v>0</v>
      </c>
      <c r="I12" s="132">
        <f>'1.IS'!I17</f>
        <v>0</v>
      </c>
      <c r="J12" s="85">
        <f>'1.IS'!J17</f>
        <v>0</v>
      </c>
      <c r="K12" s="85">
        <f>'1.IS'!K17</f>
        <v>0</v>
      </c>
      <c r="L12" s="85">
        <f>'1.IS'!L17</f>
        <v>0</v>
      </c>
      <c r="M12" s="138">
        <f>'1.IS'!M17</f>
        <v>0</v>
      </c>
      <c r="N12" s="17"/>
    </row>
    <row r="13" spans="1:14" s="6" customFormat="1" ht="24.95" customHeight="1">
      <c r="A13" s="141" t="s">
        <v>37</v>
      </c>
      <c r="B13" s="133">
        <f>B3+B4+B5+B6-B11+B12</f>
        <v>14357</v>
      </c>
      <c r="C13" s="86">
        <f t="shared" ref="C13:H13" si="2">C3+C4+C5+C6-C11+C12</f>
        <v>43398</v>
      </c>
      <c r="D13" s="86">
        <f t="shared" si="2"/>
        <v>39441</v>
      </c>
      <c r="E13" s="86">
        <f t="shared" si="2"/>
        <v>61194</v>
      </c>
      <c r="F13" s="86">
        <f t="shared" si="2"/>
        <v>71485</v>
      </c>
      <c r="G13" s="86">
        <f t="shared" si="2"/>
        <v>73698</v>
      </c>
      <c r="H13" s="86">
        <f t="shared" si="2"/>
        <v>99912</v>
      </c>
      <c r="I13" s="133">
        <f>IFERROR(I3+I4+I5+I6-I11+I12,"")</f>
        <v>106294.35671602558</v>
      </c>
      <c r="J13" s="86">
        <f t="shared" ref="J13:M13" si="3">IFERROR(J3+J4+J5+J6-J11+J12,"")</f>
        <v>121582.52053810163</v>
      </c>
      <c r="K13" s="86">
        <f t="shared" si="3"/>
        <v>139054.72350659478</v>
      </c>
      <c r="L13" s="86">
        <f t="shared" si="3"/>
        <v>159022.97346290413</v>
      </c>
      <c r="M13" s="142">
        <f t="shared" si="3"/>
        <v>181843.85111849595</v>
      </c>
      <c r="N13" s="15"/>
    </row>
    <row r="14" spans="1:14" s="6" customFormat="1" ht="24.95" customHeight="1">
      <c r="A14" s="143" t="s">
        <v>38</v>
      </c>
      <c r="B14" s="134">
        <f>IFERROR(B13/'1.IS'!B3,"")</f>
        <v>0.13009242479159117</v>
      </c>
      <c r="C14" s="24">
        <f>IFERROR(C13/'1.IS'!C3,"")</f>
        <v>0.34485827578808514</v>
      </c>
      <c r="D14" s="24">
        <f>IFERROR(D13/'1.IS'!D3,"")</f>
        <v>0.27578226060203476</v>
      </c>
      <c r="E14" s="24">
        <f>IFERROR(E13/'1.IS'!E3,"")</f>
        <v>0.36405930227023942</v>
      </c>
      <c r="F14" s="24">
        <f>IFERROR(F13/'1.IS'!F3,"")</f>
        <v>0.36054370303122008</v>
      </c>
      <c r="G14" s="24">
        <f>IFERROR(G13/'1.IS'!G3,"")</f>
        <v>0.34777151216289548</v>
      </c>
      <c r="H14" s="48">
        <f>IFERROR(H13/'1.IS'!H3,"")</f>
        <v>0.4076011129152014</v>
      </c>
      <c r="I14" s="39">
        <f>IFERROR(I13/'1.IS'!I3,"")</f>
        <v>0.37943341814445491</v>
      </c>
      <c r="J14" s="24">
        <f>IFERROR(J13/'1.IS'!J3,"")</f>
        <v>0.37975558920194963</v>
      </c>
      <c r="K14" s="24">
        <f>IFERROR(K13/'1.IS'!K3,"")</f>
        <v>0.38003748862325287</v>
      </c>
      <c r="L14" s="24">
        <f>IFERROR(L13/'1.IS'!L3,"")</f>
        <v>0.38028415039463931</v>
      </c>
      <c r="M14" s="144">
        <f>IFERROR(M13/'1.IS'!M3,"")</f>
        <v>0.38049997925013052</v>
      </c>
      <c r="N14" s="15"/>
    </row>
    <row r="15" spans="1:14" s="6" customFormat="1" ht="24.95" customHeight="1">
      <c r="A15" s="102" t="s">
        <v>5</v>
      </c>
      <c r="B15" s="135"/>
      <c r="C15" s="24">
        <f t="shared" ref="C15:M15" si="4">IFERROR((C13-B13)/B13,"")</f>
        <v>2.0227763460332939</v>
      </c>
      <c r="D15" s="24">
        <f t="shared" si="4"/>
        <v>-9.1179317019217471E-2</v>
      </c>
      <c r="E15" s="24">
        <f t="shared" si="4"/>
        <v>0.55153266904997333</v>
      </c>
      <c r="F15" s="24">
        <f t="shared" si="4"/>
        <v>0.16817008203418635</v>
      </c>
      <c r="G15" s="24">
        <f t="shared" si="4"/>
        <v>3.0957543540602924E-2</v>
      </c>
      <c r="H15" s="48">
        <f t="shared" si="4"/>
        <v>0.35569486281852969</v>
      </c>
      <c r="I15" s="39">
        <f t="shared" si="4"/>
        <v>6.3879781367859489E-2</v>
      </c>
      <c r="J15" s="24">
        <f t="shared" si="4"/>
        <v>0.14382855585569498</v>
      </c>
      <c r="K15" s="24">
        <f t="shared" si="4"/>
        <v>0.14370653685385387</v>
      </c>
      <c r="L15" s="24">
        <f t="shared" si="4"/>
        <v>0.14359994002909474</v>
      </c>
      <c r="M15" s="144">
        <f t="shared" si="4"/>
        <v>0.14350679753146059</v>
      </c>
      <c r="N15" s="15"/>
    </row>
    <row r="16" spans="1:14" s="6" customFormat="1" ht="24.95" customHeight="1" thickBot="1">
      <c r="A16" s="102" t="s">
        <v>39</v>
      </c>
      <c r="B16" s="90">
        <f>IFERROR(B13/'1.IS'!B22,"")</f>
        <v>1.8420579933282011</v>
      </c>
      <c r="C16" s="88">
        <f>IFERROR(C13/'1.IS'!C22,"")</f>
        <v>5.5975751322068881</v>
      </c>
      <c r="D16" s="88">
        <f>IFERROR(D13/'1.IS'!D22,"")</f>
        <v>5.1335415853182349</v>
      </c>
      <c r="E16" s="88">
        <f>IFERROR(E13/'1.IS'!E22,"")</f>
        <v>8.0433753943217674</v>
      </c>
      <c r="F16" s="88">
        <f>IFERROR(F13/'1.IS'!F22,"")</f>
        <v>9.4807692307692299</v>
      </c>
      <c r="G16" s="88">
        <f>IFERROR(G13/'1.IS'!G22,"")</f>
        <v>9.8632226980728053</v>
      </c>
      <c r="H16" s="88">
        <f>IFERROR(H13/'1.IS'!H22,"")</f>
        <v>13.376891150087026</v>
      </c>
      <c r="I16" s="90">
        <f>IFERROR(I13/'1.IS'!I22,"")</f>
        <v>14.332710155384129</v>
      </c>
      <c r="J16" s="88">
        <f>IFERROR(J13/'1.IS'!J22,"")</f>
        <v>16.510864863418153</v>
      </c>
      <c r="K16" s="88">
        <f>IFERROR(K13/'1.IS'!K22,"")</f>
        <v>19.018006698968772</v>
      </c>
      <c r="L16" s="88">
        <f>IFERROR(L13/'1.IS'!L22,"")</f>
        <v>21.90381132202749</v>
      </c>
      <c r="M16" s="89">
        <f>IFERROR(M13/'1.IS'!M22,"")</f>
        <v>25.225455104292458</v>
      </c>
      <c r="N16" s="16"/>
    </row>
    <row r="17" spans="1:14" s="6" customFormat="1" ht="24.95" customHeight="1" thickTop="1" thickBot="1">
      <c r="A17" s="188" t="s">
        <v>40</v>
      </c>
      <c r="B17" s="145">
        <f>IFERROR(VALUE(VLOOKUP("Net Change in Cash*",'8.TIKR_CF'!$A:$H,COLUMN(B17),FALSE)),"0")</f>
        <v>4283</v>
      </c>
      <c r="C17" s="145">
        <f>IFERROR(VALUE(VLOOKUP("Net Change in Cash*",'8.TIKR_CF'!$A:$H,COLUMN(C17),FALSE)),"0")</f>
        <v>-590</v>
      </c>
      <c r="D17" s="145">
        <f>IFERROR(VALUE(VLOOKUP("Net Change in Cash*",'8.TIKR_CF'!$A:$H,COLUMN(D17),FALSE)),"0")</f>
        <v>2220</v>
      </c>
      <c r="E17" s="145">
        <f>IFERROR(VALUE(VLOOKUP("Net Change in Cash*",'8.TIKR_CF'!$A:$H,COLUMN(E17),FALSE)),"0")</f>
        <v>648</v>
      </c>
      <c r="F17" s="145">
        <f>IFERROR(VALUE(VLOOKUP("Net Change in Cash*",'8.TIKR_CF'!$A:$H,COLUMN(F17),FALSE)),"0")</f>
        <v>-293</v>
      </c>
      <c r="G17" s="145">
        <f>IFERROR(VALUE(VLOOKUP("Net Change in Cash*",'8.TIKR_CF'!$A:$H,COLUMN(G17),FALSE)),"0")</f>
        <v>20773</v>
      </c>
      <c r="H17" s="145">
        <f>IFERROR(VALUE(VLOOKUP("Net Change in Cash*",'8.TIKR_CF'!$A:$H,COLUMN(H17),FALSE)),"0")</f>
        <v>-16389</v>
      </c>
      <c r="I17" s="229">
        <f>IFERROR((SUM($B17:$H17)/SUM('1.IS'!$B3:$H3))*'1.IS'!I3,"")</f>
        <v>2481.3035298205514</v>
      </c>
      <c r="J17" s="230">
        <f>IFERROR((SUM($B17:$H17)/SUM('1.IS'!$B3:$H3))*'1.IS'!J3,"")</f>
        <v>2835.7780178192756</v>
      </c>
      <c r="K17" s="230">
        <f>IFERROR((SUM($B17:$H17)/SUM('1.IS'!$B3:$H3))*'1.IS'!K3,"")</f>
        <v>3240.8920834157657</v>
      </c>
      <c r="L17" s="230">
        <f>IFERROR((SUM($B17:$H17)/SUM('1.IS'!$B3:$H3))*'1.IS'!L3,"")</f>
        <v>3703.8800041281515</v>
      </c>
      <c r="M17" s="231">
        <f>IFERROR((SUM($B17:$H17)/SUM('1.IS'!$B3:$H3))*'1.IS'!M3,"")</f>
        <v>4233.0095331410694</v>
      </c>
      <c r="N17" s="16"/>
    </row>
    <row r="18" spans="1:14" s="6" customFormat="1" ht="24.75" customHeight="1" thickTop="1">
      <c r="A18" s="20"/>
      <c r="B18" s="14"/>
      <c r="C18" s="14"/>
      <c r="D18" s="14"/>
      <c r="E18" s="14"/>
      <c r="F18" s="14"/>
      <c r="G18" s="14"/>
      <c r="H18" s="14"/>
      <c r="I18" s="14"/>
      <c r="J18" s="14"/>
      <c r="K18" s="14"/>
      <c r="L18" s="14"/>
      <c r="M18" s="14"/>
      <c r="N18" s="7"/>
    </row>
    <row r="19" spans="1:14" s="105" customFormat="1" ht="39.950000000000003" customHeight="1">
      <c r="A19" s="108" t="s">
        <v>41</v>
      </c>
      <c r="B19" s="40">
        <f>'1.IS'!B$2</f>
        <v>2018</v>
      </c>
      <c r="C19" s="40">
        <f>'1.IS'!C$2</f>
        <v>2019</v>
      </c>
      <c r="D19" s="40">
        <f>'1.IS'!D$2</f>
        <v>2020</v>
      </c>
      <c r="E19" s="40">
        <f>'1.IS'!E$2</f>
        <v>2021</v>
      </c>
      <c r="F19" s="40">
        <f>'1.IS'!F$2</f>
        <v>2022</v>
      </c>
      <c r="G19" s="40">
        <f>'1.IS'!G$2</f>
        <v>2023</v>
      </c>
      <c r="H19" s="40">
        <f>'1.IS'!H$2</f>
        <v>2024</v>
      </c>
      <c r="I19" s="8" t="str">
        <f>'1.IS'!I$2</f>
        <v>2025e</v>
      </c>
      <c r="J19" s="8" t="str">
        <f>'1.IS'!J$2</f>
        <v>2026e</v>
      </c>
      <c r="K19" s="8" t="str">
        <f>'1.IS'!K$2</f>
        <v>2027e</v>
      </c>
      <c r="L19" s="8" t="str">
        <f>'1.IS'!L$2</f>
        <v>2028e</v>
      </c>
      <c r="M19" s="8" t="str">
        <f>'1.IS'!M$2</f>
        <v>2029e</v>
      </c>
      <c r="N19" s="99" t="str">
        <f>"Promedio "&amp;CHAR(10)&amp;B2&amp;" - "&amp;H2</f>
        <v>Promedio 
2018 - 2024</v>
      </c>
    </row>
    <row r="20" spans="1:14" s="6" customFormat="1" ht="24.95" customHeight="1">
      <c r="A20" s="101" t="s">
        <v>42</v>
      </c>
      <c r="B20" s="134">
        <f>IFERROR(ABS(B4)/'1.IS'!B$3,"")</f>
        <v>9.2977528089887643E-2</v>
      </c>
      <c r="C20" s="24">
        <f>IFERROR(ABS(C4)/'1.IS'!C$3,"")</f>
        <v>9.2829954784930432E-2</v>
      </c>
      <c r="D20" s="24">
        <f>IFERROR(ABS(D4)/'1.IS'!D$3,"")</f>
        <v>8.9473132188931229E-2</v>
      </c>
      <c r="E20" s="24">
        <f>IFERROR(ABS(E4)/'1.IS'!E$3,"")</f>
        <v>6.9523106943981727E-2</v>
      </c>
      <c r="F20" s="24">
        <f>IFERROR(ABS(F4)/'1.IS'!F$3,"")</f>
        <v>7.2930851868663937E-2</v>
      </c>
      <c r="G20" s="24">
        <f>IFERROR(ABS(G4)/'1.IS'!G$3,"")</f>
        <v>6.5408300497841118E-2</v>
      </c>
      <c r="H20" s="24">
        <f>IFERROR(ABS(H4)/'1.IS'!H$3,"")</f>
        <v>3.5933127177487131E-2</v>
      </c>
      <c r="I20" s="134">
        <f>IFERROR(ABS(I4)/'1.IS'!I$3,"")</f>
        <v>3.5933127177487131E-2</v>
      </c>
      <c r="J20" s="24">
        <f>IFERROR(ABS(J4)/'1.IS'!J$3,"")</f>
        <v>3.5933127177487131E-2</v>
      </c>
      <c r="K20" s="24">
        <f>IFERROR(ABS(K4)/'1.IS'!K$3,"")</f>
        <v>3.5933127177487131E-2</v>
      </c>
      <c r="L20" s="24">
        <f>IFERROR(ABS(L4)/'1.IS'!L$3,"")</f>
        <v>3.5933127177487131E-2</v>
      </c>
      <c r="M20" s="24">
        <f>IFERROR(ABS(M4)/'1.IS'!M$3,"")</f>
        <v>3.5933127177487131E-2</v>
      </c>
      <c r="N20" s="148">
        <f>IFERROR(AVERAGE(B20:H20),"")</f>
        <v>7.4153714507389029E-2</v>
      </c>
    </row>
    <row r="21" spans="1:14" s="6" customFormat="1" ht="24.75" customHeight="1">
      <c r="A21" s="101" t="s">
        <v>43</v>
      </c>
      <c r="B21" s="134">
        <f>IFERROR((B7+B8-B9)/'1.IS'!B$3,"")</f>
        <v>-0.18616346502355927</v>
      </c>
      <c r="C21" s="24">
        <f>IFERROR((C7+C8-C9)/'1.IS'!C$3,"")</f>
        <v>-0.21824813458038986</v>
      </c>
      <c r="D21" s="24">
        <f>IFERROR((D7+D8-D9)/'1.IS'!D$3,"")</f>
        <v>-0.17693948187253086</v>
      </c>
      <c r="E21" s="24">
        <f>IFERROR((E7+E8-E9)/'1.IS'!E$3,"")</f>
        <v>-0.16276593213078863</v>
      </c>
      <c r="F21" s="24">
        <f>IFERROR((F7+F8-F9)/'1.IS'!F$3,"")</f>
        <v>-0.14223029202602511</v>
      </c>
      <c r="G21" s="24">
        <f>IFERROR((G7+G8-G9)/'1.IS'!G$3,"")</f>
        <v>-0.15350966189274001</v>
      </c>
      <c r="H21" s="24">
        <f>IFERROR((H7+H8-H9)/'1.IS'!H$3,"")</f>
        <v>-0.13773957457918914</v>
      </c>
      <c r="I21" s="134">
        <f>IFERROR(I10/'1.IS'!I$3,"")</f>
        <v>-0.13262361100808645</v>
      </c>
      <c r="J21" s="24">
        <f>IFERROR(J10/'1.IS'!J$3,"")</f>
        <v>-0.12814714691687651</v>
      </c>
      <c r="K21" s="24">
        <f>IFERROR(K10/'1.IS'!K$3,"")</f>
        <v>-0.12423024436638144</v>
      </c>
      <c r="L21" s="24">
        <f>IFERROR(L10/'1.IS'!L$3,"")</f>
        <v>-0.12080295772284491</v>
      </c>
      <c r="M21" s="24">
        <f>IFERROR(M10/'1.IS'!M$3,"")</f>
        <v>-0.11780408461187632</v>
      </c>
      <c r="N21" s="148">
        <f>IFERROR(AVERAGE(B21:H21),"")</f>
        <v>-0.16822807744360327</v>
      </c>
    </row>
    <row r="22" spans="1:14" s="6" customFormat="1" ht="24.95" customHeight="1">
      <c r="A22" s="101" t="s">
        <v>44</v>
      </c>
      <c r="B22" s="134">
        <f>IFERROR(B13/'1.IS'!B$3,"")</f>
        <v>0.13009242479159117</v>
      </c>
      <c r="C22" s="24">
        <f>IFERROR(C13/'1.IS'!C$3,"")</f>
        <v>0.34485827578808514</v>
      </c>
      <c r="D22" s="24">
        <f>IFERROR(D13/'1.IS'!D$3,"")</f>
        <v>0.27578226060203476</v>
      </c>
      <c r="E22" s="24">
        <f>IFERROR(E13/'1.IS'!E$3,"")</f>
        <v>0.36405930227023942</v>
      </c>
      <c r="F22" s="24">
        <f>IFERROR(F13/'1.IS'!F$3,"")</f>
        <v>0.36054370303122008</v>
      </c>
      <c r="G22" s="24">
        <f>IFERROR(G13/'1.IS'!G$3,"")</f>
        <v>0.34777151216289548</v>
      </c>
      <c r="H22" s="24">
        <f>IFERROR(H13/'1.IS'!H$3,"")</f>
        <v>0.4076011129152014</v>
      </c>
      <c r="I22" s="134">
        <f>IFERROR(I13/'1.IS'!I$3,"")</f>
        <v>0.37943341814445491</v>
      </c>
      <c r="J22" s="24">
        <f>IFERROR(J13/'1.IS'!J$3,"")</f>
        <v>0.37975558920194963</v>
      </c>
      <c r="K22" s="24">
        <f>IFERROR(K13/'1.IS'!K$3,"")</f>
        <v>0.38003748862325287</v>
      </c>
      <c r="L22" s="24">
        <f>IFERROR(L13/'1.IS'!L$3,"")</f>
        <v>0.38028415039463931</v>
      </c>
      <c r="M22" s="24">
        <f>IFERROR(M13/'1.IS'!M$3,"")</f>
        <v>0.38049997925013052</v>
      </c>
      <c r="N22" s="148">
        <f>IFERROR(AVERAGE(B22:H22),"")</f>
        <v>0.31867265593732391</v>
      </c>
    </row>
    <row r="23" spans="1:14" ht="24.95" customHeight="1">
      <c r="A23" s="28" t="s">
        <v>45</v>
      </c>
      <c r="B23" s="147">
        <f t="shared" ref="B23:M23" si="5">IFERROR(B13/B3,"")</f>
        <v>0.31679869370462721</v>
      </c>
      <c r="C23" s="146">
        <f t="shared" si="5"/>
        <v>0.79423875844146341</v>
      </c>
      <c r="D23" s="146">
        <f t="shared" si="5"/>
        <v>0.59981750437229109</v>
      </c>
      <c r="E23" s="146">
        <f t="shared" si="5"/>
        <v>0.74990809048797824</v>
      </c>
      <c r="F23" s="146">
        <f t="shared" si="5"/>
        <v>0.73060924133560912</v>
      </c>
      <c r="G23" s="146">
        <f t="shared" si="5"/>
        <v>0.71981950304735109</v>
      </c>
      <c r="H23" s="146">
        <f t="shared" si="5"/>
        <v>0.75851806863042814</v>
      </c>
      <c r="I23" s="147">
        <f t="shared" si="5"/>
        <v>0.78896683761139241</v>
      </c>
      <c r="J23" s="146">
        <f t="shared" si="5"/>
        <v>0.78963673717280847</v>
      </c>
      <c r="K23" s="146">
        <f t="shared" si="5"/>
        <v>0.79022289876088825</v>
      </c>
      <c r="L23" s="146">
        <f t="shared" si="5"/>
        <v>0.79073578968831904</v>
      </c>
      <c r="M23" s="146">
        <f t="shared" si="5"/>
        <v>0.79118456884545008</v>
      </c>
      <c r="N23" s="149">
        <f>IFERROR(AVERAGE(B23:H23),"")</f>
        <v>0.66710140857424971</v>
      </c>
    </row>
    <row r="24" spans="1:14" ht="24.95" customHeight="1">
      <c r="A24" s="102"/>
      <c r="B24" s="103"/>
      <c r="C24" s="103"/>
      <c r="D24" s="103"/>
      <c r="E24" s="103"/>
      <c r="F24" s="103"/>
      <c r="G24" s="103"/>
      <c r="H24" s="103"/>
      <c r="I24" s="103"/>
      <c r="J24" s="103"/>
      <c r="K24" s="103"/>
      <c r="L24" s="103"/>
      <c r="M24" s="103"/>
      <c r="N24" s="104"/>
    </row>
    <row r="25" spans="1:14" ht="39.950000000000003" customHeight="1">
      <c r="A25" s="108" t="s">
        <v>46</v>
      </c>
      <c r="B25" s="40">
        <f>'1.IS'!B$2</f>
        <v>2018</v>
      </c>
      <c r="C25" s="40">
        <f>'1.IS'!C$2</f>
        <v>2019</v>
      </c>
      <c r="D25" s="40">
        <f>'1.IS'!D$2</f>
        <v>2020</v>
      </c>
      <c r="E25" s="40">
        <f>'1.IS'!E$2</f>
        <v>2021</v>
      </c>
      <c r="F25" s="40">
        <f>'1.IS'!F$2</f>
        <v>2022</v>
      </c>
      <c r="G25" s="40">
        <f>'1.IS'!G$2</f>
        <v>2023</v>
      </c>
      <c r="H25" s="40">
        <f>'1.IS'!H$2</f>
        <v>2024</v>
      </c>
      <c r="I25" s="99" t="str">
        <f>"Promedio "&amp;CHAR(10)&amp;B2&amp;" - "&amp;H2</f>
        <v>Promedio 
2018 - 2024</v>
      </c>
      <c r="J25" s="99" t="str">
        <f>"Acumulado"&amp;CHAR(10)&amp;B2&amp;" - "&amp;H2</f>
        <v>Acumulado
2018 - 2024</v>
      </c>
      <c r="K25" s="103"/>
      <c r="L25" s="103"/>
      <c r="M25" s="103"/>
      <c r="N25" s="104"/>
    </row>
    <row r="26" spans="1:14" ht="24.95" customHeight="1">
      <c r="A26" s="101" t="s">
        <v>47</v>
      </c>
      <c r="B26" s="134">
        <f>IFERROR(TIKR_Cálculos!B11/B13,"")</f>
        <v>9.8682175942049177</v>
      </c>
      <c r="C26" s="24">
        <f>IFERROR(TIKR_Cálculos!C11/C13,"")</f>
        <v>1.2352182128208673</v>
      </c>
      <c r="D26" s="24">
        <f>IFERROR(TIKR_Cálculos!D11/D13,"")</f>
        <v>2.0030932278593343</v>
      </c>
      <c r="E26" s="24">
        <f>IFERROR(TIKR_Cálculos!E11/E13,"")</f>
        <v>0.78365526031963917</v>
      </c>
      <c r="F26" s="24">
        <f>IFERROR(TIKR_Cálculos!F11/F13,"")</f>
        <v>0.187871581450654</v>
      </c>
      <c r="G26" s="24">
        <f>IFERROR(TIKR_Cálculos!G11/G13,"")</f>
        <v>0.43349887378219221</v>
      </c>
      <c r="H26" s="24">
        <f>IFERROR(TIKR_Cálculos!H11/H13,"")</f>
        <v>0.69192889742973818</v>
      </c>
      <c r="I26" s="194">
        <f>IFERROR(AVERAGE(B26:H26),"")</f>
        <v>2.1719262354096207</v>
      </c>
      <c r="J26" s="214">
        <f>IFERROR(TIKR_Cálculos!I29/SUM('2.FCF'!$B$13:$H$13),"")</f>
        <v>1.0824516400857529</v>
      </c>
      <c r="K26" s="6"/>
      <c r="L26" s="103"/>
      <c r="M26" s="103"/>
      <c r="N26" s="104"/>
    </row>
    <row r="27" spans="1:14" ht="24.95" customHeight="1">
      <c r="A27" s="101" t="s">
        <v>48</v>
      </c>
      <c r="B27" s="134">
        <f>IFERROR(ABS(VALUE(VLOOKUP("Dividends Paid*",'8.TIKR_CF'!$A:$H,COLUMN(B18),FALSE)))/B13,"0")</f>
        <v>0.8845162638434213</v>
      </c>
      <c r="C27" s="134">
        <f>IFERROR(ABS(VALUE(VLOOKUP("Dividends Paid*",'8.TIKR_CF'!$A:$H,COLUMN(C18),FALSE)))/C13,"0")</f>
        <v>0.31824047191114796</v>
      </c>
      <c r="D27" s="134">
        <f>IFERROR(ABS(VALUE(VLOOKUP("Dividends Paid*",'8.TIKR_CF'!$A:$H,COLUMN(D18),FALSE)))/D13,"0")</f>
        <v>0.38378844349788294</v>
      </c>
      <c r="E27" s="134">
        <f>IFERROR(ABS(VALUE(VLOOKUP("Dividends Paid*",'8.TIKR_CF'!$A:$H,COLUMN(E18),FALSE)))/E13,"0")</f>
        <v>0.2699774487694872</v>
      </c>
      <c r="F27" s="134">
        <f>IFERROR(ABS(VALUE(VLOOKUP("Dividends Paid*",'8.TIKR_CF'!$A:$H,COLUMN(F18),FALSE)))/F13,"0")</f>
        <v>0.25368958522767016</v>
      </c>
      <c r="G27" s="134">
        <f>IFERROR(ABS(VALUE(VLOOKUP("Dividends Paid*",'8.TIKR_CF'!$A:$H,COLUMN(G18),FALSE)))/G13,"0")</f>
        <v>0.2686640071643735</v>
      </c>
      <c r="H27" s="134">
        <f>IFERROR(ABS(VALUE(VLOOKUP("Dividends Paid*",'8.TIKR_CF'!$A:$H,COLUMN(H18),FALSE)))/H13,"0")</f>
        <v>0.21790175354311794</v>
      </c>
      <c r="I27" s="194">
        <f t="shared" ref="I27:I29" si="6">IFERROR(AVERAGE(B27:H27),"")</f>
        <v>0.37096828199387161</v>
      </c>
      <c r="J27" s="214">
        <f>IFERROR(TIKR_Cálculos!I30/SUM('2.FCF'!$B$13:$H$13),"")</f>
        <v>0.29213973257989762</v>
      </c>
      <c r="K27" s="6"/>
    </row>
    <row r="28" spans="1:14" ht="24.95" customHeight="1">
      <c r="A28" s="101" t="s">
        <v>49</v>
      </c>
      <c r="B28" s="134">
        <f>IFERROR(ABS(VALUE(VLOOKUP("Common Stock Repurchased*",'8.TIKR_CF'!$A:$H,COLUMN(B19),FALSE))/B13),"0")</f>
        <v>0.74674374869401683</v>
      </c>
      <c r="C28" s="134">
        <f>IFERROR(ABS(VALUE(VLOOKUP("Common Stock Repurchased*",'8.TIKR_CF'!$A:$H,COLUMN(C19),FALSE))/C13),"0")</f>
        <v>0.45032029125766165</v>
      </c>
      <c r="D28" s="134">
        <f>IFERROR(ABS(VALUE(VLOOKUP("Common Stock Repurchased*",'8.TIKR_CF'!$A:$H,COLUMN(D19),FALSE))/D13),"0")</f>
        <v>0.58233817600973603</v>
      </c>
      <c r="E28" s="134">
        <f>IFERROR(ABS(VALUE(VLOOKUP("Common Stock Repurchased*",'8.TIKR_CF'!$A:$H,COLUMN(E19),FALSE))/E13),"0")</f>
        <v>0.44751119390789945</v>
      </c>
      <c r="F28" s="134">
        <f>IFERROR(ABS(VALUE(VLOOKUP("Common Stock Repurchased*",'8.TIKR_CF'!$A:$H,COLUMN(F19),FALSE))/F13),"0")</f>
        <v>0.45738266769252289</v>
      </c>
      <c r="G28" s="134">
        <f>IFERROR(ABS(VALUE(VLOOKUP("Common Stock Repurchased*",'8.TIKR_CF'!$A:$H,COLUMN(G19),FALSE))/G13),"0")</f>
        <v>0.30183994138239845</v>
      </c>
      <c r="H28" s="134">
        <f>IFERROR(ABS(VALUE(VLOOKUP("Common Stock Repurchased*",'8.TIKR_CF'!$A:$H,COLUMN(H19),FALSE))/H13),"0")</f>
        <v>0.17269196893266073</v>
      </c>
      <c r="I28" s="194">
        <f t="shared" si="6"/>
        <v>0.45126114112527088</v>
      </c>
      <c r="J28" s="214">
        <f>IFERROR(TIKR_Cálculos!I31/SUM('2.FCF'!$B$13:$H$13),"")</f>
        <v>0.37873031215534653</v>
      </c>
      <c r="K28" s="6"/>
    </row>
    <row r="29" spans="1:14" ht="24.95" customHeight="1">
      <c r="A29" s="217" t="s">
        <v>50</v>
      </c>
      <c r="B29" s="158">
        <f>IFERROR((ABS(VLOOKUP("Cash Acquisitions*",'8.TIKR_CF'!$A:$H,COLUMN(B20),FALSE))-IFERROR(VLOOKUP("Sales / Maturities Of Investments*",'8.TIKR_CF'!$A:$H,COLUMN(B20),FALSE),"0"))/B13,"0")</f>
        <v>-9.9637110817023053</v>
      </c>
      <c r="C29" s="158">
        <f>IFERROR((ABS(VLOOKUP("Cash Acquisitions*",'8.TIKR_CF'!$A:$H,COLUMN(C20),FALSE))-IFERROR(VLOOKUP("Sales / Maturities Of Investments*",'8.TIKR_CF'!$A:$H,COLUMN(C20),FALSE),"0"))/C13,"0")</f>
        <v>-1.2869026222406563</v>
      </c>
      <c r="D29" s="158">
        <f>IFERROR((ABS(VLOOKUP("Cash Acquisitions*",'8.TIKR_CF'!$A:$H,COLUMN(D20),FALSE))-IFERROR(VLOOKUP("Sales / Maturities Of Investments*",'8.TIKR_CF'!$A:$H,COLUMN(D20),FALSE),"0"))/D13,"0")</f>
        <v>-2.070155422022768</v>
      </c>
      <c r="E29" s="158">
        <f>IFERROR((ABS(VLOOKUP("Cash Acquisitions*",'8.TIKR_CF'!$A:$H,COLUMN(E20),FALSE))-IFERROR(VLOOKUP("Sales / Maturities Of Investments*",'8.TIKR_CF'!$A:$H,COLUMN(E20),FALSE),"0"))/E13,"0")</f>
        <v>-0.92968264862568228</v>
      </c>
      <c r="F29" s="158">
        <f>IFERROR((ABS(VLOOKUP("Cash Acquisitions*",'8.TIKR_CF'!$A:$H,COLUMN(F20),FALSE))-IFERROR(VLOOKUP("Sales / Maturities Of Investments*",'8.TIKR_CF'!$A:$H,COLUMN(F20),FALSE),"0"))/F13,"0")</f>
        <v>-0.31973141218437434</v>
      </c>
      <c r="G29" s="158">
        <f>IFERROR((ABS(VLOOKUP("Cash Acquisitions*",'8.TIKR_CF'!$A:$H,COLUMN(G20),FALSE))-IFERROR(VLOOKUP("Sales / Maturities Of Investments*",'8.TIKR_CF'!$A:$H,COLUMN(G20),FALSE),"0"))/G13,"0")</f>
        <v>-0.62680127004803388</v>
      </c>
      <c r="H29" s="158">
        <f>IFERROR((ABS(VLOOKUP("Cash Acquisitions*",'8.TIKR_CF'!$A:$H,COLUMN(H20),FALSE))-IFERROR(VLOOKUP("Sales / Maturities Of Investments*",'8.TIKR_CF'!$A:$H,COLUMN(H20),FALSE),"0"))/H13,"0")</f>
        <v>0.33492473376571386</v>
      </c>
      <c r="I29" s="218">
        <f t="shared" si="6"/>
        <v>-2.1231513890083011</v>
      </c>
      <c r="J29" s="215">
        <f>IFERROR(TIKR_Cálculos!I32/SUM('2.FCF'!$B$13:$H$13),"")</f>
        <v>-0.92450772643344858</v>
      </c>
      <c r="K29" s="4"/>
    </row>
    <row r="30" spans="1:14" ht="24.95" customHeight="1">
      <c r="A30" s="216" t="s">
        <v>51</v>
      </c>
      <c r="B30" s="104">
        <f>SUM(B26:B29)</f>
        <v>1.5357665250400512</v>
      </c>
      <c r="C30" s="104">
        <f t="shared" ref="C30:J30" si="7">SUM(C26:C29)</f>
        <v>0.71687635374902081</v>
      </c>
      <c r="D30" s="104">
        <f t="shared" si="7"/>
        <v>0.89906442534418529</v>
      </c>
      <c r="E30" s="104">
        <f t="shared" si="7"/>
        <v>0.57146125437134365</v>
      </c>
      <c r="F30" s="104">
        <f t="shared" si="7"/>
        <v>0.57921242218647273</v>
      </c>
      <c r="G30" s="104">
        <f t="shared" si="7"/>
        <v>0.37720155228093022</v>
      </c>
      <c r="H30" s="104">
        <f t="shared" si="7"/>
        <v>1.4174473536712306</v>
      </c>
      <c r="I30" s="104">
        <f t="shared" si="7"/>
        <v>0.87100426952046206</v>
      </c>
      <c r="J30" s="104">
        <f t="shared" si="7"/>
        <v>0.82881395838754834</v>
      </c>
    </row>
  </sheetData>
  <pageMargins left="0.7" right="0.7" top="0.75" bottom="0.75" header="0.3" footer="0.3"/>
  <pageSetup paperSize="9"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9"/>
  <sheetViews>
    <sheetView showGridLines="0" topLeftCell="A7" zoomScale="85" zoomScaleNormal="85" workbookViewId="0">
      <selection activeCell="B15" sqref="B15"/>
    </sheetView>
  </sheetViews>
  <sheetFormatPr defaultColWidth="0" defaultRowHeight="17.25"/>
  <cols>
    <col min="1" max="1" width="51.7109375" style="22" bestFit="1" customWidth="1"/>
    <col min="2" max="2" width="14.7109375" style="5" customWidth="1"/>
    <col min="3" max="3" width="17" style="5" customWidth="1"/>
    <col min="4" max="15" width="14.7109375" style="5" customWidth="1"/>
    <col min="16" max="16" width="24.7109375" style="5" hidden="1" customWidth="1"/>
    <col min="17" max="17" width="15.5703125" style="5" hidden="1" customWidth="1"/>
    <col min="18" max="18" width="14.7109375" style="5" hidden="1" customWidth="1"/>
    <col min="19" max="19" width="16.42578125" style="5" hidden="1" customWidth="1"/>
    <col min="20" max="16384" width="9.140625" style="4" hidden="1"/>
  </cols>
  <sheetData>
    <row r="1" spans="1:19" ht="99.95" customHeight="1">
      <c r="B1" s="19" t="s">
        <v>52</v>
      </c>
      <c r="S1" s="25"/>
    </row>
    <row r="2" spans="1:19" s="6" customFormat="1" ht="39.950000000000003" customHeight="1">
      <c r="A2" s="108" t="s">
        <v>53</v>
      </c>
      <c r="B2" s="40">
        <f>'1.IS'!B$2</f>
        <v>2018</v>
      </c>
      <c r="C2" s="40">
        <f>'1.IS'!C$2</f>
        <v>2019</v>
      </c>
      <c r="D2" s="40">
        <f>'1.IS'!D$2</f>
        <v>2020</v>
      </c>
      <c r="E2" s="40">
        <f>'1.IS'!E$2</f>
        <v>2021</v>
      </c>
      <c r="F2" s="40">
        <f>'1.IS'!F$2</f>
        <v>2022</v>
      </c>
      <c r="G2" s="40">
        <f>'1.IS'!G$2</f>
        <v>2023</v>
      </c>
      <c r="H2" s="40">
        <f>'1.IS'!H$2</f>
        <v>2024</v>
      </c>
      <c r="I2" s="8" t="str">
        <f>'1.IS'!I$2</f>
        <v>2025e</v>
      </c>
      <c r="J2" s="8" t="str">
        <f>'1.IS'!J$2</f>
        <v>2026e</v>
      </c>
      <c r="K2" s="8" t="str">
        <f>'1.IS'!K$2</f>
        <v>2027e</v>
      </c>
      <c r="L2" s="8" t="str">
        <f>'1.IS'!L$2</f>
        <v>2028e</v>
      </c>
      <c r="M2" s="8" t="str">
        <f>'1.IS'!M$2</f>
        <v>2029e</v>
      </c>
      <c r="N2" s="18"/>
      <c r="O2" s="18"/>
    </row>
    <row r="3" spans="1:19" s="6" customFormat="1" ht="24.95" customHeight="1">
      <c r="A3" s="47" t="s">
        <v>54</v>
      </c>
      <c r="B3" s="131">
        <f>IFERROR(('1.IS'!B8)*PRODUCT(1-'1.IS'!$Q$5),"")</f>
        <v>28487.550623736315</v>
      </c>
      <c r="C3" s="84">
        <f>IFERROR(('1.IS'!C8)*PRODUCT(1-'1.IS'!$Q$5),"")</f>
        <v>34907.772469766911</v>
      </c>
      <c r="D3" s="84">
        <f>IFERROR(('1.IS'!D8)*PRODUCT(1-'1.IS'!$Q$5),"")</f>
        <v>43033.606979361386</v>
      </c>
      <c r="E3" s="84">
        <f>IFERROR(('1.IS'!E8)*PRODUCT(1-'1.IS'!$Q$5),"")</f>
        <v>56812.584557280737</v>
      </c>
      <c r="F3" s="84">
        <f>IFERROR(('1.IS'!F8)*PRODUCT(1-'1.IS'!$Q$5),"")</f>
        <v>67755.645891351625</v>
      </c>
      <c r="G3" s="84">
        <f>IFERROR(('1.IS'!G8)*PRODUCT(1-'1.IS'!$Q$5),"")</f>
        <v>71932.324829283185</v>
      </c>
      <c r="H3" s="85">
        <f>IFERROR('1.IS'!H8*PRODUCT(1-'1.IS'!$Q$5),"")</f>
        <v>88923.444788845227</v>
      </c>
      <c r="I3" s="115">
        <f>IFERROR('1.IS'!I8*PRODUCT(1-'1.IS'!$Q$5),"")</f>
        <v>88778.913236627748</v>
      </c>
      <c r="J3" s="80">
        <f>IFERROR('1.IS'!J8*PRODUCT(1-'1.IS'!$Q$5),"")</f>
        <v>101461.70654926721</v>
      </c>
      <c r="K3" s="80">
        <f>IFERROR('1.IS'!K8*PRODUCT(1-'1.IS'!$Q$5),"")</f>
        <v>115956.34053833399</v>
      </c>
      <c r="L3" s="80">
        <f>IFERROR('1.IS'!L8*PRODUCT(1-'1.IS'!$Q$5),"")</f>
        <v>132521.65145195054</v>
      </c>
      <c r="M3" s="124">
        <f>IFERROR('1.IS'!M8*PRODUCT(1-'1.IS'!$Q$5),"")</f>
        <v>151453.45241165528</v>
      </c>
      <c r="N3" s="80"/>
      <c r="O3" s="80"/>
      <c r="S3" s="13"/>
    </row>
    <row r="4" spans="1:19" s="6" customFormat="1" ht="24.95" customHeight="1">
      <c r="A4" s="109" t="s">
        <v>55</v>
      </c>
      <c r="B4" s="113">
        <f>IFERROR(VALUE(VLOOKUP("Cash And Cash Equivalents*",'7.TIKR_BS'!$A:$H,COLUMN(B4),FALSE)),"0")</f>
        <v>11946</v>
      </c>
      <c r="C4" s="113">
        <f>IFERROR(VALUE(VLOOKUP("Cash And Cash Equivalents*",'7.TIKR_BS'!$A:$H,COLUMN(C4),FALSE)),"0")</f>
        <v>11356</v>
      </c>
      <c r="D4" s="113">
        <f>IFERROR(VALUE(VLOOKUP("Cash And Cash Equivalents*",'7.TIKR_BS'!$A:$H,COLUMN(D4),FALSE)),"0")</f>
        <v>13576</v>
      </c>
      <c r="E4" s="113">
        <f>IFERROR(VALUE(VLOOKUP("Cash And Cash Equivalents*",'7.TIKR_BS'!$A:$H,COLUMN(E4),FALSE)),"0")</f>
        <v>14224</v>
      </c>
      <c r="F4" s="113">
        <f>IFERROR(VALUE(VLOOKUP("Cash And Cash Equivalents*",'7.TIKR_BS'!$A:$H,COLUMN(F4),FALSE)),"0")</f>
        <v>13931</v>
      </c>
      <c r="G4" s="113">
        <f>IFERROR(VALUE(VLOOKUP("Cash And Cash Equivalents*",'7.TIKR_BS'!$A:$H,COLUMN(G4),FALSE)),"0")</f>
        <v>34704</v>
      </c>
      <c r="H4" s="113">
        <f>IFERROR(VALUE(VLOOKUP("Cash And Cash Equivalents*",'7.TIKR_BS'!$A:$H,COLUMN(H4),FALSE)),"0")</f>
        <v>18315</v>
      </c>
      <c r="I4" s="115">
        <f>IFERROR(((H4+H5)+'2.FCF'!I17)*(1-(SUM($B$5:$H$5)/SUM($B$4:$H$5))),0)</f>
        <v>11149.552972649299</v>
      </c>
      <c r="J4" s="80">
        <f>IFERROR(((I4+I5)+'2.FCF'!J17)*(1-(SUM($B$5:$H$5)/SUM($B$4:$H$5))),0)</f>
        <v>11554.843622940947</v>
      </c>
      <c r="K4" s="80">
        <f>IFERROR(((J4+J5)+'2.FCF'!K17)*(1-(SUM($B$5:$H$5)/SUM($B$4:$H$5))),0)</f>
        <v>12018.033354915355</v>
      </c>
      <c r="L4" s="80">
        <f>IFERROR(((K4+K5)+'2.FCF'!L17)*(1-(SUM($B$5:$H$5)/SUM($B$4:$H$5))),0)</f>
        <v>12547.393525578404</v>
      </c>
      <c r="M4" s="124">
        <f>IFERROR(((L4+L5)+'2.FCF'!M17)*(1-(SUM($B$5:$H$5)/SUM($B$4:$H$5))),0)</f>
        <v>13152.377122882961</v>
      </c>
      <c r="N4" s="80"/>
      <c r="O4" s="80"/>
      <c r="S4" s="13"/>
    </row>
    <row r="5" spans="1:19" s="6" customFormat="1" ht="24.95" customHeight="1">
      <c r="A5" s="109" t="s">
        <v>56</v>
      </c>
      <c r="B5" s="113">
        <f>IFERROR(VALUE(VLOOKUP("Total Cash And Short Term Investments*",'7.TIKR_BS'!$A:$H,COLUMN(B5),FALSE))-B4,"0")</f>
        <v>121822</v>
      </c>
      <c r="C5" s="113">
        <f>IFERROR(VALUE(VLOOKUP("Total Cash And Short Term Investments*",'7.TIKR_BS'!$A:$H,COLUMN(C5),FALSE))-C4,"0")</f>
        <v>122463</v>
      </c>
      <c r="D5" s="113">
        <f>IFERROR(VALUE(VLOOKUP("Total Cash And Short Term Investments*",'7.TIKR_BS'!$A:$H,COLUMN(D5),FALSE))-D4,"0")</f>
        <v>122951</v>
      </c>
      <c r="E5" s="113">
        <f>IFERROR(VALUE(VLOOKUP("Total Cash And Short Term Investments*",'7.TIKR_BS'!$A:$H,COLUMN(E5),FALSE))-E4,"0")</f>
        <v>116110</v>
      </c>
      <c r="F5" s="113">
        <f>IFERROR(VALUE(VLOOKUP("Total Cash And Short Term Investments*",'7.TIKR_BS'!$A:$H,COLUMN(F5),FALSE))-F4,"0")</f>
        <v>90826</v>
      </c>
      <c r="G5" s="113">
        <f>IFERROR(VALUE(VLOOKUP("Total Cash And Short Term Investments*",'7.TIKR_BS'!$A:$H,COLUMN(G5),FALSE))-G4,"0")</f>
        <v>76558</v>
      </c>
      <c r="H5" s="113">
        <f>IFERROR(VALUE(VLOOKUP("Total Cash And Short Term Investments*",'7.TIKR_BS'!$A:$H,COLUMN(H5),FALSE))-H4,"0")</f>
        <v>57216</v>
      </c>
      <c r="I5" s="115">
        <f>IFERROR(((H4+H5)+'2.FCF'!I17)*(SUM($B$5:$H$5)/SUM($B$4:$H$5)),0)</f>
        <v>66862.750557171254</v>
      </c>
      <c r="J5" s="80">
        <f>IFERROR(((I4+I5)+'2.FCF'!J17)*(SUM($B$5:$H$5)/SUM($B$4:$H$5)),0)</f>
        <v>69293.237924698886</v>
      </c>
      <c r="K5" s="80">
        <f>IFERROR(((J4+J5)+'2.FCF'!K17)*(SUM($B$5:$H$5)/SUM($B$4:$H$5)),0)</f>
        <v>72070.940276140231</v>
      </c>
      <c r="L5" s="80">
        <f>IFERROR(((K4+K5)+'2.FCF'!L17)*(SUM($B$5:$H$5)/SUM($B$4:$H$5)),0)</f>
        <v>75245.460109605337</v>
      </c>
      <c r="M5" s="124">
        <f>IFERROR(((L4+L5)+'2.FCF'!M17)*(SUM($B$5:$H$5)/SUM($B$4:$H$5)),0)</f>
        <v>78873.486045441852</v>
      </c>
      <c r="N5" s="80"/>
      <c r="O5" s="80"/>
      <c r="S5" s="13"/>
    </row>
    <row r="6" spans="1:19" s="6" customFormat="1" ht="24.75" customHeight="1">
      <c r="A6" s="109" t="s">
        <v>57</v>
      </c>
      <c r="B6" s="253">
        <f>IFERROR(VALUE(VLOOKUP("Short Term Debt*",'7.TIKR_BS'!$A:$H,COLUMN(B6),FALSE)),"0")+IFERROR(VALUE(VLOOKUP("Other Current Liabilities*",'7.TIKR_BS'!$A:$H,COLUMN(B6),FALSE)),"0")</f>
        <v>20966</v>
      </c>
      <c r="C6" s="253">
        <f>IFERROR(VALUE(VLOOKUP("Short Term Debt*",'7.TIKR_BS'!$A:$H,COLUMN(C6),FALSE)),"0")+IFERROR(VALUE(VLOOKUP("Other Current Liabilities*",'7.TIKR_BS'!$A:$H,COLUMN(C6),FALSE)),"0")</f>
        <v>27362</v>
      </c>
      <c r="D6" s="253">
        <f>IFERROR(VALUE(VLOOKUP("Short Term Debt*",'7.TIKR_BS'!$A:$H,COLUMN(D6),FALSE)),"0")+IFERROR(VALUE(VLOOKUP("Other Current Liabilities*",'7.TIKR_BS'!$A:$H,COLUMN(D6),FALSE)),"0")</f>
        <v>23780</v>
      </c>
      <c r="E6" s="253">
        <f>IFERROR(VALUE(VLOOKUP("Short Term Debt*",'7.TIKR_BS'!$A:$H,COLUMN(E6),FALSE)),"0")+IFERROR(VALUE(VLOOKUP("Other Current Liabilities*",'7.TIKR_BS'!$A:$H,COLUMN(E6),FALSE)),"0")</f>
        <v>31969</v>
      </c>
      <c r="F6" s="253">
        <f>IFERROR(VALUE(VLOOKUP("Short Term Debt*",'7.TIKR_BS'!$A:$H,COLUMN(F6),FALSE)),"0")+IFERROR(VALUE(VLOOKUP("Other Current Liabilities*",'7.TIKR_BS'!$A:$H,COLUMN(F6),FALSE)),"0")</f>
        <v>30544</v>
      </c>
      <c r="G6" s="253">
        <f>IFERROR(VALUE(VLOOKUP("Short Term Debt*",'7.TIKR_BS'!$A:$H,COLUMN(G6),FALSE)),"0")+IFERROR(VALUE(VLOOKUP("Other Current Liabilities*",'7.TIKR_BS'!$A:$H,COLUMN(G6),FALSE)),"0")</f>
        <v>35153</v>
      </c>
      <c r="H6" s="253">
        <f>IFERROR(VALUE(VLOOKUP("Short Term Debt*",'7.TIKR_BS'!$A:$H,COLUMN(H6),FALSE)),"0")+IFERROR(VALUE(VLOOKUP("Other Current Liabilities*",'7.TIKR_BS'!$A:$H,COLUMN(H6),FALSE)),"0")</f>
        <v>40691</v>
      </c>
      <c r="I6" s="115">
        <f>IFERROR(IF((I4+I5+'4.Valoración'!I4)*TIKR_Cálculos!$B$17&gt;0,(I4+I5+'4.Valoración'!I4)*TIKR_Cálculos!$B$17,0),"0")</f>
        <v>21876.752220810296</v>
      </c>
      <c r="J6" s="80">
        <f>IFERROR(IF((J4+J5+'4.Valoración'!J4)*TIKR_Cálculos!$B$17&gt;0,(J4+J5+'4.Valoración'!J4)*TIKR_Cálculos!$B$17,0),"0")</f>
        <v>23167.010093187044</v>
      </c>
      <c r="K6" s="80">
        <f>IFERROR(IF((K4+K5+'4.Valoración'!K4)*TIKR_Cálculos!$B$17&gt;0,(K4+K5+'4.Valoración'!K4)*TIKR_Cálculos!$B$17,0),"0")</f>
        <v>24641.591847426866</v>
      </c>
      <c r="L6" s="80">
        <f>IFERROR(IF((L4+L5+'4.Valoración'!L4)*TIKR_Cálculos!$B$17&gt;0,(L4+L5+'4.Valoración'!L4)*TIKR_Cálculos!$B$17,0),"0")</f>
        <v>26326.829656463909</v>
      </c>
      <c r="M6" s="124">
        <f>IFERROR(IF((M4+M5+'4.Valoración'!M4)*TIKR_Cálculos!$B$17&gt;0,(M4+M5+'4.Valoración'!M4)*TIKR_Cálculos!$B$17,0),"0")</f>
        <v>28252.817459338952</v>
      </c>
      <c r="N6" s="80"/>
      <c r="O6" s="80"/>
      <c r="S6" s="13"/>
    </row>
    <row r="7" spans="1:19" s="6" customFormat="1" ht="24.95" customHeight="1">
      <c r="A7" s="109" t="s">
        <v>58</v>
      </c>
      <c r="B7" s="113">
        <f>IFERROR(VALUE(VLOOKUP("Long Term Debt*",'7.TIKR_BS'!$A:$H,COLUMN(B7),FALSE)),"0")+IFERROR(VALUE(VLOOKUP("Other Non Current Liabilities*",'7.TIKR_BS'!$A:$H,COLUMN(B7),FALSE)),"0")</f>
        <v>113286</v>
      </c>
      <c r="C7" s="113">
        <f>IFERROR(VALUE(VLOOKUP("Long Term Debt*",'7.TIKR_BS'!$A:$H,COLUMN(C7),FALSE)),"0")+IFERROR(VALUE(VLOOKUP("Other Non Current Liabilities*",'7.TIKR_BS'!$A:$H,COLUMN(C7),FALSE)),"0")</f>
        <v>110043</v>
      </c>
      <c r="D7" s="113">
        <f>IFERROR(VALUE(VLOOKUP("Long Term Debt*",'7.TIKR_BS'!$A:$H,COLUMN(D7),FALSE)),"0")+IFERROR(VALUE(VLOOKUP("Other Non Current Liabilities*",'7.TIKR_BS'!$A:$H,COLUMN(D7),FALSE)),"0")</f>
        <v>107313</v>
      </c>
      <c r="E7" s="113">
        <f>IFERROR(VALUE(VLOOKUP("Long Term Debt*",'7.TIKR_BS'!$A:$H,COLUMN(E7),FALSE)),"0")+IFERROR(VALUE(VLOOKUP("Other Non Current Liabilities*",'7.TIKR_BS'!$A:$H,COLUMN(E7),FALSE)),"0")</f>
        <v>100320</v>
      </c>
      <c r="F7" s="113">
        <f>IFERROR(VALUE(VLOOKUP("Long Term Debt*",'7.TIKR_BS'!$A:$H,COLUMN(F7),FALSE)),"0")+IFERROR(VALUE(VLOOKUP("Other Non Current Liabilities*",'7.TIKR_BS'!$A:$H,COLUMN(F7),FALSE)),"0")</f>
        <v>100116</v>
      </c>
      <c r="G7" s="113">
        <f>IFERROR(VALUE(VLOOKUP("Long Term Debt*",'7.TIKR_BS'!$A:$H,COLUMN(G7),FALSE)),"0")+IFERROR(VALUE(VLOOKUP("Other Non Current Liabilities*",'7.TIKR_BS'!$A:$H,COLUMN(G7),FALSE)),"0")</f>
        <v>98259</v>
      </c>
      <c r="H7" s="113">
        <f>IFERROR(VALUE(VLOOKUP("Long Term Debt*",'7.TIKR_BS'!$A:$H,COLUMN(H7),FALSE)),"0")+IFERROR(VALUE(VLOOKUP("Other Non Current Liabilities*",'7.TIKR_BS'!$A:$H,COLUMN(H7),FALSE)),"0")</f>
        <v>113180</v>
      </c>
      <c r="I7" s="115">
        <f>IFERROR(IF((I4+I5+'4.Valoración'!I4)*TIKR_Cálculos!$B$18&gt;0,(I4+I5+'4.Valoración'!I4)*TIKR_Cálculos!$B$18,0),"0")</f>
        <v>77180.815949157346</v>
      </c>
      <c r="J7" s="80">
        <f>IFERROR(IF((J4+J5+'4.Valoración'!J4)*TIKR_Cálculos!$B$18&gt;0,(J4+J5+'4.Valoración'!J4)*TIKR_Cálculos!$B$18,0),"0")</f>
        <v>81732.824143505888</v>
      </c>
      <c r="K7" s="80">
        <f>IFERROR(IF((K4+K5+'4.Valoración'!K4)*TIKR_Cálculos!$B$18&gt;0,(K4+K5+'4.Valoración'!K4)*TIKR_Cálculos!$B$18,0),"0")</f>
        <v>86935.123910274182</v>
      </c>
      <c r="L7" s="80">
        <f>IFERROR(IF((L4+L5+'4.Valoración'!L4)*TIKR_Cálculos!$B$18&gt;0,(L4+L5+'4.Valoración'!L4)*TIKR_Cálculos!$B$18,0),"0")</f>
        <v>92880.614715171716</v>
      </c>
      <c r="M7" s="124">
        <f>IFERROR(IF((M4+M5+'4.Valoración'!M4)*TIKR_Cálculos!$B$18&gt;0,(M4+M5+'4.Valoración'!M4)*TIKR_Cálculos!$B$18,0),"0")</f>
        <v>99675.467471817086</v>
      </c>
      <c r="N7" s="80"/>
      <c r="O7" s="80"/>
      <c r="P7" s="80"/>
      <c r="Q7" s="80"/>
      <c r="R7" s="80"/>
      <c r="S7" s="12"/>
    </row>
    <row r="8" spans="1:19" s="6" customFormat="1" ht="24.95" customHeight="1">
      <c r="A8" s="109" t="s">
        <v>59</v>
      </c>
      <c r="B8" s="113">
        <f>IFERROR(VALUE(VLOOKUP("Other Current Liabilities*",'7.TIKR_BS'!$A:$H,COLUMN(B8),FALSE)),"0")</f>
        <v>16968</v>
      </c>
      <c r="C8" s="113">
        <f>IFERROR(VALUE(VLOOKUP("Other Current Liabilities*",'7.TIKR_BS'!$A:$H,COLUMN(C8),FALSE)),"0")</f>
        <v>21846</v>
      </c>
      <c r="D8" s="113">
        <f>IFERROR(VALUE(VLOOKUP("Other Current Liabilities*",'7.TIKR_BS'!$A:$H,COLUMN(D8),FALSE)),"0")</f>
        <v>20031</v>
      </c>
      <c r="E8" s="113">
        <f>IFERROR(VALUE(VLOOKUP("Other Current Liabilities*",'7.TIKR_BS'!$A:$H,COLUMN(E8),FALSE)),"0")</f>
        <v>23897</v>
      </c>
      <c r="F8" s="113">
        <f>IFERROR(VALUE(VLOOKUP("Other Current Liabilities*",'7.TIKR_BS'!$A:$H,COLUMN(F8),FALSE)),"0")</f>
        <v>27795</v>
      </c>
      <c r="G8" s="113">
        <f>IFERROR(VALUE(VLOOKUP("Other Current Liabilities*",'7.TIKR_BS'!$A:$H,COLUMN(G8),FALSE)),"0")</f>
        <v>29906</v>
      </c>
      <c r="H8" s="113">
        <f>IFERROR(VALUE(VLOOKUP("Other Current Liabilities*",'7.TIKR_BS'!$A:$H,COLUMN(H8),FALSE)),"0")</f>
        <v>31749</v>
      </c>
      <c r="I8" s="115">
        <f>IFERROR(H8*'1.IS'!$Q$3+H8,"")</f>
        <v>36284.604122678778</v>
      </c>
      <c r="J8" s="80">
        <f>IFERROR(I8*'1.IS'!$Q$3+I8,"")</f>
        <v>41468.156362074958</v>
      </c>
      <c r="K8" s="80">
        <f>IFERROR(J8*'1.IS'!$Q$3+J8,"")</f>
        <v>47392.221402098752</v>
      </c>
      <c r="L8" s="80">
        <f>IFERROR(K8*'1.IS'!$Q$3+K8,"")</f>
        <v>54162.587548253417</v>
      </c>
      <c r="M8" s="124">
        <f>IFERROR(L8*'1.IS'!$Q$3+L8,"")</f>
        <v>61900.155830051532</v>
      </c>
      <c r="N8" s="80"/>
      <c r="O8" s="80"/>
      <c r="P8" s="80"/>
      <c r="Q8" s="80"/>
      <c r="R8" s="80"/>
      <c r="S8" s="12"/>
    </row>
    <row r="9" spans="1:19" s="6" customFormat="1" ht="24.95" customHeight="1">
      <c r="A9" s="109" t="s">
        <v>60</v>
      </c>
      <c r="B9" s="113">
        <f>IFERROR(VALUE(VLOOKUP("Other Non Current Liabilities*",'7.TIKR_BS'!$A:$H,COLUMN(B9),FALSE)),"0")</f>
        <v>35476</v>
      </c>
      <c r="C9" s="113">
        <f>IFERROR(VALUE(VLOOKUP("Other Non Current Liabilities*",'7.TIKR_BS'!$A:$H,COLUMN(C9),FALSE)),"0")</f>
        <v>37193</v>
      </c>
      <c r="D9" s="113">
        <f>IFERROR(VALUE(VLOOKUP("Other Non Current Liabilities*",'7.TIKR_BS'!$A:$H,COLUMN(D9),FALSE)),"0")</f>
        <v>40064</v>
      </c>
      <c r="E9" s="113">
        <f>IFERROR(VALUE(VLOOKUP("Other Non Current Liabilities*",'7.TIKR_BS'!$A:$H,COLUMN(E9),FALSE)),"0")</f>
        <v>40617</v>
      </c>
      <c r="F9" s="113">
        <f>IFERROR(VALUE(VLOOKUP("Other Non Current Liabilities*",'7.TIKR_BS'!$A:$H,COLUMN(F9),FALSE)),"0")</f>
        <v>41595</v>
      </c>
      <c r="G9" s="113">
        <f>IFERROR(VALUE(VLOOKUP("Other Non Current Liabilities*",'7.TIKR_BS'!$A:$H,COLUMN(G9),FALSE)),"0")</f>
        <v>43541</v>
      </c>
      <c r="H9" s="113">
        <f>IFERROR(VALUE(VLOOKUP("Other Non Current Liabilities*",'7.TIKR_BS'!$A:$H,COLUMN(H9),FALSE)),"0")</f>
        <v>54995</v>
      </c>
      <c r="I9" s="115">
        <f>IFERROR(H9*'1.IS'!$Q$3+H9,"")</f>
        <v>62851.485203525132</v>
      </c>
      <c r="J9" s="80">
        <f>IFERROR(I9*'1.IS'!$Q$3+I9,"")</f>
        <v>71830.333526483111</v>
      </c>
      <c r="K9" s="80">
        <f>IFERROR(J9*'1.IS'!$Q$3+J9,"")</f>
        <v>82091.883713138071</v>
      </c>
      <c r="L9" s="80">
        <f>IFERROR(K9*'1.IS'!$Q$3+K9,"")</f>
        <v>93819.380207760769</v>
      </c>
      <c r="M9" s="124">
        <f>IFERROR(L9*'1.IS'!$Q$3+L9,"")</f>
        <v>107222.24542107419</v>
      </c>
      <c r="N9" s="80"/>
      <c r="O9" s="80"/>
      <c r="P9" s="80"/>
      <c r="Q9" s="80"/>
      <c r="R9" s="80"/>
      <c r="S9" s="12"/>
    </row>
    <row r="10" spans="1:19" s="6" customFormat="1" ht="24.95" customHeight="1">
      <c r="A10" s="109" t="s">
        <v>61</v>
      </c>
      <c r="B10" s="113">
        <f>IFERROR(VALUE(VLOOKUP("Total Stockholders Equity*",'7.TIKR_BS'!$A:$H,COLUMN(B10),FALSE)),"0")</f>
        <v>82718</v>
      </c>
      <c r="C10" s="113">
        <f>IFERROR(VALUE(VLOOKUP("Total Stockholders Equity*",'7.TIKR_BS'!$A:$H,COLUMN(C10),FALSE)),"0")</f>
        <v>102330</v>
      </c>
      <c r="D10" s="113">
        <f>IFERROR(VALUE(VLOOKUP("Total Stockholders Equity*",'7.TIKR_BS'!$A:$H,COLUMN(D10),FALSE)),"0")</f>
        <v>118304</v>
      </c>
      <c r="E10" s="113">
        <f>IFERROR(VALUE(VLOOKUP("Total Stockholders Equity*",'7.TIKR_BS'!$A:$H,COLUMN(E10),FALSE)),"0")</f>
        <v>141988</v>
      </c>
      <c r="F10" s="113">
        <f>IFERROR(VALUE(VLOOKUP("Total Stockholders Equity*",'7.TIKR_BS'!$A:$H,COLUMN(F10),FALSE)),"0")</f>
        <v>166542</v>
      </c>
      <c r="G10" s="113">
        <f>IFERROR(VALUE(VLOOKUP("Total Stockholders Equity*",'7.TIKR_BS'!$A:$H,COLUMN(G10),FALSE)),"0")</f>
        <v>206223</v>
      </c>
      <c r="H10" s="113">
        <f>IFERROR(VALUE(VLOOKUP("Total Stockholders Equity*",'7.TIKR_BS'!$A:$H,COLUMN(H10),FALSE)),"0")</f>
        <v>268477</v>
      </c>
      <c r="I10" s="115">
        <f>IFERROR(H10*'1.IS'!$Q$3+H10,"")</f>
        <v>306831.13361190684</v>
      </c>
      <c r="J10" s="80">
        <f>IFERROR(I10*'1.IS'!$Q$3+I10,"")</f>
        <v>350664.46866423503</v>
      </c>
      <c r="K10" s="80">
        <f>IFERROR(J10*'1.IS'!$Q$3+J10,"")</f>
        <v>400759.75386220874</v>
      </c>
      <c r="L10" s="80">
        <f>IFERROR(K10*'1.IS'!$Q$3+K10,"")</f>
        <v>458011.55996070529</v>
      </c>
      <c r="M10" s="124">
        <f>IFERROR(L10*'1.IS'!$Q$3+L10,"")</f>
        <v>523442.25445792766</v>
      </c>
      <c r="N10" s="80"/>
      <c r="O10" s="80"/>
      <c r="P10" s="80"/>
      <c r="Q10" s="80"/>
      <c r="R10" s="80"/>
      <c r="S10" s="12"/>
    </row>
    <row r="11" spans="1:19" s="6" customFormat="1" ht="24.95" customHeight="1">
      <c r="A11" s="150" t="s">
        <v>62</v>
      </c>
      <c r="B11" s="157">
        <f t="shared" ref="B11:H11" si="0">B10+B6+B7+B8+B9-B5</f>
        <v>147592</v>
      </c>
      <c r="C11" s="151">
        <f t="shared" si="0"/>
        <v>176311</v>
      </c>
      <c r="D11" s="151">
        <f t="shared" si="0"/>
        <v>186541</v>
      </c>
      <c r="E11" s="151">
        <f t="shared" si="0"/>
        <v>222681</v>
      </c>
      <c r="F11" s="151">
        <f t="shared" si="0"/>
        <v>275766</v>
      </c>
      <c r="G11" s="151">
        <f t="shared" si="0"/>
        <v>336524</v>
      </c>
      <c r="H11" s="155">
        <f t="shared" si="0"/>
        <v>451876</v>
      </c>
      <c r="I11" s="156">
        <f>IFERROR(I10+I6+I7+I8+I9-I5,"")</f>
        <v>438162.04055090714</v>
      </c>
      <c r="J11" s="152">
        <f>IFERROR(J10+J6+J7+J8+J9-J5,"")</f>
        <v>499569.55486478715</v>
      </c>
      <c r="K11" s="152">
        <f>IFERROR(K10+K6+K7+K8+K9-K5,"")</f>
        <v>569749.63445900637</v>
      </c>
      <c r="L11" s="152">
        <f>IFERROR(L10+L6+L7+L8+L9-L5,"")</f>
        <v>649955.51197874977</v>
      </c>
      <c r="M11" s="153">
        <f>IFERROR(M10+M6+M7+M8+M9-M5,"")</f>
        <v>741619.45459476754</v>
      </c>
      <c r="N11" s="80"/>
      <c r="O11" s="80"/>
      <c r="P11" s="80"/>
      <c r="Q11" s="80"/>
      <c r="R11" s="80"/>
      <c r="S11" s="12"/>
    </row>
    <row r="12" spans="1:19" s="160" customFormat="1" ht="30" customHeight="1">
      <c r="A12" s="4"/>
      <c r="B12" s="5"/>
      <c r="C12" s="5"/>
      <c r="D12" s="5"/>
      <c r="E12" s="5"/>
      <c r="F12" s="5"/>
      <c r="G12" s="5"/>
      <c r="H12" s="5"/>
      <c r="I12" s="5"/>
      <c r="J12" s="5"/>
      <c r="K12" s="5"/>
      <c r="L12" s="5"/>
      <c r="M12" s="5"/>
      <c r="N12" s="5"/>
      <c r="O12" s="5"/>
      <c r="P12" s="5"/>
      <c r="Q12" s="5"/>
      <c r="R12" s="5"/>
      <c r="S12" s="23"/>
    </row>
    <row r="13" spans="1:19" s="161" customFormat="1" ht="39.950000000000003" customHeight="1">
      <c r="A13" s="44" t="s">
        <v>63</v>
      </c>
      <c r="B13" s="45">
        <f>'1.IS'!B$2</f>
        <v>2018</v>
      </c>
      <c r="C13" s="45">
        <f>'1.IS'!C$2</f>
        <v>2019</v>
      </c>
      <c r="D13" s="45">
        <f>'1.IS'!D$2</f>
        <v>2020</v>
      </c>
      <c r="E13" s="45">
        <f>'1.IS'!E$2</f>
        <v>2021</v>
      </c>
      <c r="F13" s="45">
        <f>'1.IS'!F$2</f>
        <v>2022</v>
      </c>
      <c r="G13" s="45">
        <f>'1.IS'!G$2</f>
        <v>2023</v>
      </c>
      <c r="H13" s="49">
        <f>'1.IS'!H$2</f>
        <v>2024</v>
      </c>
      <c r="I13" s="46" t="str">
        <f>'1.IS'!I$2</f>
        <v>2025e</v>
      </c>
      <c r="J13" s="46" t="str">
        <f>'1.IS'!J$2</f>
        <v>2026e</v>
      </c>
      <c r="K13" s="46" t="str">
        <f>'1.IS'!K$2</f>
        <v>2027e</v>
      </c>
      <c r="L13" s="46" t="str">
        <f>'1.IS'!L$2</f>
        <v>2028e</v>
      </c>
      <c r="M13" s="46" t="str">
        <f>'1.IS'!M$2</f>
        <v>2029e</v>
      </c>
      <c r="N13" s="51" t="str">
        <f>"Promedio "&amp;CHAR(10)&amp;B$2&amp;" - "&amp;H$2</f>
        <v>Promedio 
2018 - 2024</v>
      </c>
    </row>
    <row r="14" spans="1:19" s="50" customFormat="1" ht="24.95" customHeight="1">
      <c r="A14" s="224" t="s">
        <v>64</v>
      </c>
      <c r="B14" s="134">
        <f>IFERROR('1.IS'!B18/B10,"")</f>
        <v>0.1735656084528156</v>
      </c>
      <c r="C14" s="24">
        <f>IFERROR('1.IS'!C18/C10,"")</f>
        <v>0.35647415225251639</v>
      </c>
      <c r="D14" s="24">
        <f>IFERROR('1.IS'!D18/D10,"")</f>
        <v>0.35164491479578036</v>
      </c>
      <c r="E14" s="24">
        <f>IFERROR('1.IS'!E18/E10,"")</f>
        <v>0.41651407161168552</v>
      </c>
      <c r="F14" s="24">
        <f>IFERROR('1.IS'!F18/F10,"")</f>
        <v>0.42418128760312712</v>
      </c>
      <c r="G14" s="24">
        <f>IFERROR('1.IS'!G18/G10,"")</f>
        <v>0.33636888222943123</v>
      </c>
      <c r="H14" s="48">
        <f>IFERROR('1.IS'!H18/H10,"")</f>
        <v>0.31734934463659831</v>
      </c>
      <c r="I14" s="111">
        <f>IFERROR('1.IS'!I18/I10,"")</f>
        <v>0.28517195858717409</v>
      </c>
      <c r="J14" s="24">
        <f>IFERROR('1.IS'!J18/J10,"")</f>
        <v>0.28546610376145426</v>
      </c>
      <c r="K14" s="24">
        <f>IFERROR('1.IS'!K18/K10,"")</f>
        <v>0.28572348055704083</v>
      </c>
      <c r="L14" s="24">
        <f>IFERROR('1.IS'!L18/L10,"")</f>
        <v>0.28594868505025917</v>
      </c>
      <c r="M14" s="24">
        <f>IFERROR('1.IS'!M18/M10,"")</f>
        <v>0.28614573880427058</v>
      </c>
      <c r="N14" s="148">
        <f>IFERROR(AVERAGE(B14:H14),"")</f>
        <v>0.33944260879742211</v>
      </c>
      <c r="O14" s="189"/>
      <c r="P14" s="189"/>
      <c r="Q14" s="189"/>
      <c r="R14" s="189"/>
    </row>
    <row r="15" spans="1:19" s="50" customFormat="1" ht="24.95" customHeight="1">
      <c r="A15" s="141" t="s">
        <v>65</v>
      </c>
      <c r="B15" s="134">
        <f t="shared" ref="B15:M15" si="1">IFERROR(B3/B11,"")</f>
        <v>0.19301554707393567</v>
      </c>
      <c r="C15" s="24">
        <f t="shared" si="1"/>
        <v>0.19798975940109756</v>
      </c>
      <c r="D15" s="24">
        <f t="shared" si="1"/>
        <v>0.2306924857235749</v>
      </c>
      <c r="E15" s="24">
        <f t="shared" si="1"/>
        <v>0.25512991479866148</v>
      </c>
      <c r="F15" s="24">
        <f t="shared" si="1"/>
        <v>0.2456997813049891</v>
      </c>
      <c r="G15" s="24">
        <f t="shared" si="1"/>
        <v>0.21375095039070968</v>
      </c>
      <c r="H15" s="48">
        <f t="shared" si="1"/>
        <v>0.19678727081952843</v>
      </c>
      <c r="I15" s="111">
        <f t="shared" si="1"/>
        <v>0.20261662357835655</v>
      </c>
      <c r="J15" s="24">
        <f t="shared" si="1"/>
        <v>0.20309825841314269</v>
      </c>
      <c r="K15" s="24">
        <f t="shared" si="1"/>
        <v>0.20352157074824254</v>
      </c>
      <c r="L15" s="24">
        <f t="shared" si="1"/>
        <v>0.20389341887184939</v>
      </c>
      <c r="M15" s="24">
        <f t="shared" si="1"/>
        <v>0.20421990209845806</v>
      </c>
      <c r="N15" s="148">
        <f>IFERROR(AVERAGE(B15:H15),"")</f>
        <v>0.2190093870732138</v>
      </c>
      <c r="O15" s="189"/>
      <c r="P15" s="189"/>
      <c r="Q15" s="189"/>
      <c r="R15" s="189"/>
    </row>
    <row r="16" spans="1:19" s="50" customFormat="1" ht="24.95" customHeight="1">
      <c r="A16" s="190" t="s">
        <v>66</v>
      </c>
      <c r="B16" s="158">
        <f>IFERROR(TIKR_Cálculos!B11/'2.FCF'!B13,"")</f>
        <v>9.8682175942049177</v>
      </c>
      <c r="C16" s="154">
        <f>IFERROR(TIKR_Cálculos!C11/'2.FCF'!C13,"")</f>
        <v>1.2352182128208673</v>
      </c>
      <c r="D16" s="154">
        <f>IFERROR(TIKR_Cálculos!D11/'2.FCF'!D13,"")</f>
        <v>2.0030932278593343</v>
      </c>
      <c r="E16" s="154">
        <f>IFERROR(TIKR_Cálculos!E11/'2.FCF'!E13,"")</f>
        <v>0.78365526031963917</v>
      </c>
      <c r="F16" s="154">
        <f>IFERROR(TIKR_Cálculos!F11/'2.FCF'!F13,"")</f>
        <v>0.187871581450654</v>
      </c>
      <c r="G16" s="154">
        <f>IFERROR(TIKR_Cálculos!G11/'2.FCF'!G13,"")</f>
        <v>0.43349887378219221</v>
      </c>
      <c r="H16" s="154">
        <f>IFERROR(TIKR_Cálculos!H11/'2.FCF'!H13,"")</f>
        <v>0.69192889742973818</v>
      </c>
      <c r="I16" s="127"/>
      <c r="J16" s="154"/>
      <c r="K16" s="154"/>
      <c r="L16" s="154"/>
      <c r="M16" s="154"/>
      <c r="N16" s="159">
        <f>IFERROR(AVERAGE(B16:H16),"")</f>
        <v>2.1719262354096207</v>
      </c>
      <c r="O16" s="189"/>
      <c r="P16" s="189"/>
      <c r="Q16" s="189"/>
      <c r="R16" s="189"/>
    </row>
    <row r="17" spans="1:13" ht="37.5" customHeight="1">
      <c r="A17" s="160"/>
      <c r="B17" s="192"/>
      <c r="C17" s="192"/>
      <c r="D17" s="192"/>
      <c r="E17" s="192"/>
      <c r="F17" s="193"/>
      <c r="G17" s="193"/>
      <c r="H17" s="192"/>
    </row>
    <row r="18" spans="1:13">
      <c r="I18" s="191"/>
      <c r="M18" s="191"/>
    </row>
    <row r="19" spans="1:13">
      <c r="I19" s="191"/>
      <c r="J19" s="191"/>
      <c r="K19" s="191"/>
      <c r="L19" s="191"/>
      <c r="M19" s="191"/>
    </row>
  </sheetData>
  <pageMargins left="0.7" right="0.7" top="0.75" bottom="0.75" header="0.3" footer="0.3"/>
  <pageSetup paperSize="9"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B42"/>
  <sheetViews>
    <sheetView showGridLines="0" topLeftCell="B9" zoomScale="90" zoomScaleNormal="90" workbookViewId="0">
      <selection activeCell="D13" sqref="D13"/>
    </sheetView>
  </sheetViews>
  <sheetFormatPr defaultColWidth="0" defaultRowHeight="15" zeroHeight="1"/>
  <cols>
    <col min="1" max="1" width="47" style="21" bestFit="1" customWidth="1"/>
    <col min="2" max="13" width="12.7109375" style="3" customWidth="1"/>
    <col min="14" max="14" width="60.85546875" customWidth="1"/>
    <col min="15" max="20" width="0" hidden="1" customWidth="1"/>
    <col min="23" max="16382" width="9.140625" hidden="1"/>
    <col min="16383" max="16383" width="5.28515625" hidden="1" customWidth="1"/>
    <col min="16384" max="16384" width="5.28515625" hidden="1"/>
  </cols>
  <sheetData>
    <row r="1" spans="1:14" ht="90" customHeight="1">
      <c r="B1" s="19" t="s">
        <v>67</v>
      </c>
      <c r="N1" s="26"/>
    </row>
    <row r="2" spans="1:14" s="6" customFormat="1" ht="39.950000000000003" customHeight="1">
      <c r="A2" s="108" t="s">
        <v>68</v>
      </c>
      <c r="B2" s="40">
        <f>'1.IS'!B$2</f>
        <v>2018</v>
      </c>
      <c r="C2" s="40">
        <f>'1.IS'!C$2</f>
        <v>2019</v>
      </c>
      <c r="D2" s="40">
        <f>'1.IS'!D$2</f>
        <v>2020</v>
      </c>
      <c r="E2" s="40">
        <f>'1.IS'!E$2</f>
        <v>2021</v>
      </c>
      <c r="F2" s="40">
        <f>'1.IS'!F$2</f>
        <v>2022</v>
      </c>
      <c r="G2" s="40">
        <f>'1.IS'!G$2</f>
        <v>2023</v>
      </c>
      <c r="H2" s="40">
        <f>'1.IS'!H$2</f>
        <v>2024</v>
      </c>
      <c r="I2" s="8" t="str">
        <f>'1.IS'!I$2</f>
        <v>2025e</v>
      </c>
      <c r="J2" s="8" t="str">
        <f>'1.IS'!J$2</f>
        <v>2026e</v>
      </c>
      <c r="K2" s="8" t="str">
        <f>'1.IS'!K$2</f>
        <v>2027e</v>
      </c>
      <c r="L2" s="8" t="str">
        <f>'1.IS'!L$2</f>
        <v>2028e</v>
      </c>
      <c r="M2" s="8" t="str">
        <f>'1.IS'!M$2</f>
        <v>2029e</v>
      </c>
    </row>
    <row r="3" spans="1:14" s="6" customFormat="1" ht="24.95" customHeight="1">
      <c r="A3" s="47" t="s">
        <v>69</v>
      </c>
      <c r="B3" s="131"/>
      <c r="C3" s="84"/>
      <c r="D3" s="84"/>
      <c r="E3" s="84"/>
      <c r="F3" s="84"/>
      <c r="G3" s="84"/>
      <c r="H3" s="80">
        <f>$D$12*'1.IS'!H22</f>
        <v>2935317</v>
      </c>
      <c r="I3" s="115">
        <f>IFERROR($D$12*'1.IS'!I22,"")</f>
        <v>2914569.6617401862</v>
      </c>
      <c r="J3" s="84">
        <f>IFERROR($D$12*'1.IS'!J22,"")</f>
        <v>2893968.9693264142</v>
      </c>
      <c r="K3" s="84">
        <f>IFERROR($D$12*'1.IS'!K22,"")</f>
        <v>2873513.8862399808</v>
      </c>
      <c r="L3" s="84">
        <f>IFERROR($D$12*'1.IS'!L22,"")</f>
        <v>2853203.3832884789</v>
      </c>
      <c r="M3" s="136">
        <f>IFERROR($D$12*'1.IS'!M22,"")</f>
        <v>2833036.438554015</v>
      </c>
      <c r="N3" s="105"/>
    </row>
    <row r="4" spans="1:14" s="6" customFormat="1" ht="24.95" customHeight="1" thickBot="1">
      <c r="A4" s="47" t="s">
        <v>70</v>
      </c>
      <c r="B4" s="131">
        <f>('3.ROIC'!B7+'3.ROIC'!B6)-('3.ROIC'!B4+'3.ROIC'!B5)</f>
        <v>484</v>
      </c>
      <c r="C4" s="84">
        <f>('3.ROIC'!C7+'3.ROIC'!C6)-('3.ROIC'!C4+'3.ROIC'!C5)</f>
        <v>3586</v>
      </c>
      <c r="D4" s="84">
        <f>('3.ROIC'!D7+'3.ROIC'!D6)-('3.ROIC'!D4+'3.ROIC'!D5)</f>
        <v>-5434</v>
      </c>
      <c r="E4" s="84">
        <f>('3.ROIC'!E7+'3.ROIC'!E6)-('3.ROIC'!E4+'3.ROIC'!E5)</f>
        <v>1955</v>
      </c>
      <c r="F4" s="84">
        <f>('3.ROIC'!F7+'3.ROIC'!F6)-('3.ROIC'!F4+'3.ROIC'!F5)</f>
        <v>25903</v>
      </c>
      <c r="G4" s="84">
        <f>('3.ROIC'!G7+'3.ROIC'!G6)-('3.ROIC'!G4+'3.ROIC'!G5)</f>
        <v>22150</v>
      </c>
      <c r="H4" s="80">
        <f>('3.ROIC'!H7+'3.ROIC'!H6)-('3.ROIC'!H4+'3.ROIC'!H5)</f>
        <v>78340</v>
      </c>
      <c r="I4" s="115">
        <f>IFERROR(I5*'1.IS'!I5,"")</f>
        <v>21045.264640147088</v>
      </c>
      <c r="J4" s="80">
        <f>IFERROR(J5*'1.IS'!J5,"")</f>
        <v>24051.752689053101</v>
      </c>
      <c r="K4" s="80">
        <f>IFERROR(K5*'1.IS'!K5,"")</f>
        <v>27487.742126645455</v>
      </c>
      <c r="L4" s="80">
        <f>IFERROR(L5*'1.IS'!L5,"")</f>
        <v>31414.590736451879</v>
      </c>
      <c r="M4" s="124">
        <f>IFERROR(M5*'1.IS'!M5,"")</f>
        <v>35902.421762831218</v>
      </c>
      <c r="N4" s="105"/>
    </row>
    <row r="5" spans="1:14" s="6" customFormat="1" ht="24.95" customHeight="1" thickTop="1" thickBot="1">
      <c r="A5" s="101" t="s">
        <v>71</v>
      </c>
      <c r="B5" s="165">
        <f>IFERROR('4.Valoración'!B4/'1.IS'!B5,"")</f>
        <v>1.0679847304662503E-2</v>
      </c>
      <c r="C5" s="100">
        <f>IFERROR('4.Valoración'!C4/'1.IS'!C5,"")</f>
        <v>6.5628374297688544E-2</v>
      </c>
      <c r="D5" s="100">
        <f>IFERROR('4.Valoración'!D4/'1.IS'!D5,"")</f>
        <v>-8.2640103414189037E-2</v>
      </c>
      <c r="E5" s="100">
        <f>IFERROR('4.Valoración'!E4/'1.IS'!E5,"")</f>
        <v>2.3957746133673193E-2</v>
      </c>
      <c r="F5" s="100">
        <f>IFERROR('4.Valoración'!F4/'1.IS'!F5,"")</f>
        <v>0.2647404515397116</v>
      </c>
      <c r="G5" s="100">
        <f>IFERROR('4.Valoración'!G4/'1.IS'!G5,"")</f>
        <v>0.21634239724957025</v>
      </c>
      <c r="H5" s="106">
        <f>IFERROR('4.Valoración'!H4/'1.IS'!H5,"")</f>
        <v>0.59474643182508347</v>
      </c>
      <c r="I5" s="236">
        <f>IFERROR(AVERAGE('4.Valoración'!B5:H5),"")</f>
        <v>0.15620787784802864</v>
      </c>
      <c r="J5" s="237">
        <f>I5</f>
        <v>0.15620787784802864</v>
      </c>
      <c r="K5" s="237">
        <f t="shared" ref="K5:M5" si="0">J5</f>
        <v>0.15620787784802864</v>
      </c>
      <c r="L5" s="237">
        <f t="shared" si="0"/>
        <v>0.15620787784802864</v>
      </c>
      <c r="M5" s="238">
        <f t="shared" si="0"/>
        <v>0.15620787784802864</v>
      </c>
      <c r="N5" s="107"/>
    </row>
    <row r="6" spans="1:14" s="6" customFormat="1" ht="24.95" customHeight="1" thickTop="1">
      <c r="A6" s="164" t="s">
        <v>72</v>
      </c>
      <c r="B6" s="157"/>
      <c r="C6" s="151"/>
      <c r="D6" s="151"/>
      <c r="E6" s="151"/>
      <c r="F6" s="151"/>
      <c r="G6" s="151"/>
      <c r="H6" s="151">
        <f>H3+H4</f>
        <v>3013657</v>
      </c>
      <c r="I6" s="157">
        <f>IFERROR((I3+I4),"")</f>
        <v>2935614.926380333</v>
      </c>
      <c r="J6" s="151">
        <f>IFERROR((J3+J4),"")</f>
        <v>2918020.7220154675</v>
      </c>
      <c r="K6" s="151">
        <f>IFERROR((K3+K4),"")</f>
        <v>2901001.6283666263</v>
      </c>
      <c r="L6" s="151">
        <f>IFERROR((L3+L4),"")</f>
        <v>2884617.974024931</v>
      </c>
      <c r="M6" s="166">
        <f>IFERROR((M3+M4),"")</f>
        <v>2868938.8603168461</v>
      </c>
    </row>
    <row r="7" spans="1:14" s="6" customFormat="1" ht="24.95" customHeight="1">
      <c r="A7" s="20" t="s">
        <v>7</v>
      </c>
      <c r="B7" s="91">
        <f>'1.IS'!B5</f>
        <v>45319</v>
      </c>
      <c r="C7" s="91">
        <f>'1.IS'!C5</f>
        <v>54641</v>
      </c>
      <c r="D7" s="91">
        <f>'1.IS'!D5</f>
        <v>65755</v>
      </c>
      <c r="E7" s="91">
        <f>'1.IS'!E5</f>
        <v>81602</v>
      </c>
      <c r="F7" s="91">
        <f>'1.IS'!F5</f>
        <v>97843</v>
      </c>
      <c r="G7" s="91">
        <f>'1.IS'!G5</f>
        <v>102384</v>
      </c>
      <c r="H7" s="92">
        <f>'1.IS'!H5</f>
        <v>131720</v>
      </c>
      <c r="I7" s="93">
        <f>'1.IS'!I5</f>
        <v>134726.01337444442</v>
      </c>
      <c r="J7" s="91">
        <f>'1.IS'!J5</f>
        <v>153972.72545020134</v>
      </c>
      <c r="K7" s="91">
        <f>'1.IS'!K5</f>
        <v>175968.98764214505</v>
      </c>
      <c r="L7" s="91">
        <f>'1.IS'!L5</f>
        <v>201107.5956554155</v>
      </c>
      <c r="M7" s="91">
        <f>'1.IS'!M5</f>
        <v>229837.45927180402</v>
      </c>
      <c r="N7" s="29"/>
    </row>
    <row r="8" spans="1:14" s="6" customFormat="1" ht="24.95" customHeight="1">
      <c r="A8" s="20" t="s">
        <v>73</v>
      </c>
      <c r="B8" s="91">
        <f>'1.IS'!B8</f>
        <v>35058</v>
      </c>
      <c r="C8" s="91">
        <f>'1.IS'!C8</f>
        <v>42959</v>
      </c>
      <c r="D8" s="91">
        <f>'1.IS'!D8</f>
        <v>52959</v>
      </c>
      <c r="E8" s="91">
        <f>'1.IS'!E8</f>
        <v>69916</v>
      </c>
      <c r="F8" s="91">
        <f>'1.IS'!F8</f>
        <v>83383</v>
      </c>
      <c r="G8" s="91">
        <f>'1.IS'!G8</f>
        <v>88523</v>
      </c>
      <c r="H8" s="92">
        <f>'1.IS'!H8</f>
        <v>109433</v>
      </c>
      <c r="I8" s="93">
        <f>'1.IS'!I8</f>
        <v>109255.13328114568</v>
      </c>
      <c r="J8" s="91">
        <f>'1.IS'!J8</f>
        <v>124863.12197161731</v>
      </c>
      <c r="K8" s="91">
        <f>'1.IS'!K8</f>
        <v>142700.83940476514</v>
      </c>
      <c r="L8" s="91">
        <f>'1.IS'!L8</f>
        <v>163086.82055421788</v>
      </c>
      <c r="M8" s="91">
        <f>'1.IS'!M8</f>
        <v>186385.10571785402</v>
      </c>
      <c r="N8" s="29"/>
    </row>
    <row r="9" spans="1:14" s="6" customFormat="1" ht="24.95" customHeight="1">
      <c r="A9" s="20" t="s">
        <v>74</v>
      </c>
      <c r="B9" s="91">
        <f>'1.IS'!B18</f>
        <v>14357</v>
      </c>
      <c r="C9" s="91">
        <f>'1.IS'!C18</f>
        <v>36478</v>
      </c>
      <c r="D9" s="91">
        <f>'1.IS'!D18</f>
        <v>41601</v>
      </c>
      <c r="E9" s="91">
        <f>'1.IS'!E18</f>
        <v>59140</v>
      </c>
      <c r="F9" s="91">
        <f>'1.IS'!F18</f>
        <v>70644</v>
      </c>
      <c r="G9" s="91">
        <f>'1.IS'!G18</f>
        <v>69367</v>
      </c>
      <c r="H9" s="92">
        <f>'1.IS'!H18</f>
        <v>85201</v>
      </c>
      <c r="I9" s="93">
        <f>'1.IS'!I18</f>
        <v>87499.635327630371</v>
      </c>
      <c r="J9" s="91">
        <f>'1.IS'!J18</f>
        <v>100102.81959715975</v>
      </c>
      <c r="K9" s="91">
        <f>'1.IS'!K18</f>
        <v>114506.47174069326</v>
      </c>
      <c r="L9" s="91">
        <f>'1.IS'!L18</f>
        <v>130967.80330858161</v>
      </c>
      <c r="M9" s="91">
        <f>'1.IS'!M18</f>
        <v>149780.77062323669</v>
      </c>
      <c r="N9" s="29"/>
    </row>
    <row r="10" spans="1:14" s="6" customFormat="1" ht="24.95" customHeight="1">
      <c r="A10" s="28" t="s">
        <v>75</v>
      </c>
      <c r="B10" s="94">
        <f>'2.FCF'!B13</f>
        <v>14357</v>
      </c>
      <c r="C10" s="94">
        <f>'2.FCF'!C13</f>
        <v>43398</v>
      </c>
      <c r="D10" s="94">
        <f>'2.FCF'!D13</f>
        <v>39441</v>
      </c>
      <c r="E10" s="94">
        <f>'2.FCF'!E13</f>
        <v>61194</v>
      </c>
      <c r="F10" s="94">
        <f>'2.FCF'!F13</f>
        <v>71485</v>
      </c>
      <c r="G10" s="94">
        <f>'2.FCF'!G13</f>
        <v>73698</v>
      </c>
      <c r="H10" s="94">
        <f>'2.FCF'!H13</f>
        <v>99912</v>
      </c>
      <c r="I10" s="95">
        <f>'2.FCF'!I13</f>
        <v>106294.35671602558</v>
      </c>
      <c r="J10" s="94">
        <f>'2.FCF'!J13</f>
        <v>121582.52053810163</v>
      </c>
      <c r="K10" s="94">
        <f>'2.FCF'!K13</f>
        <v>139054.72350659478</v>
      </c>
      <c r="L10" s="94">
        <f>'2.FCF'!L13</f>
        <v>159022.97346290413</v>
      </c>
      <c r="M10" s="94">
        <f>'2.FCF'!M13</f>
        <v>181843.85111849595</v>
      </c>
      <c r="N10" s="29"/>
    </row>
    <row r="11" spans="1:14" s="6" customFormat="1" ht="20.100000000000001" customHeight="1" thickBot="1">
      <c r="A11" s="102"/>
      <c r="B11" s="87"/>
      <c r="C11" s="87"/>
      <c r="D11" s="87"/>
      <c r="E11" s="87"/>
      <c r="F11" s="87"/>
      <c r="G11" s="87"/>
      <c r="H11" s="87"/>
      <c r="I11" s="87"/>
      <c r="J11" s="87"/>
      <c r="K11" s="87"/>
      <c r="L11" s="87"/>
      <c r="M11" s="87"/>
      <c r="N11" s="29"/>
    </row>
    <row r="12" spans="1:14" s="6" customFormat="1" ht="24.95" customHeight="1" thickTop="1" thickBot="1">
      <c r="A12" s="263" t="s">
        <v>76</v>
      </c>
      <c r="B12" s="264"/>
      <c r="C12" s="265"/>
      <c r="D12" s="225">
        <v>393</v>
      </c>
      <c r="E12" s="87"/>
      <c r="F12" s="87"/>
      <c r="G12" s="87"/>
      <c r="H12" s="87"/>
      <c r="I12" s="87"/>
      <c r="J12" s="87"/>
      <c r="K12" s="87"/>
      <c r="L12" s="87"/>
      <c r="M12" s="87"/>
      <c r="N12" s="29"/>
    </row>
    <row r="13" spans="1:14" s="6" customFormat="1" ht="20.100000000000001" customHeight="1" thickTop="1" thickBot="1">
      <c r="A13" s="57"/>
      <c r="B13" s="31"/>
      <c r="C13" s="31"/>
      <c r="D13" s="31"/>
      <c r="E13" s="31"/>
      <c r="F13" s="31"/>
      <c r="G13" s="31"/>
      <c r="H13" s="31"/>
      <c r="I13" s="31"/>
      <c r="J13" s="31"/>
      <c r="K13" s="31"/>
      <c r="L13" s="31"/>
      <c r="M13" s="31"/>
    </row>
    <row r="14" spans="1:14" s="6" customFormat="1" ht="39.950000000000003" customHeight="1" thickTop="1">
      <c r="A14" s="108" t="s">
        <v>77</v>
      </c>
      <c r="B14" s="162" t="s">
        <v>78</v>
      </c>
      <c r="C14" s="162" t="s">
        <v>79</v>
      </c>
      <c r="D14" s="232" t="s">
        <v>80</v>
      </c>
      <c r="E14" s="59"/>
      <c r="G14" s="7"/>
      <c r="H14" s="7"/>
      <c r="I14" s="7"/>
      <c r="J14" s="7"/>
      <c r="K14" s="7"/>
      <c r="L14" s="7"/>
      <c r="M14" s="7"/>
    </row>
    <row r="15" spans="1:14" s="6" customFormat="1" ht="24.95" customHeight="1" thickBot="1">
      <c r="A15" s="169" t="s">
        <v>81</v>
      </c>
      <c r="B15" s="170">
        <f>IF(D12&lt;&gt;"",IFERROR(D12/'1.IS'!H20,""),"")</f>
        <v>34.451673102428373</v>
      </c>
      <c r="C15" s="170">
        <f>IF(D12&lt;&gt;"",IFERROR(D12/'1.IS'!I20,""),"")</f>
        <v>33.309506386249268</v>
      </c>
      <c r="D15" s="233">
        <v>25</v>
      </c>
      <c r="E15" s="60"/>
      <c r="G15" s="7"/>
      <c r="H15" s="7"/>
      <c r="I15" s="7"/>
      <c r="J15" s="7"/>
      <c r="K15" s="7"/>
      <c r="L15" s="7"/>
      <c r="M15" s="7"/>
    </row>
    <row r="16" spans="1:14" s="6" customFormat="1" ht="24.95" customHeight="1" thickBot="1">
      <c r="A16" s="172" t="s">
        <v>82</v>
      </c>
      <c r="B16" s="177">
        <f>IF(D12&lt;&gt;"",IFERROR(H6/H10,""),"")</f>
        <v>30.163113539915127</v>
      </c>
      <c r="C16" s="177">
        <f>IF(D12&lt;&gt;"",IFERROR(I6/I10,""),"")</f>
        <v>27.617787219156689</v>
      </c>
      <c r="D16" s="234">
        <v>28</v>
      </c>
      <c r="E16" s="61"/>
      <c r="G16" s="7"/>
      <c r="H16" s="7"/>
      <c r="I16" s="7"/>
      <c r="J16" s="7"/>
      <c r="K16" s="7"/>
      <c r="L16" s="7"/>
      <c r="M16" s="7"/>
    </row>
    <row r="17" spans="1:14" s="6" customFormat="1" ht="24.95" customHeight="1">
      <c r="A17" s="47" t="s">
        <v>83</v>
      </c>
      <c r="B17" s="171">
        <f>IF(D12&lt;&gt;"",IFERROR(H6/H7,""),"")</f>
        <v>22.87926662617674</v>
      </c>
      <c r="C17" s="62">
        <f>IF(D12&lt;&gt;"",IFERROR(I6/I7,""),"")</f>
        <v>21.789518244122384</v>
      </c>
      <c r="D17" s="233">
        <v>20</v>
      </c>
      <c r="E17" s="60"/>
      <c r="G17" s="7"/>
      <c r="H17" s="7"/>
      <c r="I17" s="7"/>
      <c r="J17" s="7"/>
      <c r="K17" s="7"/>
      <c r="L17" s="7"/>
      <c r="M17" s="7"/>
    </row>
    <row r="18" spans="1:14" s="6" customFormat="1" ht="24.95" customHeight="1" thickBot="1">
      <c r="A18" s="28" t="s">
        <v>84</v>
      </c>
      <c r="B18" s="179">
        <f>IF(D12&lt;&gt;"",IFERROR(H6/H8,""),"")</f>
        <v>27.538831979384646</v>
      </c>
      <c r="C18" s="180">
        <f>IF(D12&lt;&gt;"",IFERROR(I6/I8,""),"")</f>
        <v>26.869354676691756</v>
      </c>
      <c r="D18" s="235">
        <v>24</v>
      </c>
      <c r="E18" s="60"/>
      <c r="G18" s="7"/>
      <c r="H18" s="7"/>
      <c r="I18" s="7"/>
      <c r="J18" s="7"/>
      <c r="K18" s="7"/>
      <c r="L18" s="7"/>
      <c r="M18" s="7"/>
      <c r="N18" s="29"/>
    </row>
    <row r="19" spans="1:14" s="6" customFormat="1" ht="20.100000000000001" customHeight="1" thickTop="1">
      <c r="A19" s="63"/>
      <c r="B19" s="32"/>
      <c r="C19" s="7"/>
      <c r="D19" s="7"/>
      <c r="E19" s="7"/>
      <c r="F19" s="7"/>
      <c r="G19" s="7"/>
      <c r="H19" s="7"/>
      <c r="I19" s="7"/>
      <c r="J19" s="7"/>
      <c r="K19" s="7"/>
      <c r="L19" s="7"/>
      <c r="M19" s="7"/>
    </row>
    <row r="20" spans="1:14" s="6" customFormat="1" ht="39.950000000000003" customHeight="1">
      <c r="A20" s="163" t="s">
        <v>85</v>
      </c>
      <c r="B20" s="162" t="str">
        <f>I2</f>
        <v>2025e</v>
      </c>
      <c r="C20" s="162" t="str">
        <f>J2</f>
        <v>2026e</v>
      </c>
      <c r="D20" s="162" t="str">
        <f>K2</f>
        <v>2027e</v>
      </c>
      <c r="E20" s="162" t="str">
        <f>L2</f>
        <v>2028e</v>
      </c>
      <c r="F20" s="99" t="str">
        <f>M2</f>
        <v>2029e</v>
      </c>
      <c r="H20" s="266" t="str">
        <f>"Retorno Anualizado"&amp;CHAR(10)&amp;"valorando por..."</f>
        <v>Retorno Anualizado
valorando por...</v>
      </c>
      <c r="I20" s="266"/>
      <c r="J20" s="162" t="str">
        <f>"CAGR"&amp;CHAR(10)&amp;"5 años"</f>
        <v>CAGR
5 años</v>
      </c>
      <c r="L20" s="7"/>
      <c r="M20" s="7"/>
    </row>
    <row r="21" spans="1:14" s="6" customFormat="1" ht="24.95" customHeight="1" thickBot="1">
      <c r="A21" s="57" t="s">
        <v>86</v>
      </c>
      <c r="B21" s="16">
        <f>IF(D12&lt;&gt;"",IFERROR(IF(--I4&lt;0,(I9*$D$15-I4),IF(--I4&gt;0,I9*$D$15))/'1.IS'!I22,""),"")</f>
        <v>294.96084049014689</v>
      </c>
      <c r="C21" s="16">
        <f>IF(D12&lt;&gt;"",IFERROR(IF(--J4&lt;0,(J9*$D$15-J4),IF(--J4&gt;0,J9*$D$15))/'1.IS'!J22,""),"")</f>
        <v>339.84821985531215</v>
      </c>
      <c r="D21" s="16">
        <f>IF(D12&lt;&gt;"",IFERROR(IF(--K4&lt;0,(K9*$D$15-K4),IF(--K4&gt;0,K9*$D$15))/'1.IS'!K22,""),"")</f>
        <v>391.51579891072606</v>
      </c>
      <c r="E21" s="16">
        <f>IF(D12&lt;&gt;"",IFERROR(IF(--L4&lt;0,(L9*$D$15-L4),IF(--L4&gt;0,L9*$D$15))/'1.IS'!L22,""),"")</f>
        <v>450.98736215003078</v>
      </c>
      <c r="F21" s="167">
        <f>IF(D12&lt;&gt;"",IFERROR(IF(--M4&lt;0,(M9*$D$15-M4),IF(--M4&gt;0,M9*$D$15))/'1.IS'!M22,""),"")</f>
        <v>519.44127909784481</v>
      </c>
      <c r="H21" s="57" t="s">
        <v>86</v>
      </c>
      <c r="I21" s="57"/>
      <c r="J21" s="168">
        <f>IFERROR((F21/$D$12)^(1/5)-1,"")</f>
        <v>5.7374376270141525E-2</v>
      </c>
      <c r="L21" s="7"/>
      <c r="M21" s="7"/>
    </row>
    <row r="22" spans="1:14" s="6" customFormat="1" ht="24.95" customHeight="1" thickBot="1">
      <c r="A22" s="172" t="s">
        <v>87</v>
      </c>
      <c r="B22" s="173">
        <f>IF(D12&lt;&gt;"",IFERROR(((I10*$D$16)-I4)/'1.IS'!I22,""),"")</f>
        <v>398.47814500551056</v>
      </c>
      <c r="C22" s="173">
        <f>IF(D12&lt;&gt;"",IFERROR(((J10*$D$16)-J4)/'1.IS'!J22,""),"")</f>
        <v>459.03799635545982</v>
      </c>
      <c r="D22" s="173">
        <f>IF(D12&lt;&gt;"",IFERROR(((K10*$D$16)-K4)/'1.IS'!K22,""),"")</f>
        <v>528.74478946711747</v>
      </c>
      <c r="E22" s="173">
        <f>IF(D12&lt;&gt;"",IFERROR(((L10*$D$16)-L4)/'1.IS'!L22,""),"")</f>
        <v>608.9796738652941</v>
      </c>
      <c r="F22" s="174">
        <f>IF(D12&lt;&gt;"",IFERROR(((M10*$D$16)-M4)/'1.IS'!M22,""),"")</f>
        <v>701.33234395292584</v>
      </c>
      <c r="H22" s="172" t="s">
        <v>82</v>
      </c>
      <c r="I22" s="175"/>
      <c r="J22" s="176">
        <f>IFERROR((F22/$D$12)^(1/5)-1,"")</f>
        <v>0.12280997838540397</v>
      </c>
      <c r="L22" s="7"/>
      <c r="M22" s="7"/>
    </row>
    <row r="23" spans="1:14" s="6" customFormat="1" ht="24.95" customHeight="1">
      <c r="A23" s="20" t="s">
        <v>83</v>
      </c>
      <c r="B23" s="16">
        <f>IF(D12&lt;&gt;"",IFERROR(((I7*$D$17)-I4)/'1.IS'!I22,""),"")</f>
        <v>360.49084360956198</v>
      </c>
      <c r="C23" s="16">
        <f>IF(D12&lt;&gt;"",IFERROR(((J7*$D$17)-J4)/'1.IS'!J22,""),"")</f>
        <v>414.92265326924723</v>
      </c>
      <c r="D23" s="16">
        <f>IF(D12&lt;&gt;"",IFERROR(((K7*$D$17)-K4)/'1.IS'!K22,""),"")</f>
        <v>477.57331773578903</v>
      </c>
      <c r="E23" s="16">
        <f>IF(D12&lt;&gt;"",IFERROR(((L7*$D$17)-L4)/'1.IS'!L22,""),"")</f>
        <v>549.68383147103816</v>
      </c>
      <c r="F23" s="167">
        <f>IF(D12&lt;&gt;"",IFERROR(((M7*$D$17)-M4)/'1.IS'!M22,""),"")</f>
        <v>632.68257115621009</v>
      </c>
      <c r="H23" s="20" t="s">
        <v>83</v>
      </c>
      <c r="I23" s="20"/>
      <c r="J23" s="168">
        <f>IFERROR((F23/$D$12)^(1/5)-1,"")</f>
        <v>9.9913833358954429E-2</v>
      </c>
      <c r="L23" s="7"/>
      <c r="M23" s="7"/>
    </row>
    <row r="24" spans="1:14" s="6" customFormat="1" ht="24.95" customHeight="1">
      <c r="A24" s="57" t="s">
        <v>84</v>
      </c>
      <c r="B24" s="58">
        <f>IF(D12&lt;&gt;"",IFERROR(((I8*$D$18)-I4)/'1.IS'!I22,""),"")</f>
        <v>350.72883709832303</v>
      </c>
      <c r="C24" s="58">
        <f>IF(D12&lt;&gt;"",IFERROR(((J8*$D$18)-J4)/'1.IS'!J22,""),"")</f>
        <v>403.68664626746636</v>
      </c>
      <c r="D24" s="58">
        <f>IF(D12&lt;&gt;"",IFERROR(((K8*$D$18)-K4)/'1.IS'!K22,""),"")</f>
        <v>464.64074560538529</v>
      </c>
      <c r="E24" s="58">
        <f>IF(D12&lt;&gt;"",IFERROR(((L8*$D$18)-L4)/'1.IS'!L22,""),"")</f>
        <v>534.79852373835456</v>
      </c>
      <c r="F24" s="167">
        <f>IF(D12&lt;&gt;"",IFERROR(((M8*$D$18)-M4)/'1.IS'!M22,""),"")</f>
        <v>615.54967724597361</v>
      </c>
      <c r="H24" s="57" t="s">
        <v>84</v>
      </c>
      <c r="I24" s="57"/>
      <c r="J24" s="168">
        <f>IFERROR((F24/$D$12)^(1/5)-1,"")</f>
        <v>9.389115698573125E-2</v>
      </c>
      <c r="L24" s="7"/>
      <c r="M24" s="7"/>
    </row>
    <row r="25" spans="1:14" s="6" customFormat="1" ht="24.95" customHeight="1">
      <c r="A25" s="219" t="s">
        <v>88</v>
      </c>
      <c r="B25" s="220">
        <f>IFERROR(AVERAGE(B21:B24),"")</f>
        <v>351.16466655088561</v>
      </c>
      <c r="C25" s="220">
        <f>IFERROR(AVERAGE(C21:C24),"")</f>
        <v>404.37387893687139</v>
      </c>
      <c r="D25" s="220">
        <f>IFERROR(AVERAGE(D21:D24),"")</f>
        <v>465.61866292975446</v>
      </c>
      <c r="E25" s="220">
        <f>IFERROR(AVERAGE(E21:E24),"")</f>
        <v>536.1123478061794</v>
      </c>
      <c r="F25" s="221">
        <f>IFERROR(AVERAGE(F21:F24),"")</f>
        <v>617.25146786323864</v>
      </c>
      <c r="H25" s="181" t="s">
        <v>88</v>
      </c>
      <c r="I25" s="182"/>
      <c r="J25" s="183">
        <f>IFERROR(AVERAGE(J21:J24),"")</f>
        <v>9.3497336250057794E-2</v>
      </c>
      <c r="L25" s="7"/>
      <c r="M25" s="7"/>
    </row>
    <row r="26" spans="1:14" s="6" customFormat="1" ht="24.95" customHeight="1">
      <c r="A26" s="181" t="s">
        <v>89</v>
      </c>
      <c r="B26" s="222">
        <f>IFERROR((B25/$D$12)-1,"")</f>
        <v>-0.10645123015041824</v>
      </c>
      <c r="C26" s="222">
        <f t="shared" ref="C26:F26" si="1">IFERROR((C25/$D$12)-1,"")</f>
        <v>2.8941167778298693E-2</v>
      </c>
      <c r="D26" s="222">
        <f t="shared" si="1"/>
        <v>0.18478031279835738</v>
      </c>
      <c r="E26" s="222">
        <f t="shared" si="1"/>
        <v>0.36415355675872618</v>
      </c>
      <c r="F26" s="223">
        <f t="shared" si="1"/>
        <v>0.57061442204386426</v>
      </c>
      <c r="G26" s="7"/>
      <c r="H26" s="7"/>
      <c r="I26" s="7"/>
      <c r="J26" s="7"/>
      <c r="K26" s="7"/>
      <c r="L26" s="7"/>
      <c r="M26" s="7"/>
    </row>
    <row r="27" spans="1:14" s="6" customFormat="1" ht="17.25" hidden="1">
      <c r="H27" s="7"/>
      <c r="I27" s="7"/>
      <c r="J27" s="7"/>
      <c r="K27" s="7"/>
      <c r="L27" s="7"/>
      <c r="M27" s="7"/>
    </row>
    <row r="28" spans="1:14" s="6" customFormat="1" ht="24.95" hidden="1" customHeight="1">
      <c r="H28" s="7"/>
      <c r="I28" s="7"/>
      <c r="J28" s="7"/>
      <c r="K28" s="7"/>
      <c r="L28" s="7"/>
      <c r="M28" s="7"/>
    </row>
    <row r="29" spans="1:14" s="6" customFormat="1" ht="24.95" hidden="1" customHeight="1">
      <c r="H29" s="7"/>
      <c r="I29" s="7"/>
      <c r="J29" s="7"/>
      <c r="K29" s="7"/>
      <c r="L29" s="7"/>
      <c r="M29" s="7"/>
    </row>
    <row r="30" spans="1:14" s="6" customFormat="1" ht="24.95" hidden="1" customHeight="1">
      <c r="H30" s="7"/>
      <c r="I30" s="7"/>
      <c r="J30" s="7"/>
      <c r="K30" s="7"/>
      <c r="L30" s="7"/>
      <c r="M30" s="7"/>
    </row>
    <row r="31" spans="1:14" s="6" customFormat="1" ht="24.95" hidden="1" customHeight="1">
      <c r="H31" s="7"/>
      <c r="I31" s="7"/>
      <c r="J31" s="7"/>
      <c r="K31" s="7"/>
      <c r="L31" s="7"/>
      <c r="M31" s="7"/>
    </row>
    <row r="32" spans="1:14" s="6" customFormat="1" ht="17.25" hidden="1">
      <c r="H32" s="7"/>
      <c r="I32" s="7"/>
      <c r="J32" s="7"/>
      <c r="K32" s="7"/>
      <c r="L32" s="7"/>
      <c r="M32" s="7"/>
    </row>
    <row r="33" spans="1:13" s="6" customFormat="1" ht="17.25" hidden="1">
      <c r="A33" s="30"/>
      <c r="B33" s="7"/>
      <c r="C33" s="7"/>
      <c r="D33" s="7"/>
      <c r="E33" s="7"/>
      <c r="F33" s="7"/>
      <c r="G33" s="7"/>
      <c r="H33" s="7"/>
      <c r="I33" s="7"/>
      <c r="J33" s="7"/>
      <c r="K33" s="7"/>
      <c r="L33" s="7"/>
      <c r="M33" s="7"/>
    </row>
    <row r="34" spans="1:13" s="6" customFormat="1" ht="17.25" hidden="1">
      <c r="A34" s="30"/>
      <c r="B34" s="7"/>
      <c r="C34" s="7"/>
      <c r="D34" s="7"/>
      <c r="E34" s="7"/>
      <c r="F34" s="7"/>
      <c r="G34" s="7"/>
      <c r="H34" s="7"/>
      <c r="I34" s="7"/>
      <c r="J34" s="7"/>
      <c r="K34" s="7"/>
      <c r="L34" s="7"/>
      <c r="M34" s="7"/>
    </row>
    <row r="35" spans="1:13" s="6" customFormat="1" ht="17.25" hidden="1">
      <c r="A35" s="30"/>
      <c r="B35" s="7"/>
      <c r="C35" s="7"/>
      <c r="D35" s="7"/>
      <c r="E35" s="7"/>
      <c r="F35" s="7"/>
      <c r="G35" s="7"/>
      <c r="H35" s="7"/>
      <c r="I35" s="7"/>
      <c r="J35" s="7"/>
      <c r="K35" s="7"/>
      <c r="L35" s="7"/>
      <c r="M35" s="7"/>
    </row>
    <row r="36" spans="1:13" s="6" customFormat="1" ht="17.25" hidden="1">
      <c r="C36" s="7"/>
      <c r="D36" s="7"/>
      <c r="E36" s="7"/>
      <c r="F36" s="7"/>
      <c r="G36" s="7"/>
      <c r="H36" s="7"/>
      <c r="I36" s="7"/>
      <c r="J36" s="7"/>
      <c r="K36" s="7"/>
      <c r="L36" s="7"/>
      <c r="M36" s="7"/>
    </row>
    <row r="37" spans="1:13" s="6" customFormat="1" ht="17.25" hidden="1">
      <c r="C37" s="7"/>
      <c r="D37" s="7"/>
      <c r="E37" s="7"/>
      <c r="F37" s="7"/>
      <c r="G37" s="7"/>
      <c r="H37" s="7"/>
      <c r="I37" s="7"/>
      <c r="J37" s="7"/>
      <c r="K37" s="7"/>
      <c r="L37" s="7"/>
      <c r="M37" s="7"/>
    </row>
    <row r="38" spans="1:13" s="6" customFormat="1" ht="17.25" hidden="1">
      <c r="C38" s="7"/>
      <c r="D38" s="7"/>
      <c r="E38" s="7"/>
      <c r="F38" s="7"/>
      <c r="G38" s="7"/>
      <c r="H38" s="7"/>
      <c r="I38" s="7"/>
      <c r="J38" s="7"/>
      <c r="K38" s="7"/>
      <c r="L38" s="7"/>
      <c r="M38" s="7"/>
    </row>
    <row r="39" spans="1:13" s="6" customFormat="1" ht="17.25" hidden="1">
      <c r="C39" s="7"/>
      <c r="D39" s="7"/>
      <c r="E39" s="7"/>
      <c r="F39" s="7"/>
      <c r="G39" s="7"/>
      <c r="H39" s="7"/>
      <c r="I39" s="7"/>
      <c r="J39" s="7"/>
      <c r="K39" s="7"/>
      <c r="L39" s="7"/>
      <c r="M39" s="7"/>
    </row>
    <row r="40" spans="1:13" s="6" customFormat="1" ht="17.25" hidden="1">
      <c r="C40" s="7"/>
      <c r="D40" s="7"/>
      <c r="E40" s="7"/>
      <c r="F40" s="7"/>
      <c r="G40" s="7"/>
      <c r="H40" s="7"/>
      <c r="I40" s="7"/>
      <c r="J40" s="7"/>
      <c r="K40" s="7"/>
      <c r="L40" s="7"/>
      <c r="M40" s="7"/>
    </row>
    <row r="41" spans="1:13" s="4" customFormat="1" ht="17.25" hidden="1">
      <c r="A41" s="22"/>
      <c r="B41" s="5"/>
      <c r="C41" s="5"/>
      <c r="D41" s="5"/>
      <c r="E41" s="5"/>
      <c r="F41" s="5"/>
      <c r="G41" s="5"/>
      <c r="H41" s="5"/>
      <c r="I41" s="5"/>
      <c r="J41" s="5"/>
      <c r="K41" s="5"/>
      <c r="L41" s="5"/>
      <c r="M41" s="5"/>
    </row>
    <row r="42" spans="1:13" ht="54.75" customHeight="1">
      <c r="B42" s="178"/>
      <c r="C42" s="178"/>
      <c r="D42" s="178"/>
      <c r="E42" s="178"/>
      <c r="F42" s="178"/>
      <c r="G42" s="178"/>
    </row>
  </sheetData>
  <mergeCells count="2">
    <mergeCell ref="A12:C12"/>
    <mergeCell ref="H20:I20"/>
  </mergeCells>
  <conditionalFormatting sqref="J21:J25">
    <cfRule type="cellIs" dxfId="2" priority="1" operator="greaterThan">
      <formula>0.15</formula>
    </cfRule>
    <cfRule type="cellIs" dxfId="1" priority="2" operator="between">
      <formula>0</formula>
      <formula>0.15</formula>
    </cfRule>
    <cfRule type="cellIs" dxfId="0" priority="3" operator="between">
      <formula>-1</formula>
      <formula>0</formula>
    </cfRule>
  </conditionalFormatting>
  <pageMargins left="0.7" right="0.7" top="0.75" bottom="0.75" header="0.3" footer="0.3"/>
  <pageSetup paperSize="9"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FADD4-C8A4-4400-B68A-D96FC1366435}">
  <dimension ref="A1:J110"/>
  <sheetViews>
    <sheetView showGridLines="0" topLeftCell="A14" workbookViewId="0">
      <selection activeCell="A26" sqref="A26"/>
    </sheetView>
  </sheetViews>
  <sheetFormatPr defaultColWidth="0" defaultRowHeight="15"/>
  <cols>
    <col min="1" max="1" width="48.42578125" bestFit="1" customWidth="1"/>
    <col min="2" max="8" width="11.42578125" style="3" customWidth="1"/>
    <col min="9" max="16384" width="11.42578125" hidden="1"/>
  </cols>
  <sheetData>
    <row r="1" spans="1:10">
      <c r="A1" s="66" t="s">
        <v>90</v>
      </c>
      <c r="B1" s="67">
        <v>43281</v>
      </c>
      <c r="C1" s="67">
        <v>43646</v>
      </c>
      <c r="D1" s="67">
        <v>44012</v>
      </c>
      <c r="E1" s="67">
        <v>44377</v>
      </c>
      <c r="F1" s="67">
        <v>44742</v>
      </c>
      <c r="G1" s="67">
        <v>45107</v>
      </c>
      <c r="H1" s="67">
        <v>45473</v>
      </c>
      <c r="I1" t="s">
        <v>91</v>
      </c>
      <c r="J1" t="s">
        <v>92</v>
      </c>
    </row>
    <row r="2" spans="1:10" s="66" customFormat="1">
      <c r="A2" s="66" t="s">
        <v>93</v>
      </c>
      <c r="B2" s="67"/>
      <c r="C2" s="67"/>
      <c r="D2" s="67"/>
      <c r="E2" s="67"/>
      <c r="F2" s="67"/>
      <c r="G2" s="67"/>
      <c r="H2" s="67"/>
      <c r="I2" s="96"/>
    </row>
    <row r="3" spans="1:10">
      <c r="A3" t="s">
        <v>94</v>
      </c>
      <c r="B3" s="65">
        <v>110360</v>
      </c>
      <c r="C3" s="65">
        <v>125843</v>
      </c>
      <c r="D3" s="65">
        <v>143015</v>
      </c>
      <c r="E3" s="65">
        <v>168088</v>
      </c>
      <c r="F3" s="65">
        <v>198270</v>
      </c>
      <c r="G3" s="65">
        <v>211915</v>
      </c>
      <c r="H3" s="65">
        <v>245122</v>
      </c>
      <c r="I3" t="s">
        <v>95</v>
      </c>
      <c r="J3" t="s">
        <v>96</v>
      </c>
    </row>
    <row r="4" spans="1:10">
      <c r="A4" t="s">
        <v>97</v>
      </c>
      <c r="B4" s="65">
        <v>0.14299999999999999</v>
      </c>
      <c r="C4" s="65">
        <v>0.14000000000000001</v>
      </c>
      <c r="D4" s="65">
        <v>0.13600000000000001</v>
      </c>
      <c r="E4" s="65">
        <v>0.17499999999999999</v>
      </c>
      <c r="F4" s="65">
        <v>0.18</v>
      </c>
      <c r="G4" s="65">
        <v>6.9000000000000006E-2</v>
      </c>
      <c r="H4" s="65">
        <v>0.157</v>
      </c>
      <c r="I4" s="97" t="s">
        <v>98</v>
      </c>
      <c r="J4" t="s">
        <v>99</v>
      </c>
    </row>
    <row r="5" spans="1:10">
      <c r="A5" t="s">
        <v>100</v>
      </c>
      <c r="B5" s="65">
        <v>-38353</v>
      </c>
      <c r="C5" s="65">
        <v>-42910</v>
      </c>
      <c r="D5" s="65">
        <v>-46078</v>
      </c>
      <c r="E5" s="65">
        <v>-52232</v>
      </c>
      <c r="F5" s="65">
        <v>-62650</v>
      </c>
      <c r="G5" s="65">
        <v>-65863</v>
      </c>
      <c r="H5" s="65">
        <v>-74114</v>
      </c>
      <c r="I5" s="97" t="s">
        <v>101</v>
      </c>
      <c r="J5" t="s">
        <v>102</v>
      </c>
    </row>
    <row r="6" spans="1:10">
      <c r="A6" t="s">
        <v>103</v>
      </c>
      <c r="B6" s="65">
        <v>72007</v>
      </c>
      <c r="C6" s="65">
        <v>82933</v>
      </c>
      <c r="D6" s="65">
        <v>96937</v>
      </c>
      <c r="E6" s="65">
        <v>115856</v>
      </c>
      <c r="F6" s="65">
        <v>135620</v>
      </c>
      <c r="G6" s="65">
        <v>146052</v>
      </c>
      <c r="H6" s="65">
        <v>171008</v>
      </c>
      <c r="I6" s="97" t="s">
        <v>104</v>
      </c>
      <c r="J6" t="s">
        <v>105</v>
      </c>
    </row>
    <row r="7" spans="1:10">
      <c r="A7" t="s">
        <v>97</v>
      </c>
      <c r="B7" s="65">
        <v>0.156</v>
      </c>
      <c r="C7" s="65">
        <v>0.152</v>
      </c>
      <c r="D7" s="65">
        <v>0.16900000000000001</v>
      </c>
      <c r="E7" s="65">
        <v>0.19500000000000001</v>
      </c>
      <c r="F7" s="65">
        <v>0.17100000000000001</v>
      </c>
      <c r="G7" s="65">
        <v>7.6999999999999999E-2</v>
      </c>
      <c r="H7" s="65">
        <v>0.17100000000000001</v>
      </c>
      <c r="I7" s="97" t="s">
        <v>106</v>
      </c>
      <c r="J7" t="s">
        <v>107</v>
      </c>
    </row>
    <row r="8" spans="1:10">
      <c r="A8" t="s">
        <v>108</v>
      </c>
      <c r="B8" s="65">
        <v>0.65200000000000002</v>
      </c>
      <c r="C8" s="65">
        <v>0.65900000000000003</v>
      </c>
      <c r="D8" s="65">
        <v>0.67800000000000005</v>
      </c>
      <c r="E8" s="65">
        <v>0.68899999999999995</v>
      </c>
      <c r="F8" s="65">
        <v>0.68400000000000005</v>
      </c>
      <c r="G8" s="65">
        <v>0.68899999999999995</v>
      </c>
      <c r="H8" s="65">
        <v>0.69799999999999995</v>
      </c>
      <c r="I8" s="97" t="s">
        <v>109</v>
      </c>
      <c r="J8" t="s">
        <v>110</v>
      </c>
    </row>
    <row r="9" spans="1:10">
      <c r="A9" t="s">
        <v>111</v>
      </c>
      <c r="B9" s="65">
        <v>-22223</v>
      </c>
      <c r="C9" s="65">
        <v>-23098</v>
      </c>
      <c r="D9" s="65">
        <v>-24709</v>
      </c>
      <c r="E9" s="65">
        <v>-25224</v>
      </c>
      <c r="F9" s="65">
        <v>-27725</v>
      </c>
      <c r="G9" s="65">
        <v>-30334</v>
      </c>
      <c r="H9" s="65">
        <v>-32065</v>
      </c>
      <c r="I9" s="97" t="s">
        <v>112</v>
      </c>
      <c r="J9" t="s">
        <v>113</v>
      </c>
    </row>
    <row r="10" spans="1:10">
      <c r="A10" t="s">
        <v>114</v>
      </c>
      <c r="B10" s="65">
        <v>-14726</v>
      </c>
      <c r="C10" s="65">
        <v>-16876</v>
      </c>
      <c r="D10" s="65">
        <v>-19269</v>
      </c>
      <c r="E10" s="65">
        <v>-20716</v>
      </c>
      <c r="F10" s="65">
        <v>-24512</v>
      </c>
      <c r="G10" s="65">
        <v>-27195</v>
      </c>
      <c r="H10" s="65">
        <v>-29510</v>
      </c>
      <c r="I10" s="97" t="s">
        <v>115</v>
      </c>
      <c r="J10" t="s">
        <v>116</v>
      </c>
    </row>
    <row r="11" spans="1:10">
      <c r="A11" t="s">
        <v>117</v>
      </c>
      <c r="B11" s="65">
        <v>59</v>
      </c>
      <c r="C11" s="65">
        <v>57</v>
      </c>
      <c r="D11" s="65">
        <v>40</v>
      </c>
      <c r="E11" s="65">
        <v>-98</v>
      </c>
      <c r="F11" s="65">
        <v>32</v>
      </c>
      <c r="G11" s="65">
        <v>223</v>
      </c>
      <c r="H11" s="65"/>
      <c r="I11" s="97" t="s">
        <v>118</v>
      </c>
      <c r="J11" t="s">
        <v>119</v>
      </c>
    </row>
    <row r="12" spans="1:10">
      <c r="A12" t="s">
        <v>120</v>
      </c>
      <c r="B12" s="65">
        <v>-36949</v>
      </c>
      <c r="C12" s="65">
        <v>-39974</v>
      </c>
      <c r="D12" s="65">
        <v>-43978</v>
      </c>
      <c r="E12" s="65">
        <v>-45940</v>
      </c>
      <c r="F12" s="65">
        <v>-52237</v>
      </c>
      <c r="G12" s="65">
        <v>-57529</v>
      </c>
      <c r="H12" s="65">
        <v>-61575</v>
      </c>
      <c r="I12" s="97" t="s">
        <v>121</v>
      </c>
      <c r="J12" t="s">
        <v>122</v>
      </c>
    </row>
    <row r="13" spans="1:10">
      <c r="A13" t="s">
        <v>123</v>
      </c>
      <c r="B13" s="65">
        <v>35058</v>
      </c>
      <c r="C13" s="65">
        <v>42959</v>
      </c>
      <c r="D13" s="65">
        <v>52959</v>
      </c>
      <c r="E13" s="65">
        <v>69916</v>
      </c>
      <c r="F13" s="65">
        <v>83383</v>
      </c>
      <c r="G13" s="65">
        <v>88523</v>
      </c>
      <c r="H13" s="65">
        <v>109433</v>
      </c>
      <c r="I13" s="97" t="s">
        <v>124</v>
      </c>
      <c r="J13" t="s">
        <v>125</v>
      </c>
    </row>
    <row r="14" spans="1:10">
      <c r="A14" t="s">
        <v>97</v>
      </c>
      <c r="B14" s="65">
        <v>0.20799999999999999</v>
      </c>
      <c r="C14" s="65">
        <v>0.22500000000000001</v>
      </c>
      <c r="D14" s="65">
        <v>0.23300000000000001</v>
      </c>
      <c r="E14" s="65">
        <v>0.32</v>
      </c>
      <c r="F14" s="65">
        <v>0.193</v>
      </c>
      <c r="G14" s="65">
        <v>6.2E-2</v>
      </c>
      <c r="H14" s="65">
        <v>0.23599999999999999</v>
      </c>
      <c r="I14" s="97" t="s">
        <v>126</v>
      </c>
      <c r="J14" t="s">
        <v>127</v>
      </c>
    </row>
    <row r="15" spans="1:10">
      <c r="A15" t="s">
        <v>128</v>
      </c>
      <c r="B15" s="65">
        <v>0.318</v>
      </c>
      <c r="C15" s="65">
        <v>0.34100000000000003</v>
      </c>
      <c r="D15" s="65">
        <v>0.37</v>
      </c>
      <c r="E15" s="65">
        <v>0.41599999999999998</v>
      </c>
      <c r="F15" s="65">
        <v>0.42099999999999999</v>
      </c>
      <c r="G15" s="65">
        <v>0.41799999999999998</v>
      </c>
      <c r="H15" s="65">
        <v>0.44600000000000001</v>
      </c>
      <c r="I15" s="97" t="s">
        <v>129</v>
      </c>
      <c r="J15" t="s">
        <v>130</v>
      </c>
    </row>
    <row r="16" spans="1:10">
      <c r="A16" t="s">
        <v>131</v>
      </c>
      <c r="B16" s="65">
        <v>-2733</v>
      </c>
      <c r="C16" s="65">
        <v>-2686</v>
      </c>
      <c r="D16" s="65">
        <v>-2591</v>
      </c>
      <c r="E16" s="65">
        <v>-2346</v>
      </c>
      <c r="F16" s="65">
        <v>-2063</v>
      </c>
      <c r="G16" s="65">
        <v>-1968</v>
      </c>
      <c r="H16" s="65">
        <v>-2935</v>
      </c>
      <c r="I16" t="s">
        <v>132</v>
      </c>
      <c r="J16" t="s">
        <v>133</v>
      </c>
    </row>
    <row r="17" spans="1:10">
      <c r="A17" t="s">
        <v>134</v>
      </c>
      <c r="B17" s="65">
        <v>1935</v>
      </c>
      <c r="C17" s="65">
        <v>653</v>
      </c>
      <c r="D17" s="65">
        <v>-12</v>
      </c>
      <c r="E17" s="65">
        <v>1401</v>
      </c>
      <c r="F17" s="65">
        <v>302</v>
      </c>
      <c r="G17" s="65">
        <v>-238</v>
      </c>
      <c r="H17" s="65">
        <v>-1646</v>
      </c>
      <c r="I17" t="s">
        <v>135</v>
      </c>
      <c r="J17" t="s">
        <v>136</v>
      </c>
    </row>
    <row r="18" spans="1:10">
      <c r="A18" t="s">
        <v>137</v>
      </c>
      <c r="B18" s="65">
        <v>36474</v>
      </c>
      <c r="C18" s="65">
        <v>43688</v>
      </c>
      <c r="D18" s="65">
        <v>53036</v>
      </c>
      <c r="E18" s="65">
        <v>71102</v>
      </c>
      <c r="F18" s="65">
        <v>83716</v>
      </c>
      <c r="G18" s="65">
        <v>89311</v>
      </c>
      <c r="H18" s="65">
        <v>107787</v>
      </c>
      <c r="I18" s="97" t="s">
        <v>138</v>
      </c>
      <c r="J18" t="s">
        <v>139</v>
      </c>
    </row>
    <row r="19" spans="1:10">
      <c r="A19" t="s">
        <v>97</v>
      </c>
      <c r="B19" s="65">
        <v>0.22</v>
      </c>
      <c r="C19" s="65">
        <v>0.19800000000000001</v>
      </c>
      <c r="D19" s="65">
        <v>0.214</v>
      </c>
      <c r="E19" s="65">
        <v>0.34100000000000003</v>
      </c>
      <c r="F19" s="65">
        <v>0.17699999999999999</v>
      </c>
      <c r="G19" s="65">
        <v>6.7000000000000004E-2</v>
      </c>
      <c r="H19" s="65">
        <v>0.20699999999999999</v>
      </c>
      <c r="I19" s="97" t="s">
        <v>140</v>
      </c>
      <c r="J19" t="s">
        <v>141</v>
      </c>
    </row>
    <row r="20" spans="1:10">
      <c r="A20" t="s">
        <v>142</v>
      </c>
      <c r="B20" s="65">
        <v>0.33100000000000002</v>
      </c>
      <c r="C20" s="65">
        <v>0.34699999999999998</v>
      </c>
      <c r="D20" s="65">
        <v>0.371</v>
      </c>
      <c r="E20" s="65">
        <v>0.42299999999999999</v>
      </c>
      <c r="F20" s="65">
        <v>0.42199999999999999</v>
      </c>
      <c r="G20" s="65">
        <v>0.42099999999999999</v>
      </c>
      <c r="H20" s="65">
        <v>0.44</v>
      </c>
      <c r="I20" t="s">
        <v>143</v>
      </c>
      <c r="J20" t="s">
        <v>144</v>
      </c>
    </row>
    <row r="21" spans="1:10">
      <c r="A21" t="s">
        <v>145</v>
      </c>
      <c r="B21" s="65">
        <v>-19903</v>
      </c>
      <c r="C21" s="65">
        <v>-4448</v>
      </c>
      <c r="D21" s="65">
        <v>-8755</v>
      </c>
      <c r="E21" s="65">
        <v>-9831</v>
      </c>
      <c r="F21" s="65">
        <v>-10978</v>
      </c>
      <c r="G21" s="65">
        <v>-16950</v>
      </c>
      <c r="H21" s="65">
        <v>-19651</v>
      </c>
      <c r="I21" s="97" t="s">
        <v>146</v>
      </c>
      <c r="J21" t="s">
        <v>147</v>
      </c>
    </row>
    <row r="22" spans="1:10">
      <c r="A22" t="s">
        <v>148</v>
      </c>
      <c r="B22" s="65">
        <v>0.54600000000000004</v>
      </c>
      <c r="C22" s="65">
        <v>0.10199999999999999</v>
      </c>
      <c r="D22" s="65">
        <v>0.16500000000000001</v>
      </c>
      <c r="E22" s="65">
        <v>0.13800000000000001</v>
      </c>
      <c r="F22" s="65">
        <v>0.13100000000000001</v>
      </c>
      <c r="G22" s="65">
        <v>0.19</v>
      </c>
      <c r="H22" s="65">
        <v>0.182</v>
      </c>
      <c r="I22" s="97" t="s">
        <v>149</v>
      </c>
      <c r="J22" t="s">
        <v>150</v>
      </c>
    </row>
    <row r="23" spans="1:10">
      <c r="A23" t="s">
        <v>22</v>
      </c>
      <c r="B23" s="65">
        <v>16571</v>
      </c>
      <c r="C23" s="65">
        <v>39240</v>
      </c>
      <c r="D23" s="65">
        <v>44281</v>
      </c>
      <c r="E23" s="65">
        <v>61271</v>
      </c>
      <c r="F23" s="65">
        <v>72738</v>
      </c>
      <c r="G23" s="65">
        <v>72361</v>
      </c>
      <c r="H23" s="65">
        <v>88136</v>
      </c>
      <c r="I23" s="97" t="s">
        <v>151</v>
      </c>
      <c r="J23" t="s">
        <v>152</v>
      </c>
    </row>
    <row r="24" spans="1:10">
      <c r="A24" t="s">
        <v>97</v>
      </c>
      <c r="B24" s="65">
        <v>-0.35</v>
      </c>
      <c r="C24" s="65">
        <v>1.3680000000000001</v>
      </c>
      <c r="D24" s="65">
        <v>0.128</v>
      </c>
      <c r="E24" s="65">
        <v>0.38400000000000001</v>
      </c>
      <c r="F24" s="65">
        <v>0.187</v>
      </c>
      <c r="G24" s="65">
        <v>-5.0000000000000001E-3</v>
      </c>
      <c r="H24" s="65">
        <v>0.218</v>
      </c>
      <c r="I24" s="97" t="s">
        <v>153</v>
      </c>
      <c r="J24" t="s">
        <v>154</v>
      </c>
    </row>
    <row r="25" spans="1:10">
      <c r="A25" t="s">
        <v>155</v>
      </c>
      <c r="B25" s="65">
        <v>0.15</v>
      </c>
      <c r="C25" s="65">
        <v>0.312</v>
      </c>
      <c r="D25" s="65">
        <v>0.31</v>
      </c>
      <c r="E25" s="65">
        <v>0.36499999999999999</v>
      </c>
      <c r="F25" s="65">
        <v>0.36699999999999999</v>
      </c>
      <c r="G25" s="65">
        <v>0.34100000000000003</v>
      </c>
      <c r="H25" s="65">
        <v>0.36</v>
      </c>
      <c r="I25" s="97" t="s">
        <v>156</v>
      </c>
      <c r="J25" t="s">
        <v>157</v>
      </c>
    </row>
    <row r="26" spans="1:10">
      <c r="A26" t="s">
        <v>158</v>
      </c>
      <c r="B26" s="65">
        <v>7794</v>
      </c>
      <c r="C26" s="65">
        <v>7753</v>
      </c>
      <c r="D26" s="65">
        <v>7683</v>
      </c>
      <c r="E26" s="65">
        <v>7608</v>
      </c>
      <c r="F26" s="65">
        <v>7540</v>
      </c>
      <c r="G26" s="65">
        <v>7472</v>
      </c>
      <c r="H26" s="65">
        <v>7469</v>
      </c>
      <c r="I26" s="97" t="s">
        <v>159</v>
      </c>
      <c r="J26" t="s">
        <v>160</v>
      </c>
    </row>
    <row r="27" spans="1:10">
      <c r="A27" t="s">
        <v>97</v>
      </c>
      <c r="B27" s="65">
        <v>-5.0000000000000001E-3</v>
      </c>
      <c r="C27" s="65">
        <v>-5.0000000000000001E-3</v>
      </c>
      <c r="D27" s="65">
        <v>-8.9999999999999993E-3</v>
      </c>
      <c r="E27" s="65">
        <v>-0.01</v>
      </c>
      <c r="F27" s="65">
        <v>-8.9999999999999993E-3</v>
      </c>
      <c r="G27" s="65">
        <v>-8.9999999999999993E-3</v>
      </c>
      <c r="H27" s="65">
        <v>0</v>
      </c>
      <c r="I27" s="97" t="s">
        <v>161</v>
      </c>
      <c r="J27" t="s">
        <v>162</v>
      </c>
    </row>
    <row r="28" spans="1:10">
      <c r="A28" t="s">
        <v>163</v>
      </c>
      <c r="B28" s="65">
        <v>2.13</v>
      </c>
      <c r="C28" s="65">
        <v>5.0599999999999996</v>
      </c>
      <c r="D28" s="65">
        <v>5.76</v>
      </c>
      <c r="E28" s="65">
        <v>8.0500000000000007</v>
      </c>
      <c r="F28" s="65">
        <v>9.65</v>
      </c>
      <c r="G28" s="65">
        <v>9.68</v>
      </c>
      <c r="H28" s="65">
        <v>11.8</v>
      </c>
      <c r="I28" s="97" t="s">
        <v>164</v>
      </c>
      <c r="J28" t="s">
        <v>165</v>
      </c>
    </row>
    <row r="29" spans="1:10">
      <c r="A29" t="s">
        <v>97</v>
      </c>
      <c r="B29" s="65">
        <v>-0.214</v>
      </c>
      <c r="C29" s="65">
        <v>1.3759999999999999</v>
      </c>
      <c r="D29" s="65">
        <v>0.13800000000000001</v>
      </c>
      <c r="E29" s="65">
        <v>0.39800000000000002</v>
      </c>
      <c r="F29" s="65">
        <v>0.19900000000000001</v>
      </c>
      <c r="G29" s="65">
        <v>3.0000000000000001E-3</v>
      </c>
      <c r="H29" s="65">
        <v>0.219</v>
      </c>
      <c r="I29" s="97" t="s">
        <v>166</v>
      </c>
      <c r="J29" t="s">
        <v>167</v>
      </c>
    </row>
    <row r="30" spans="1:10">
      <c r="A30" t="s">
        <v>168</v>
      </c>
      <c r="B30" s="65"/>
      <c r="C30" s="65"/>
      <c r="D30" s="65"/>
      <c r="E30" s="65"/>
      <c r="F30" s="65"/>
      <c r="G30" s="65"/>
      <c r="H30" s="65"/>
      <c r="I30" s="97"/>
    </row>
    <row r="31" spans="1:10">
      <c r="A31" t="s">
        <v>169</v>
      </c>
      <c r="B31" s="65">
        <v>2.15</v>
      </c>
      <c r="C31" s="65">
        <v>5.1100000000000003</v>
      </c>
      <c r="D31" s="65">
        <v>5.82</v>
      </c>
      <c r="E31" s="65">
        <v>8.1199999999999992</v>
      </c>
      <c r="F31" s="65">
        <v>9.6999999999999993</v>
      </c>
      <c r="G31" s="65">
        <v>9.7200000000000006</v>
      </c>
      <c r="H31" s="65">
        <v>11.86</v>
      </c>
      <c r="I31" s="97" t="s">
        <v>164</v>
      </c>
      <c r="J31">
        <v>45658</v>
      </c>
    </row>
    <row r="32" spans="1:10">
      <c r="A32" t="s">
        <v>97</v>
      </c>
      <c r="B32" s="65">
        <v>-0.215</v>
      </c>
      <c r="C32" s="65">
        <v>1.377</v>
      </c>
      <c r="D32" s="65">
        <v>0.13900000000000001</v>
      </c>
      <c r="E32" s="65">
        <v>0.39500000000000002</v>
      </c>
      <c r="F32" s="65">
        <v>0.19500000000000001</v>
      </c>
      <c r="G32" s="65">
        <v>2E-3</v>
      </c>
      <c r="H32" s="65">
        <v>0.22</v>
      </c>
      <c r="I32" s="97" t="s">
        <v>170</v>
      </c>
      <c r="J32" t="s">
        <v>171</v>
      </c>
    </row>
    <row r="33" spans="1:10">
      <c r="A33" t="s">
        <v>172</v>
      </c>
      <c r="B33" s="65">
        <v>7700</v>
      </c>
      <c r="C33" s="65">
        <v>7673</v>
      </c>
      <c r="D33" s="65">
        <v>7610</v>
      </c>
      <c r="E33" s="65">
        <v>7547</v>
      </c>
      <c r="F33" s="65">
        <v>7496</v>
      </c>
      <c r="G33" s="65">
        <v>7446</v>
      </c>
      <c r="H33" s="65">
        <v>7431</v>
      </c>
      <c r="I33" t="s">
        <v>173</v>
      </c>
      <c r="J33" t="s">
        <v>174</v>
      </c>
    </row>
    <row r="34" spans="1:10">
      <c r="A34" t="s">
        <v>97</v>
      </c>
      <c r="B34" s="65">
        <v>-6.0000000000000001E-3</v>
      </c>
      <c r="C34" s="65">
        <v>-4.0000000000000001E-3</v>
      </c>
      <c r="D34" s="65">
        <v>-8.0000000000000002E-3</v>
      </c>
      <c r="E34" s="65">
        <v>-8.0000000000000002E-3</v>
      </c>
      <c r="F34" s="65">
        <v>-7.0000000000000001E-3</v>
      </c>
      <c r="G34" s="65">
        <v>-7.0000000000000001E-3</v>
      </c>
      <c r="H34" s="65">
        <v>-2E-3</v>
      </c>
      <c r="I34" s="97" t="s">
        <v>161</v>
      </c>
      <c r="J34" t="s">
        <v>175</v>
      </c>
    </row>
    <row r="35" spans="1:10">
      <c r="A35" t="s">
        <v>7</v>
      </c>
      <c r="B35" s="65">
        <v>47474</v>
      </c>
      <c r="C35" s="65">
        <v>57346</v>
      </c>
      <c r="D35" s="65">
        <v>68395</v>
      </c>
      <c r="E35" s="65">
        <v>83831</v>
      </c>
      <c r="F35" s="65">
        <v>99905</v>
      </c>
      <c r="G35" s="65">
        <v>105155</v>
      </c>
      <c r="H35" s="65">
        <v>133009</v>
      </c>
      <c r="I35" t="s">
        <v>176</v>
      </c>
      <c r="J35" t="s">
        <v>125</v>
      </c>
    </row>
    <row r="36" spans="1:10">
      <c r="A36" t="s">
        <v>97</v>
      </c>
      <c r="B36" s="254">
        <v>0.21</v>
      </c>
      <c r="C36" s="254">
        <v>0.20799999999999999</v>
      </c>
      <c r="D36" s="65">
        <v>0.193</v>
      </c>
      <c r="E36" s="65">
        <v>0.22600000000000001</v>
      </c>
      <c r="F36" s="65">
        <v>0.192</v>
      </c>
      <c r="G36" s="65">
        <v>5.2999999999999999E-2</v>
      </c>
      <c r="H36" s="65">
        <v>0.26500000000000001</v>
      </c>
      <c r="I36" s="97" t="s">
        <v>177</v>
      </c>
      <c r="J36" t="s">
        <v>178</v>
      </c>
    </row>
    <row r="37" spans="1:10">
      <c r="A37" t="s">
        <v>179</v>
      </c>
      <c r="B37" s="254">
        <v>0.43</v>
      </c>
      <c r="C37" s="65">
        <v>0.45600000000000002</v>
      </c>
      <c r="D37" s="65">
        <v>0.47799999999999998</v>
      </c>
      <c r="E37" s="65">
        <v>0.499</v>
      </c>
      <c r="F37" s="65">
        <v>0.504</v>
      </c>
      <c r="G37" s="65">
        <v>0.496</v>
      </c>
      <c r="H37" s="65">
        <v>0.54300000000000004</v>
      </c>
      <c r="I37" t="s">
        <v>180</v>
      </c>
      <c r="J37" t="s">
        <v>130</v>
      </c>
    </row>
    <row r="38" spans="1:10">
      <c r="A38" t="s">
        <v>181</v>
      </c>
      <c r="B38" s="65">
        <v>10261</v>
      </c>
      <c r="C38" s="65">
        <v>11682</v>
      </c>
      <c r="D38" s="65">
        <v>12796</v>
      </c>
      <c r="E38" s="65">
        <v>11686</v>
      </c>
      <c r="F38" s="65">
        <v>14460</v>
      </c>
      <c r="G38" s="65">
        <v>13861</v>
      </c>
      <c r="H38" s="65">
        <v>22287</v>
      </c>
      <c r="I38" t="s">
        <v>182</v>
      </c>
    </row>
    <row r="39" spans="1:10">
      <c r="A39" t="s">
        <v>183</v>
      </c>
      <c r="B39" s="65">
        <v>4754</v>
      </c>
      <c r="C39" s="65">
        <v>4885</v>
      </c>
      <c r="D39" s="65">
        <v>5111</v>
      </c>
      <c r="E39" s="65">
        <v>5107</v>
      </c>
      <c r="F39" s="65">
        <v>5900</v>
      </c>
      <c r="G39" s="65">
        <v>7575</v>
      </c>
      <c r="H39" s="65">
        <v>7609</v>
      </c>
      <c r="I39" s="97"/>
    </row>
    <row r="40" spans="1:10">
      <c r="A40" t="s">
        <v>184</v>
      </c>
      <c r="B40" s="65">
        <v>17469</v>
      </c>
      <c r="C40" s="65">
        <v>18213</v>
      </c>
      <c r="D40" s="65">
        <v>19598</v>
      </c>
      <c r="E40" s="65">
        <v>20117</v>
      </c>
      <c r="F40" s="65">
        <v>21825</v>
      </c>
      <c r="G40" s="65">
        <v>22759</v>
      </c>
      <c r="H40" s="65">
        <v>24456</v>
      </c>
    </row>
    <row r="41" spans="1:10">
      <c r="B41" s="65"/>
      <c r="C41" s="65"/>
      <c r="D41" s="65"/>
      <c r="E41" s="65"/>
      <c r="F41" s="65"/>
      <c r="G41" s="65"/>
      <c r="H41" s="65"/>
      <c r="I41" s="97"/>
    </row>
    <row r="42" spans="1:10">
      <c r="B42" s="65"/>
      <c r="C42" s="65"/>
      <c r="D42" s="65"/>
      <c r="E42" s="65"/>
      <c r="F42" s="65"/>
      <c r="G42" s="65"/>
      <c r="H42" s="65"/>
      <c r="I42" s="97"/>
    </row>
    <row r="44" spans="1:10">
      <c r="B44" s="65"/>
      <c r="C44" s="65"/>
      <c r="D44" s="65"/>
      <c r="E44" s="65"/>
      <c r="F44" s="65"/>
      <c r="G44" s="65"/>
      <c r="H44" s="65"/>
      <c r="I44" s="97"/>
    </row>
    <row r="45" spans="1:10">
      <c r="B45" s="65"/>
      <c r="C45" s="65"/>
      <c r="D45" s="65"/>
      <c r="E45" s="65"/>
      <c r="F45" s="65"/>
      <c r="G45" s="65"/>
      <c r="H45" s="65"/>
      <c r="I45" s="97"/>
    </row>
    <row r="46" spans="1:10">
      <c r="B46" s="65"/>
      <c r="C46" s="65"/>
      <c r="D46" s="65"/>
      <c r="E46" s="65"/>
      <c r="F46" s="65"/>
      <c r="G46" s="65"/>
      <c r="H46" s="65"/>
    </row>
    <row r="47" spans="1:10">
      <c r="B47" s="65"/>
      <c r="C47" s="65"/>
      <c r="D47" s="65"/>
      <c r="E47" s="65"/>
      <c r="F47" s="65"/>
      <c r="G47" s="65"/>
      <c r="H47" s="65"/>
      <c r="I47" s="97"/>
    </row>
    <row r="48" spans="1:10">
      <c r="B48" s="65"/>
      <c r="C48" s="65"/>
      <c r="D48" s="65"/>
      <c r="E48" s="65"/>
      <c r="F48" s="65"/>
      <c r="G48" s="65"/>
      <c r="H48" s="65"/>
      <c r="I48" s="97"/>
    </row>
    <row r="49" spans="2:9">
      <c r="B49" s="65"/>
      <c r="C49" s="65"/>
      <c r="D49" s="65"/>
      <c r="E49" s="65"/>
      <c r="F49" s="65"/>
      <c r="G49" s="65"/>
      <c r="H49" s="65"/>
      <c r="I49" s="97"/>
    </row>
    <row r="50" spans="2:9">
      <c r="B50" s="65"/>
      <c r="C50" s="65"/>
      <c r="D50" s="65"/>
      <c r="E50" s="65"/>
      <c r="F50" s="65"/>
      <c r="G50" s="65"/>
      <c r="H50" s="65"/>
      <c r="I50" s="97"/>
    </row>
    <row r="51" spans="2:9">
      <c r="B51" s="65"/>
      <c r="C51" s="65"/>
      <c r="D51" s="65"/>
      <c r="E51" s="65"/>
      <c r="F51" s="65"/>
      <c r="G51" s="65"/>
      <c r="H51" s="65"/>
    </row>
    <row r="52" spans="2:9">
      <c r="B52" s="65"/>
      <c r="C52" s="65"/>
      <c r="D52" s="65"/>
      <c r="E52" s="65"/>
      <c r="F52" s="65"/>
      <c r="G52" s="65"/>
      <c r="H52" s="65"/>
    </row>
    <row r="53" spans="2:9">
      <c r="B53" s="65"/>
      <c r="C53" s="65"/>
      <c r="D53" s="65"/>
      <c r="E53" s="65"/>
      <c r="F53" s="65"/>
      <c r="G53" s="65"/>
      <c r="H53" s="65"/>
    </row>
    <row r="54" spans="2:9">
      <c r="B54" s="65"/>
      <c r="C54" s="65"/>
      <c r="D54" s="65"/>
      <c r="E54" s="65"/>
      <c r="F54" s="65"/>
      <c r="G54" s="65"/>
      <c r="H54" s="65"/>
    </row>
    <row r="55" spans="2:9">
      <c r="B55" s="65"/>
      <c r="C55" s="65"/>
      <c r="D55" s="65"/>
      <c r="E55" s="65"/>
      <c r="F55" s="65"/>
      <c r="G55" s="65"/>
      <c r="H55" s="65"/>
    </row>
    <row r="56" spans="2:9">
      <c r="B56" s="65"/>
      <c r="C56" s="65"/>
      <c r="D56" s="65"/>
      <c r="E56" s="65"/>
      <c r="F56" s="65"/>
      <c r="G56" s="65"/>
      <c r="H56" s="65"/>
    </row>
    <row r="57" spans="2:9">
      <c r="B57" s="65"/>
      <c r="C57" s="65"/>
      <c r="D57" s="65"/>
      <c r="E57" s="65"/>
      <c r="F57" s="65"/>
      <c r="G57" s="65"/>
      <c r="H57" s="65"/>
    </row>
    <row r="58" spans="2:9">
      <c r="D58" s="65"/>
      <c r="E58" s="65"/>
      <c r="F58" s="65"/>
      <c r="G58" s="65"/>
      <c r="H58" s="65"/>
    </row>
    <row r="59" spans="2:9">
      <c r="B59" s="65"/>
      <c r="C59" s="65"/>
      <c r="D59" s="65"/>
      <c r="E59" s="65"/>
      <c r="F59" s="65"/>
      <c r="G59" s="65"/>
      <c r="H59" s="65"/>
    </row>
    <row r="60" spans="2:9">
      <c r="B60" s="65"/>
      <c r="C60" s="65"/>
      <c r="D60" s="65"/>
      <c r="E60" s="65"/>
      <c r="F60" s="65"/>
      <c r="G60" s="65"/>
      <c r="H60" s="65"/>
    </row>
    <row r="61" spans="2:9">
      <c r="B61" s="64"/>
      <c r="C61" s="64"/>
      <c r="D61" s="64"/>
      <c r="E61" s="64"/>
      <c r="F61" s="64"/>
      <c r="G61" s="64"/>
    </row>
    <row r="63" spans="2:9">
      <c r="B63" s="65"/>
      <c r="C63" s="65"/>
      <c r="D63" s="65"/>
      <c r="E63" s="65"/>
      <c r="F63" s="65"/>
      <c r="G63" s="65"/>
      <c r="H63" s="65"/>
    </row>
    <row r="64" spans="2:9">
      <c r="B64" s="65"/>
      <c r="C64" s="65"/>
      <c r="D64" s="65"/>
      <c r="E64" s="65"/>
      <c r="F64" s="65"/>
      <c r="G64" s="65"/>
      <c r="H64" s="65"/>
    </row>
    <row r="66" spans="2:8">
      <c r="B66" s="65"/>
      <c r="C66" s="65"/>
      <c r="D66" s="65"/>
      <c r="E66" s="65"/>
      <c r="F66" s="65"/>
      <c r="G66" s="65"/>
      <c r="H66" s="65"/>
    </row>
    <row r="67" spans="2:8">
      <c r="B67" s="65"/>
      <c r="C67" s="65"/>
      <c r="D67" s="65"/>
      <c r="E67" s="65"/>
      <c r="F67" s="65"/>
      <c r="G67" s="65"/>
      <c r="H67" s="65"/>
    </row>
    <row r="103" spans="7:7">
      <c r="G103" s="65"/>
    </row>
    <row r="110" spans="7:7">
      <c r="G110" s="65"/>
    </row>
  </sheetData>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17B4B-89B8-4AC6-982A-7000E3238168}">
  <dimension ref="A1:J64"/>
  <sheetViews>
    <sheetView showGridLines="0" workbookViewId="0">
      <selection sqref="A1:H38"/>
    </sheetView>
  </sheetViews>
  <sheetFormatPr defaultColWidth="0" defaultRowHeight="15"/>
  <cols>
    <col min="1" max="1" width="40.28515625" bestFit="1" customWidth="1"/>
    <col min="2" max="8" width="11.42578125" style="3" customWidth="1"/>
    <col min="9" max="16384" width="11.42578125" hidden="1"/>
  </cols>
  <sheetData>
    <row r="1" spans="1:10">
      <c r="A1" s="255" t="s">
        <v>185</v>
      </c>
      <c r="B1" s="67">
        <v>43281</v>
      </c>
      <c r="C1" s="67">
        <v>43646</v>
      </c>
      <c r="D1" s="67">
        <v>44012</v>
      </c>
      <c r="E1" s="67">
        <v>44377</v>
      </c>
      <c r="F1" s="67">
        <v>44742</v>
      </c>
      <c r="G1" s="67">
        <v>45107</v>
      </c>
      <c r="H1" s="67">
        <v>45473</v>
      </c>
      <c r="I1" t="s">
        <v>91</v>
      </c>
      <c r="J1" t="s">
        <v>92</v>
      </c>
    </row>
    <row r="2" spans="1:10">
      <c r="A2" s="255" t="s">
        <v>93</v>
      </c>
      <c r="B2" s="67"/>
      <c r="C2" s="67"/>
      <c r="D2" s="67"/>
      <c r="E2" s="67"/>
      <c r="F2" s="67"/>
      <c r="G2" s="67"/>
      <c r="H2" s="67"/>
      <c r="I2" s="98"/>
    </row>
    <row r="3" spans="1:10">
      <c r="A3" s="256" t="s">
        <v>186</v>
      </c>
      <c r="B3" s="65">
        <v>11946</v>
      </c>
      <c r="C3" s="65">
        <v>11356</v>
      </c>
      <c r="D3" s="65">
        <v>13576</v>
      </c>
      <c r="E3" s="65">
        <v>14224</v>
      </c>
      <c r="F3" s="65">
        <v>13931</v>
      </c>
      <c r="G3" s="65">
        <v>34704</v>
      </c>
      <c r="H3" s="65">
        <v>18315</v>
      </c>
      <c r="I3" t="s">
        <v>187</v>
      </c>
      <c r="J3" t="s">
        <v>188</v>
      </c>
    </row>
    <row r="4" spans="1:10">
      <c r="A4" s="256" t="s">
        <v>189</v>
      </c>
      <c r="B4" s="65">
        <v>121822</v>
      </c>
      <c r="C4" s="65">
        <v>122463</v>
      </c>
      <c r="D4" s="65">
        <v>122951</v>
      </c>
      <c r="E4" s="65">
        <v>116110</v>
      </c>
      <c r="F4" s="65">
        <v>90826</v>
      </c>
      <c r="G4" s="65">
        <v>76558</v>
      </c>
      <c r="H4" s="65">
        <v>57216</v>
      </c>
      <c r="I4" s="97" t="s">
        <v>190</v>
      </c>
      <c r="J4" t="s">
        <v>191</v>
      </c>
    </row>
    <row r="5" spans="1:10">
      <c r="A5" s="256" t="s">
        <v>192</v>
      </c>
      <c r="B5" s="65">
        <v>133768</v>
      </c>
      <c r="C5" s="65">
        <v>133819</v>
      </c>
      <c r="D5" s="65">
        <v>136527</v>
      </c>
      <c r="E5" s="65">
        <v>130334</v>
      </c>
      <c r="F5" s="65">
        <v>104757</v>
      </c>
      <c r="G5" s="65">
        <v>111262</v>
      </c>
      <c r="H5" s="65">
        <v>75531</v>
      </c>
      <c r="I5" s="97" t="s">
        <v>193</v>
      </c>
      <c r="J5" t="s">
        <v>194</v>
      </c>
    </row>
    <row r="6" spans="1:10">
      <c r="A6" s="256" t="s">
        <v>195</v>
      </c>
      <c r="B6" s="65">
        <v>26481</v>
      </c>
      <c r="C6" s="65">
        <v>29524</v>
      </c>
      <c r="D6" s="65">
        <v>32011</v>
      </c>
      <c r="E6" s="65">
        <v>38043</v>
      </c>
      <c r="F6" s="65">
        <v>44261</v>
      </c>
      <c r="G6" s="65">
        <v>48688</v>
      </c>
      <c r="H6" s="65">
        <v>56924</v>
      </c>
      <c r="I6" s="97" t="s">
        <v>196</v>
      </c>
      <c r="J6" t="s">
        <v>197</v>
      </c>
    </row>
    <row r="7" spans="1:10">
      <c r="A7" s="256" t="s">
        <v>198</v>
      </c>
      <c r="B7" s="65">
        <v>2662</v>
      </c>
      <c r="C7" s="65">
        <v>2063</v>
      </c>
      <c r="D7" s="65">
        <v>1895</v>
      </c>
      <c r="E7" s="65">
        <v>2636</v>
      </c>
      <c r="F7" s="65">
        <v>3742</v>
      </c>
      <c r="G7" s="65">
        <v>2500</v>
      </c>
      <c r="H7" s="65">
        <v>1246</v>
      </c>
      <c r="I7" s="97" t="s">
        <v>199</v>
      </c>
      <c r="J7" t="s">
        <v>200</v>
      </c>
    </row>
    <row r="8" spans="1:10">
      <c r="A8" s="256" t="s">
        <v>201</v>
      </c>
      <c r="B8" s="65">
        <v>6751</v>
      </c>
      <c r="C8" s="65">
        <v>10146</v>
      </c>
      <c r="D8" s="65">
        <v>11482</v>
      </c>
      <c r="E8" s="65">
        <v>13393</v>
      </c>
      <c r="F8" s="65">
        <v>16924</v>
      </c>
      <c r="G8" s="65">
        <v>21807</v>
      </c>
      <c r="H8" s="65">
        <v>26033</v>
      </c>
      <c r="I8" s="97" t="s">
        <v>202</v>
      </c>
      <c r="J8" t="s">
        <v>203</v>
      </c>
    </row>
    <row r="9" spans="1:10">
      <c r="A9" s="256" t="s">
        <v>204</v>
      </c>
      <c r="B9" s="65">
        <v>169662</v>
      </c>
      <c r="C9" s="65">
        <v>175552</v>
      </c>
      <c r="D9" s="65">
        <v>181915</v>
      </c>
      <c r="E9" s="65">
        <v>184406</v>
      </c>
      <c r="F9" s="65">
        <v>169684</v>
      </c>
      <c r="G9" s="65">
        <v>184257</v>
      </c>
      <c r="H9" s="65">
        <v>159734</v>
      </c>
      <c r="I9" s="97" t="s">
        <v>205</v>
      </c>
      <c r="J9" t="s">
        <v>206</v>
      </c>
    </row>
    <row r="10" spans="1:10">
      <c r="A10" s="256" t="s">
        <v>207</v>
      </c>
      <c r="B10" s="65">
        <v>36146</v>
      </c>
      <c r="C10" s="65">
        <v>43856</v>
      </c>
      <c r="D10" s="65">
        <v>52904</v>
      </c>
      <c r="E10" s="65">
        <v>70803</v>
      </c>
      <c r="F10" s="65">
        <v>87546</v>
      </c>
      <c r="G10" s="65">
        <v>109987</v>
      </c>
      <c r="H10" s="65">
        <v>154552</v>
      </c>
      <c r="I10" s="97" t="s">
        <v>208</v>
      </c>
      <c r="J10" t="s">
        <v>209</v>
      </c>
    </row>
    <row r="11" spans="1:10">
      <c r="A11" s="256" t="s">
        <v>210</v>
      </c>
      <c r="B11" s="65">
        <v>35683</v>
      </c>
      <c r="C11" s="65">
        <v>42026</v>
      </c>
      <c r="D11" s="65">
        <v>43351</v>
      </c>
      <c r="E11" s="65">
        <v>49711</v>
      </c>
      <c r="F11" s="65">
        <v>67524</v>
      </c>
      <c r="G11" s="65">
        <v>67886</v>
      </c>
      <c r="H11" s="65">
        <v>119220</v>
      </c>
      <c r="I11" t="s">
        <v>211</v>
      </c>
      <c r="J11" t="s">
        <v>212</v>
      </c>
    </row>
    <row r="12" spans="1:10">
      <c r="A12" s="256" t="s">
        <v>213</v>
      </c>
      <c r="B12" s="65">
        <v>8053</v>
      </c>
      <c r="C12" s="65">
        <v>7750</v>
      </c>
      <c r="D12" s="65">
        <v>7038</v>
      </c>
      <c r="E12" s="65">
        <v>7800</v>
      </c>
      <c r="F12" s="65">
        <v>11298</v>
      </c>
      <c r="G12" s="65">
        <v>9366</v>
      </c>
      <c r="H12" s="65">
        <v>27597</v>
      </c>
      <c r="I12" t="s">
        <v>214</v>
      </c>
      <c r="J12" t="s">
        <v>215</v>
      </c>
    </row>
    <row r="13" spans="1:10">
      <c r="A13" s="256" t="s">
        <v>216</v>
      </c>
      <c r="B13" s="65">
        <v>1862</v>
      </c>
      <c r="C13" s="65">
        <v>2649</v>
      </c>
      <c r="D13" s="65">
        <v>2965</v>
      </c>
      <c r="E13" s="65">
        <v>5984</v>
      </c>
      <c r="F13" s="65">
        <v>6891</v>
      </c>
      <c r="G13" s="65">
        <v>9879</v>
      </c>
      <c r="H13" s="65">
        <v>14600</v>
      </c>
      <c r="I13" s="97" t="s">
        <v>217</v>
      </c>
    </row>
    <row r="14" spans="1:10">
      <c r="A14" s="256" t="s">
        <v>218</v>
      </c>
      <c r="B14" s="65"/>
      <c r="C14" s="65">
        <v>7536</v>
      </c>
      <c r="D14" s="65">
        <v>6405</v>
      </c>
      <c r="E14" s="65">
        <v>7181</v>
      </c>
      <c r="F14" s="65">
        <v>13515</v>
      </c>
      <c r="G14" s="65">
        <v>20163</v>
      </c>
      <c r="H14" s="65"/>
      <c r="I14" s="97" t="s">
        <v>219</v>
      </c>
      <c r="J14" t="s">
        <v>220</v>
      </c>
    </row>
    <row r="15" spans="1:10">
      <c r="A15" s="256" t="s">
        <v>221</v>
      </c>
      <c r="B15" s="65">
        <v>7442</v>
      </c>
      <c r="C15" s="65">
        <v>7187</v>
      </c>
      <c r="D15" s="65">
        <v>6733</v>
      </c>
      <c r="E15" s="65">
        <v>7894</v>
      </c>
      <c r="F15" s="65">
        <v>8382</v>
      </c>
      <c r="G15" s="65">
        <v>10438</v>
      </c>
      <c r="H15" s="65">
        <v>36460</v>
      </c>
      <c r="I15" s="97" t="s">
        <v>222</v>
      </c>
      <c r="J15" t="s">
        <v>223</v>
      </c>
    </row>
    <row r="16" spans="1:10">
      <c r="A16" s="256" t="s">
        <v>224</v>
      </c>
      <c r="B16" s="65">
        <v>89186</v>
      </c>
      <c r="C16" s="65">
        <v>111004</v>
      </c>
      <c r="D16" s="65">
        <v>119396</v>
      </c>
      <c r="E16" s="65">
        <v>149373</v>
      </c>
      <c r="F16" s="65">
        <v>195156</v>
      </c>
      <c r="G16" s="65">
        <v>227719</v>
      </c>
      <c r="H16" s="65">
        <v>352429</v>
      </c>
      <c r="I16" s="97" t="s">
        <v>225</v>
      </c>
      <c r="J16" t="s">
        <v>226</v>
      </c>
    </row>
    <row r="17" spans="1:10">
      <c r="A17" s="256" t="s">
        <v>227</v>
      </c>
      <c r="B17" s="65">
        <v>258848</v>
      </c>
      <c r="C17" s="65">
        <v>286556</v>
      </c>
      <c r="D17" s="65">
        <v>301311</v>
      </c>
      <c r="E17" s="65">
        <v>333779</v>
      </c>
      <c r="F17" s="65">
        <v>364840</v>
      </c>
      <c r="G17" s="65">
        <v>411976</v>
      </c>
      <c r="H17" s="65">
        <v>512163</v>
      </c>
      <c r="I17" s="97" t="s">
        <v>228</v>
      </c>
      <c r="J17" t="s">
        <v>229</v>
      </c>
    </row>
    <row r="18" spans="1:10">
      <c r="A18" s="256" t="s">
        <v>230</v>
      </c>
      <c r="B18" s="65">
        <v>3998</v>
      </c>
      <c r="C18" s="65">
        <v>5516</v>
      </c>
      <c r="D18" s="65">
        <v>3749</v>
      </c>
      <c r="E18" s="65">
        <v>8072</v>
      </c>
      <c r="F18" s="65">
        <v>2749</v>
      </c>
      <c r="G18" s="65">
        <v>5247</v>
      </c>
      <c r="H18" s="65">
        <v>8942</v>
      </c>
      <c r="I18" s="97" t="s">
        <v>231</v>
      </c>
    </row>
    <row r="19" spans="1:10">
      <c r="A19" s="256" t="s">
        <v>232</v>
      </c>
      <c r="B19" s="65">
        <v>2121</v>
      </c>
      <c r="C19" s="65">
        <v>5665</v>
      </c>
      <c r="D19" s="65">
        <v>2130</v>
      </c>
      <c r="E19" s="65">
        <v>2174</v>
      </c>
      <c r="F19" s="65">
        <v>4067</v>
      </c>
      <c r="G19" s="65">
        <v>4152</v>
      </c>
      <c r="H19" s="65">
        <v>5017</v>
      </c>
      <c r="I19" s="97"/>
    </row>
    <row r="20" spans="1:10">
      <c r="A20" s="256" t="s">
        <v>233</v>
      </c>
      <c r="B20" s="65">
        <v>28905</v>
      </c>
      <c r="C20" s="65">
        <v>32676</v>
      </c>
      <c r="D20" s="65">
        <v>36000</v>
      </c>
      <c r="E20" s="65">
        <v>41525</v>
      </c>
      <c r="F20" s="65">
        <v>45538</v>
      </c>
      <c r="G20" s="65">
        <v>50901</v>
      </c>
      <c r="H20" s="65">
        <v>57582</v>
      </c>
      <c r="I20" s="97" t="s">
        <v>234</v>
      </c>
    </row>
    <row r="21" spans="1:10">
      <c r="A21" s="256" t="s">
        <v>235</v>
      </c>
      <c r="B21" s="65">
        <v>16968</v>
      </c>
      <c r="C21" s="65">
        <v>21846</v>
      </c>
      <c r="D21" s="65">
        <v>20031</v>
      </c>
      <c r="E21" s="65">
        <v>23897</v>
      </c>
      <c r="F21" s="65">
        <v>27795</v>
      </c>
      <c r="G21" s="65">
        <v>29906</v>
      </c>
      <c r="H21" s="65">
        <v>31749</v>
      </c>
      <c r="I21" s="97" t="s">
        <v>236</v>
      </c>
      <c r="J21" t="s">
        <v>237</v>
      </c>
    </row>
    <row r="22" spans="1:10">
      <c r="A22" s="256" t="s">
        <v>238</v>
      </c>
      <c r="B22" s="65">
        <v>58488</v>
      </c>
      <c r="C22" s="65">
        <v>69420</v>
      </c>
      <c r="D22" s="65">
        <v>72310</v>
      </c>
      <c r="E22" s="65">
        <v>88657</v>
      </c>
      <c r="F22" s="65">
        <v>95082</v>
      </c>
      <c r="G22" s="65">
        <v>104149</v>
      </c>
      <c r="H22" s="65">
        <v>125286</v>
      </c>
      <c r="I22" s="97" t="s">
        <v>239</v>
      </c>
      <c r="J22" t="s">
        <v>240</v>
      </c>
    </row>
    <row r="23" spans="1:10">
      <c r="A23" s="256" t="s">
        <v>241</v>
      </c>
      <c r="B23" s="65">
        <v>77810</v>
      </c>
      <c r="C23" s="65">
        <v>72850</v>
      </c>
      <c r="D23" s="65">
        <v>67249</v>
      </c>
      <c r="E23" s="65">
        <v>59703</v>
      </c>
      <c r="F23" s="65">
        <v>58521</v>
      </c>
      <c r="G23" s="65">
        <v>54718</v>
      </c>
      <c r="H23" s="65">
        <v>58185</v>
      </c>
      <c r="I23" s="97" t="s">
        <v>242</v>
      </c>
      <c r="J23" t="s">
        <v>243</v>
      </c>
    </row>
    <row r="24" spans="1:10">
      <c r="A24" s="257" t="s">
        <v>244</v>
      </c>
      <c r="B24" s="65">
        <v>3815</v>
      </c>
      <c r="C24" s="65">
        <v>4530</v>
      </c>
      <c r="D24" s="65">
        <v>3180</v>
      </c>
      <c r="E24" s="65">
        <v>2616</v>
      </c>
      <c r="F24" s="65">
        <v>2870</v>
      </c>
      <c r="G24" s="65">
        <v>2912</v>
      </c>
      <c r="H24" s="65">
        <v>2602</v>
      </c>
      <c r="I24" s="97"/>
    </row>
    <row r="25" spans="1:10">
      <c r="A25" s="256" t="s">
        <v>245</v>
      </c>
      <c r="B25" s="65">
        <v>35476</v>
      </c>
      <c r="C25" s="65">
        <v>37193</v>
      </c>
      <c r="D25" s="65">
        <v>40064</v>
      </c>
      <c r="E25" s="65">
        <v>40617</v>
      </c>
      <c r="F25" s="65">
        <v>41595</v>
      </c>
      <c r="G25" s="65">
        <v>43541</v>
      </c>
      <c r="H25" s="65">
        <v>54995</v>
      </c>
      <c r="I25" s="97" t="s">
        <v>246</v>
      </c>
      <c r="J25" t="s">
        <v>247</v>
      </c>
    </row>
    <row r="26" spans="1:10">
      <c r="A26" s="256" t="s">
        <v>248</v>
      </c>
      <c r="B26" s="65">
        <v>117642</v>
      </c>
      <c r="C26" s="65">
        <v>114806</v>
      </c>
      <c r="D26" s="65">
        <v>110697</v>
      </c>
      <c r="E26" s="65">
        <v>103134</v>
      </c>
      <c r="F26" s="65">
        <v>103216</v>
      </c>
      <c r="G26" s="65">
        <v>101604</v>
      </c>
      <c r="H26" s="65">
        <v>118400</v>
      </c>
      <c r="I26" s="97" t="s">
        <v>249</v>
      </c>
      <c r="J26" t="s">
        <v>250</v>
      </c>
    </row>
    <row r="27" spans="1:10">
      <c r="A27" s="256" t="s">
        <v>251</v>
      </c>
      <c r="B27" s="65"/>
      <c r="C27" s="65"/>
      <c r="D27" s="65"/>
      <c r="E27" s="65"/>
      <c r="F27" s="65"/>
      <c r="G27" s="65"/>
      <c r="H27" s="65"/>
      <c r="I27" s="97" t="s">
        <v>252</v>
      </c>
      <c r="J27" t="s">
        <v>253</v>
      </c>
    </row>
    <row r="28" spans="1:10">
      <c r="A28" s="256" t="s">
        <v>254</v>
      </c>
      <c r="B28" s="65">
        <v>176130</v>
      </c>
      <c r="C28" s="65">
        <v>184226</v>
      </c>
      <c r="D28" s="65">
        <v>183007</v>
      </c>
      <c r="E28" s="65">
        <v>191791</v>
      </c>
      <c r="F28" s="65">
        <v>198298</v>
      </c>
      <c r="G28" s="65">
        <v>205753</v>
      </c>
      <c r="H28" s="65">
        <v>243686</v>
      </c>
      <c r="I28" s="97"/>
    </row>
    <row r="29" spans="1:10">
      <c r="A29" s="256" t="s">
        <v>255</v>
      </c>
      <c r="B29" s="65"/>
      <c r="C29" s="65"/>
      <c r="D29" s="65"/>
      <c r="E29" s="65"/>
      <c r="F29" s="65"/>
      <c r="G29" s="65"/>
      <c r="H29" s="65"/>
      <c r="I29" s="97" t="s">
        <v>256</v>
      </c>
      <c r="J29" t="s">
        <v>256</v>
      </c>
    </row>
    <row r="30" spans="1:10">
      <c r="A30" s="256" t="s">
        <v>257</v>
      </c>
      <c r="B30" s="65">
        <v>71223</v>
      </c>
      <c r="C30" s="65">
        <v>78520</v>
      </c>
      <c r="D30" s="65">
        <v>80552</v>
      </c>
      <c r="E30" s="65">
        <v>83111</v>
      </c>
      <c r="F30" s="65">
        <v>86939</v>
      </c>
      <c r="G30" s="65">
        <v>93718</v>
      </c>
      <c r="H30" s="65">
        <v>100923</v>
      </c>
      <c r="I30" s="97" t="s">
        <v>258</v>
      </c>
      <c r="J30" t="s">
        <v>259</v>
      </c>
    </row>
    <row r="31" spans="1:10">
      <c r="A31" s="256" t="s">
        <v>260</v>
      </c>
      <c r="B31" s="65">
        <v>13682</v>
      </c>
      <c r="C31" s="65">
        <v>24150</v>
      </c>
      <c r="D31" s="65">
        <v>34566</v>
      </c>
      <c r="E31" s="65">
        <v>57055</v>
      </c>
      <c r="F31" s="65">
        <v>84281</v>
      </c>
      <c r="G31" s="65">
        <v>118848</v>
      </c>
      <c r="H31" s="65">
        <v>173144</v>
      </c>
      <c r="I31" s="97" t="s">
        <v>261</v>
      </c>
      <c r="J31" t="s">
        <v>262</v>
      </c>
    </row>
    <row r="32" spans="1:10" ht="30.75">
      <c r="A32" s="256" t="s">
        <v>263</v>
      </c>
      <c r="B32" s="65">
        <v>-2187</v>
      </c>
      <c r="C32" s="65">
        <v>-340</v>
      </c>
      <c r="D32" s="65">
        <v>3186</v>
      </c>
      <c r="E32" s="65">
        <v>1822</v>
      </c>
      <c r="F32" s="65">
        <v>-4678</v>
      </c>
      <c r="G32" s="65">
        <v>-6343</v>
      </c>
      <c r="H32" s="65">
        <v>-5590</v>
      </c>
      <c r="I32" s="97" t="s">
        <v>264</v>
      </c>
      <c r="J32" t="s">
        <v>265</v>
      </c>
    </row>
    <row r="33" spans="1:10">
      <c r="A33" s="256" t="s">
        <v>266</v>
      </c>
      <c r="B33" s="65"/>
      <c r="C33" s="65"/>
      <c r="D33" s="65"/>
      <c r="E33" s="65"/>
      <c r="F33" s="65"/>
      <c r="G33" s="65"/>
      <c r="H33" s="65"/>
      <c r="I33" s="97" t="s">
        <v>267</v>
      </c>
      <c r="J33" t="s">
        <v>268</v>
      </c>
    </row>
    <row r="34" spans="1:10">
      <c r="A34" s="256" t="s">
        <v>269</v>
      </c>
      <c r="B34" s="65">
        <v>82718</v>
      </c>
      <c r="C34" s="65">
        <v>102330</v>
      </c>
      <c r="D34" s="65">
        <v>118304</v>
      </c>
      <c r="E34" s="65">
        <v>141988</v>
      </c>
      <c r="F34" s="65">
        <v>166542</v>
      </c>
      <c r="G34" s="65">
        <v>206223</v>
      </c>
      <c r="H34" s="65">
        <v>268477</v>
      </c>
      <c r="I34" s="97" t="s">
        <v>228</v>
      </c>
      <c r="J34" t="s">
        <v>268</v>
      </c>
    </row>
    <row r="35" spans="1:10">
      <c r="A35" s="256" t="s">
        <v>270</v>
      </c>
      <c r="B35" s="65">
        <v>258848</v>
      </c>
      <c r="C35" s="65">
        <v>286556</v>
      </c>
      <c r="D35" s="65">
        <v>301311</v>
      </c>
      <c r="E35" s="65">
        <v>333779</v>
      </c>
      <c r="F35" s="65">
        <v>364840</v>
      </c>
      <c r="G35" s="65">
        <v>411976</v>
      </c>
      <c r="H35" s="65">
        <v>512163</v>
      </c>
      <c r="I35" s="97"/>
    </row>
    <row r="36" spans="1:10">
      <c r="A36" s="256" t="s">
        <v>168</v>
      </c>
      <c r="B36" s="65"/>
      <c r="C36" s="65"/>
      <c r="D36" s="65"/>
      <c r="E36" s="65"/>
      <c r="F36" s="65"/>
      <c r="G36" s="65"/>
      <c r="H36" s="65"/>
      <c r="I36" s="97" t="s">
        <v>271</v>
      </c>
      <c r="J36" t="s">
        <v>243</v>
      </c>
    </row>
    <row r="37" spans="1:10">
      <c r="A37" s="256" t="s">
        <v>272</v>
      </c>
      <c r="B37" s="65">
        <v>81808</v>
      </c>
      <c r="C37" s="65">
        <v>78366</v>
      </c>
      <c r="D37" s="65">
        <v>70998</v>
      </c>
      <c r="E37" s="65">
        <v>67775</v>
      </c>
      <c r="F37" s="65">
        <v>61270</v>
      </c>
      <c r="G37" s="65">
        <v>59965</v>
      </c>
      <c r="H37" s="65">
        <v>67127</v>
      </c>
      <c r="I37" s="97" t="s">
        <v>273</v>
      </c>
      <c r="J37" t="s">
        <v>274</v>
      </c>
    </row>
    <row r="38" spans="1:10">
      <c r="A38" t="s">
        <v>275</v>
      </c>
      <c r="B38" s="65">
        <v>69862</v>
      </c>
      <c r="C38" s="65">
        <v>67010</v>
      </c>
      <c r="D38" s="65">
        <v>57422</v>
      </c>
      <c r="E38" s="65">
        <v>53551</v>
      </c>
      <c r="F38" s="65">
        <v>47339</v>
      </c>
      <c r="G38" s="65">
        <v>25261</v>
      </c>
      <c r="H38" s="65">
        <v>48812</v>
      </c>
      <c r="I38" s="97"/>
    </row>
    <row r="39" spans="1:10">
      <c r="B39" s="65"/>
      <c r="C39" s="65"/>
      <c r="D39" s="65"/>
      <c r="E39" s="65"/>
      <c r="F39" s="65"/>
      <c r="G39" s="65"/>
      <c r="H39" s="65"/>
      <c r="I39" s="97"/>
    </row>
    <row r="40" spans="1:10">
      <c r="B40" s="65"/>
      <c r="C40" s="65"/>
      <c r="D40" s="65"/>
      <c r="E40" s="65"/>
      <c r="F40" s="65"/>
      <c r="G40" s="65"/>
      <c r="H40" s="65"/>
      <c r="I40" s="97"/>
    </row>
    <row r="41" spans="1:10">
      <c r="B41" s="65"/>
      <c r="C41" s="65"/>
      <c r="D41" s="65"/>
      <c r="E41" s="65"/>
      <c r="F41" s="65"/>
      <c r="G41" s="65"/>
      <c r="H41" s="65"/>
      <c r="I41" s="97"/>
    </row>
    <row r="42" spans="1:10">
      <c r="B42" s="65"/>
      <c r="C42" s="65"/>
      <c r="D42" s="65"/>
      <c r="E42" s="65"/>
      <c r="F42" s="65"/>
      <c r="G42" s="65"/>
      <c r="H42" s="65"/>
      <c r="I42" s="97"/>
    </row>
    <row r="43" spans="1:10">
      <c r="B43" s="65"/>
      <c r="C43" s="65"/>
      <c r="D43" s="65"/>
      <c r="E43" s="65"/>
      <c r="F43" s="65"/>
      <c r="G43" s="65"/>
      <c r="H43" s="65"/>
      <c r="I43" s="97"/>
    </row>
    <row r="44" spans="1:10">
      <c r="B44" s="65"/>
      <c r="C44" s="65"/>
      <c r="D44" s="65"/>
      <c r="E44" s="65"/>
      <c r="F44" s="65"/>
      <c r="G44" s="65"/>
      <c r="H44" s="65"/>
      <c r="I44" s="97"/>
    </row>
    <row r="45" spans="1:10">
      <c r="B45" s="65"/>
      <c r="C45" s="65"/>
      <c r="D45" s="65"/>
      <c r="E45" s="65"/>
      <c r="F45" s="65"/>
      <c r="G45" s="65"/>
      <c r="H45" s="65"/>
      <c r="I45" s="97"/>
    </row>
    <row r="46" spans="1:10">
      <c r="B46" s="65"/>
      <c r="C46" s="65"/>
      <c r="D46" s="65"/>
      <c r="E46" s="65"/>
      <c r="F46" s="65"/>
      <c r="G46" s="65"/>
      <c r="H46" s="65"/>
      <c r="I46" s="97"/>
    </row>
    <row r="47" spans="1:10">
      <c r="B47" s="65"/>
      <c r="C47" s="65"/>
      <c r="D47" s="65"/>
      <c r="E47" s="65"/>
      <c r="F47" s="65"/>
      <c r="G47" s="65"/>
      <c r="H47" s="65"/>
      <c r="I47" s="97"/>
    </row>
    <row r="48" spans="1:10">
      <c r="B48" s="65"/>
      <c r="C48" s="65"/>
      <c r="D48" s="65"/>
      <c r="E48" s="65"/>
      <c r="F48" s="65"/>
      <c r="G48" s="65"/>
      <c r="H48" s="65"/>
      <c r="I48" s="97"/>
    </row>
    <row r="49" spans="2:9">
      <c r="B49" s="65"/>
      <c r="C49" s="65"/>
      <c r="D49" s="65"/>
      <c r="E49" s="65"/>
      <c r="F49" s="65"/>
      <c r="G49" s="65"/>
      <c r="H49" s="65"/>
      <c r="I49" s="97"/>
    </row>
    <row r="50" spans="2:9">
      <c r="B50" s="65"/>
      <c r="C50" s="65"/>
      <c r="D50" s="65"/>
      <c r="E50" s="65"/>
      <c r="F50" s="65"/>
      <c r="G50" s="65"/>
      <c r="H50" s="65"/>
      <c r="I50" s="97"/>
    </row>
    <row r="51" spans="2:9">
      <c r="B51" s="65"/>
      <c r="C51" s="65"/>
      <c r="D51" s="65"/>
      <c r="E51" s="65"/>
      <c r="F51" s="65"/>
      <c r="G51" s="65"/>
      <c r="H51" s="65"/>
      <c r="I51" s="97"/>
    </row>
    <row r="52" spans="2:9">
      <c r="B52" s="65"/>
      <c r="C52" s="65"/>
      <c r="D52" s="65"/>
      <c r="E52" s="65"/>
      <c r="F52" s="65"/>
      <c r="G52" s="65"/>
      <c r="H52" s="65"/>
      <c r="I52" s="97"/>
    </row>
    <row r="53" spans="2:9">
      <c r="B53" s="65"/>
      <c r="C53" s="65"/>
      <c r="D53" s="65"/>
      <c r="E53" s="65"/>
      <c r="F53" s="65"/>
      <c r="G53" s="65"/>
      <c r="H53" s="65"/>
      <c r="I53" s="97"/>
    </row>
    <row r="54" spans="2:9">
      <c r="B54" s="65"/>
      <c r="C54" s="65"/>
      <c r="D54" s="65"/>
      <c r="E54" s="65"/>
      <c r="F54" s="65"/>
      <c r="G54" s="65"/>
      <c r="H54" s="65"/>
      <c r="I54" s="97"/>
    </row>
    <row r="55" spans="2:9">
      <c r="B55" s="65"/>
      <c r="C55" s="65"/>
      <c r="D55" s="65"/>
      <c r="E55" s="65"/>
      <c r="F55" s="65"/>
      <c r="G55" s="65"/>
      <c r="H55" s="65"/>
      <c r="I55" s="97"/>
    </row>
    <row r="56" spans="2:9">
      <c r="B56" s="65"/>
      <c r="C56" s="65"/>
      <c r="D56" s="65"/>
      <c r="E56" s="65"/>
      <c r="F56" s="65"/>
      <c r="G56" s="65"/>
      <c r="H56" s="65"/>
      <c r="I56" s="97"/>
    </row>
    <row r="57" spans="2:9">
      <c r="B57" s="65"/>
      <c r="C57" s="65"/>
      <c r="D57" s="65"/>
      <c r="E57" s="65"/>
      <c r="F57" s="65"/>
      <c r="G57" s="65"/>
      <c r="H57" s="65"/>
      <c r="I57" s="97"/>
    </row>
    <row r="58" spans="2:9">
      <c r="B58" s="65"/>
      <c r="C58" s="65"/>
      <c r="D58" s="65"/>
      <c r="E58" s="65"/>
      <c r="F58" s="65"/>
      <c r="G58" s="65"/>
      <c r="H58" s="65"/>
      <c r="I58" s="97"/>
    </row>
    <row r="59" spans="2:9">
      <c r="B59" s="65"/>
      <c r="C59" s="65"/>
      <c r="D59" s="65"/>
      <c r="E59" s="65"/>
      <c r="F59" s="65"/>
      <c r="G59" s="65"/>
      <c r="H59" s="65"/>
      <c r="I59" s="97"/>
    </row>
    <row r="60" spans="2:9">
      <c r="B60" s="65"/>
      <c r="C60" s="65"/>
      <c r="D60" s="65"/>
      <c r="E60" s="65"/>
      <c r="F60" s="65"/>
      <c r="G60" s="65"/>
      <c r="H60" s="65"/>
      <c r="I60" s="97"/>
    </row>
    <row r="61" spans="2:9">
      <c r="B61" s="65"/>
      <c r="C61" s="65"/>
      <c r="D61" s="65"/>
      <c r="E61" s="65"/>
      <c r="F61" s="65"/>
      <c r="G61" s="65"/>
      <c r="H61" s="65"/>
    </row>
    <row r="62" spans="2:9">
      <c r="B62" s="65"/>
      <c r="C62" s="65"/>
      <c r="D62" s="65"/>
      <c r="E62" s="65"/>
      <c r="F62" s="65"/>
      <c r="G62" s="65"/>
      <c r="H62" s="65"/>
    </row>
    <row r="63" spans="2:9">
      <c r="B63" s="65"/>
      <c r="C63" s="65"/>
      <c r="D63" s="65"/>
      <c r="E63" s="65"/>
      <c r="F63" s="65"/>
      <c r="G63" s="65"/>
      <c r="H63" s="65"/>
    </row>
    <row r="64" spans="2:9">
      <c r="B64" s="65"/>
      <c r="C64" s="65"/>
      <c r="D64" s="65"/>
      <c r="E64" s="65"/>
      <c r="F64" s="65"/>
      <c r="G64" s="65"/>
      <c r="H64" s="65"/>
    </row>
  </sheetData>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5F573-FD70-43AA-9C68-646EEB9D54E7}">
  <dimension ref="A1:J203"/>
  <sheetViews>
    <sheetView showGridLines="0" workbookViewId="0">
      <selection activeCell="A13" sqref="A13"/>
    </sheetView>
  </sheetViews>
  <sheetFormatPr defaultColWidth="0" defaultRowHeight="15"/>
  <cols>
    <col min="1" max="1" width="43.5703125" bestFit="1" customWidth="1"/>
    <col min="2" max="8" width="11.42578125" style="3" customWidth="1"/>
    <col min="9" max="16384" width="11.42578125" hidden="1"/>
  </cols>
  <sheetData>
    <row r="1" spans="1:10">
      <c r="A1" s="70" t="s">
        <v>276</v>
      </c>
      <c r="B1" s="258">
        <v>43281</v>
      </c>
      <c r="C1" s="258">
        <v>43646</v>
      </c>
      <c r="D1" s="258">
        <v>44012</v>
      </c>
      <c r="E1" s="258">
        <v>44377</v>
      </c>
      <c r="F1" s="240">
        <v>44742</v>
      </c>
      <c r="G1" s="240">
        <v>45107</v>
      </c>
      <c r="H1" s="240">
        <v>45473</v>
      </c>
      <c r="I1" t="s">
        <v>91</v>
      </c>
      <c r="J1" t="s">
        <v>92</v>
      </c>
    </row>
    <row r="2" spans="1:10">
      <c r="A2" s="70" t="s">
        <v>93</v>
      </c>
      <c r="B2" s="259"/>
      <c r="C2" s="259"/>
      <c r="D2" s="259"/>
      <c r="E2" s="259"/>
      <c r="F2" s="71"/>
      <c r="G2" s="71"/>
      <c r="H2" s="71"/>
    </row>
    <row r="3" spans="1:10">
      <c r="A3" s="72" t="s">
        <v>22</v>
      </c>
      <c r="B3" s="262">
        <v>16571</v>
      </c>
      <c r="C3" s="260">
        <v>39240</v>
      </c>
      <c r="D3" s="260">
        <v>44281</v>
      </c>
      <c r="E3" s="260">
        <v>61271</v>
      </c>
      <c r="F3" s="245">
        <v>72738</v>
      </c>
      <c r="G3" s="245">
        <v>72361</v>
      </c>
      <c r="H3" s="245">
        <v>88136</v>
      </c>
      <c r="I3" t="s">
        <v>151</v>
      </c>
      <c r="J3" t="s">
        <v>152</v>
      </c>
    </row>
    <row r="4" spans="1:10">
      <c r="A4" s="72" t="s">
        <v>277</v>
      </c>
      <c r="B4" s="260">
        <v>10261</v>
      </c>
      <c r="C4" s="260">
        <v>11682</v>
      </c>
      <c r="D4" s="260">
        <v>12796</v>
      </c>
      <c r="E4" s="260">
        <v>11686</v>
      </c>
      <c r="F4" s="245">
        <v>14460</v>
      </c>
      <c r="G4" s="245">
        <v>13861</v>
      </c>
      <c r="H4" s="245">
        <v>22287</v>
      </c>
      <c r="I4" s="97" t="s">
        <v>182</v>
      </c>
      <c r="J4" t="s">
        <v>278</v>
      </c>
    </row>
    <row r="5" spans="1:10">
      <c r="A5" s="72" t="s">
        <v>279</v>
      </c>
      <c r="B5" s="260">
        <v>13040</v>
      </c>
      <c r="C5" s="260">
        <v>-3534</v>
      </c>
      <c r="D5" s="260">
        <v>-3620</v>
      </c>
      <c r="E5" s="260">
        <v>-150</v>
      </c>
      <c r="F5" s="245">
        <v>-5702</v>
      </c>
      <c r="G5" s="245">
        <v>-6059</v>
      </c>
      <c r="H5" s="245">
        <v>-4738</v>
      </c>
      <c r="I5" s="97" t="s">
        <v>280</v>
      </c>
      <c r="J5" t="s">
        <v>281</v>
      </c>
    </row>
    <row r="6" spans="1:10">
      <c r="A6" s="72" t="s">
        <v>282</v>
      </c>
      <c r="B6" s="260">
        <v>3940</v>
      </c>
      <c r="C6" s="260">
        <v>4652</v>
      </c>
      <c r="D6" s="260">
        <v>5289</v>
      </c>
      <c r="E6" s="260">
        <v>6118</v>
      </c>
      <c r="F6" s="245">
        <v>7502</v>
      </c>
      <c r="G6" s="245">
        <v>9611</v>
      </c>
      <c r="H6" s="245">
        <v>10734</v>
      </c>
      <c r="I6" t="s">
        <v>283</v>
      </c>
      <c r="J6" t="s">
        <v>284</v>
      </c>
    </row>
    <row r="7" spans="1:10">
      <c r="A7" s="72" t="s">
        <v>285</v>
      </c>
      <c r="B7" s="260">
        <v>2284</v>
      </c>
      <c r="C7" s="260">
        <v>937</v>
      </c>
      <c r="D7" s="260">
        <v>2148</v>
      </c>
      <c r="E7" s="260">
        <v>-936</v>
      </c>
      <c r="F7" s="245">
        <v>446</v>
      </c>
      <c r="G7" s="245">
        <v>-2388</v>
      </c>
      <c r="H7" s="245">
        <v>1824</v>
      </c>
      <c r="I7" s="97" t="s">
        <v>286</v>
      </c>
      <c r="J7" t="s">
        <v>287</v>
      </c>
    </row>
    <row r="8" spans="1:10">
      <c r="A8" s="72" t="s">
        <v>288</v>
      </c>
      <c r="B8" s="260">
        <v>-2212</v>
      </c>
      <c r="C8" s="260">
        <v>-792</v>
      </c>
      <c r="D8" s="260">
        <v>-219</v>
      </c>
      <c r="E8" s="260">
        <v>-1249</v>
      </c>
      <c r="F8" s="245">
        <v>-409</v>
      </c>
      <c r="G8" s="245">
        <v>196</v>
      </c>
      <c r="H8" s="245">
        <v>305</v>
      </c>
      <c r="I8" s="97" t="s">
        <v>289</v>
      </c>
      <c r="J8" t="s">
        <v>290</v>
      </c>
    </row>
    <row r="9" spans="1:10">
      <c r="A9" s="72" t="s">
        <v>291</v>
      </c>
      <c r="B9" s="260">
        <v>43884</v>
      </c>
      <c r="C9" s="260">
        <v>52185</v>
      </c>
      <c r="D9" s="260">
        <v>60675</v>
      </c>
      <c r="E9" s="260">
        <v>76740</v>
      </c>
      <c r="F9" s="245">
        <v>89035</v>
      </c>
      <c r="G9" s="245">
        <v>87582</v>
      </c>
      <c r="H9" s="245">
        <v>118548</v>
      </c>
      <c r="I9" t="s">
        <v>292</v>
      </c>
      <c r="J9" t="s">
        <v>293</v>
      </c>
    </row>
    <row r="10" spans="1:10">
      <c r="A10" s="72" t="s">
        <v>294</v>
      </c>
      <c r="B10" s="260">
        <v>-11632</v>
      </c>
      <c r="C10" s="260">
        <v>-13925</v>
      </c>
      <c r="D10" s="260">
        <v>-15441</v>
      </c>
      <c r="E10" s="260">
        <v>-20622</v>
      </c>
      <c r="F10" s="245">
        <v>-23886</v>
      </c>
      <c r="G10" s="245">
        <v>-28107</v>
      </c>
      <c r="H10" s="245">
        <v>-44477</v>
      </c>
      <c r="I10" s="97" t="s">
        <v>295</v>
      </c>
      <c r="J10" t="s">
        <v>296</v>
      </c>
    </row>
    <row r="11" spans="1:10">
      <c r="A11" s="72" t="s">
        <v>297</v>
      </c>
      <c r="B11" s="260">
        <v>-888</v>
      </c>
      <c r="C11" s="260">
        <v>-2388</v>
      </c>
      <c r="D11" s="260">
        <v>-2521</v>
      </c>
      <c r="E11" s="260">
        <v>-8909</v>
      </c>
      <c r="F11" s="245">
        <v>-22038</v>
      </c>
      <c r="G11" s="245">
        <v>-1670</v>
      </c>
      <c r="H11" s="245">
        <v>-69132</v>
      </c>
      <c r="I11" s="97" t="s">
        <v>298</v>
      </c>
      <c r="J11" t="s">
        <v>299</v>
      </c>
    </row>
    <row r="12" spans="1:10">
      <c r="A12" s="72" t="s">
        <v>300</v>
      </c>
      <c r="B12" s="260">
        <v>-137380</v>
      </c>
      <c r="C12" s="260">
        <v>-57697</v>
      </c>
      <c r="D12" s="260">
        <v>-77190</v>
      </c>
      <c r="E12" s="260">
        <v>-62924</v>
      </c>
      <c r="F12" s="245">
        <v>-26456</v>
      </c>
      <c r="G12" s="245">
        <v>-37651</v>
      </c>
      <c r="H12" s="245">
        <v>-17732</v>
      </c>
      <c r="I12" t="s">
        <v>301</v>
      </c>
      <c r="J12" t="s">
        <v>302</v>
      </c>
    </row>
    <row r="13" spans="1:10">
      <c r="A13" s="72" t="s">
        <v>303</v>
      </c>
      <c r="B13" s="260">
        <v>143937</v>
      </c>
      <c r="C13" s="260">
        <v>58237</v>
      </c>
      <c r="D13" s="260">
        <v>84170</v>
      </c>
      <c r="E13" s="260">
        <v>65800</v>
      </c>
      <c r="F13" s="245">
        <v>44894</v>
      </c>
      <c r="G13" s="245">
        <v>47864</v>
      </c>
      <c r="H13" s="245">
        <v>35669</v>
      </c>
      <c r="I13" s="97" t="s">
        <v>304</v>
      </c>
      <c r="J13" t="s">
        <v>305</v>
      </c>
    </row>
    <row r="14" spans="1:10">
      <c r="A14" s="72" t="s">
        <v>306</v>
      </c>
      <c r="B14" s="260">
        <v>-98</v>
      </c>
      <c r="C14" s="260"/>
      <c r="D14" s="260">
        <v>-1241</v>
      </c>
      <c r="E14" s="260">
        <v>-922</v>
      </c>
      <c r="F14" s="245">
        <v>-2825</v>
      </c>
      <c r="G14" s="245">
        <v>-3116</v>
      </c>
      <c r="H14" s="245">
        <v>-1298</v>
      </c>
      <c r="I14" s="97" t="s">
        <v>307</v>
      </c>
      <c r="J14" t="s">
        <v>308</v>
      </c>
    </row>
    <row r="15" spans="1:10">
      <c r="A15" s="72" t="s">
        <v>309</v>
      </c>
      <c r="B15" s="260">
        <v>-6061</v>
      </c>
      <c r="C15" s="260">
        <v>-15773</v>
      </c>
      <c r="D15" s="260">
        <v>-12223</v>
      </c>
      <c r="E15" s="260">
        <v>-27577</v>
      </c>
      <c r="F15" s="245">
        <v>-30311</v>
      </c>
      <c r="G15" s="245">
        <v>-22680</v>
      </c>
      <c r="H15" s="245">
        <v>-96970</v>
      </c>
      <c r="I15" s="97" t="s">
        <v>310</v>
      </c>
      <c r="J15" t="s">
        <v>311</v>
      </c>
    </row>
    <row r="16" spans="1:10" s="187" customFormat="1">
      <c r="A16" s="185" t="s">
        <v>312</v>
      </c>
      <c r="B16" s="261">
        <v>-10060</v>
      </c>
      <c r="C16" s="261">
        <v>-4000</v>
      </c>
      <c r="D16" s="261">
        <v>-5518</v>
      </c>
      <c r="E16" s="261">
        <v>-3750</v>
      </c>
      <c r="F16" s="246">
        <v>-9023</v>
      </c>
      <c r="G16" s="246">
        <v>-2750</v>
      </c>
      <c r="H16" s="246">
        <v>575</v>
      </c>
      <c r="J16" s="187" t="s">
        <v>313</v>
      </c>
    </row>
    <row r="17" spans="1:10">
      <c r="A17" s="72" t="s">
        <v>314</v>
      </c>
      <c r="B17" s="260">
        <v>1002</v>
      </c>
      <c r="C17" s="260">
        <v>1142</v>
      </c>
      <c r="D17" s="260">
        <v>1343</v>
      </c>
      <c r="E17" s="260">
        <v>1693</v>
      </c>
      <c r="F17" s="245">
        <v>1841</v>
      </c>
      <c r="G17" s="245">
        <v>1866</v>
      </c>
      <c r="H17" s="245">
        <v>2002</v>
      </c>
      <c r="I17" s="97" t="s">
        <v>315</v>
      </c>
    </row>
    <row r="18" spans="1:10">
      <c r="A18" s="72" t="s">
        <v>316</v>
      </c>
      <c r="B18" s="260">
        <v>-10721</v>
      </c>
      <c r="C18" s="260">
        <v>-19543</v>
      </c>
      <c r="D18" s="260">
        <v>-22968</v>
      </c>
      <c r="E18" s="260">
        <v>-27385</v>
      </c>
      <c r="F18" s="245">
        <v>-32696</v>
      </c>
      <c r="G18" s="245">
        <v>-22245</v>
      </c>
      <c r="H18" s="245">
        <v>-17254</v>
      </c>
      <c r="I18" s="97" t="s">
        <v>317</v>
      </c>
      <c r="J18" t="s">
        <v>318</v>
      </c>
    </row>
    <row r="19" spans="1:10">
      <c r="A19" s="72" t="s">
        <v>319</v>
      </c>
      <c r="B19" s="260">
        <v>-12699</v>
      </c>
      <c r="C19" s="260">
        <v>-13811</v>
      </c>
      <c r="D19" s="260">
        <v>-15137</v>
      </c>
      <c r="E19" s="260">
        <v>-16521</v>
      </c>
      <c r="F19" s="245">
        <v>-18135</v>
      </c>
      <c r="G19" s="245">
        <v>-19800</v>
      </c>
      <c r="H19" s="245">
        <v>-21771</v>
      </c>
      <c r="I19" s="97"/>
    </row>
    <row r="20" spans="1:10">
      <c r="A20" s="72" t="s">
        <v>320</v>
      </c>
      <c r="B20" s="260">
        <v>-1112</v>
      </c>
      <c r="C20" s="260">
        <v>-675</v>
      </c>
      <c r="D20" s="260">
        <v>-3751</v>
      </c>
      <c r="E20" s="260">
        <v>-2523</v>
      </c>
      <c r="F20" s="245">
        <v>-863</v>
      </c>
      <c r="G20" s="245">
        <v>-1006</v>
      </c>
      <c r="H20" s="245">
        <v>-1309</v>
      </c>
      <c r="I20" s="97" t="s">
        <v>321</v>
      </c>
      <c r="J20" t="s">
        <v>322</v>
      </c>
    </row>
    <row r="21" spans="1:10">
      <c r="A21" s="72" t="s">
        <v>323</v>
      </c>
      <c r="B21" s="260">
        <v>-33590</v>
      </c>
      <c r="C21" s="260">
        <v>-36887</v>
      </c>
      <c r="D21" s="260">
        <v>-46031</v>
      </c>
      <c r="E21" s="260">
        <v>-48486</v>
      </c>
      <c r="F21" s="245">
        <v>-58876</v>
      </c>
      <c r="G21" s="245">
        <v>-43935</v>
      </c>
      <c r="H21" s="245">
        <v>-37757</v>
      </c>
      <c r="I21" s="97" t="s">
        <v>324</v>
      </c>
      <c r="J21" t="s">
        <v>325</v>
      </c>
    </row>
    <row r="22" spans="1:10">
      <c r="A22" s="72" t="s">
        <v>326</v>
      </c>
      <c r="B22" s="260">
        <v>50</v>
      </c>
      <c r="C22" s="260">
        <v>-115</v>
      </c>
      <c r="D22" s="260">
        <v>-201</v>
      </c>
      <c r="E22" s="260">
        <v>-29</v>
      </c>
      <c r="F22" s="245">
        <v>-141</v>
      </c>
      <c r="G22" s="245">
        <v>-194</v>
      </c>
      <c r="H22" s="245">
        <v>-210</v>
      </c>
      <c r="I22" s="97"/>
    </row>
    <row r="23" spans="1:10">
      <c r="A23" s="72" t="s">
        <v>327</v>
      </c>
      <c r="B23" s="260">
        <v>4283</v>
      </c>
      <c r="C23" s="260">
        <v>-590</v>
      </c>
      <c r="D23" s="260">
        <v>2220</v>
      </c>
      <c r="E23" s="260">
        <v>648</v>
      </c>
      <c r="F23" s="245">
        <v>-293</v>
      </c>
      <c r="G23" s="245">
        <v>20773</v>
      </c>
      <c r="H23" s="245">
        <v>-16389</v>
      </c>
      <c r="I23" s="97" t="s">
        <v>328</v>
      </c>
      <c r="J23" t="s">
        <v>329</v>
      </c>
    </row>
    <row r="24" spans="1:10" s="187" customFormat="1">
      <c r="A24" s="185" t="s">
        <v>168</v>
      </c>
      <c r="B24" s="261"/>
      <c r="C24" s="261"/>
      <c r="D24" s="261"/>
      <c r="E24" s="261"/>
      <c r="F24" s="246"/>
      <c r="G24" s="246"/>
      <c r="H24" s="246"/>
      <c r="I24" s="239"/>
    </row>
    <row r="25" spans="1:10">
      <c r="A25" s="72" t="s">
        <v>330</v>
      </c>
      <c r="B25" s="260">
        <v>32252</v>
      </c>
      <c r="C25" s="260">
        <v>38260</v>
      </c>
      <c r="D25" s="260">
        <v>45234</v>
      </c>
      <c r="E25" s="260">
        <v>56118</v>
      </c>
      <c r="F25" s="245">
        <v>65149</v>
      </c>
      <c r="G25" s="245">
        <v>59475</v>
      </c>
      <c r="H25" s="245">
        <v>74071</v>
      </c>
      <c r="I25" s="97" t="s">
        <v>331</v>
      </c>
      <c r="J25" t="s">
        <v>332</v>
      </c>
    </row>
    <row r="26" spans="1:10">
      <c r="A26" s="72" t="s">
        <v>97</v>
      </c>
      <c r="B26" s="260">
        <v>2.8000000000000001E-2</v>
      </c>
      <c r="C26" s="260">
        <v>0.186</v>
      </c>
      <c r="D26" s="260">
        <v>0.182</v>
      </c>
      <c r="E26" s="260">
        <v>0.24099999999999999</v>
      </c>
      <c r="F26" s="245">
        <v>0.161</v>
      </c>
      <c r="G26" s="245">
        <v>-8.6999999999999994E-2</v>
      </c>
      <c r="H26" s="245">
        <v>0.245</v>
      </c>
      <c r="I26" s="97" t="s">
        <v>333</v>
      </c>
      <c r="J26" t="s">
        <v>334</v>
      </c>
    </row>
    <row r="27" spans="1:10">
      <c r="A27" s="72" t="s">
        <v>335</v>
      </c>
      <c r="B27" s="260">
        <v>0.29199999999999998</v>
      </c>
      <c r="C27" s="260">
        <v>0.30399999999999999</v>
      </c>
      <c r="D27" s="260">
        <v>0.316</v>
      </c>
      <c r="E27" s="260">
        <v>0.33400000000000002</v>
      </c>
      <c r="F27" s="245">
        <v>0.32900000000000001</v>
      </c>
      <c r="G27" s="245">
        <v>0.28100000000000003</v>
      </c>
      <c r="H27" s="245">
        <v>0.30199999999999999</v>
      </c>
      <c r="I27" s="97" t="s">
        <v>336</v>
      </c>
      <c r="J27" t="s">
        <v>337</v>
      </c>
    </row>
    <row r="28" spans="1:10">
      <c r="A28" s="72" t="s">
        <v>338</v>
      </c>
      <c r="B28" s="260">
        <v>7663</v>
      </c>
      <c r="C28" s="260">
        <v>11946</v>
      </c>
      <c r="D28" s="260">
        <v>11356</v>
      </c>
      <c r="E28" s="260">
        <v>13576</v>
      </c>
      <c r="F28" s="245">
        <v>14224</v>
      </c>
      <c r="G28" s="245">
        <v>13931</v>
      </c>
      <c r="H28" s="245">
        <v>34704</v>
      </c>
      <c r="I28" s="97" t="s">
        <v>339</v>
      </c>
      <c r="J28" t="s">
        <v>187</v>
      </c>
    </row>
    <row r="29" spans="1:10">
      <c r="A29" s="72" t="s">
        <v>340</v>
      </c>
      <c r="B29" s="260">
        <v>11946</v>
      </c>
      <c r="C29" s="260">
        <v>11356</v>
      </c>
      <c r="D29" s="260">
        <v>13576</v>
      </c>
      <c r="E29" s="260">
        <v>14224</v>
      </c>
      <c r="F29" s="245">
        <v>13931</v>
      </c>
      <c r="G29" s="245">
        <v>34704</v>
      </c>
      <c r="H29" s="245">
        <v>18315</v>
      </c>
      <c r="I29" s="97" t="s">
        <v>187</v>
      </c>
      <c r="J29" t="s">
        <v>341</v>
      </c>
    </row>
    <row r="30" spans="1:10">
      <c r="A30" s="72"/>
      <c r="B30" s="74"/>
      <c r="C30" s="74"/>
      <c r="D30" s="74"/>
      <c r="E30" s="74"/>
      <c r="F30" s="74"/>
      <c r="G30" s="74"/>
      <c r="H30" s="74"/>
      <c r="I30" s="97"/>
    </row>
    <row r="31" spans="1:10" s="187" customFormat="1">
      <c r="A31" s="185"/>
      <c r="B31" s="186"/>
      <c r="C31" s="186"/>
      <c r="D31" s="186"/>
      <c r="E31" s="186"/>
      <c r="F31" s="186"/>
      <c r="G31" s="186"/>
      <c r="H31" s="186"/>
      <c r="I31" s="239"/>
    </row>
    <row r="32" spans="1:10">
      <c r="A32" s="72"/>
      <c r="B32" s="74"/>
      <c r="C32" s="74"/>
      <c r="D32" s="74"/>
      <c r="E32" s="74"/>
      <c r="F32" s="74"/>
      <c r="G32" s="74"/>
      <c r="H32" s="74"/>
      <c r="I32" s="97"/>
    </row>
    <row r="33" spans="1:9">
      <c r="A33" s="72"/>
      <c r="B33" s="74"/>
      <c r="C33" s="74"/>
      <c r="D33" s="74"/>
      <c r="E33" s="74"/>
      <c r="F33" s="74"/>
      <c r="G33" s="74"/>
      <c r="H33" s="74"/>
      <c r="I33" s="97"/>
    </row>
    <row r="34" spans="1:9">
      <c r="A34" s="72"/>
      <c r="B34" s="74"/>
      <c r="C34" s="74"/>
      <c r="D34" s="74"/>
      <c r="E34" s="74"/>
      <c r="F34" s="74"/>
      <c r="G34" s="74"/>
      <c r="H34" s="74"/>
      <c r="I34" s="97"/>
    </row>
    <row r="35" spans="1:9">
      <c r="A35" s="72"/>
      <c r="B35" s="74"/>
      <c r="C35" s="74"/>
      <c r="D35" s="74"/>
      <c r="E35" s="74"/>
      <c r="F35" s="74"/>
      <c r="G35" s="74"/>
      <c r="H35" s="74"/>
      <c r="I35" s="97"/>
    </row>
    <row r="36" spans="1:9">
      <c r="A36" s="72"/>
      <c r="B36" s="74"/>
      <c r="C36" s="74"/>
      <c r="D36" s="74"/>
      <c r="E36" s="74"/>
      <c r="F36" s="74"/>
      <c r="G36" s="74"/>
      <c r="H36" s="74"/>
    </row>
    <row r="37" spans="1:9">
      <c r="A37" s="72"/>
      <c r="B37" s="74"/>
      <c r="C37" s="74"/>
      <c r="D37" s="74"/>
      <c r="E37" s="74"/>
      <c r="F37" s="74"/>
      <c r="G37" s="74"/>
      <c r="H37" s="74"/>
      <c r="I37" s="97"/>
    </row>
    <row r="38" spans="1:9">
      <c r="A38" s="72"/>
      <c r="B38" s="74"/>
      <c r="C38" s="74"/>
      <c r="D38" s="74"/>
      <c r="E38" s="74"/>
      <c r="F38" s="74"/>
      <c r="G38" s="74"/>
      <c r="H38" s="74"/>
      <c r="I38" s="97"/>
    </row>
    <row r="39" spans="1:9">
      <c r="A39" s="72"/>
      <c r="B39" s="74"/>
      <c r="C39" s="74"/>
      <c r="D39" s="74"/>
      <c r="E39" s="74"/>
      <c r="F39" s="74"/>
      <c r="G39" s="74"/>
      <c r="H39" s="74"/>
      <c r="I39" s="97"/>
    </row>
    <row r="40" spans="1:9">
      <c r="A40" s="72"/>
      <c r="B40" s="74"/>
      <c r="C40" s="74"/>
      <c r="D40" s="74"/>
      <c r="E40" s="74"/>
      <c r="F40" s="74"/>
      <c r="G40" s="74"/>
      <c r="H40" s="74"/>
      <c r="I40" s="97"/>
    </row>
    <row r="41" spans="1:9">
      <c r="A41" s="72"/>
      <c r="B41" s="74"/>
      <c r="C41" s="74"/>
      <c r="D41" s="74"/>
      <c r="E41" s="74"/>
      <c r="F41" s="74"/>
      <c r="G41" s="74"/>
      <c r="H41" s="74"/>
      <c r="I41" s="97"/>
    </row>
    <row r="42" spans="1:9">
      <c r="A42" s="72"/>
      <c r="B42" s="74"/>
      <c r="C42" s="74"/>
      <c r="D42" s="74"/>
      <c r="E42" s="74"/>
      <c r="F42" s="74"/>
      <c r="G42" s="74"/>
      <c r="H42" s="74"/>
      <c r="I42" s="97"/>
    </row>
    <row r="43" spans="1:9">
      <c r="A43" s="72"/>
      <c r="B43" s="74"/>
      <c r="C43" s="74"/>
      <c r="D43" s="74"/>
      <c r="E43" s="74"/>
      <c r="F43" s="74"/>
      <c r="G43" s="74"/>
      <c r="H43" s="74"/>
      <c r="I43" s="97"/>
    </row>
    <row r="44" spans="1:9">
      <c r="A44" s="72"/>
      <c r="B44" s="74"/>
      <c r="C44" s="74"/>
      <c r="D44" s="74"/>
      <c r="E44" s="74"/>
      <c r="F44" s="74"/>
      <c r="G44" s="74"/>
      <c r="H44" s="74"/>
    </row>
    <row r="45" spans="1:9">
      <c r="A45" s="72"/>
      <c r="B45" s="74"/>
      <c r="C45" s="73"/>
      <c r="D45" s="74"/>
      <c r="E45" s="74"/>
      <c r="F45" s="74"/>
      <c r="G45" s="74"/>
      <c r="H45" s="74"/>
      <c r="I45" s="97"/>
    </row>
    <row r="46" spans="1:9">
      <c r="A46" s="72"/>
      <c r="B46" s="74"/>
      <c r="C46" s="74"/>
      <c r="D46" s="74"/>
      <c r="E46" s="74"/>
      <c r="F46" s="74"/>
      <c r="G46" s="74"/>
      <c r="H46" s="74"/>
    </row>
    <row r="47" spans="1:9">
      <c r="A47" s="72"/>
      <c r="B47" s="74"/>
      <c r="C47" s="74"/>
      <c r="D47" s="74"/>
      <c r="E47" s="74"/>
      <c r="F47" s="74"/>
      <c r="G47" s="74"/>
      <c r="H47" s="74"/>
    </row>
    <row r="48" spans="1:9">
      <c r="A48" s="72"/>
      <c r="B48" s="73"/>
      <c r="C48" s="73"/>
      <c r="D48" s="73"/>
      <c r="E48" s="73"/>
      <c r="F48" s="74"/>
      <c r="G48" s="74"/>
      <c r="H48" s="74"/>
    </row>
    <row r="49" spans="1:8">
      <c r="A49" s="72"/>
      <c r="B49" s="74"/>
      <c r="C49" s="74"/>
      <c r="D49" s="74"/>
      <c r="E49" s="74"/>
      <c r="F49" s="74"/>
      <c r="G49" s="74"/>
      <c r="H49" s="74"/>
    </row>
    <row r="50" spans="1:8">
      <c r="A50" s="72"/>
      <c r="B50" s="74"/>
      <c r="C50" s="74"/>
      <c r="D50" s="74"/>
      <c r="E50" s="74"/>
      <c r="F50" s="74"/>
      <c r="G50" s="74"/>
      <c r="H50" s="74"/>
    </row>
    <row r="51" spans="1:8">
      <c r="A51" s="72"/>
      <c r="B51" s="74"/>
      <c r="C51" s="74"/>
      <c r="D51" s="74"/>
      <c r="E51" s="74"/>
      <c r="F51" s="74"/>
      <c r="G51" s="74"/>
      <c r="H51" s="74"/>
    </row>
    <row r="52" spans="1:8">
      <c r="A52" s="72"/>
      <c r="B52" s="73"/>
      <c r="C52" s="73"/>
      <c r="D52" s="73"/>
      <c r="E52" s="73"/>
      <c r="F52" s="73"/>
      <c r="G52" s="73"/>
      <c r="H52" s="73"/>
    </row>
    <row r="53" spans="1:8">
      <c r="A53" s="72"/>
      <c r="B53" s="74"/>
      <c r="C53" s="74"/>
      <c r="D53" s="74"/>
      <c r="E53" s="74"/>
      <c r="F53" s="74"/>
      <c r="G53" s="74"/>
      <c r="H53" s="74"/>
    </row>
    <row r="54" spans="1:8">
      <c r="A54" s="72"/>
      <c r="B54" s="74"/>
      <c r="C54" s="74"/>
      <c r="D54" s="74"/>
      <c r="E54" s="74"/>
      <c r="F54" s="74"/>
      <c r="G54" s="74"/>
      <c r="H54" s="74"/>
    </row>
    <row r="55" spans="1:8">
      <c r="A55" s="72"/>
      <c r="B55" s="74"/>
      <c r="C55" s="74"/>
      <c r="D55" s="74"/>
      <c r="E55" s="74"/>
      <c r="F55" s="74"/>
      <c r="G55" s="74"/>
      <c r="H55" s="74"/>
    </row>
    <row r="56" spans="1:8">
      <c r="A56" s="72"/>
      <c r="B56" s="74"/>
      <c r="C56" s="74"/>
      <c r="D56" s="74"/>
      <c r="E56" s="74"/>
      <c r="F56" s="74"/>
      <c r="G56" s="74"/>
      <c r="H56" s="74"/>
    </row>
    <row r="57" spans="1:8">
      <c r="A57" s="72"/>
      <c r="B57" s="74"/>
      <c r="C57" s="74"/>
      <c r="D57" s="74"/>
      <c r="E57" s="74"/>
      <c r="F57" s="74"/>
      <c r="G57" s="74"/>
      <c r="H57" s="74"/>
    </row>
    <row r="58" spans="1:8">
      <c r="A58" s="72"/>
      <c r="B58" s="74"/>
      <c r="C58" s="74"/>
      <c r="D58" s="74"/>
      <c r="E58" s="74"/>
      <c r="F58" s="74"/>
      <c r="G58" s="74"/>
      <c r="H58" s="74"/>
    </row>
    <row r="59" spans="1:8">
      <c r="A59" s="72"/>
      <c r="B59" s="74"/>
      <c r="C59" s="74"/>
      <c r="D59" s="74"/>
      <c r="E59" s="74"/>
      <c r="F59" s="74"/>
      <c r="G59" s="74"/>
      <c r="H59" s="74"/>
    </row>
    <row r="60" spans="1:8">
      <c r="A60" s="72"/>
      <c r="B60" s="74"/>
      <c r="C60" s="74"/>
      <c r="D60" s="74"/>
      <c r="E60" s="74"/>
      <c r="F60" s="74"/>
      <c r="G60" s="74"/>
      <c r="H60" s="74"/>
    </row>
    <row r="61" spans="1:8">
      <c r="A61" s="72"/>
      <c r="B61" s="73"/>
      <c r="C61" s="73"/>
      <c r="D61" s="73"/>
      <c r="E61" s="73"/>
      <c r="F61" s="73"/>
      <c r="G61" s="73"/>
      <c r="H61" s="73"/>
    </row>
    <row r="62" spans="1:8">
      <c r="A62" s="72"/>
      <c r="B62" s="74"/>
      <c r="C62" s="74"/>
      <c r="D62" s="74"/>
      <c r="E62" s="74"/>
      <c r="F62" s="74"/>
      <c r="G62" s="74"/>
      <c r="H62" s="74"/>
    </row>
    <row r="63" spans="1:8">
      <c r="A63" s="72"/>
      <c r="B63" s="74"/>
      <c r="C63" s="74"/>
      <c r="D63" s="74"/>
      <c r="E63" s="74"/>
      <c r="F63" s="74"/>
      <c r="G63" s="74"/>
      <c r="H63" s="74"/>
    </row>
    <row r="64" spans="1:8">
      <c r="A64" s="72"/>
      <c r="B64" s="73"/>
      <c r="C64" s="73"/>
      <c r="D64" s="73"/>
      <c r="E64" s="73"/>
      <c r="F64" s="74"/>
      <c r="G64" s="74"/>
      <c r="H64" s="74"/>
    </row>
    <row r="65" spans="1:8">
      <c r="A65" s="72"/>
      <c r="B65" s="74"/>
      <c r="C65" s="74"/>
      <c r="D65" s="74"/>
      <c r="E65" s="74"/>
      <c r="F65" s="74"/>
      <c r="G65" s="74"/>
      <c r="H65" s="74"/>
    </row>
    <row r="66" spans="1:8">
      <c r="A66" s="72"/>
      <c r="B66" s="73"/>
      <c r="C66" s="73"/>
      <c r="D66" s="73"/>
      <c r="E66" s="73"/>
      <c r="F66" s="73"/>
      <c r="G66" s="73"/>
      <c r="H66" s="73"/>
    </row>
    <row r="67" spans="1:8">
      <c r="A67" s="72"/>
      <c r="B67" s="73"/>
      <c r="C67" s="73"/>
      <c r="D67" s="73"/>
      <c r="E67" s="73"/>
      <c r="F67" s="73"/>
      <c r="G67" s="73"/>
      <c r="H67" s="73"/>
    </row>
    <row r="68" spans="1:8">
      <c r="A68" s="72"/>
      <c r="B68" s="73"/>
      <c r="C68" s="73"/>
      <c r="D68" s="73"/>
      <c r="E68" s="73"/>
      <c r="F68" s="74"/>
      <c r="G68" s="74"/>
      <c r="H68" s="74"/>
    </row>
    <row r="69" spans="1:8">
      <c r="A69" s="72"/>
      <c r="B69" s="73"/>
      <c r="C69" s="73"/>
      <c r="D69" s="73"/>
      <c r="E69" s="73"/>
      <c r="F69" s="74"/>
      <c r="G69" s="74"/>
      <c r="H69" s="74"/>
    </row>
    <row r="70" spans="1:8">
      <c r="A70" s="72"/>
      <c r="B70" s="74"/>
      <c r="C70" s="74"/>
      <c r="D70" s="74"/>
      <c r="E70" s="74"/>
      <c r="F70" s="74"/>
      <c r="G70" s="74"/>
      <c r="H70" s="74"/>
    </row>
    <row r="71" spans="1:8">
      <c r="A71" s="72"/>
      <c r="B71" s="73"/>
      <c r="C71" s="73"/>
      <c r="D71" s="73"/>
      <c r="E71" s="73"/>
      <c r="F71" s="73"/>
      <c r="G71" s="73"/>
      <c r="H71" s="73"/>
    </row>
    <row r="72" spans="1:8">
      <c r="A72" s="72"/>
      <c r="B72" s="73"/>
      <c r="C72" s="73"/>
      <c r="D72" s="73"/>
      <c r="E72" s="73"/>
      <c r="F72" s="73"/>
      <c r="G72" s="73"/>
      <c r="H72" s="73"/>
    </row>
    <row r="73" spans="1:8">
      <c r="A73" s="72"/>
      <c r="B73" s="73"/>
      <c r="C73" s="73"/>
      <c r="D73" s="73"/>
      <c r="E73" s="73"/>
      <c r="F73" s="73"/>
      <c r="G73" s="73"/>
      <c r="H73" s="73"/>
    </row>
    <row r="74" spans="1:8">
      <c r="A74" s="72"/>
      <c r="B74" s="73"/>
      <c r="C74" s="73"/>
      <c r="D74" s="73"/>
      <c r="E74" s="73"/>
      <c r="F74" s="73"/>
      <c r="G74" s="73"/>
      <c r="H74" s="73"/>
    </row>
    <row r="75" spans="1:8">
      <c r="A75" s="72"/>
      <c r="B75" s="73"/>
      <c r="C75" s="73"/>
      <c r="D75" s="73"/>
      <c r="E75" s="73"/>
      <c r="F75" s="73"/>
      <c r="G75" s="73"/>
      <c r="H75" s="73"/>
    </row>
    <row r="76" spans="1:8">
      <c r="A76" s="72"/>
      <c r="B76" s="73"/>
      <c r="C76" s="73"/>
      <c r="D76" s="73"/>
      <c r="E76" s="73"/>
      <c r="F76" s="73"/>
      <c r="G76" s="73"/>
      <c r="H76" s="73"/>
    </row>
    <row r="77" spans="1:8">
      <c r="A77" s="72"/>
      <c r="B77" s="73"/>
      <c r="C77" s="73"/>
      <c r="D77" s="73"/>
      <c r="E77" s="73"/>
      <c r="F77" s="73"/>
      <c r="G77" s="73"/>
      <c r="H77" s="73"/>
    </row>
    <row r="78" spans="1:8">
      <c r="A78" s="72"/>
      <c r="B78" s="73"/>
      <c r="C78" s="73"/>
      <c r="D78" s="73"/>
      <c r="E78" s="73"/>
      <c r="F78" s="73"/>
      <c r="G78" s="73"/>
      <c r="H78" s="73"/>
    </row>
    <row r="79" spans="1:8">
      <c r="A79" s="72"/>
      <c r="B79" s="73"/>
      <c r="C79" s="73"/>
      <c r="D79" s="73"/>
      <c r="E79" s="73"/>
      <c r="F79" s="73"/>
      <c r="G79" s="73"/>
      <c r="H79" s="73"/>
    </row>
    <row r="80" spans="1:8">
      <c r="A80" s="72"/>
      <c r="B80" s="73"/>
      <c r="C80" s="73"/>
      <c r="D80" s="73"/>
      <c r="E80" s="73"/>
      <c r="F80" s="73"/>
      <c r="G80" s="73"/>
      <c r="H80" s="73"/>
    </row>
    <row r="81" spans="1:8">
      <c r="A81" s="72"/>
      <c r="B81" s="73"/>
      <c r="C81" s="73"/>
      <c r="D81" s="73"/>
      <c r="E81" s="73"/>
      <c r="F81" s="73"/>
      <c r="G81" s="73"/>
      <c r="H81" s="73"/>
    </row>
    <row r="82" spans="1:8">
      <c r="A82" s="72"/>
      <c r="B82" s="73"/>
      <c r="C82" s="73"/>
      <c r="D82" s="73"/>
      <c r="E82" s="73"/>
      <c r="F82" s="73"/>
      <c r="G82" s="73"/>
      <c r="H82" s="73"/>
    </row>
    <row r="83" spans="1:8">
      <c r="A83" s="72"/>
      <c r="B83" s="73"/>
      <c r="C83" s="73"/>
      <c r="D83" s="73"/>
      <c r="E83" s="73"/>
      <c r="F83" s="73"/>
      <c r="G83" s="73"/>
      <c r="H83" s="73"/>
    </row>
    <row r="84" spans="1:8">
      <c r="A84" s="72"/>
      <c r="B84" s="73"/>
      <c r="C84" s="73"/>
      <c r="D84" s="73"/>
      <c r="E84" s="73"/>
      <c r="F84" s="73"/>
      <c r="G84" s="73"/>
      <c r="H84" s="73"/>
    </row>
    <row r="85" spans="1:8">
      <c r="A85" s="72"/>
      <c r="B85" s="73"/>
      <c r="C85" s="73"/>
      <c r="D85" s="73"/>
      <c r="E85" s="73"/>
      <c r="F85" s="73"/>
      <c r="G85" s="73"/>
      <c r="H85" s="73"/>
    </row>
    <row r="86" spans="1:8">
      <c r="A86" s="72"/>
      <c r="B86" s="73"/>
      <c r="C86" s="73"/>
      <c r="D86" s="73"/>
      <c r="E86" s="73"/>
      <c r="F86" s="73"/>
      <c r="G86" s="73"/>
      <c r="H86" s="73"/>
    </row>
    <row r="87" spans="1:8">
      <c r="A87" s="72"/>
      <c r="B87" s="73"/>
      <c r="C87" s="73"/>
      <c r="D87" s="73"/>
      <c r="E87" s="73"/>
      <c r="F87" s="73"/>
      <c r="G87" s="73"/>
      <c r="H87" s="73"/>
    </row>
    <row r="88" spans="1:8">
      <c r="A88" s="72"/>
      <c r="B88" s="73"/>
      <c r="C88" s="73"/>
      <c r="D88" s="73"/>
      <c r="E88" s="73"/>
      <c r="F88" s="73"/>
      <c r="G88" s="73"/>
      <c r="H88" s="73"/>
    </row>
    <row r="89" spans="1:8">
      <c r="A89" s="72"/>
      <c r="B89" s="73"/>
      <c r="C89" s="73"/>
      <c r="D89" s="73"/>
      <c r="E89" s="73"/>
      <c r="F89" s="73"/>
      <c r="G89" s="73"/>
      <c r="H89" s="73"/>
    </row>
    <row r="90" spans="1:8">
      <c r="A90" s="72"/>
      <c r="B90" s="73"/>
      <c r="C90" s="73"/>
      <c r="D90" s="73"/>
      <c r="E90" s="73"/>
      <c r="F90" s="73"/>
      <c r="G90" s="73"/>
      <c r="H90" s="73"/>
    </row>
    <row r="91" spans="1:8">
      <c r="A91" s="72"/>
      <c r="B91" s="73"/>
      <c r="C91" s="73"/>
      <c r="D91" s="73"/>
      <c r="E91" s="73"/>
      <c r="F91" s="73"/>
      <c r="G91" s="73"/>
      <c r="H91" s="73"/>
    </row>
    <row r="92" spans="1:8">
      <c r="A92" s="72"/>
      <c r="B92" s="73"/>
      <c r="C92" s="73"/>
      <c r="D92" s="73"/>
      <c r="E92" s="73"/>
      <c r="F92" s="73"/>
      <c r="G92" s="73"/>
      <c r="H92" s="73"/>
    </row>
    <row r="93" spans="1:8">
      <c r="A93" s="72"/>
      <c r="B93" s="73"/>
      <c r="C93" s="73"/>
      <c r="D93" s="73"/>
      <c r="E93" s="73"/>
      <c r="F93" s="73"/>
      <c r="G93" s="73"/>
      <c r="H93" s="73"/>
    </row>
    <row r="94" spans="1:8">
      <c r="A94" s="72"/>
      <c r="B94" s="73"/>
      <c r="C94" s="73"/>
      <c r="D94" s="73"/>
      <c r="E94" s="73"/>
      <c r="F94" s="73"/>
      <c r="G94" s="73"/>
      <c r="H94" s="73"/>
    </row>
    <row r="95" spans="1:8">
      <c r="A95" s="72"/>
      <c r="B95" s="73"/>
      <c r="C95" s="73"/>
      <c r="D95" s="73"/>
      <c r="E95" s="73"/>
      <c r="F95" s="73"/>
      <c r="G95" s="73"/>
      <c r="H95" s="73"/>
    </row>
    <row r="96" spans="1:8">
      <c r="A96" s="72"/>
      <c r="B96" s="73"/>
      <c r="C96" s="73"/>
      <c r="D96" s="73"/>
      <c r="E96" s="73"/>
      <c r="F96" s="73"/>
      <c r="G96" s="73"/>
      <c r="H96" s="73"/>
    </row>
    <row r="97" spans="1:8">
      <c r="A97" s="72"/>
      <c r="B97" s="73"/>
      <c r="C97" s="73"/>
      <c r="D97" s="73"/>
      <c r="E97" s="73"/>
      <c r="F97" s="73"/>
      <c r="G97" s="73"/>
      <c r="H97" s="73"/>
    </row>
    <row r="98" spans="1:8">
      <c r="A98" s="72"/>
      <c r="B98" s="73"/>
      <c r="C98" s="73"/>
      <c r="D98" s="73"/>
      <c r="E98" s="73"/>
      <c r="F98" s="73"/>
      <c r="G98" s="73"/>
      <c r="H98" s="73"/>
    </row>
    <row r="99" spans="1:8">
      <c r="A99" s="72"/>
      <c r="B99" s="73"/>
      <c r="C99" s="73"/>
      <c r="D99" s="73"/>
      <c r="E99" s="73"/>
      <c r="F99" s="73"/>
      <c r="G99" s="73"/>
      <c r="H99" s="73"/>
    </row>
    <row r="200" s="69" customFormat="1"/>
    <row r="201" s="69" customFormat="1"/>
    <row r="202" s="69" customFormat="1"/>
    <row r="203" s="69" customFormat="1"/>
  </sheetData>
  <sheetProtection formatCells="0" formatColumns="0" formatRows="0"/>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41EDC-2E42-4F91-A115-07FD192CF777}">
  <dimension ref="A1:K53"/>
  <sheetViews>
    <sheetView showGridLines="0" topLeftCell="A22" workbookViewId="0">
      <selection activeCell="B32" sqref="B32:H32"/>
    </sheetView>
  </sheetViews>
  <sheetFormatPr defaultColWidth="11.42578125" defaultRowHeight="15"/>
  <cols>
    <col min="1" max="1" width="38.42578125" style="187" bestFit="1" customWidth="1"/>
    <col min="2" max="8" width="11.42578125" style="200"/>
    <col min="9" max="16384" width="11.42578125" style="187"/>
  </cols>
  <sheetData>
    <row r="1" spans="1:11">
      <c r="A1" s="68" t="s">
        <v>342</v>
      </c>
      <c r="B1" s="75">
        <f>'1.IS'!B2</f>
        <v>2018</v>
      </c>
      <c r="C1" s="75">
        <f>'1.IS'!C2</f>
        <v>2019</v>
      </c>
      <c r="D1" s="75">
        <f>'1.IS'!D2</f>
        <v>2020</v>
      </c>
      <c r="E1" s="75">
        <f>'1.IS'!E2</f>
        <v>2021</v>
      </c>
      <c r="F1" s="75">
        <f>'1.IS'!F2</f>
        <v>2022</v>
      </c>
      <c r="G1" s="75">
        <f>'1.IS'!G2</f>
        <v>2023</v>
      </c>
      <c r="H1" s="75">
        <f>'1.IS'!H2</f>
        <v>2024</v>
      </c>
    </row>
    <row r="2" spans="1:11">
      <c r="A2" s="196" t="s">
        <v>343</v>
      </c>
      <c r="B2" s="244">
        <f>IFERROR(VALUE(VLOOKUP($A2, '8.TIKR_CF'!$A:$H, COLUMN(B2), FALSE)), 0)</f>
        <v>-11632</v>
      </c>
      <c r="C2" s="244">
        <f>IFERROR(VALUE(VLOOKUP($A2, '8.TIKR_CF'!$A:$H, COLUMN(C2), FALSE)), 0)</f>
        <v>-13925</v>
      </c>
      <c r="D2" s="244">
        <f>IFERROR(VALUE(VLOOKUP($A2, '8.TIKR_CF'!$A:$H, COLUMN(D2), FALSE)), 0)</f>
        <v>-15441</v>
      </c>
      <c r="E2" s="244">
        <f>IFERROR(VALUE(VLOOKUP($A2, '8.TIKR_CF'!$A:$H, COLUMN(E2), FALSE)), 0)</f>
        <v>-20622</v>
      </c>
      <c r="F2" s="244">
        <f>IFERROR(VALUE(VLOOKUP($A2, '8.TIKR_CF'!$A:$H, COLUMN(F2), FALSE)), 0)</f>
        <v>-23886</v>
      </c>
      <c r="G2" s="244">
        <f>IFERROR(VALUE(VLOOKUP($A2, '8.TIKR_CF'!$A:$H, COLUMN(G2), FALSE)), 0)</f>
        <v>-28107</v>
      </c>
      <c r="H2" s="244">
        <f>IFERROR(VALUE(VLOOKUP($A2, '8.TIKR_CF'!$A:$H, COLUMN(H2), FALSE)), 0)</f>
        <v>-44477</v>
      </c>
      <c r="J2" s="241"/>
      <c r="K2" s="242"/>
    </row>
    <row r="3" spans="1:11">
      <c r="A3" s="197" t="s">
        <v>344</v>
      </c>
      <c r="B3" s="247">
        <f>IFERROR(VALUE(VLOOKUP($A3,'8.TIKR_CF'!$A:$H,COLUMN(B3),FALSE)),0)</f>
        <v>143937</v>
      </c>
      <c r="C3" s="247">
        <f>IFERROR(VALUE(VLOOKUP($A3,'8.TIKR_CF'!$A:$H,COLUMN(C3),FALSE)),0)</f>
        <v>58237</v>
      </c>
      <c r="D3" s="247">
        <f>IFERROR(VALUE(VLOOKUP($A3,'8.TIKR_CF'!$A:$H,COLUMN(D3),FALSE)),0)</f>
        <v>84170</v>
      </c>
      <c r="E3" s="247">
        <f>IFERROR(VALUE(VLOOKUP($A3,'8.TIKR_CF'!$A:$H,COLUMN(E3),FALSE)),0)</f>
        <v>65800</v>
      </c>
      <c r="F3" s="247">
        <f>IFERROR(VALUE(VLOOKUP($A3,'8.TIKR_CF'!$A:$H,COLUMN(F3),FALSE)),0)</f>
        <v>44894</v>
      </c>
      <c r="G3" s="247">
        <f>IFERROR(VALUE(VLOOKUP($A3,'8.TIKR_CF'!$A:$H,COLUMN(G3),FALSE)),0)</f>
        <v>47864</v>
      </c>
      <c r="H3" s="247">
        <f>IFERROR(VALUE(VLOOKUP($A3,'8.TIKR_CF'!$A:$H,COLUMN(H3),FALSE)),0)</f>
        <v>35669</v>
      </c>
      <c r="J3" s="241"/>
      <c r="K3" s="243"/>
    </row>
    <row r="4" spans="1:11">
      <c r="A4" s="196" t="s">
        <v>345</v>
      </c>
      <c r="B4" s="248">
        <f>B2+B3</f>
        <v>132305</v>
      </c>
      <c r="C4" s="248">
        <f t="shared" ref="C4:H4" si="0">SUM(C2:C3)</f>
        <v>44312</v>
      </c>
      <c r="D4" s="248">
        <f t="shared" si="0"/>
        <v>68729</v>
      </c>
      <c r="E4" s="248">
        <f t="shared" si="0"/>
        <v>45178</v>
      </c>
      <c r="F4" s="248">
        <f t="shared" si="0"/>
        <v>21008</v>
      </c>
      <c r="G4" s="248">
        <f t="shared" si="0"/>
        <v>19757</v>
      </c>
      <c r="H4" s="248">
        <f t="shared" si="0"/>
        <v>-8808</v>
      </c>
      <c r="K4" s="242"/>
    </row>
    <row r="5" spans="1:11">
      <c r="A5" s="197" t="s">
        <v>346</v>
      </c>
      <c r="B5" s="247">
        <f>IFERROR(VALUE(VLOOKUP($A5,'8.TIKR_CF'!$A:$H,COLUMN(B5),FALSE)),"0")</f>
        <v>10261</v>
      </c>
      <c r="C5" s="247">
        <f>IFERROR(VALUE(VLOOKUP($A5,'8.TIKR_CF'!$A:$H,COLUMN(C5),FALSE)),"0")</f>
        <v>11682</v>
      </c>
      <c r="D5" s="247">
        <f>IFERROR(VALUE(VLOOKUP($A5,'8.TIKR_CF'!$A:$H,COLUMN(D5),FALSE)),"0")</f>
        <v>12796</v>
      </c>
      <c r="E5" s="247">
        <f>IFERROR(VALUE(VLOOKUP($A5,'8.TIKR_CF'!$A:$H,COLUMN(E5),FALSE)),"0")</f>
        <v>11686</v>
      </c>
      <c r="F5" s="247">
        <f>IFERROR(VALUE(VLOOKUP($A5,'8.TIKR_CF'!$A:$H,COLUMN(F5),FALSE)),"0")</f>
        <v>14460</v>
      </c>
      <c r="G5" s="247">
        <f>IFERROR(VALUE(VLOOKUP($A5,'8.TIKR_CF'!$A:$H,COLUMN(G5),FALSE)),"0")</f>
        <v>13861</v>
      </c>
      <c r="H5" s="247">
        <f>IFERROR(VALUE(VLOOKUP($A5,'8.TIKR_CF'!$A:$H,COLUMN(H5),FALSE)),"0")</f>
        <v>22287</v>
      </c>
    </row>
    <row r="6" spans="1:11">
      <c r="A6" s="76" t="s">
        <v>347</v>
      </c>
      <c r="B6" s="249">
        <f t="shared" ref="B6:H6" si="1">IF(ABS(B4)&lt;B5,B4,-B5)</f>
        <v>-10261</v>
      </c>
      <c r="C6" s="249">
        <f t="shared" si="1"/>
        <v>-11682</v>
      </c>
      <c r="D6" s="249">
        <f t="shared" si="1"/>
        <v>-12796</v>
      </c>
      <c r="E6" s="249">
        <f t="shared" si="1"/>
        <v>-11686</v>
      </c>
      <c r="F6" s="249">
        <f t="shared" si="1"/>
        <v>-14460</v>
      </c>
      <c r="G6" s="249">
        <f t="shared" si="1"/>
        <v>-13861</v>
      </c>
      <c r="H6" s="249">
        <f t="shared" si="1"/>
        <v>-8808</v>
      </c>
    </row>
    <row r="8" spans="1:11">
      <c r="A8" s="68" t="s">
        <v>348</v>
      </c>
      <c r="B8" s="75">
        <f>'1.IS'!B2</f>
        <v>2018</v>
      </c>
      <c r="C8" s="75">
        <f>'1.IS'!C2</f>
        <v>2019</v>
      </c>
      <c r="D8" s="75">
        <f>'1.IS'!D2</f>
        <v>2020</v>
      </c>
      <c r="E8" s="75">
        <f>'1.IS'!E2</f>
        <v>2021</v>
      </c>
      <c r="F8" s="75">
        <f>'1.IS'!F2</f>
        <v>2022</v>
      </c>
      <c r="G8" s="75">
        <f>'1.IS'!G2</f>
        <v>2023</v>
      </c>
      <c r="H8" s="75">
        <f>'1.IS'!H2</f>
        <v>2024</v>
      </c>
      <c r="I8" s="77"/>
      <c r="J8" s="77"/>
    </row>
    <row r="9" spans="1:11">
      <c r="A9" s="187" t="s">
        <v>47</v>
      </c>
      <c r="B9" s="250">
        <f>B4-B6</f>
        <v>142566</v>
      </c>
      <c r="C9" s="250">
        <f t="shared" ref="C9:H9" si="2">C4-C6</f>
        <v>55994</v>
      </c>
      <c r="D9" s="250">
        <f t="shared" si="2"/>
        <v>81525</v>
      </c>
      <c r="E9" s="250">
        <f t="shared" si="2"/>
        <v>56864</v>
      </c>
      <c r="F9" s="250">
        <f t="shared" si="2"/>
        <v>35468</v>
      </c>
      <c r="G9" s="250">
        <f t="shared" si="2"/>
        <v>33618</v>
      </c>
      <c r="H9" s="250">
        <f t="shared" si="2"/>
        <v>0</v>
      </c>
      <c r="I9" s="199"/>
      <c r="J9" s="199"/>
    </row>
    <row r="10" spans="1:11">
      <c r="A10" s="195" t="s">
        <v>349</v>
      </c>
      <c r="B10" s="251">
        <f>IFERROR(VALUE(VLOOKUP("Cash Acquisitions*",'8.TIKR_CF'!$A:$H,COLUMN(B10),FALSE)),"0")</f>
        <v>-888</v>
      </c>
      <c r="C10" s="251">
        <f>IFERROR(VALUE(VLOOKUP("Cash Acquisitions*",'8.TIKR_CF'!$A:$H,COLUMN(C10),FALSE)),"0")</f>
        <v>-2388</v>
      </c>
      <c r="D10" s="251">
        <f>IFERROR(VALUE(VLOOKUP("Cash Acquisitions*",'8.TIKR_CF'!$A:$H,COLUMN(D10),FALSE)),"0")</f>
        <v>-2521</v>
      </c>
      <c r="E10" s="251">
        <f>IFERROR(VALUE(VLOOKUP("Cash Acquisitions*",'8.TIKR_CF'!$A:$H,COLUMN(E10),FALSE)),"0")</f>
        <v>-8909</v>
      </c>
      <c r="F10" s="251">
        <f>IFERROR(VALUE(VLOOKUP("Cash Acquisitions*",'8.TIKR_CF'!$A:$H,COLUMN(F10),FALSE)),"0")</f>
        <v>-22038</v>
      </c>
      <c r="G10" s="251">
        <f>IFERROR(VALUE(VLOOKUP("Cash Acquisitions*",'8.TIKR_CF'!$A:$H,COLUMN(G10),FALSE)),"0")</f>
        <v>-1670</v>
      </c>
      <c r="H10" s="251">
        <f>IFERROR(VALUE(VLOOKUP("Cash Acquisitions*",'8.TIKR_CF'!$A:$H,COLUMN(H10),FALSE)),"0")</f>
        <v>-69132</v>
      </c>
    </row>
    <row r="11" spans="1:11">
      <c r="A11" s="66" t="s">
        <v>350</v>
      </c>
      <c r="B11" s="252">
        <f>ABS(SUM(B9:B10))</f>
        <v>141678</v>
      </c>
      <c r="C11" s="252">
        <f t="shared" ref="C11:H11" si="3">ABS(SUM(C9:C10))</f>
        <v>53606</v>
      </c>
      <c r="D11" s="252">
        <f t="shared" si="3"/>
        <v>79004</v>
      </c>
      <c r="E11" s="252">
        <f t="shared" si="3"/>
        <v>47955</v>
      </c>
      <c r="F11" s="252">
        <f t="shared" si="3"/>
        <v>13430</v>
      </c>
      <c r="G11" s="252">
        <f t="shared" si="3"/>
        <v>31948</v>
      </c>
      <c r="H11" s="252">
        <f t="shared" si="3"/>
        <v>69132</v>
      </c>
    </row>
    <row r="13" spans="1:11">
      <c r="A13" s="68" t="s">
        <v>67</v>
      </c>
      <c r="B13" s="75" t="str">
        <f>'1.IS'!I2</f>
        <v>2025e</v>
      </c>
      <c r="C13" s="75" t="str">
        <f>'1.IS'!J2</f>
        <v>2026e</v>
      </c>
      <c r="D13" s="75" t="str">
        <f>'1.IS'!K2</f>
        <v>2027e</v>
      </c>
      <c r="E13" s="75" t="str">
        <f>'1.IS'!L2</f>
        <v>2028e</v>
      </c>
      <c r="F13" s="75" t="str">
        <f>'1.IS'!M2</f>
        <v>2029e</v>
      </c>
      <c r="H13" s="184"/>
    </row>
    <row r="14" spans="1:11">
      <c r="A14" s="201" t="s">
        <v>351</v>
      </c>
      <c r="B14" s="202">
        <f>'4.Valoración'!$D$12</f>
        <v>393</v>
      </c>
      <c r="C14" s="202">
        <f>'4.Valoración'!$D$12</f>
        <v>393</v>
      </c>
      <c r="D14" s="202">
        <f>'4.Valoración'!$D$12</f>
        <v>393</v>
      </c>
      <c r="E14" s="202">
        <f>'4.Valoración'!$D$12</f>
        <v>393</v>
      </c>
      <c r="F14" s="202">
        <f>'4.Valoración'!$D$12</f>
        <v>393</v>
      </c>
    </row>
    <row r="16" spans="1:11">
      <c r="A16" s="68" t="s">
        <v>352</v>
      </c>
      <c r="B16" s="75">
        <f>'1.IS'!H2</f>
        <v>2024</v>
      </c>
    </row>
    <row r="17" spans="1:9">
      <c r="A17" s="187" t="s">
        <v>353</v>
      </c>
      <c r="B17" s="178">
        <f>SUM('3.ROIC'!$B$6:$H$6)/SUM('3.ROIC'!$B$6:$H$7)</f>
        <v>0.22084887227670616</v>
      </c>
    </row>
    <row r="18" spans="1:9">
      <c r="A18" s="187" t="s">
        <v>354</v>
      </c>
      <c r="B18" s="203">
        <f>1-B17</f>
        <v>0.77915112772329387</v>
      </c>
    </row>
    <row r="19" spans="1:9">
      <c r="A19" s="187" t="s">
        <v>355</v>
      </c>
      <c r="B19" s="198">
        <f>SUM('3.ROIC'!B4:H5)</f>
        <v>825998</v>
      </c>
    </row>
    <row r="20" spans="1:9">
      <c r="A20" s="187" t="s">
        <v>356</v>
      </c>
      <c r="B20" s="198">
        <f>SUM('3.ROIC'!B5:H5)</f>
        <v>707946</v>
      </c>
    </row>
    <row r="21" spans="1:9">
      <c r="A21" s="187" t="s">
        <v>357</v>
      </c>
      <c r="B21" s="198">
        <f>SUM('3.ROIC'!B6:H7)</f>
        <v>952982</v>
      </c>
    </row>
    <row r="22" spans="1:9">
      <c r="A22" s="187" t="s">
        <v>358</v>
      </c>
      <c r="B22" s="198">
        <f>B21-B19</f>
        <v>126984</v>
      </c>
    </row>
    <row r="23" spans="1:9">
      <c r="A23" s="187" t="s">
        <v>359</v>
      </c>
      <c r="B23" s="198">
        <f>SUM('1.IS'!B11:H11)</f>
        <v>2395</v>
      </c>
    </row>
    <row r="24" spans="1:9">
      <c r="A24" s="187" t="s">
        <v>360</v>
      </c>
      <c r="B24" s="198">
        <f>SUM('1.IS'!B10:H10)</f>
        <v>-17322</v>
      </c>
    </row>
    <row r="25" spans="1:9">
      <c r="A25" s="187" t="s">
        <v>361</v>
      </c>
      <c r="B25" s="203">
        <f>B23/B20</f>
        <v>3.3830263890183713E-3</v>
      </c>
    </row>
    <row r="26" spans="1:9">
      <c r="A26" s="187" t="s">
        <v>362</v>
      </c>
      <c r="B26" s="203">
        <f>ABS(SUM('1.IS'!B10:H10))/B21</f>
        <v>1.8176628729608745E-2</v>
      </c>
    </row>
    <row r="27" spans="1:9">
      <c r="B27" s="203"/>
    </row>
    <row r="28" spans="1:9">
      <c r="A28" s="68" t="s">
        <v>363</v>
      </c>
      <c r="B28" s="75">
        <f>'1.IS'!B2</f>
        <v>2018</v>
      </c>
      <c r="C28" s="75">
        <f>'1.IS'!C2</f>
        <v>2019</v>
      </c>
      <c r="D28" s="75">
        <f>'1.IS'!D2</f>
        <v>2020</v>
      </c>
      <c r="E28" s="75">
        <f>'1.IS'!E2</f>
        <v>2021</v>
      </c>
      <c r="F28" s="75">
        <f>'1.IS'!F2</f>
        <v>2022</v>
      </c>
      <c r="G28" s="75">
        <f>'1.IS'!G2</f>
        <v>2023</v>
      </c>
      <c r="H28" s="75">
        <f>'1.IS'!H2</f>
        <v>2024</v>
      </c>
      <c r="I28" s="75" t="s">
        <v>364</v>
      </c>
    </row>
    <row r="29" spans="1:9">
      <c r="A29" s="187" t="s">
        <v>365</v>
      </c>
      <c r="B29" s="198">
        <f>B11</f>
        <v>141678</v>
      </c>
      <c r="C29" s="198">
        <f t="shared" ref="C29:H29" si="4">C11</f>
        <v>53606</v>
      </c>
      <c r="D29" s="198">
        <f t="shared" si="4"/>
        <v>79004</v>
      </c>
      <c r="E29" s="198">
        <f t="shared" si="4"/>
        <v>47955</v>
      </c>
      <c r="F29" s="198">
        <f t="shared" si="4"/>
        <v>13430</v>
      </c>
      <c r="G29" s="198">
        <f t="shared" si="4"/>
        <v>31948</v>
      </c>
      <c r="H29" s="198">
        <f t="shared" si="4"/>
        <v>69132</v>
      </c>
      <c r="I29" s="198">
        <f>SUM(B29:H29)</f>
        <v>436753</v>
      </c>
    </row>
    <row r="30" spans="1:9">
      <c r="A30" s="187" t="s">
        <v>48</v>
      </c>
      <c r="B30" s="200">
        <f>IFERROR(ABS(VLOOKUP("Dividends Paid*",'8.TIKR_CF'!$A:$H,COLUMN(B13),FALSE)),"0")</f>
        <v>12699</v>
      </c>
      <c r="C30" s="200">
        <f>IFERROR(ABS(VLOOKUP("Dividends Paid*",'8.TIKR_CF'!$A:$H,COLUMN(C13),FALSE)),"0")</f>
        <v>13811</v>
      </c>
      <c r="D30" s="200">
        <f>IFERROR(ABS(VLOOKUP("Dividends Paid*",'8.TIKR_CF'!$A:$H,COLUMN(D13),FALSE)),"0")</f>
        <v>15137</v>
      </c>
      <c r="E30" s="200">
        <f>IFERROR(ABS(VLOOKUP("Dividends Paid*",'8.TIKR_CF'!$A:$H,COLUMN(E13),FALSE)),"0")</f>
        <v>16521</v>
      </c>
      <c r="F30" s="200">
        <f>IFERROR(ABS(VLOOKUP("Dividends Paid*",'8.TIKR_CF'!$A:$H,COLUMN(F13),FALSE)),"0")</f>
        <v>18135</v>
      </c>
      <c r="G30" s="200">
        <f>IFERROR(ABS(VLOOKUP("Dividends Paid*",'8.TIKR_CF'!$A:$H,COLUMN(G13),FALSE)),"0")</f>
        <v>19800</v>
      </c>
      <c r="H30" s="200">
        <f>IFERROR(ABS(VLOOKUP("Dividends Paid*",'8.TIKR_CF'!$A:$H,COLUMN(H13),FALSE)),"0")</f>
        <v>21771</v>
      </c>
      <c r="I30" s="198">
        <f>SUM(B30:H30)</f>
        <v>117874</v>
      </c>
    </row>
    <row r="31" spans="1:9">
      <c r="A31" s="187" t="s">
        <v>49</v>
      </c>
      <c r="B31" s="200">
        <f>IFERROR(ABS(VLOOKUP("Common Stock Repurchased*",'8.TIKR_CF'!$A:$H,COLUMN(B14),FALSE)),"0")</f>
        <v>10721</v>
      </c>
      <c r="C31" s="200">
        <f>IFERROR(ABS(VLOOKUP("Common Stock Repurchased*",'8.TIKR_CF'!$A:$H,COLUMN(C14),FALSE)),"0")</f>
        <v>19543</v>
      </c>
      <c r="D31" s="200">
        <f>IFERROR(ABS(VLOOKUP("Common Stock Repurchased*",'8.TIKR_CF'!$A:$H,COLUMN(D14),FALSE)),"0")</f>
        <v>22968</v>
      </c>
      <c r="E31" s="200">
        <f>IFERROR(ABS(VLOOKUP("Common Stock Repurchased*",'8.TIKR_CF'!$A:$H,COLUMN(E14),FALSE)),"0")</f>
        <v>27385</v>
      </c>
      <c r="F31" s="200">
        <f>IFERROR(ABS(VLOOKUP("Common Stock Repurchased*",'8.TIKR_CF'!$A:$H,COLUMN(F14),FALSE)),"0")</f>
        <v>32696</v>
      </c>
      <c r="G31" s="200">
        <f>IFERROR(ABS(VLOOKUP("Common Stock Repurchased*",'8.TIKR_CF'!$A:$H,COLUMN(G14),FALSE)),"0")</f>
        <v>22245</v>
      </c>
      <c r="H31" s="200">
        <f>IFERROR(ABS(VLOOKUP("Common Stock Repurchased*",'8.TIKR_CF'!$A:$H,COLUMN(H14),FALSE)),"0")</f>
        <v>17254</v>
      </c>
      <c r="I31" s="198">
        <f>SUM(B31:H31)</f>
        <v>152812</v>
      </c>
    </row>
    <row r="32" spans="1:9">
      <c r="A32" s="187" t="s">
        <v>366</v>
      </c>
      <c r="B32" s="200">
        <f>IFERROR((ABS(VLOOKUP("Cash Acquisitions*",'8.TIKR_CF'!$A:$H,COLUMN(B15),FALSE))-VLOOKUP("Sales / Maturities Of Investments*",'8.TIKR_CF'!$A:$H,COLUMN(B15),FALSE)),"0")</f>
        <v>-143049</v>
      </c>
      <c r="C32" s="200">
        <f>IFERROR((ABS(VLOOKUP("Cash Acquisitions*",'8.TIKR_CF'!$A:$H,COLUMN(C15),FALSE))-VLOOKUP("Sales / Maturities Of Investments*",'8.TIKR_CF'!$A:$H,COLUMN(C15),FALSE)),"0")</f>
        <v>-55849</v>
      </c>
      <c r="D32" s="200">
        <f>IFERROR((ABS(VLOOKUP("Cash Acquisitions*",'8.TIKR_CF'!$A:$H,COLUMN(D15),FALSE))-VLOOKUP("Sales / Maturities Of Investments*",'8.TIKR_CF'!$A:$H,COLUMN(D15),FALSE)),"0")</f>
        <v>-81649</v>
      </c>
      <c r="E32" s="200">
        <f>IFERROR((ABS(VLOOKUP("Cash Acquisitions*",'8.TIKR_CF'!$A:$H,COLUMN(E15),FALSE))-VLOOKUP("Sales / Maturities Of Investments*",'8.TIKR_CF'!$A:$H,COLUMN(E15),FALSE)),"0")</f>
        <v>-56891</v>
      </c>
      <c r="F32" s="200">
        <f>IFERROR((ABS(VLOOKUP("Cash Acquisitions*",'8.TIKR_CF'!$A:$H,COLUMN(F15),FALSE))-VLOOKUP("Sales / Maturities Of Investments*",'8.TIKR_CF'!$A:$H,COLUMN(F15),FALSE)),"0")</f>
        <v>-22856</v>
      </c>
      <c r="G32" s="200">
        <f>IFERROR((ABS(VLOOKUP("Cash Acquisitions*",'8.TIKR_CF'!$A:$H,COLUMN(G15),FALSE))-VLOOKUP("Sales / Maturities Of Investments*",'8.TIKR_CF'!$A:$H,COLUMN(G15),FALSE)),"0")</f>
        <v>-46194</v>
      </c>
      <c r="H32" s="200">
        <f>IFERROR((ABS(VLOOKUP("Cash Acquisitions*",'8.TIKR_CF'!$A:$H,COLUMN(H15),FALSE))-VLOOKUP("Sales / Maturities Of Investments*",'8.TIKR_CF'!$A:$H,COLUMN(H15),FALSE)),"0")</f>
        <v>33463</v>
      </c>
      <c r="I32" s="198">
        <f>SUM(B32:H32)</f>
        <v>-373025</v>
      </c>
    </row>
    <row r="34" spans="1:9">
      <c r="A34" s="68" t="s">
        <v>367</v>
      </c>
      <c r="B34" s="75">
        <f>'1.IS'!C$2</f>
        <v>2019</v>
      </c>
      <c r="C34" s="75">
        <f>'1.IS'!D$2</f>
        <v>2020</v>
      </c>
      <c r="D34" s="75">
        <f>'1.IS'!E$2</f>
        <v>2021</v>
      </c>
      <c r="E34" s="75">
        <f>'1.IS'!F$2</f>
        <v>2022</v>
      </c>
      <c r="F34" s="75">
        <f>'1.IS'!G$2</f>
        <v>2023</v>
      </c>
      <c r="G34" s="75">
        <f>'1.IS'!H$2</f>
        <v>2024</v>
      </c>
      <c r="H34" s="75" t="s">
        <v>88</v>
      </c>
      <c r="I34" s="75"/>
    </row>
    <row r="35" spans="1:9">
      <c r="A35" s="204" t="s">
        <v>368</v>
      </c>
      <c r="B35" s="205">
        <f>'1.IS'!C4</f>
        <v>0.14029539688292861</v>
      </c>
      <c r="C35" s="205">
        <f>'1.IS'!D4</f>
        <v>0.13645574247276368</v>
      </c>
      <c r="D35" s="205">
        <f>'1.IS'!E4</f>
        <v>0.175317274411775</v>
      </c>
      <c r="E35" s="205">
        <f>'1.IS'!F4</f>
        <v>0.17956070629670173</v>
      </c>
      <c r="F35" s="205">
        <f>'1.IS'!G4</f>
        <v>6.8820295556564284E-2</v>
      </c>
      <c r="G35" s="205">
        <f>'1.IS'!H4</f>
        <v>0.15669962013071279</v>
      </c>
      <c r="H35" s="206">
        <f>AVERAGE(B35:G35)</f>
        <v>0.14285817262524103</v>
      </c>
      <c r="I35" s="207"/>
    </row>
    <row r="36" spans="1:9">
      <c r="A36" s="204" t="s">
        <v>24</v>
      </c>
      <c r="B36" s="205">
        <f>'1.IS'!C21</f>
        <v>1.5542178528882913</v>
      </c>
      <c r="C36" s="205">
        <f>'1.IS'!D21</f>
        <v>0.15083139765188563</v>
      </c>
      <c r="D36" s="205">
        <f>'1.IS'!E21</f>
        <v>0.43561464224084046</v>
      </c>
      <c r="E36" s="205">
        <f>'1.IS'!F21</f>
        <v>0.20529434718139492</v>
      </c>
      <c r="F36" s="205">
        <f>'1.IS'!G21</f>
        <v>-9.1404187016311846E-3</v>
      </c>
      <c r="G36" s="205">
        <f>'1.IS'!H21</f>
        <v>0.22875750501412245</v>
      </c>
      <c r="H36" s="206">
        <f>AVERAGE(B36:G36)</f>
        <v>0.42759588771248391</v>
      </c>
      <c r="I36" s="207"/>
    </row>
    <row r="37" spans="1:9">
      <c r="A37" s="204" t="s">
        <v>369</v>
      </c>
      <c r="B37" s="205">
        <f>'2.FCF'!C15</f>
        <v>2.0227763460332939</v>
      </c>
      <c r="C37" s="205">
        <f>'2.FCF'!D15</f>
        <v>-9.1179317019217471E-2</v>
      </c>
      <c r="D37" s="205">
        <f>'2.FCF'!E15</f>
        <v>0.55153266904997333</v>
      </c>
      <c r="E37" s="205">
        <f>'2.FCF'!F15</f>
        <v>0.16817008203418635</v>
      </c>
      <c r="F37" s="205">
        <f>'2.FCF'!G15</f>
        <v>3.0957543540602924E-2</v>
      </c>
      <c r="G37" s="205">
        <f>'2.FCF'!H15</f>
        <v>0.35569486281852969</v>
      </c>
      <c r="H37" s="206">
        <f>AVERAGE(B37:G37)</f>
        <v>0.50632536440956155</v>
      </c>
      <c r="I37" s="207"/>
    </row>
    <row r="38" spans="1:9">
      <c r="A38" s="208"/>
      <c r="B38" s="207"/>
      <c r="C38" s="207"/>
      <c r="D38" s="207"/>
      <c r="E38" s="207"/>
      <c r="F38" s="207"/>
      <c r="G38" s="207"/>
      <c r="H38" s="207"/>
      <c r="I38" s="207"/>
    </row>
    <row r="39" spans="1:9">
      <c r="A39" s="68" t="s">
        <v>370</v>
      </c>
      <c r="B39" s="75">
        <f>'1.IS'!B$2</f>
        <v>2018</v>
      </c>
      <c r="C39" s="75">
        <f>'1.IS'!C$2</f>
        <v>2019</v>
      </c>
      <c r="D39" s="75">
        <f>'1.IS'!D$2</f>
        <v>2020</v>
      </c>
      <c r="E39" s="75">
        <f>'1.IS'!E$2</f>
        <v>2021</v>
      </c>
      <c r="F39" s="75">
        <f>'1.IS'!F$2</f>
        <v>2022</v>
      </c>
      <c r="G39" s="75">
        <f>'1.IS'!G$2</f>
        <v>2023</v>
      </c>
      <c r="H39" s="75">
        <f>'1.IS'!H$2</f>
        <v>2024</v>
      </c>
      <c r="I39" s="75" t="s">
        <v>88</v>
      </c>
    </row>
    <row r="40" spans="1:9">
      <c r="A40" s="204" t="s">
        <v>7</v>
      </c>
      <c r="B40" s="209">
        <f>'1.IS'!B6</f>
        <v>0.41064697354113811</v>
      </c>
      <c r="C40" s="209">
        <f>'1.IS'!C6</f>
        <v>0.43419975683987189</v>
      </c>
      <c r="D40" s="209">
        <f>'1.IS'!D6</f>
        <v>0.45977694647414608</v>
      </c>
      <c r="E40" s="209">
        <f>'1.IS'!E6</f>
        <v>0.48547189567369475</v>
      </c>
      <c r="F40" s="209">
        <f>'1.IS'!F6</f>
        <v>0.49348363342916224</v>
      </c>
      <c r="G40" s="209">
        <f>'1.IS'!G6</f>
        <v>0.48313710685888211</v>
      </c>
      <c r="H40" s="209">
        <f>'1.IS'!H6</f>
        <v>0.53736506719103139</v>
      </c>
      <c r="I40" s="210">
        <f>AVERAGE(B40:H40)</f>
        <v>0.47201162571541799</v>
      </c>
    </row>
    <row r="41" spans="1:9">
      <c r="A41" s="204" t="s">
        <v>73</v>
      </c>
      <c r="B41" s="209">
        <f>'1.IS'!B9</f>
        <v>0.31766944545125048</v>
      </c>
      <c r="C41" s="209">
        <f>'1.IS'!C9</f>
        <v>0.3413698020549415</v>
      </c>
      <c r="D41" s="209">
        <f>'1.IS'!D9</f>
        <v>0.37030381428521486</v>
      </c>
      <c r="E41" s="209">
        <f>'1.IS'!E9</f>
        <v>0.41594878872971303</v>
      </c>
      <c r="F41" s="209">
        <f>'1.IS'!F9</f>
        <v>0.4205527815604983</v>
      </c>
      <c r="G41" s="209">
        <f>'1.IS'!G9</f>
        <v>0.41772880636104098</v>
      </c>
      <c r="H41" s="209">
        <f>'1.IS'!H9</f>
        <v>0.44644299573273716</v>
      </c>
      <c r="I41" s="210">
        <f>AVERAGE(B41:H41)</f>
        <v>0.39000234773934228</v>
      </c>
    </row>
    <row r="42" spans="1:9">
      <c r="A42" s="204" t="s">
        <v>75</v>
      </c>
      <c r="B42" s="209">
        <f>'2.FCF'!B14</f>
        <v>0.13009242479159117</v>
      </c>
      <c r="C42" s="209">
        <f>'2.FCF'!C14</f>
        <v>0.34485827578808514</v>
      </c>
      <c r="D42" s="209">
        <f>'2.FCF'!D14</f>
        <v>0.27578226060203476</v>
      </c>
      <c r="E42" s="209">
        <f>'2.FCF'!E14</f>
        <v>0.36405930227023942</v>
      </c>
      <c r="F42" s="209">
        <f>'2.FCF'!F14</f>
        <v>0.36054370303122008</v>
      </c>
      <c r="G42" s="209">
        <f>'2.FCF'!G14</f>
        <v>0.34777151216289548</v>
      </c>
      <c r="H42" s="209">
        <f>'2.FCF'!H14</f>
        <v>0.4076011129152014</v>
      </c>
      <c r="I42" s="210">
        <f>AVERAGE(B42:H42)</f>
        <v>0.31867265593732391</v>
      </c>
    </row>
    <row r="43" spans="1:9">
      <c r="A43" s="208"/>
      <c r="B43" s="207"/>
      <c r="C43" s="205"/>
      <c r="D43" s="205"/>
      <c r="E43" s="205"/>
      <c r="F43" s="205"/>
      <c r="G43" s="205"/>
      <c r="H43" s="205"/>
      <c r="I43" s="207"/>
    </row>
    <row r="44" spans="1:9">
      <c r="A44" s="68" t="s">
        <v>371</v>
      </c>
      <c r="B44" s="75">
        <f>'1.IS'!B$2</f>
        <v>2018</v>
      </c>
      <c r="C44" s="75">
        <f>'1.IS'!C$2</f>
        <v>2019</v>
      </c>
      <c r="D44" s="75">
        <f>'1.IS'!D$2</f>
        <v>2020</v>
      </c>
      <c r="E44" s="75">
        <f>'1.IS'!E$2</f>
        <v>2021</v>
      </c>
      <c r="F44" s="75">
        <f>'1.IS'!F$2</f>
        <v>2022</v>
      </c>
      <c r="G44" s="75">
        <f>'1.IS'!G$2</f>
        <v>2023</v>
      </c>
      <c r="H44" s="75">
        <f>'1.IS'!H$2</f>
        <v>2024</v>
      </c>
      <c r="I44" s="75" t="s">
        <v>88</v>
      </c>
    </row>
    <row r="45" spans="1:9">
      <c r="A45" s="204" t="s">
        <v>75</v>
      </c>
      <c r="B45" s="211">
        <f>'2.FCF'!B13</f>
        <v>14357</v>
      </c>
      <c r="C45" s="211">
        <f>'2.FCF'!C13</f>
        <v>43398</v>
      </c>
      <c r="D45" s="211">
        <f>'2.FCF'!D13</f>
        <v>39441</v>
      </c>
      <c r="E45" s="211">
        <f>'2.FCF'!E13</f>
        <v>61194</v>
      </c>
      <c r="F45" s="211">
        <f>'2.FCF'!F13</f>
        <v>71485</v>
      </c>
      <c r="G45" s="211">
        <f>'2.FCF'!G13</f>
        <v>73698</v>
      </c>
      <c r="H45" s="211">
        <f>'2.FCF'!H13</f>
        <v>99912</v>
      </c>
      <c r="I45" s="212"/>
    </row>
    <row r="46" spans="1:9">
      <c r="A46" s="204" t="s">
        <v>65</v>
      </c>
      <c r="B46" s="209">
        <f>'3.ROIC'!B15</f>
        <v>0.19301554707393567</v>
      </c>
      <c r="C46" s="209">
        <f>'3.ROIC'!C15</f>
        <v>0.19798975940109756</v>
      </c>
      <c r="D46" s="209">
        <f>'3.ROIC'!D15</f>
        <v>0.2306924857235749</v>
      </c>
      <c r="E46" s="209">
        <f>'3.ROIC'!E15</f>
        <v>0.25512991479866148</v>
      </c>
      <c r="F46" s="209">
        <f>'3.ROIC'!F15</f>
        <v>0.2456997813049891</v>
      </c>
      <c r="G46" s="209">
        <f>'3.ROIC'!G15</f>
        <v>0.21375095039070968</v>
      </c>
      <c r="H46" s="209">
        <f>'3.ROIC'!H15</f>
        <v>0.19678727081952843</v>
      </c>
      <c r="I46" s="210">
        <f>AVERAGE(B46:H46)</f>
        <v>0.2190093870732138</v>
      </c>
    </row>
    <row r="47" spans="1:9">
      <c r="A47" s="208"/>
      <c r="B47" s="207"/>
      <c r="C47" s="207"/>
      <c r="D47" s="207"/>
      <c r="E47" s="207"/>
      <c r="F47" s="207"/>
      <c r="G47" s="207"/>
      <c r="H47" s="207"/>
      <c r="I47" s="207"/>
    </row>
    <row r="48" spans="1:9">
      <c r="A48" s="68"/>
      <c r="B48" s="75">
        <f>'1.IS'!B$2</f>
        <v>2018</v>
      </c>
      <c r="C48" s="75">
        <f>'1.IS'!C$2</f>
        <v>2019</v>
      </c>
      <c r="D48" s="75">
        <f>'1.IS'!D$2</f>
        <v>2020</v>
      </c>
      <c r="E48" s="75">
        <f>'1.IS'!E$2</f>
        <v>2021</v>
      </c>
      <c r="F48" s="75">
        <f>'1.IS'!F$2</f>
        <v>2022</v>
      </c>
      <c r="G48" s="75">
        <f>'1.IS'!G$2</f>
        <v>2023</v>
      </c>
      <c r="H48" s="75">
        <f>'1.IS'!H$2</f>
        <v>2024</v>
      </c>
      <c r="I48" s="75" t="s">
        <v>88</v>
      </c>
    </row>
    <row r="49" spans="1:9">
      <c r="A49" s="204" t="s">
        <v>372</v>
      </c>
      <c r="B49" s="213">
        <f>('1.IS'!B3-'1.IS'!B5)/'1.IS'!B3</f>
        <v>0.58935302645886189</v>
      </c>
      <c r="C49" s="213">
        <f>('1.IS'!C3-'1.IS'!C5)/'1.IS'!C3</f>
        <v>0.56580024316012811</v>
      </c>
      <c r="D49" s="213">
        <f>('1.IS'!D3-'1.IS'!D5)/'1.IS'!D3</f>
        <v>0.54022305352585398</v>
      </c>
      <c r="E49" s="213">
        <f>('1.IS'!E3-'1.IS'!E5)/'1.IS'!E3</f>
        <v>0.51452810432630525</v>
      </c>
      <c r="F49" s="213">
        <f>('1.IS'!F3-'1.IS'!F5)/'1.IS'!F3</f>
        <v>0.50651636657083776</v>
      </c>
      <c r="G49" s="213">
        <f>('1.IS'!G3-'1.IS'!G5)/'1.IS'!G3</f>
        <v>0.51686289314111789</v>
      </c>
      <c r="H49" s="213">
        <f>('1.IS'!H3-'1.IS'!H5)/'1.IS'!H3</f>
        <v>0.46263493280896861</v>
      </c>
      <c r="I49" s="206">
        <f>AVERAGE(B49:H49)</f>
        <v>0.52798837428458201</v>
      </c>
    </row>
    <row r="50" spans="1:9">
      <c r="A50" s="204" t="s">
        <v>373</v>
      </c>
      <c r="B50" s="213">
        <f>'2.FCF'!B20</f>
        <v>9.2977528089887643E-2</v>
      </c>
      <c r="C50" s="213">
        <f>'2.FCF'!C20</f>
        <v>9.2829954784930432E-2</v>
      </c>
      <c r="D50" s="213">
        <f>'2.FCF'!D20</f>
        <v>8.9473132188931229E-2</v>
      </c>
      <c r="E50" s="213">
        <f>'2.FCF'!E20</f>
        <v>6.9523106943981727E-2</v>
      </c>
      <c r="F50" s="213">
        <f>'2.FCF'!F20</f>
        <v>7.2930851868663937E-2</v>
      </c>
      <c r="G50" s="213">
        <f>'2.FCF'!G20</f>
        <v>6.5408300497841118E-2</v>
      </c>
      <c r="H50" s="213">
        <f>'2.FCF'!H20</f>
        <v>3.5933127177487131E-2</v>
      </c>
      <c r="I50" s="206">
        <f>AVERAGE(B50:H50)</f>
        <v>7.4153714507389029E-2</v>
      </c>
    </row>
    <row r="51" spans="1:9">
      <c r="A51" s="204" t="s">
        <v>374</v>
      </c>
      <c r="B51" s="213">
        <f>('1.IS'!B12/'1.IS'!B3)</f>
        <v>-7.2308807538963389E-3</v>
      </c>
      <c r="C51" s="213">
        <f>('1.IS'!C12/'1.IS'!C3)</f>
        <v>-1.6155050340503643E-2</v>
      </c>
      <c r="D51" s="213">
        <f>('1.IS'!D12/'1.IS'!D3)</f>
        <v>-1.8200888018739293E-2</v>
      </c>
      <c r="E51" s="213">
        <f>('1.IS'!E12/'1.IS'!E3)</f>
        <v>-5.6220551139879111E-3</v>
      </c>
      <c r="F51" s="213">
        <f>('1.IS'!F12/'1.IS'!F3)</f>
        <v>-8.881827810561356E-3</v>
      </c>
      <c r="G51" s="213">
        <f>('1.IS'!G12/'1.IS'!G3)</f>
        <v>-1.0409834131609372E-2</v>
      </c>
      <c r="H51" s="213">
        <f>('1.IS'!H12/'1.IS'!H3)</f>
        <v>-1.8688652997282985E-2</v>
      </c>
      <c r="I51" s="206">
        <f>AVERAGE(B51:H51)</f>
        <v>-1.2169884166654413E-2</v>
      </c>
    </row>
    <row r="52" spans="1:9">
      <c r="A52" s="204" t="s">
        <v>375</v>
      </c>
      <c r="B52" s="213">
        <f>('1.IS'!B14+'1.IS'!B17)/'1.IS'!B3</f>
        <v>-0.18034613990576295</v>
      </c>
      <c r="C52" s="213">
        <f>('1.IS'!C14+'1.IS'!C17)/'1.IS'!C3</f>
        <v>-3.5345629077501328E-2</v>
      </c>
      <c r="D52" s="213">
        <f>('1.IS'!D14+'1.IS'!D17)/'1.IS'!D3</f>
        <v>-6.1217354822920671E-2</v>
      </c>
      <c r="E52" s="213">
        <f>('1.IS'!E14+'1.IS'!E17)/'1.IS'!E3</f>
        <v>-5.8487220979486935E-2</v>
      </c>
      <c r="F52" s="213">
        <f>('1.IS'!F14+'1.IS'!F17)/'1.IS'!F3</f>
        <v>-5.5368941342613609E-2</v>
      </c>
      <c r="G52" s="213">
        <f>('1.IS'!G14+'1.IS'!G17)/'1.IS'!G3</f>
        <v>-7.9984899605974089E-2</v>
      </c>
      <c r="H52" s="213">
        <f>('1.IS'!H14+'1.IS'!H17)/'1.IS'!H3</f>
        <v>-8.0168242752588506E-2</v>
      </c>
      <c r="I52" s="206">
        <f>AVERAGE(B52:H52)</f>
        <v>-7.8702632640978307E-2</v>
      </c>
    </row>
    <row r="53" spans="1:9">
      <c r="A53" s="204" t="s">
        <v>376</v>
      </c>
      <c r="B53" s="213"/>
      <c r="C53" s="213">
        <f>'2.FCF'!C11/'1.IS'!C3</f>
        <v>-5.4989153151148655E-2</v>
      </c>
      <c r="D53" s="213">
        <f>'2.FCF'!D11/'1.IS'!D3</f>
        <v>1.5103310841520121E-2</v>
      </c>
      <c r="E53" s="213">
        <f>'2.FCF'!E11/'1.IS'!E3</f>
        <v>-1.2219789634001237E-2</v>
      </c>
      <c r="F53" s="213">
        <f>'2.FCF'!F11/'1.IS'!F3</f>
        <v>-4.2416906238967062E-3</v>
      </c>
      <c r="G53" s="213">
        <f>'2.FCF'!G11/'1.IS'!G3</f>
        <v>-2.0437439539437982E-2</v>
      </c>
      <c r="H53" s="213">
        <f>'2.FCF'!H11/'1.IS'!H3</f>
        <v>-5.0260686515286269E-3</v>
      </c>
      <c r="I53" s="206">
        <f>AVERAGE(B53:H53)</f>
        <v>-1.3635138459748848E-2</v>
      </c>
    </row>
  </sheetData>
  <sheetProtection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2025-03-15T10:12:03Z</dcterms:modified>
  <cp:category/>
  <cp:contentStatus/>
</cp:coreProperties>
</file>