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\Desktop\実験A\5月28日提出\"/>
    </mc:Choice>
  </mc:AlternateContent>
  <xr:revisionPtr revIDLastSave="0" documentId="13_ncr:1_{04AFE389-F585-4D04-808A-EDD5D576328C}" xr6:coauthVersionLast="45" xr6:coauthVersionMax="45" xr10:uidLastSave="{00000000-0000-0000-0000-000000000000}"/>
  <bookViews>
    <workbookView xWindow="-108" yWindow="-108" windowWidth="23256" windowHeight="12576" activeTab="1" xr2:uid="{2258A5A7-1089-4D01-99DB-54D3F467EDE7}"/>
  </bookViews>
  <sheets>
    <sheet name="Sheet1" sheetId="1" r:id="rId1"/>
    <sheet name="X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F26" i="2"/>
  <c r="F27" i="2"/>
  <c r="V12" i="2"/>
  <c r="V13" i="2"/>
  <c r="V14" i="2"/>
  <c r="V11" i="2"/>
  <c r="U11" i="2"/>
  <c r="T14" i="2"/>
  <c r="T12" i="2"/>
  <c r="L13" i="2"/>
  <c r="L11" i="2"/>
  <c r="U13" i="2" l="1"/>
  <c r="T13" i="2"/>
  <c r="T11" i="2"/>
  <c r="R11" i="2"/>
  <c r="L14" i="2"/>
  <c r="K17" i="2"/>
  <c r="U14" i="2" l="1"/>
  <c r="L12" i="2"/>
  <c r="U12" i="2" l="1"/>
  <c r="F3" i="2"/>
  <c r="G3" i="2" s="1"/>
  <c r="F4" i="2"/>
  <c r="G4" i="2" s="1"/>
  <c r="F5" i="2"/>
  <c r="G5" i="2" s="1"/>
  <c r="F6" i="2"/>
  <c r="G6" i="2" s="1"/>
  <c r="F2" i="2"/>
  <c r="G2" i="2" s="1"/>
  <c r="D3" i="2"/>
  <c r="D4" i="2"/>
  <c r="D5" i="2"/>
  <c r="D6" i="2"/>
  <c r="D2" i="2"/>
</calcChain>
</file>

<file path=xl/sharedStrings.xml><?xml version="1.0" encoding="utf-8"?>
<sst xmlns="http://schemas.openxmlformats.org/spreadsheetml/2006/main" count="62" uniqueCount="59">
  <si>
    <t>条件</t>
    <rPh sb="0" eb="2">
      <t>ジョウケン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</si>
  <si>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</si>
  <si>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</si>
  <si>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</si>
  <si>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</si>
  <si>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MgO［g］</t>
    <phoneticPr fontId="1"/>
  </si>
  <si>
    <t>KOH［g］</t>
    <phoneticPr fontId="1"/>
  </si>
  <si>
    <t>6時間</t>
    <rPh sb="1" eb="3">
      <t>ジカン</t>
    </rPh>
    <phoneticPr fontId="1"/>
  </si>
  <si>
    <t>時間</t>
    <rPh sb="0" eb="2">
      <t>ジカン</t>
    </rPh>
    <phoneticPr fontId="1"/>
  </si>
  <si>
    <t>8時間</t>
    <rPh sb="1" eb="3">
      <t>ジカン</t>
    </rPh>
    <phoneticPr fontId="1"/>
  </si>
  <si>
    <t>640℃まで昇温</t>
    <rPh sb="6" eb="8">
      <t>ショウオン</t>
    </rPh>
    <phoneticPr fontId="1"/>
  </si>
  <si>
    <t>640℃で保持</t>
    <rPh sb="5" eb="7">
      <t>ホジ</t>
    </rPh>
    <phoneticPr fontId="1"/>
  </si>
  <si>
    <t>4時間</t>
    <rPh sb="1" eb="3">
      <t>ジカン</t>
    </rPh>
    <phoneticPr fontId="1"/>
  </si>
  <si>
    <t>570℃まで徐冷</t>
    <rPh sb="6" eb="8">
      <t>ジョレイ</t>
    </rPh>
    <phoneticPr fontId="1"/>
  </si>
  <si>
    <t>常温まで電気炉内で放冷</t>
    <rPh sb="0" eb="2">
      <t>ジョウオン</t>
    </rPh>
    <rPh sb="4" eb="7">
      <t>デンキロ</t>
    </rPh>
    <rPh sb="7" eb="8">
      <t>ナイ</t>
    </rPh>
    <rPh sb="9" eb="11">
      <t>ホウレイ</t>
    </rPh>
    <phoneticPr fontId="1"/>
  </si>
  <si>
    <t>相対強度</t>
    <rPh sb="0" eb="2">
      <t>ソウタイ</t>
    </rPh>
    <rPh sb="2" eb="4">
      <t>キョウド</t>
    </rPh>
    <phoneticPr fontId="1"/>
  </si>
  <si>
    <t>λ=</t>
    <phoneticPr fontId="1"/>
  </si>
  <si>
    <t>sinθ</t>
    <phoneticPr fontId="1"/>
  </si>
  <si>
    <t>ピーク強度[cps]</t>
    <rPh sb="3" eb="5">
      <t>キョウド</t>
    </rPh>
    <phoneticPr fontId="1"/>
  </si>
  <si>
    <t>角度[°]</t>
    <rPh sb="0" eb="2">
      <t>カクド</t>
    </rPh>
    <phoneticPr fontId="1"/>
  </si>
  <si>
    <t>格子定数[Å]</t>
    <rPh sb="0" eb="2">
      <t>コウシ</t>
    </rPh>
    <rPh sb="2" eb="4">
      <t>テイスウ</t>
    </rPh>
    <phoneticPr fontId="1"/>
  </si>
  <si>
    <t>(hkl）</t>
    <phoneticPr fontId="1"/>
  </si>
  <si>
    <t>W1</t>
    <phoneticPr fontId="1"/>
  </si>
  <si>
    <t>W2</t>
    <phoneticPr fontId="1"/>
  </si>
  <si>
    <t>W3-1</t>
    <phoneticPr fontId="1"/>
  </si>
  <si>
    <t>W3-2</t>
    <phoneticPr fontId="1"/>
  </si>
  <si>
    <t>W3-3</t>
    <phoneticPr fontId="1"/>
  </si>
  <si>
    <t>W3-4</t>
    <phoneticPr fontId="1"/>
  </si>
  <si>
    <t>W3-5</t>
    <phoneticPr fontId="1"/>
  </si>
  <si>
    <t xml:space="preserve">W3-6 </t>
    <phoneticPr fontId="1"/>
  </si>
  <si>
    <t xml:space="preserve">W3-7 </t>
    <phoneticPr fontId="1"/>
  </si>
  <si>
    <t>W3</t>
    <phoneticPr fontId="1"/>
  </si>
  <si>
    <t>W4-1</t>
    <phoneticPr fontId="1"/>
  </si>
  <si>
    <t>W4-2</t>
    <phoneticPr fontId="1"/>
  </si>
  <si>
    <t xml:space="preserve">W4-3 </t>
    <phoneticPr fontId="1"/>
  </si>
  <si>
    <t>W4-4</t>
    <phoneticPr fontId="1"/>
  </si>
  <si>
    <t>W4-5</t>
    <phoneticPr fontId="1"/>
  </si>
  <si>
    <t>W4</t>
    <phoneticPr fontId="1"/>
  </si>
  <si>
    <t>水の比重</t>
    <rPh sb="0" eb="1">
      <t>ミズ</t>
    </rPh>
    <rPh sb="2" eb="4">
      <t>ヒジュウ</t>
    </rPh>
    <phoneticPr fontId="1"/>
  </si>
  <si>
    <t>空気の比重</t>
    <rPh sb="0" eb="2">
      <t>クウキ</t>
    </rPh>
    <rPh sb="3" eb="5">
      <t>ヒジュウ</t>
    </rPh>
    <phoneticPr fontId="1"/>
  </si>
  <si>
    <t>Dｔ＝</t>
    <phoneticPr fontId="1"/>
  </si>
  <si>
    <t>Da＝</t>
    <phoneticPr fontId="1"/>
  </si>
  <si>
    <t>d-sample</t>
    <phoneticPr fontId="1"/>
  </si>
  <si>
    <t>W4</t>
    <phoneticPr fontId="1"/>
  </si>
  <si>
    <t>W1</t>
    <phoneticPr fontId="1"/>
  </si>
  <si>
    <t>W2</t>
    <phoneticPr fontId="1"/>
  </si>
  <si>
    <t>W3</t>
    <phoneticPr fontId="1"/>
  </si>
  <si>
    <t>条件A</t>
    <rPh sb="0" eb="2">
      <t>ジョウケン</t>
    </rPh>
    <phoneticPr fontId="1"/>
  </si>
  <si>
    <t>条件B</t>
    <rPh sb="0" eb="2">
      <t>ジョウケン</t>
    </rPh>
    <phoneticPr fontId="1"/>
  </si>
  <si>
    <t>条件C</t>
    <rPh sb="0" eb="2">
      <t>ジョウケン</t>
    </rPh>
    <phoneticPr fontId="1"/>
  </si>
  <si>
    <t>条件D</t>
    <rPh sb="0" eb="2">
      <t>ジョウケン</t>
    </rPh>
    <phoneticPr fontId="1"/>
  </si>
  <si>
    <t>d-sample</t>
    <phoneticPr fontId="1"/>
  </si>
  <si>
    <t>d-sample(温度補正なし)</t>
    <rPh sb="9" eb="11">
      <t>オンド</t>
    </rPh>
    <rPh sb="11" eb="13">
      <t>ホセイ</t>
    </rPh>
    <phoneticPr fontId="1"/>
  </si>
  <si>
    <t>質量</t>
    <rPh sb="0" eb="2">
      <t>シツリョウ</t>
    </rPh>
    <phoneticPr fontId="1"/>
  </si>
  <si>
    <t>d</t>
    <phoneticPr fontId="1"/>
  </si>
  <si>
    <t>密度</t>
    <rPh sb="0" eb="2">
      <t>ミツド</t>
    </rPh>
    <phoneticPr fontId="1"/>
  </si>
  <si>
    <t>体積</t>
    <rPh sb="0" eb="2">
      <t>タイセキ</t>
    </rPh>
    <phoneticPr fontId="1"/>
  </si>
  <si>
    <t>X10^-30</t>
    <phoneticPr fontId="1"/>
  </si>
  <si>
    <t>X10^-23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</si>
</sst>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CEDB-1C96-4FD0-A45F-5E8E218E5D4A}">
  <dimension ref="A1:C11"/>
  <sheetViews>
    <sheetView workbookViewId="0">
      <selection activeCell="F11" sqref="F11"/>
    </sheetView>
  </sheetViews>
  <sheetFormatPr defaultRowHeight="18" x14ac:dyDescent="0.45"/>
  <cols>
    <col min="2" max="2" width="8.8984375" customWidth="1"/>
    <col min="3" max="3" width="22.09765625" customWidth="1"/>
    <col min="4" max="4" width="21.09765625" customWidth="1"/>
  </cols>
  <sheetData>
    <row r="1" spans="1:3" x14ac:dyDescent="0.45">
      <c r="A1" t="s">
        <v>0</v>
      </c>
      <c r="B1" t="s">
        <v>5</v>
      </c>
      <c r="C1" t="s">
        <v>6</v>
      </c>
    </row>
    <row r="2" spans="1:3" x14ac:dyDescent="0.45">
      <c r="A2" t="s">
        <v>1</v>
      </c>
      <c r="B2">
        <v>1.3</v>
      </c>
      <c r="C2">
        <v>50</v>
      </c>
    </row>
    <row r="3" spans="1:3" x14ac:dyDescent="0.45">
      <c r="A3" t="s">
        <v>2</v>
      </c>
      <c r="B3">
        <v>1.3</v>
      </c>
      <c r="C3">
        <v>60</v>
      </c>
    </row>
    <row r="4" spans="1:3" x14ac:dyDescent="0.45">
      <c r="A4" t="s">
        <v>3</v>
      </c>
      <c r="B4">
        <v>1.7</v>
      </c>
      <c r="C4">
        <v>50</v>
      </c>
    </row>
    <row r="5" spans="1:3" x14ac:dyDescent="0.45">
      <c r="A5" t="s">
        <v>4</v>
      </c>
      <c r="B5">
        <v>1.7</v>
      </c>
      <c r="C5">
        <v>60</v>
      </c>
    </row>
    <row r="7" spans="1:3" x14ac:dyDescent="0.45">
      <c r="B7" t="s">
        <v>8</v>
      </c>
      <c r="C7" t="s">
        <v>0</v>
      </c>
    </row>
    <row r="8" spans="1:3" x14ac:dyDescent="0.45">
      <c r="B8" t="s">
        <v>7</v>
      </c>
      <c r="C8" t="s">
        <v>10</v>
      </c>
    </row>
    <row r="9" spans="1:3" x14ac:dyDescent="0.45">
      <c r="B9" t="s">
        <v>9</v>
      </c>
      <c r="C9" t="s">
        <v>11</v>
      </c>
    </row>
    <row r="10" spans="1:3" x14ac:dyDescent="0.45">
      <c r="B10" t="s">
        <v>12</v>
      </c>
      <c r="C10" t="s">
        <v>13</v>
      </c>
    </row>
    <row r="11" spans="1:3" x14ac:dyDescent="0.45">
      <c r="C11" t="s">
        <v>14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11C2-8E40-4E47-89C5-96092B8D68E1}">
  <dimension ref="B1:V27"/>
  <sheetViews>
    <sheetView tabSelected="1" topLeftCell="C2" zoomScale="80" workbookViewId="0">
      <selection activeCell="F25" sqref="F25"/>
    </sheetView>
  </sheetViews>
  <sheetFormatPr defaultRowHeight="18" x14ac:dyDescent="0.45"/>
  <cols>
    <col min="3" max="3" width="14.8984375" customWidth="1"/>
    <col min="4" max="4" width="6.09765625" customWidth="1"/>
    <col min="5" max="5" width="8.59765625" customWidth="1"/>
    <col min="6" max="6" width="14.19921875" customWidth="1"/>
    <col min="7" max="7" width="7.69921875" customWidth="1"/>
    <col min="8" max="8" width="7.59765625" customWidth="1"/>
    <col min="9" max="9" width="8.5" customWidth="1"/>
    <col min="10" max="10" width="21.3984375" customWidth="1"/>
    <col min="22" max="22" width="13.296875" customWidth="1"/>
  </cols>
  <sheetData>
    <row r="1" spans="2:22" x14ac:dyDescent="0.45">
      <c r="C1" t="s">
        <v>18</v>
      </c>
      <c r="D1" t="s">
        <v>15</v>
      </c>
      <c r="E1" t="s">
        <v>19</v>
      </c>
      <c r="F1" t="s">
        <v>17</v>
      </c>
      <c r="G1" t="s">
        <v>20</v>
      </c>
      <c r="H1" t="s">
        <v>21</v>
      </c>
    </row>
    <row r="2" spans="2:22" x14ac:dyDescent="0.45">
      <c r="B2">
        <v>1</v>
      </c>
      <c r="C2">
        <v>7602</v>
      </c>
      <c r="D2">
        <f>C2/$C$3*100</f>
        <v>3.9560782681099083</v>
      </c>
      <c r="E2">
        <v>36.970999999999997</v>
      </c>
      <c r="F2">
        <f>SIN(RADIANS(E2/2))</f>
        <v>0.31706465137934714</v>
      </c>
      <c r="G2">
        <f>ROUND($D$8/(2*F2),3)</f>
        <v>2.431</v>
      </c>
      <c r="H2">
        <v>111</v>
      </c>
    </row>
    <row r="3" spans="2:22" x14ac:dyDescent="0.45">
      <c r="B3">
        <v>2</v>
      </c>
      <c r="C3">
        <v>192160</v>
      </c>
      <c r="D3">
        <f t="shared" ref="D3:D6" si="0">C3/$C$3*100</f>
        <v>100</v>
      </c>
      <c r="E3">
        <v>42.922600000000003</v>
      </c>
      <c r="F3">
        <f t="shared" ref="F3:F6" si="1">SIN(RADIANS(E3/2))</f>
        <v>0.36587269967482544</v>
      </c>
      <c r="G3">
        <f t="shared" ref="G3:G6" si="2">ROUND($D$8/(2*F3),3)</f>
        <v>2.1070000000000002</v>
      </c>
      <c r="H3">
        <v>200</v>
      </c>
    </row>
    <row r="4" spans="2:22" x14ac:dyDescent="0.45">
      <c r="B4">
        <v>3</v>
      </c>
      <c r="C4">
        <v>27062</v>
      </c>
      <c r="D4">
        <f t="shared" si="0"/>
        <v>14.083055786844294</v>
      </c>
      <c r="E4">
        <v>62.335999999999999</v>
      </c>
      <c r="F4">
        <f t="shared" si="1"/>
        <v>0.51754920307974428</v>
      </c>
      <c r="G4">
        <f t="shared" si="2"/>
        <v>1.49</v>
      </c>
      <c r="H4">
        <v>220</v>
      </c>
    </row>
    <row r="5" spans="2:22" x14ac:dyDescent="0.45">
      <c r="B5">
        <v>4</v>
      </c>
      <c r="C5">
        <v>2536</v>
      </c>
      <c r="D5">
        <f t="shared" si="0"/>
        <v>1.3197335553705245</v>
      </c>
      <c r="E5">
        <v>74.724999999999994</v>
      </c>
      <c r="F5">
        <f t="shared" si="1"/>
        <v>0.60685576651686357</v>
      </c>
      <c r="G5">
        <f t="shared" si="2"/>
        <v>1.27</v>
      </c>
      <c r="H5">
        <v>311</v>
      </c>
    </row>
    <row r="6" spans="2:22" x14ac:dyDescent="0.45">
      <c r="B6">
        <v>5</v>
      </c>
      <c r="C6">
        <v>6110</v>
      </c>
      <c r="D6">
        <f t="shared" si="0"/>
        <v>3.1796419650291425</v>
      </c>
      <c r="E6">
        <v>78.691999999999993</v>
      </c>
      <c r="F6">
        <f t="shared" si="1"/>
        <v>0.63400194717054414</v>
      </c>
      <c r="G6">
        <f t="shared" si="2"/>
        <v>1.216</v>
      </c>
      <c r="H6">
        <v>222</v>
      </c>
    </row>
    <row r="8" spans="2:22" x14ac:dyDescent="0.45">
      <c r="C8" t="s">
        <v>16</v>
      </c>
      <c r="D8">
        <v>1.5418000000000001</v>
      </c>
    </row>
    <row r="10" spans="2:22" x14ac:dyDescent="0.45"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33</v>
      </c>
      <c r="O10" t="s">
        <v>34</v>
      </c>
      <c r="P10" t="s">
        <v>35</v>
      </c>
      <c r="Q10" t="s">
        <v>36</v>
      </c>
      <c r="R10" t="s">
        <v>37</v>
      </c>
      <c r="T10" t="s">
        <v>43</v>
      </c>
      <c r="U10" t="s">
        <v>42</v>
      </c>
      <c r="V10" t="s">
        <v>51</v>
      </c>
    </row>
    <row r="11" spans="2:22" x14ac:dyDescent="0.45">
      <c r="C11">
        <v>17.398099999999999</v>
      </c>
      <c r="D11">
        <v>17.6127</v>
      </c>
      <c r="E11">
        <v>42.905799999999999</v>
      </c>
      <c r="F11">
        <v>42.908900000000003</v>
      </c>
      <c r="G11">
        <v>42.897399999999998</v>
      </c>
      <c r="H11">
        <v>42.894199999999998</v>
      </c>
      <c r="I11">
        <v>42.8994</v>
      </c>
      <c r="J11">
        <v>42.896999999999998</v>
      </c>
      <c r="K11">
        <v>42.8919</v>
      </c>
      <c r="L11">
        <f>(SUM(E11:K11)-MAX(E11:K11)-MIN(E11:K11)-LARGE(E11:K11,2)-SMALL(E11:K11,2))/3</f>
        <v>42.897933333333334</v>
      </c>
      <c r="M11">
        <v>42.740900000000003</v>
      </c>
      <c r="N11">
        <v>42.742100000000001</v>
      </c>
      <c r="O11">
        <v>42.744399999999999</v>
      </c>
      <c r="P11">
        <v>42.7438</v>
      </c>
      <c r="Q11">
        <v>42.748699999999999</v>
      </c>
      <c r="R11">
        <f>(SUM(M11:Q11)-MAX(M11:Q11)-MIN(M11:Q11))/3</f>
        <v>42.743433333333336</v>
      </c>
      <c r="T11">
        <f>(SUM(M11:Q11)-MAX(M11:Q11)-MIN(M11:Q11))/3</f>
        <v>42.743433333333336</v>
      </c>
      <c r="U11">
        <f>((D11-C11)*($K$16-$K$17)/((T11-C11)-(L11-D11)))+$K$17</f>
        <v>3.5586075790348342</v>
      </c>
      <c r="V11">
        <f>((D11-C11)*(1-$K$17)/((T11-C11)-(L11-D11)))+$K$17</f>
        <v>3.5673915391013895</v>
      </c>
    </row>
    <row r="12" spans="2:22" x14ac:dyDescent="0.45">
      <c r="C12">
        <v>16.746500000000001</v>
      </c>
      <c r="D12">
        <v>16.8475</v>
      </c>
      <c r="E12">
        <v>41.441299999999998</v>
      </c>
      <c r="F12">
        <v>41.482599999999998</v>
      </c>
      <c r="G12">
        <v>41.440100000000001</v>
      </c>
      <c r="H12">
        <v>41.437800000000003</v>
      </c>
      <c r="I12">
        <v>41.439</v>
      </c>
      <c r="L12">
        <f>(SUM(E12:I12)-MAX(E12:I12)-MIN(E12:I12))/3</f>
        <v>41.440133333333335</v>
      </c>
      <c r="M12">
        <v>41.370100000000001</v>
      </c>
      <c r="N12">
        <v>41.367699999999999</v>
      </c>
      <c r="O12">
        <v>41.3675</v>
      </c>
      <c r="P12">
        <v>41.3718</v>
      </c>
      <c r="Q12">
        <v>41.3673</v>
      </c>
      <c r="R12">
        <v>41.3598</v>
      </c>
      <c r="S12">
        <v>41.3675</v>
      </c>
      <c r="T12">
        <f>(SUM(M12:S12)-MAX(M12:S12)-MIN(M12:S12)-LARGE(M12:S12,2)-SMALL(M12:S12,2))/3</f>
        <v>41.367566666666669</v>
      </c>
      <c r="U12">
        <f>((D12-C12)*($K$16-$K$17)/((T12-C12)-(L12-D12)))+$K$17</f>
        <v>3.5401305263776006</v>
      </c>
      <c r="V12">
        <f t="shared" ref="V12:V14" si="3">((D12-C12)*(1-$K$17)/((T12-C12)-(L12-D12)))+$K$17</f>
        <v>3.5488688616648223</v>
      </c>
    </row>
    <row r="13" spans="2:22" x14ac:dyDescent="0.45">
      <c r="C13">
        <v>22.511299999999999</v>
      </c>
      <c r="D13">
        <v>22.725200000000001</v>
      </c>
      <c r="E13">
        <v>49.779899999999998</v>
      </c>
      <c r="F13">
        <v>49.772100000000002</v>
      </c>
      <c r="G13">
        <v>49.776299999999999</v>
      </c>
      <c r="H13">
        <v>49.766500000000001</v>
      </c>
      <c r="I13">
        <v>49.771099999999997</v>
      </c>
      <c r="J13">
        <v>49.768500000000003</v>
      </c>
      <c r="K13">
        <v>49.7712</v>
      </c>
      <c r="L13">
        <f>(SUM(E13:K13)-MAX(E13:K13)-MIN(E13:K13)-LARGE(E13:K13,2)-SMALL(E13:K13,2))/3</f>
        <v>49.771466666666662</v>
      </c>
      <c r="M13">
        <v>49.616</v>
      </c>
      <c r="N13">
        <v>49.618499999999997</v>
      </c>
      <c r="O13">
        <v>49.610500000000002</v>
      </c>
      <c r="P13">
        <v>49.619799999999998</v>
      </c>
      <c r="Q13">
        <v>49.616799999999998</v>
      </c>
      <c r="R13">
        <v>49.617100000000001</v>
      </c>
      <c r="T13">
        <f>(SUM(M13:Q13)-MAX(M13:Q13)-MIN(M13:Q13))/3</f>
        <v>49.617099999999994</v>
      </c>
      <c r="U13">
        <f>((D13-C13)*($K$16-$K$17)/((T13-C13)-(L13-D13)))+$K$17</f>
        <v>3.5807538057110668</v>
      </c>
      <c r="V13">
        <f t="shared" si="3"/>
        <v>3.5895924507278645</v>
      </c>
    </row>
    <row r="14" spans="2:22" x14ac:dyDescent="0.45">
      <c r="C14">
        <v>17.780799999999999</v>
      </c>
      <c r="D14">
        <v>18.025300000000001</v>
      </c>
      <c r="E14">
        <v>42.878700000000002</v>
      </c>
      <c r="F14">
        <v>42.877600000000001</v>
      </c>
      <c r="G14">
        <v>42.881900000000002</v>
      </c>
      <c r="H14">
        <v>42.880099999999999</v>
      </c>
      <c r="I14">
        <v>42.881900000000002</v>
      </c>
      <c r="L14">
        <f>(SUM(E14:I14)-MIN(E14:I14)-MAX(E14:I14))/3</f>
        <v>42.880233333333337</v>
      </c>
      <c r="M14">
        <v>42.7044</v>
      </c>
      <c r="N14">
        <v>42.706600000000002</v>
      </c>
      <c r="O14">
        <v>42.7089</v>
      </c>
      <c r="P14">
        <v>42.704000000000001</v>
      </c>
      <c r="Q14">
        <v>42.704799999999999</v>
      </c>
      <c r="R14">
        <v>42.703800000000001</v>
      </c>
      <c r="S14">
        <v>42.701700000000002</v>
      </c>
      <c r="T14">
        <f>(SUM(M14:S14)-MIN(M14:S14)-MAX(M14:S14)-LARGE(M14:S14,2)-SMALL(M14:S14,2))/3</f>
        <v>42.7044</v>
      </c>
      <c r="U14">
        <f>((D14-C14)*($K$16-$K$17)/((T14-C14)-(L14-D14)))+$K$17</f>
        <v>3.5486093810680619</v>
      </c>
      <c r="V14">
        <f t="shared" si="3"/>
        <v>3.5573686529127224</v>
      </c>
    </row>
    <row r="16" spans="2:22" x14ac:dyDescent="0.45">
      <c r="I16" t="s">
        <v>38</v>
      </c>
      <c r="J16" t="s">
        <v>40</v>
      </c>
      <c r="K16">
        <v>0.99753999999999998</v>
      </c>
      <c r="M16">
        <v>1</v>
      </c>
    </row>
    <row r="17" spans="4:11" x14ac:dyDescent="0.45">
      <c r="I17" t="s">
        <v>39</v>
      </c>
      <c r="J17" t="s">
        <v>41</v>
      </c>
      <c r="K17">
        <f>1.293*10^-3</f>
        <v>1.2929999999999999E-3</v>
      </c>
    </row>
    <row r="18" spans="4:11" x14ac:dyDescent="0.45">
      <c r="E18" t="s">
        <v>44</v>
      </c>
      <c r="F18" t="s">
        <v>45</v>
      </c>
      <c r="G18" t="s">
        <v>46</v>
      </c>
      <c r="H18" t="s">
        <v>43</v>
      </c>
      <c r="I18" t="s">
        <v>42</v>
      </c>
      <c r="J18" t="s">
        <v>52</v>
      </c>
    </row>
    <row r="19" spans="4:11" x14ac:dyDescent="0.45">
      <c r="D19" t="s">
        <v>47</v>
      </c>
      <c r="E19">
        <v>17.398099999999999</v>
      </c>
      <c r="F19">
        <v>17.6127</v>
      </c>
      <c r="G19" s="1">
        <v>42.897933333333334</v>
      </c>
      <c r="H19" s="1">
        <v>42.743433333333336</v>
      </c>
      <c r="I19" s="1">
        <v>3.5586075790348342</v>
      </c>
      <c r="J19" s="1">
        <v>3.5673915391013895</v>
      </c>
    </row>
    <row r="20" spans="4:11" x14ac:dyDescent="0.45">
      <c r="D20" t="s">
        <v>48</v>
      </c>
      <c r="E20">
        <v>16.746500000000001</v>
      </c>
      <c r="F20">
        <v>16.8475</v>
      </c>
      <c r="G20" s="1">
        <v>41.440133333333335</v>
      </c>
      <c r="H20" s="1">
        <v>41.367566666666669</v>
      </c>
      <c r="I20" s="1">
        <v>3.5401305263776006</v>
      </c>
      <c r="J20" s="1">
        <v>3.5488688616648223</v>
      </c>
    </row>
    <row r="21" spans="4:11" x14ac:dyDescent="0.45">
      <c r="D21" t="s">
        <v>49</v>
      </c>
      <c r="E21">
        <v>22.511299999999999</v>
      </c>
      <c r="F21">
        <v>22.725200000000001</v>
      </c>
      <c r="G21" s="1">
        <v>49.771466666666662</v>
      </c>
      <c r="H21" s="1">
        <v>49.617099999999994</v>
      </c>
      <c r="I21" s="1">
        <v>3.5807538057110668</v>
      </c>
      <c r="J21" s="1">
        <v>3.5895924507278645</v>
      </c>
    </row>
    <row r="22" spans="4:11" x14ac:dyDescent="0.45">
      <c r="D22" t="s">
        <v>50</v>
      </c>
      <c r="E22">
        <v>17.780799999999999</v>
      </c>
      <c r="F22">
        <v>18.025300000000001</v>
      </c>
      <c r="G22" s="1">
        <v>42.880233333333337</v>
      </c>
      <c r="H22" s="1">
        <v>42.7044</v>
      </c>
      <c r="I22" s="1">
        <v>3.5486093810680619</v>
      </c>
      <c r="J22" s="1">
        <v>3.5573686529127224</v>
      </c>
    </row>
    <row r="24" spans="4:11" x14ac:dyDescent="0.45">
      <c r="E24" t="s">
        <v>54</v>
      </c>
      <c r="F24">
        <v>2.1055999999999999</v>
      </c>
    </row>
    <row r="25" spans="4:11" x14ac:dyDescent="0.45">
      <c r="E25" t="s">
        <v>53</v>
      </c>
      <c r="F25">
        <f>(24.305+15.99)*4/6.02</f>
        <v>26.774086378737543</v>
      </c>
      <c r="G25" t="s">
        <v>58</v>
      </c>
    </row>
    <row r="26" spans="4:11" x14ac:dyDescent="0.45">
      <c r="E26" t="s">
        <v>55</v>
      </c>
      <c r="F26">
        <f>F25/(F24*2)^3*10</f>
        <v>3.5850651916369012</v>
      </c>
    </row>
    <row r="27" spans="4:11" x14ac:dyDescent="0.45">
      <c r="E27" t="s">
        <v>56</v>
      </c>
      <c r="F27">
        <f>(2*F24)^3</f>
        <v>74.682285948927998</v>
      </c>
      <c r="G27" t="s">
        <v>57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XRD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2020-05-22T13:53:35Z</dcterms:created>
  <dcterms:modified xsi:type="dcterms:W3CDTF">2020-05-28T14:04:06Z</dcterms:modified>
</cp:coreProperties>
</file>